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Scode\game-project\data\excel\"/>
    </mc:Choice>
  </mc:AlternateContent>
  <xr:revisionPtr revIDLastSave="0" documentId="13_ncr:1_{C7A07B8A-1BFA-4BC2-AA39-0468F44A8B17}" xr6:coauthVersionLast="47" xr6:coauthVersionMax="47" xr10:uidLastSave="{00000000-0000-0000-0000-000000000000}"/>
  <bookViews>
    <workbookView xWindow="1605" yWindow="1830" windowWidth="27285" windowHeight="18855" activeTab="1" xr2:uid="{93FAE5DA-3CF2-4CAE-BC3E-9D6B1954436C}"/>
  </bookViews>
  <sheets>
    <sheet name="カテゴリ" sheetId="7" r:id="rId1"/>
    <sheet name="装備品" sheetId="2" r:id="rId2"/>
    <sheet name="アイテム" sheetId="3" r:id="rId3"/>
    <sheet name="素材" sheetId="5" r:id="rId4"/>
    <sheet name="武器" sheetId="4" r:id="rId5"/>
    <sheet name="装強" sheetId="1" r:id="rId6"/>
    <sheet name="ショップ" sheetId="6" r:id="rId7"/>
  </sheet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372" i="2" l="1"/>
  <c r="CQ372" i="2"/>
  <c r="CP372" i="2"/>
  <c r="CO372" i="2"/>
  <c r="CT372" i="2" s="1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CM372" i="2" s="1"/>
  <c r="F372" i="2"/>
  <c r="E372" i="2"/>
  <c r="CN372" i="2" s="1"/>
  <c r="B370" i="2"/>
  <c r="B368" i="2"/>
  <c r="CS368" i="2"/>
  <c r="CQ368" i="2"/>
  <c r="CP368" i="2"/>
  <c r="CO368" i="2"/>
  <c r="CT368" i="2" s="1"/>
  <c r="BF368" i="2"/>
  <c r="BE368" i="2"/>
  <c r="BD368" i="2"/>
  <c r="BC368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CN368" i="2" s="1"/>
  <c r="BA371" i="2"/>
  <c r="BB371" i="2"/>
  <c r="BC371" i="2"/>
  <c r="BD371" i="2"/>
  <c r="BE371" i="2"/>
  <c r="BF371" i="2"/>
  <c r="BA373" i="2"/>
  <c r="BB373" i="2"/>
  <c r="BC373" i="2"/>
  <c r="BD373" i="2"/>
  <c r="BE373" i="2"/>
  <c r="BF373" i="2"/>
  <c r="BA374" i="2"/>
  <c r="BB374" i="2"/>
  <c r="BC374" i="2"/>
  <c r="BD374" i="2"/>
  <c r="BE374" i="2"/>
  <c r="BF374" i="2"/>
  <c r="BA375" i="2"/>
  <c r="BB375" i="2"/>
  <c r="BC375" i="2"/>
  <c r="BD375" i="2"/>
  <c r="BE375" i="2"/>
  <c r="BF375" i="2"/>
  <c r="BA376" i="2"/>
  <c r="BB376" i="2"/>
  <c r="BC376" i="2"/>
  <c r="BD376" i="2"/>
  <c r="BE376" i="2"/>
  <c r="BF376" i="2"/>
  <c r="BA377" i="2"/>
  <c r="BB377" i="2"/>
  <c r="BC377" i="2"/>
  <c r="BD377" i="2"/>
  <c r="BE377" i="2"/>
  <c r="BF377" i="2"/>
  <c r="BA378" i="2"/>
  <c r="BB378" i="2"/>
  <c r="BC378" i="2"/>
  <c r="BD378" i="2"/>
  <c r="BE378" i="2"/>
  <c r="BF378" i="2"/>
  <c r="BA379" i="2"/>
  <c r="BB379" i="2"/>
  <c r="BC379" i="2"/>
  <c r="BD379" i="2"/>
  <c r="BE379" i="2"/>
  <c r="BF379" i="2"/>
  <c r="BA380" i="2"/>
  <c r="BB380" i="2"/>
  <c r="BC380" i="2"/>
  <c r="BD380" i="2"/>
  <c r="BE380" i="2"/>
  <c r="BF380" i="2"/>
  <c r="BA381" i="2"/>
  <c r="BB381" i="2"/>
  <c r="BC381" i="2"/>
  <c r="BD381" i="2"/>
  <c r="BE381" i="2"/>
  <c r="BF381" i="2"/>
  <c r="BA382" i="2"/>
  <c r="BB382" i="2"/>
  <c r="BC382" i="2"/>
  <c r="BD382" i="2"/>
  <c r="BE382" i="2"/>
  <c r="BF382" i="2"/>
  <c r="BA383" i="2"/>
  <c r="BB383" i="2"/>
  <c r="BC383" i="2"/>
  <c r="BD383" i="2"/>
  <c r="BE383" i="2"/>
  <c r="BF383" i="2"/>
  <c r="BA384" i="2"/>
  <c r="BB384" i="2"/>
  <c r="BC384" i="2"/>
  <c r="BD384" i="2"/>
  <c r="BE384" i="2"/>
  <c r="BF384" i="2"/>
  <c r="BA385" i="2"/>
  <c r="BB385" i="2"/>
  <c r="BC385" i="2"/>
  <c r="BD385" i="2"/>
  <c r="BE385" i="2"/>
  <c r="BF385" i="2"/>
  <c r="BA386" i="2"/>
  <c r="BB386" i="2"/>
  <c r="BC386" i="2"/>
  <c r="BD386" i="2"/>
  <c r="BE386" i="2"/>
  <c r="BF386" i="2"/>
  <c r="BA387" i="2"/>
  <c r="BB387" i="2"/>
  <c r="BC387" i="2"/>
  <c r="BD387" i="2"/>
  <c r="BE387" i="2"/>
  <c r="BF387" i="2"/>
  <c r="BA388" i="2"/>
  <c r="BB388" i="2"/>
  <c r="BC388" i="2"/>
  <c r="BD388" i="2"/>
  <c r="BE388" i="2"/>
  <c r="BF388" i="2"/>
  <c r="BA363" i="2"/>
  <c r="BB363" i="2"/>
  <c r="BC363" i="2"/>
  <c r="BD363" i="2"/>
  <c r="BE363" i="2"/>
  <c r="BF363" i="2"/>
  <c r="BA364" i="2"/>
  <c r="BB364" i="2"/>
  <c r="BC364" i="2"/>
  <c r="BD364" i="2"/>
  <c r="BE364" i="2"/>
  <c r="BF364" i="2"/>
  <c r="BA365" i="2"/>
  <c r="BB365" i="2"/>
  <c r="BC365" i="2"/>
  <c r="BD365" i="2"/>
  <c r="BE365" i="2"/>
  <c r="BF365" i="2"/>
  <c r="BA366" i="2"/>
  <c r="BB366" i="2"/>
  <c r="BC366" i="2"/>
  <c r="BD366" i="2"/>
  <c r="BE366" i="2"/>
  <c r="BF366" i="2"/>
  <c r="BA367" i="2"/>
  <c r="BB367" i="2"/>
  <c r="BC367" i="2"/>
  <c r="BD367" i="2"/>
  <c r="BE367" i="2"/>
  <c r="BF367" i="2"/>
  <c r="BA369" i="2"/>
  <c r="BB369" i="2"/>
  <c r="BC369" i="2"/>
  <c r="BD369" i="2"/>
  <c r="BE369" i="2"/>
  <c r="BF369" i="2"/>
  <c r="BA370" i="2"/>
  <c r="BB370" i="2"/>
  <c r="BC370" i="2"/>
  <c r="BD370" i="2"/>
  <c r="BE370" i="2"/>
  <c r="BF370" i="2"/>
  <c r="BF51" i="1"/>
  <c r="BE49" i="1"/>
  <c r="BF49" i="1"/>
  <c r="BF50" i="1" s="1"/>
  <c r="BE50" i="1"/>
  <c r="BE51" i="1"/>
  <c r="BF48" i="1"/>
  <c r="BE48" i="1"/>
  <c r="AB370" i="2"/>
  <c r="CO371" i="2"/>
  <c r="CT371" i="2" s="1"/>
  <c r="CO373" i="2"/>
  <c r="CO374" i="2"/>
  <c r="CO375" i="2"/>
  <c r="CO376" i="2"/>
  <c r="CT376" i="2" s="1"/>
  <c r="CO377" i="2"/>
  <c r="CO378" i="2"/>
  <c r="CO379" i="2"/>
  <c r="CO380" i="2"/>
  <c r="CO381" i="2"/>
  <c r="CO382" i="2"/>
  <c r="CT382" i="2" s="1"/>
  <c r="CO383" i="2"/>
  <c r="CO384" i="2"/>
  <c r="CT384" i="2" s="1"/>
  <c r="CO385" i="2"/>
  <c r="CO386" i="2"/>
  <c r="CO387" i="2"/>
  <c r="CO388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3" i="2"/>
  <c r="CO134" i="2"/>
  <c r="CO135" i="2"/>
  <c r="CO136" i="2"/>
  <c r="CO137" i="2"/>
  <c r="CO138" i="2"/>
  <c r="CO139" i="2"/>
  <c r="CO140" i="2"/>
  <c r="CO141" i="2"/>
  <c r="CO142" i="2"/>
  <c r="CO143" i="2"/>
  <c r="CO144" i="2"/>
  <c r="CO145" i="2"/>
  <c r="CO146" i="2"/>
  <c r="CO147" i="2"/>
  <c r="CO148" i="2"/>
  <c r="CO149" i="2"/>
  <c r="CO150" i="2"/>
  <c r="CO151" i="2"/>
  <c r="CO152" i="2"/>
  <c r="CO153" i="2"/>
  <c r="CO265" i="2"/>
  <c r="CO266" i="2"/>
  <c r="CO267" i="2"/>
  <c r="CO268" i="2"/>
  <c r="CO269" i="2"/>
  <c r="CO270" i="2"/>
  <c r="CO271" i="2"/>
  <c r="CO272" i="2"/>
  <c r="CO273" i="2"/>
  <c r="CO274" i="2"/>
  <c r="CO275" i="2"/>
  <c r="CO276" i="2"/>
  <c r="CO277" i="2"/>
  <c r="CO278" i="2"/>
  <c r="CO279" i="2"/>
  <c r="CO280" i="2"/>
  <c r="CO281" i="2"/>
  <c r="CO282" i="2"/>
  <c r="CO283" i="2"/>
  <c r="CO284" i="2"/>
  <c r="CO285" i="2"/>
  <c r="CO286" i="2"/>
  <c r="CO287" i="2"/>
  <c r="CO288" i="2"/>
  <c r="CO289" i="2"/>
  <c r="CO290" i="2"/>
  <c r="CO291" i="2"/>
  <c r="CO292" i="2"/>
  <c r="CO293" i="2"/>
  <c r="CO294" i="2"/>
  <c r="CO295" i="2"/>
  <c r="CO296" i="2"/>
  <c r="CO297" i="2"/>
  <c r="CO298" i="2"/>
  <c r="CO299" i="2"/>
  <c r="CO300" i="2"/>
  <c r="CO301" i="2"/>
  <c r="CO302" i="2"/>
  <c r="CO303" i="2"/>
  <c r="CO304" i="2"/>
  <c r="CO305" i="2"/>
  <c r="CO306" i="2"/>
  <c r="CO307" i="2"/>
  <c r="CO308" i="2"/>
  <c r="CO309" i="2"/>
  <c r="CO310" i="2"/>
  <c r="CO311" i="2"/>
  <c r="CO312" i="2"/>
  <c r="CO313" i="2"/>
  <c r="CO314" i="2"/>
  <c r="CO315" i="2"/>
  <c r="CO316" i="2"/>
  <c r="CO317" i="2"/>
  <c r="CO318" i="2"/>
  <c r="CO319" i="2"/>
  <c r="CO320" i="2"/>
  <c r="CO321" i="2"/>
  <c r="CO322" i="2"/>
  <c r="CO323" i="2"/>
  <c r="CO324" i="2"/>
  <c r="CO325" i="2"/>
  <c r="CO326" i="2"/>
  <c r="CO327" i="2"/>
  <c r="CO328" i="2"/>
  <c r="CO329" i="2"/>
  <c r="CO330" i="2"/>
  <c r="CO331" i="2"/>
  <c r="CO332" i="2"/>
  <c r="CO333" i="2"/>
  <c r="CO334" i="2"/>
  <c r="CO335" i="2"/>
  <c r="CO336" i="2"/>
  <c r="CO337" i="2"/>
  <c r="CO338" i="2"/>
  <c r="CO339" i="2"/>
  <c r="CO340" i="2"/>
  <c r="CO341" i="2"/>
  <c r="CO342" i="2"/>
  <c r="CO343" i="2"/>
  <c r="CO344" i="2"/>
  <c r="CO345" i="2"/>
  <c r="CO346" i="2"/>
  <c r="CO363" i="2"/>
  <c r="CO364" i="2"/>
  <c r="CO365" i="2"/>
  <c r="CO370" i="2"/>
  <c r="CT370" i="2" s="1"/>
  <c r="CT373" i="2"/>
  <c r="CT374" i="2"/>
  <c r="CT375" i="2"/>
  <c r="CT379" i="2"/>
  <c r="CT381" i="2"/>
  <c r="CT386" i="2"/>
  <c r="CT387" i="2"/>
  <c r="CO366" i="2"/>
  <c r="AE264" i="2"/>
  <c r="AE262" i="2"/>
  <c r="AB365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AE369" i="2"/>
  <c r="E369" i="2"/>
  <c r="AA362" i="2"/>
  <c r="E367" i="2"/>
  <c r="CN367" i="2" s="1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Y367" i="2"/>
  <c r="Z367" i="2"/>
  <c r="AA367" i="2"/>
  <c r="AB367" i="2"/>
  <c r="AC367" i="2"/>
  <c r="AD367" i="2"/>
  <c r="CP367" i="2"/>
  <c r="CQ367" i="2"/>
  <c r="CS367" i="2"/>
  <c r="CN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Y369" i="2"/>
  <c r="Z369" i="2"/>
  <c r="AA369" i="2"/>
  <c r="AB369" i="2"/>
  <c r="AC369" i="2"/>
  <c r="AD369" i="2"/>
  <c r="CP369" i="2"/>
  <c r="CQ369" i="2"/>
  <c r="CS369" i="2"/>
  <c r="E370" i="2"/>
  <c r="CN370" i="2" s="1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Y370" i="2"/>
  <c r="Z370" i="2"/>
  <c r="AA370" i="2"/>
  <c r="AC370" i="2"/>
  <c r="AD370" i="2"/>
  <c r="CP370" i="2"/>
  <c r="CQ370" i="2"/>
  <c r="CS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Y371" i="2"/>
  <c r="Z371" i="2"/>
  <c r="AA371" i="2"/>
  <c r="AB371" i="2"/>
  <c r="AC371" i="2"/>
  <c r="AD371" i="2"/>
  <c r="CP371" i="2"/>
  <c r="CQ371" i="2"/>
  <c r="CS371" i="2"/>
  <c r="B373" i="2"/>
  <c r="E373" i="2"/>
  <c r="CN373" i="2" s="1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Y373" i="2"/>
  <c r="Z373" i="2"/>
  <c r="AA373" i="2"/>
  <c r="AB373" i="2"/>
  <c r="AC373" i="2"/>
  <c r="AD373" i="2"/>
  <c r="CP373" i="2"/>
  <c r="CQ373" i="2"/>
  <c r="CS373" i="2"/>
  <c r="B374" i="2"/>
  <c r="E374" i="2"/>
  <c r="CN374" i="2" s="1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Y374" i="2"/>
  <c r="Z374" i="2"/>
  <c r="AA374" i="2"/>
  <c r="AB374" i="2"/>
  <c r="AC374" i="2"/>
  <c r="AD374" i="2"/>
  <c r="CP374" i="2"/>
  <c r="CQ374" i="2"/>
  <c r="CS374" i="2"/>
  <c r="B375" i="2"/>
  <c r="E375" i="2"/>
  <c r="CN375" i="2" s="1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Y375" i="2"/>
  <c r="Z375" i="2"/>
  <c r="AA375" i="2"/>
  <c r="AB375" i="2"/>
  <c r="AC375" i="2"/>
  <c r="AD375" i="2"/>
  <c r="CP375" i="2"/>
  <c r="CQ375" i="2"/>
  <c r="CS375" i="2"/>
  <c r="B376" i="2"/>
  <c r="E376" i="2"/>
  <c r="CN376" i="2" s="1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Y376" i="2"/>
  <c r="Z376" i="2"/>
  <c r="AA376" i="2"/>
  <c r="AB376" i="2"/>
  <c r="AC376" i="2"/>
  <c r="AD376" i="2"/>
  <c r="CP376" i="2"/>
  <c r="CQ376" i="2"/>
  <c r="CS376" i="2"/>
  <c r="B377" i="2"/>
  <c r="E377" i="2"/>
  <c r="CN377" i="2" s="1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Y377" i="2"/>
  <c r="Z377" i="2"/>
  <c r="AA377" i="2"/>
  <c r="AB377" i="2"/>
  <c r="AC377" i="2"/>
  <c r="AD377" i="2"/>
  <c r="CT377" i="2"/>
  <c r="CP377" i="2"/>
  <c r="CQ377" i="2"/>
  <c r="CS377" i="2"/>
  <c r="B378" i="2"/>
  <c r="E378" i="2"/>
  <c r="CN378" i="2" s="1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Y378" i="2"/>
  <c r="Z378" i="2"/>
  <c r="AA378" i="2"/>
  <c r="AB378" i="2"/>
  <c r="AC378" i="2"/>
  <c r="AD378" i="2"/>
  <c r="CT378" i="2"/>
  <c r="CP378" i="2"/>
  <c r="CQ378" i="2"/>
  <c r="CS378" i="2"/>
  <c r="B379" i="2"/>
  <c r="E379" i="2"/>
  <c r="CN379" i="2" s="1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Y379" i="2"/>
  <c r="Z379" i="2"/>
  <c r="AA379" i="2"/>
  <c r="AB379" i="2"/>
  <c r="AC379" i="2"/>
  <c r="AD379" i="2"/>
  <c r="CP379" i="2"/>
  <c r="CQ379" i="2"/>
  <c r="CS379" i="2"/>
  <c r="B380" i="2"/>
  <c r="E380" i="2"/>
  <c r="CN380" i="2" s="1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Y380" i="2"/>
  <c r="Z380" i="2"/>
  <c r="AA380" i="2"/>
  <c r="AB380" i="2"/>
  <c r="AC380" i="2"/>
  <c r="AD380" i="2"/>
  <c r="CP380" i="2"/>
  <c r="CQ380" i="2"/>
  <c r="CS380" i="2"/>
  <c r="CT380" i="2"/>
  <c r="B381" i="2"/>
  <c r="E381" i="2"/>
  <c r="CN381" i="2" s="1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Y381" i="2"/>
  <c r="Z381" i="2"/>
  <c r="AA381" i="2"/>
  <c r="AB381" i="2"/>
  <c r="AC381" i="2"/>
  <c r="AD381" i="2"/>
  <c r="CP381" i="2"/>
  <c r="CQ381" i="2"/>
  <c r="CS381" i="2"/>
  <c r="B382" i="2"/>
  <c r="E382" i="2"/>
  <c r="CN382" i="2" s="1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Y382" i="2"/>
  <c r="Z382" i="2"/>
  <c r="AA382" i="2"/>
  <c r="AB382" i="2"/>
  <c r="AC382" i="2"/>
  <c r="AD382" i="2"/>
  <c r="CP382" i="2"/>
  <c r="CQ382" i="2"/>
  <c r="CS382" i="2"/>
  <c r="B383" i="2"/>
  <c r="E383" i="2"/>
  <c r="CN383" i="2" s="1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Y383" i="2"/>
  <c r="Z383" i="2"/>
  <c r="AA383" i="2"/>
  <c r="AB383" i="2"/>
  <c r="AC383" i="2"/>
  <c r="AD383" i="2"/>
  <c r="CP383" i="2"/>
  <c r="CQ383" i="2"/>
  <c r="CS383" i="2"/>
  <c r="B384" i="2"/>
  <c r="E384" i="2"/>
  <c r="CN384" i="2" s="1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Y384" i="2"/>
  <c r="Z384" i="2"/>
  <c r="AA384" i="2"/>
  <c r="AB384" i="2"/>
  <c r="AC384" i="2"/>
  <c r="AD384" i="2"/>
  <c r="CP384" i="2"/>
  <c r="CQ384" i="2"/>
  <c r="CS384" i="2"/>
  <c r="B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Y385" i="2"/>
  <c r="Z385" i="2"/>
  <c r="AA385" i="2"/>
  <c r="AB385" i="2"/>
  <c r="AC385" i="2"/>
  <c r="AD385" i="2"/>
  <c r="CN385" i="2"/>
  <c r="CT385" i="2"/>
  <c r="CP385" i="2"/>
  <c r="CQ385" i="2"/>
  <c r="CS385" i="2"/>
  <c r="B386" i="2"/>
  <c r="E386" i="2"/>
  <c r="CN386" i="2" s="1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Y386" i="2"/>
  <c r="Z386" i="2"/>
  <c r="AA386" i="2"/>
  <c r="AB386" i="2"/>
  <c r="AC386" i="2"/>
  <c r="AD386" i="2"/>
  <c r="CP386" i="2"/>
  <c r="CQ386" i="2"/>
  <c r="CS386" i="2"/>
  <c r="B387" i="2"/>
  <c r="E387" i="2"/>
  <c r="CN387" i="2" s="1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Y387" i="2"/>
  <c r="Z387" i="2"/>
  <c r="AA387" i="2"/>
  <c r="AB387" i="2"/>
  <c r="AC387" i="2"/>
  <c r="AD387" i="2"/>
  <c r="CP387" i="2"/>
  <c r="CQ387" i="2"/>
  <c r="CS387" i="2"/>
  <c r="B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Y388" i="2"/>
  <c r="Z388" i="2"/>
  <c r="AA388" i="2"/>
  <c r="AB388" i="2"/>
  <c r="AC388" i="2"/>
  <c r="AD388" i="2"/>
  <c r="CN388" i="2"/>
  <c r="CT388" i="2"/>
  <c r="CP388" i="2"/>
  <c r="CQ388" i="2"/>
  <c r="CS388" i="2"/>
  <c r="B363" i="2"/>
  <c r="E363" i="2"/>
  <c r="CN363" i="2" s="1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Y363" i="2"/>
  <c r="Z363" i="2"/>
  <c r="AA363" i="2"/>
  <c r="AB363" i="2"/>
  <c r="AC363" i="2"/>
  <c r="AD363" i="2"/>
  <c r="CP363" i="2"/>
  <c r="CQ363" i="2"/>
  <c r="CS363" i="2"/>
  <c r="B364" i="2"/>
  <c r="E364" i="2"/>
  <c r="CN364" i="2" s="1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Y364" i="2"/>
  <c r="Z364" i="2"/>
  <c r="AA364" i="2"/>
  <c r="AB364" i="2"/>
  <c r="AC364" i="2"/>
  <c r="AD364" i="2"/>
  <c r="CP364" i="2"/>
  <c r="CQ364" i="2"/>
  <c r="CS364" i="2"/>
  <c r="B365" i="2"/>
  <c r="E365" i="2"/>
  <c r="CN365" i="2" s="1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Y365" i="2"/>
  <c r="Z365" i="2"/>
  <c r="AA365" i="2"/>
  <c r="AC365" i="2"/>
  <c r="AD365" i="2"/>
  <c r="CP365" i="2"/>
  <c r="CQ365" i="2"/>
  <c r="CS365" i="2"/>
  <c r="B366" i="2"/>
  <c r="E366" i="2"/>
  <c r="CN366" i="2" s="1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Y366" i="2"/>
  <c r="Z366" i="2"/>
  <c r="AA366" i="2"/>
  <c r="AB366" i="2"/>
  <c r="AC366" i="2"/>
  <c r="AD366" i="2"/>
  <c r="CP366" i="2"/>
  <c r="CQ366" i="2"/>
  <c r="CS366" i="2"/>
  <c r="B362" i="2"/>
  <c r="E362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CP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CP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CP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CP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CP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CP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CP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CP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CP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CP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CP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CP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CP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CP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CP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CP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CP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CP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CP22" i="2"/>
  <c r="E23" i="2"/>
  <c r="CN23" i="2" s="1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CP23" i="2"/>
  <c r="E24" i="2"/>
  <c r="CN24" i="2" s="1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CP24" i="2"/>
  <c r="E25" i="2"/>
  <c r="CN25" i="2" s="1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CP25" i="2"/>
  <c r="E26" i="2"/>
  <c r="CN26" i="2" s="1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CP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CP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CP28" i="2"/>
  <c r="E29" i="2"/>
  <c r="CN29" i="2" s="1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CP29" i="2"/>
  <c r="E30" i="2"/>
  <c r="CN30" i="2" s="1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CP30" i="2"/>
  <c r="E31" i="2"/>
  <c r="CN31" i="2" s="1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CP31" i="2"/>
  <c r="E32" i="2"/>
  <c r="CN32" i="2" s="1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CP32" i="2"/>
  <c r="E33" i="2"/>
  <c r="CN33" i="2" s="1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CP33" i="2"/>
  <c r="E34" i="2"/>
  <c r="CN34" i="2" s="1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CP34" i="2"/>
  <c r="E35" i="2"/>
  <c r="CN35" i="2" s="1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CP35" i="2"/>
  <c r="E36" i="2"/>
  <c r="CN36" i="2" s="1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CP36" i="2"/>
  <c r="E37" i="2"/>
  <c r="CN37" i="2" s="1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CP37" i="2"/>
  <c r="E38" i="2"/>
  <c r="CN38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CP38" i="2"/>
  <c r="E39" i="2"/>
  <c r="CN39" i="2" s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CP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CP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CP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CP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CP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CP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CP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CP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CP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CP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CP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CP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CP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CP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CP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CP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CP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CP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CP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CP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CP59" i="2"/>
  <c r="E60" i="2"/>
  <c r="CN60" i="2" s="1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CP60" i="2"/>
  <c r="E61" i="2"/>
  <c r="CN61" i="2" s="1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CP61" i="2"/>
  <c r="E62" i="2"/>
  <c r="CN62" i="2" s="1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CP62" i="2"/>
  <c r="E63" i="2"/>
  <c r="CN63" i="2" s="1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CP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CP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CP65" i="2"/>
  <c r="E66" i="2"/>
  <c r="CN66" i="2" s="1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CP66" i="2"/>
  <c r="E67" i="2"/>
  <c r="CN67" i="2" s="1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CP67" i="2"/>
  <c r="E68" i="2"/>
  <c r="CN68" i="2" s="1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CP68" i="2"/>
  <c r="E69" i="2"/>
  <c r="CN69" i="2" s="1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CP69" i="2"/>
  <c r="E70" i="2"/>
  <c r="CN70" i="2" s="1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CP70" i="2"/>
  <c r="E71" i="2"/>
  <c r="CN71" i="2" s="1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CP71" i="2"/>
  <c r="E72" i="2"/>
  <c r="CN72" i="2" s="1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CP72" i="2"/>
  <c r="E73" i="2"/>
  <c r="CN73" i="2" s="1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CP73" i="2"/>
  <c r="E74" i="2"/>
  <c r="CN74" i="2" s="1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CP74" i="2"/>
  <c r="E75" i="2"/>
  <c r="CN75" i="2" s="1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CP75" i="2"/>
  <c r="E76" i="2"/>
  <c r="CN76" i="2" s="1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CP76" i="2"/>
  <c r="E77" i="2"/>
  <c r="CN77" i="2" s="1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CP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CP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CP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CP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CP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CP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CP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CP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CP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CP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CP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CP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CP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CP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CP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CP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CP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CP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CP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CP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CP97" i="2"/>
  <c r="E98" i="2"/>
  <c r="CN98" i="2" s="1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CP98" i="2"/>
  <c r="E99" i="2"/>
  <c r="CN99" i="2" s="1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CP99" i="2"/>
  <c r="E100" i="2"/>
  <c r="CN100" i="2" s="1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CP100" i="2"/>
  <c r="E101" i="2"/>
  <c r="CN101" i="2" s="1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CP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CP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CP103" i="2"/>
  <c r="E104" i="2"/>
  <c r="CN104" i="2" s="1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CP104" i="2"/>
  <c r="E105" i="2"/>
  <c r="CN105" i="2" s="1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CP105" i="2"/>
  <c r="E106" i="2"/>
  <c r="CN106" i="2" s="1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CP106" i="2"/>
  <c r="E107" i="2"/>
  <c r="CN107" i="2" s="1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CP107" i="2"/>
  <c r="E108" i="2"/>
  <c r="CN108" i="2" s="1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CP108" i="2"/>
  <c r="E109" i="2"/>
  <c r="CN109" i="2" s="1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CP109" i="2"/>
  <c r="E110" i="2"/>
  <c r="CN110" i="2" s="1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CP110" i="2"/>
  <c r="E111" i="2"/>
  <c r="CN111" i="2" s="1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CP111" i="2"/>
  <c r="E112" i="2"/>
  <c r="CN112" i="2" s="1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CP112" i="2"/>
  <c r="E113" i="2"/>
  <c r="CN113" i="2" s="1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CP113" i="2"/>
  <c r="E114" i="2"/>
  <c r="CN114" i="2" s="1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CP114" i="2"/>
  <c r="E115" i="2"/>
  <c r="CN115" i="2" s="1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CP115" i="2"/>
  <c r="E116" i="2"/>
  <c r="CN116" i="2" s="1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CP116" i="2"/>
  <c r="E117" i="2"/>
  <c r="CN117" i="2" s="1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CP117" i="2"/>
  <c r="E118" i="2"/>
  <c r="CN118" i="2" s="1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CP118" i="2"/>
  <c r="E119" i="2"/>
  <c r="CN119" i="2" s="1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CP119" i="2"/>
  <c r="E120" i="2"/>
  <c r="CN120" i="2" s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CP120" i="2"/>
  <c r="E121" i="2"/>
  <c r="CN121" i="2" s="1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CP121" i="2"/>
  <c r="E122" i="2"/>
  <c r="CN122" i="2" s="1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CP122" i="2"/>
  <c r="E123" i="2"/>
  <c r="CN123" i="2" s="1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CP123" i="2"/>
  <c r="E124" i="2"/>
  <c r="CN124" i="2" s="1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CP124" i="2"/>
  <c r="E125" i="2"/>
  <c r="CN125" i="2" s="1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CP125" i="2"/>
  <c r="E126" i="2"/>
  <c r="CN126" i="2" s="1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CP126" i="2"/>
  <c r="E127" i="2"/>
  <c r="CN127" i="2" s="1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CP127" i="2"/>
  <c r="E128" i="2"/>
  <c r="CN128" i="2" s="1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CP128" i="2"/>
  <c r="E129" i="2"/>
  <c r="CN129" i="2" s="1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CP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CN130" i="2"/>
  <c r="CP130" i="2"/>
  <c r="E131" i="2"/>
  <c r="CN131" i="2" s="1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CP131" i="2"/>
  <c r="E132" i="2"/>
  <c r="CN132" i="2" s="1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CP132" i="2"/>
  <c r="E133" i="2"/>
  <c r="CN133" i="2" s="1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CP133" i="2"/>
  <c r="E134" i="2"/>
  <c r="CN134" i="2" s="1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CP134" i="2"/>
  <c r="E135" i="2"/>
  <c r="CN135" i="2" s="1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CP135" i="2"/>
  <c r="E136" i="2"/>
  <c r="CN136" i="2" s="1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CP136" i="2"/>
  <c r="E137" i="2"/>
  <c r="CN137" i="2" s="1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CP137" i="2"/>
  <c r="E138" i="2"/>
  <c r="CN138" i="2" s="1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CP138" i="2"/>
  <c r="E139" i="2"/>
  <c r="CN139" i="2" s="1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CP139" i="2"/>
  <c r="E140" i="2"/>
  <c r="CN140" i="2" s="1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CP140" i="2"/>
  <c r="E141" i="2"/>
  <c r="CN141" i="2" s="1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CP141" i="2"/>
  <c r="E142" i="2"/>
  <c r="CN142" i="2" s="1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CP142" i="2"/>
  <c r="E143" i="2"/>
  <c r="CN143" i="2" s="1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CP143" i="2"/>
  <c r="E144" i="2"/>
  <c r="CN144" i="2" s="1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CP144" i="2"/>
  <c r="E145" i="2"/>
  <c r="CN145" i="2" s="1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CP145" i="2"/>
  <c r="E146" i="2"/>
  <c r="CN146" i="2" s="1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CP146" i="2"/>
  <c r="E147" i="2"/>
  <c r="CN147" i="2" s="1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CP147" i="2"/>
  <c r="E148" i="2"/>
  <c r="CN148" i="2" s="1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CP148" i="2"/>
  <c r="E149" i="2"/>
  <c r="CN149" i="2" s="1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CP149" i="2"/>
  <c r="E150" i="2"/>
  <c r="CN150" i="2" s="1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CP150" i="2"/>
  <c r="E151" i="2"/>
  <c r="CN151" i="2" s="1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CP151" i="2"/>
  <c r="E152" i="2"/>
  <c r="CN152" i="2" s="1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CP152" i="2"/>
  <c r="E153" i="2"/>
  <c r="CN153" i="2" s="1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CP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CP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CP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CP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CP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CP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CP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CP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CP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CP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CP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CP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CP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CP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CP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CP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CP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CP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CP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CP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CP173" i="2"/>
  <c r="E174" i="2"/>
  <c r="CN174" i="2" s="1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CP174" i="2"/>
  <c r="E175" i="2"/>
  <c r="CN175" i="2" s="1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CP175" i="2"/>
  <c r="E176" i="2"/>
  <c r="CN176" i="2" s="1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CP176" i="2"/>
  <c r="E177" i="2"/>
  <c r="CN177" i="2" s="1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CP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CP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CP179" i="2"/>
  <c r="E180" i="2"/>
  <c r="CN180" i="2" s="1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CP180" i="2"/>
  <c r="E181" i="2"/>
  <c r="CN181" i="2" s="1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CP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CN182" i="2"/>
  <c r="CP182" i="2"/>
  <c r="E183" i="2"/>
  <c r="CN183" i="2" s="1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CP183" i="2"/>
  <c r="E184" i="2"/>
  <c r="CN184" i="2" s="1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CP184" i="2"/>
  <c r="E185" i="2"/>
  <c r="CN185" i="2" s="1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CP185" i="2"/>
  <c r="E186" i="2"/>
  <c r="CN186" i="2" s="1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CP186" i="2"/>
  <c r="E187" i="2"/>
  <c r="CN187" i="2" s="1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CP187" i="2"/>
  <c r="E188" i="2"/>
  <c r="CN188" i="2" s="1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CP188" i="2"/>
  <c r="E189" i="2"/>
  <c r="CN189" i="2" s="1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CP189" i="2"/>
  <c r="E190" i="2"/>
  <c r="CN190" i="2" s="1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CP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CP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CP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CP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CP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CP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CP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CP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CP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CP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CP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CP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CP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CP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CP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CP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CP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CP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CP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CP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CP210" i="2"/>
  <c r="E211" i="2"/>
  <c r="CN211" i="2" s="1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CP211" i="2"/>
  <c r="E212" i="2"/>
  <c r="CN212" i="2" s="1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CP212" i="2"/>
  <c r="E213" i="2"/>
  <c r="CN213" i="2" s="1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CP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CN214" i="2"/>
  <c r="CP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CP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CP216" i="2"/>
  <c r="E217" i="2"/>
  <c r="CN217" i="2" s="1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CP217" i="2"/>
  <c r="E218" i="2"/>
  <c r="CN218" i="2" s="1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CP218" i="2"/>
  <c r="E219" i="2"/>
  <c r="CN219" i="2" s="1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CP219" i="2"/>
  <c r="E220" i="2"/>
  <c r="CN220" i="2" s="1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CP220" i="2"/>
  <c r="E221" i="2"/>
  <c r="CN221" i="2" s="1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CP221" i="2"/>
  <c r="E222" i="2"/>
  <c r="CN222" i="2" s="1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CP222" i="2"/>
  <c r="E223" i="2"/>
  <c r="CN223" i="2" s="1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CP223" i="2"/>
  <c r="E224" i="2"/>
  <c r="CN224" i="2" s="1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CP224" i="2"/>
  <c r="E225" i="2"/>
  <c r="CN225" i="2" s="1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CP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CN226" i="2"/>
  <c r="CP226" i="2"/>
  <c r="E227" i="2"/>
  <c r="CN227" i="2" s="1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CP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CP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CP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CP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CP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CP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CP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CP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CP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CP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CP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CP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CP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CP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CP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CP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CP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CP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CP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CP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CP247" i="2"/>
  <c r="E248" i="2"/>
  <c r="CN248" i="2" s="1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CP248" i="2"/>
  <c r="E249" i="2"/>
  <c r="CN249" i="2" s="1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CP249" i="2"/>
  <c r="E250" i="2"/>
  <c r="CN250" i="2" s="1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CP250" i="2"/>
  <c r="E251" i="2"/>
  <c r="CN251" i="2" s="1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CP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CP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CP253" i="2"/>
  <c r="E254" i="2"/>
  <c r="CN254" i="2" s="1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CP254" i="2"/>
  <c r="E255" i="2"/>
  <c r="CN255" i="2" s="1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CP255" i="2"/>
  <c r="E256" i="2"/>
  <c r="CN256" i="2" s="1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CP256" i="2"/>
  <c r="E257" i="2"/>
  <c r="CN257" i="2" s="1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CP257" i="2"/>
  <c r="E258" i="2"/>
  <c r="CN258" i="2" s="1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CP258" i="2"/>
  <c r="E259" i="2"/>
  <c r="CN259" i="2" s="1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CP259" i="2"/>
  <c r="E260" i="2"/>
  <c r="CN260" i="2" s="1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CP260" i="2"/>
  <c r="E261" i="2"/>
  <c r="CN261" i="2" s="1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CP261" i="2"/>
  <c r="E262" i="2"/>
  <c r="CN262" i="2" s="1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Y262" i="2"/>
  <c r="Z262" i="2"/>
  <c r="AA262" i="2"/>
  <c r="AB262" i="2"/>
  <c r="AC262" i="2"/>
  <c r="AD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CP262" i="2"/>
  <c r="E263" i="2"/>
  <c r="CN263" i="2" s="1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CP263" i="2"/>
  <c r="E264" i="2"/>
  <c r="CN264" i="2" s="1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Y264" i="2"/>
  <c r="Z264" i="2"/>
  <c r="AA264" i="2"/>
  <c r="AB264" i="2"/>
  <c r="AC264" i="2"/>
  <c r="AD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CP264" i="2"/>
  <c r="E265" i="2"/>
  <c r="CN265" i="2" s="1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CP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CN266" i="2"/>
  <c r="CP266" i="2"/>
  <c r="E267" i="2"/>
  <c r="CN267" i="2" s="1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CP267" i="2"/>
  <c r="E268" i="2"/>
  <c r="CN268" i="2" s="1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CP268" i="2"/>
  <c r="E269" i="2"/>
  <c r="CN269" i="2" s="1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CP269" i="2"/>
  <c r="E270" i="2"/>
  <c r="CN270" i="2" s="1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CP270" i="2"/>
  <c r="E271" i="2"/>
  <c r="CN271" i="2" s="1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CP271" i="2"/>
  <c r="E272" i="2"/>
  <c r="CN272" i="2" s="1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CP272" i="2"/>
  <c r="E273" i="2"/>
  <c r="CN273" i="2" s="1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CP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CN274" i="2"/>
  <c r="CP274" i="2"/>
  <c r="E275" i="2"/>
  <c r="CN275" i="2" s="1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CP275" i="2"/>
  <c r="E276" i="2"/>
  <c r="CN276" i="2" s="1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CP276" i="2"/>
  <c r="E277" i="2"/>
  <c r="CN277" i="2" s="1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CP277" i="2"/>
  <c r="E278" i="2"/>
  <c r="CN278" i="2" s="1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CP278" i="2"/>
  <c r="E279" i="2"/>
  <c r="CN279" i="2" s="1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CP279" i="2"/>
  <c r="E280" i="2"/>
  <c r="CN280" i="2" s="1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CP280" i="2"/>
  <c r="E281" i="2"/>
  <c r="CN281" i="2" s="1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CP281" i="2"/>
  <c r="E282" i="2"/>
  <c r="CN282" i="2" s="1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CP282" i="2"/>
  <c r="E283" i="2"/>
  <c r="CN283" i="2" s="1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CP283" i="2"/>
  <c r="E284" i="2"/>
  <c r="CN284" i="2" s="1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CP284" i="2"/>
  <c r="E285" i="2"/>
  <c r="CN285" i="2" s="1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CP285" i="2"/>
  <c r="E286" i="2"/>
  <c r="CN286" i="2" s="1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CP286" i="2"/>
  <c r="E287" i="2"/>
  <c r="CN287" i="2" s="1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CP287" i="2"/>
  <c r="E288" i="2"/>
  <c r="CN288" i="2" s="1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CP288" i="2"/>
  <c r="E289" i="2"/>
  <c r="CN289" i="2" s="1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CP289" i="2"/>
  <c r="E290" i="2"/>
  <c r="CN290" i="2" s="1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CP290" i="2"/>
  <c r="E291" i="2"/>
  <c r="CN291" i="2" s="1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CP291" i="2"/>
  <c r="E292" i="2"/>
  <c r="CN292" i="2" s="1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CP292" i="2"/>
  <c r="E293" i="2"/>
  <c r="CN293" i="2" s="1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CP293" i="2"/>
  <c r="E294" i="2"/>
  <c r="CN294" i="2" s="1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CP294" i="2"/>
  <c r="E295" i="2"/>
  <c r="CN295" i="2" s="1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CP295" i="2"/>
  <c r="E296" i="2"/>
  <c r="CN296" i="2" s="1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CP296" i="2"/>
  <c r="E297" i="2"/>
  <c r="CN297" i="2" s="1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CP297" i="2"/>
  <c r="E298" i="2"/>
  <c r="CN298" i="2" s="1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CP298" i="2"/>
  <c r="E299" i="2"/>
  <c r="CN299" i="2" s="1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CP299" i="2"/>
  <c r="E300" i="2"/>
  <c r="CN300" i="2" s="1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CP300" i="2"/>
  <c r="E301" i="2"/>
  <c r="CN301" i="2" s="1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CP301" i="2"/>
  <c r="E302" i="2"/>
  <c r="CN302" i="2" s="1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CP302" i="2"/>
  <c r="E303" i="2"/>
  <c r="CN303" i="2" s="1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CP303" i="2"/>
  <c r="E304" i="2"/>
  <c r="CN304" i="2" s="1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CP304" i="2"/>
  <c r="E305" i="2"/>
  <c r="CN305" i="2" s="1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CP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CN306" i="2"/>
  <c r="CP306" i="2"/>
  <c r="E307" i="2"/>
  <c r="CN307" i="2" s="1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CP307" i="2"/>
  <c r="E308" i="2"/>
  <c r="CN308" i="2" s="1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CP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CN309" i="2"/>
  <c r="CP309" i="2"/>
  <c r="E310" i="2"/>
  <c r="CN310" i="2" s="1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CP310" i="2"/>
  <c r="E311" i="2"/>
  <c r="CN311" i="2" s="1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CP311" i="2"/>
  <c r="E312" i="2"/>
  <c r="CN312" i="2" s="1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CP312" i="2"/>
  <c r="E313" i="2"/>
  <c r="CN313" i="2" s="1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CP313" i="2"/>
  <c r="E314" i="2"/>
  <c r="CN314" i="2" s="1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CP314" i="2"/>
  <c r="E315" i="2"/>
  <c r="CN315" i="2" s="1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CP315" i="2"/>
  <c r="E316" i="2"/>
  <c r="CN316" i="2" s="1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CP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CN317" i="2"/>
  <c r="CP317" i="2"/>
  <c r="E318" i="2"/>
  <c r="CN318" i="2" s="1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CP318" i="2"/>
  <c r="E319" i="2"/>
  <c r="CN319" i="2" s="1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CP319" i="2"/>
  <c r="E320" i="2"/>
  <c r="CN320" i="2" s="1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CP320" i="2"/>
  <c r="E321" i="2"/>
  <c r="CN321" i="2" s="1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CP321" i="2"/>
  <c r="E322" i="2"/>
  <c r="CN322" i="2" s="1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CP322" i="2"/>
  <c r="E323" i="2"/>
  <c r="CN323" i="2" s="1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CP323" i="2"/>
  <c r="E324" i="2"/>
  <c r="CN324" i="2" s="1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CP324" i="2"/>
  <c r="E325" i="2"/>
  <c r="CN325" i="2" s="1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CP325" i="2"/>
  <c r="E326" i="2"/>
  <c r="CN326" i="2" s="1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CP326" i="2"/>
  <c r="E327" i="2"/>
  <c r="CN327" i="2" s="1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CP327" i="2"/>
  <c r="E328" i="2"/>
  <c r="CN328" i="2" s="1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CP328" i="2"/>
  <c r="E329" i="2"/>
  <c r="CN329" i="2" s="1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CP329" i="2"/>
  <c r="E330" i="2"/>
  <c r="CN330" i="2" s="1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CP330" i="2"/>
  <c r="E331" i="2"/>
  <c r="CN331" i="2" s="1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CP331" i="2"/>
  <c r="E332" i="2"/>
  <c r="CN332" i="2" s="1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CP332" i="2"/>
  <c r="E333" i="2"/>
  <c r="CN333" i="2" s="1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CP333" i="2"/>
  <c r="E334" i="2"/>
  <c r="CN334" i="2" s="1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CP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CN335" i="2"/>
  <c r="CP335" i="2"/>
  <c r="E336" i="2"/>
  <c r="CN336" i="2" s="1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CP336" i="2"/>
  <c r="E337" i="2"/>
  <c r="CN337" i="2" s="1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CP337" i="2"/>
  <c r="E338" i="2"/>
  <c r="CN338" i="2" s="1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CP338" i="2"/>
  <c r="E339" i="2"/>
  <c r="CN339" i="2" s="1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CP339" i="2"/>
  <c r="E340" i="2"/>
  <c r="CN340" i="2" s="1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CP340" i="2"/>
  <c r="E341" i="2"/>
  <c r="CN341" i="2" s="1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CP341" i="2"/>
  <c r="E342" i="2"/>
  <c r="CN342" i="2" s="1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CP342" i="2"/>
  <c r="E343" i="2"/>
  <c r="CN343" i="2" s="1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CP343" i="2"/>
  <c r="E344" i="2"/>
  <c r="CN344" i="2" s="1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CP344" i="2"/>
  <c r="E345" i="2"/>
  <c r="CN345" i="2" s="1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CP345" i="2"/>
  <c r="E346" i="2"/>
  <c r="CN346" i="2" s="1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CP346" i="2"/>
  <c r="E347" i="2"/>
  <c r="CN347" i="2" s="1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CP347" i="2"/>
  <c r="E348" i="2"/>
  <c r="CN348" i="2" s="1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CP348" i="2"/>
  <c r="E349" i="2"/>
  <c r="CN349" i="2" s="1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CP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CP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CP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CP352" i="2"/>
  <c r="E353" i="2"/>
  <c r="CN353" i="2" s="1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CP353" i="2"/>
  <c r="E354" i="2"/>
  <c r="CN354" i="2" s="1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CP354" i="2"/>
  <c r="E355" i="2"/>
  <c r="CN355" i="2" s="1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CP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CP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CP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CP358" i="2"/>
  <c r="E359" i="2"/>
  <c r="CN359" i="2" s="1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CP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CP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CP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Y362" i="2"/>
  <c r="Z362" i="2"/>
  <c r="AB362" i="2"/>
  <c r="AC362" i="2"/>
  <c r="AD362" i="2"/>
  <c r="BB362" i="2"/>
  <c r="BC362" i="2"/>
  <c r="BD362" i="2"/>
  <c r="BE362" i="2"/>
  <c r="BF362" i="2"/>
  <c r="CN362" i="2"/>
  <c r="CP362" i="2"/>
  <c r="AA74" i="4"/>
  <c r="AC74" i="4"/>
  <c r="AA75" i="4"/>
  <c r="M3" i="2"/>
  <c r="N58" i="5"/>
  <c r="N56" i="5"/>
  <c r="N55" i="5"/>
  <c r="N57" i="5"/>
  <c r="N54" i="5"/>
  <c r="CO367" i="2" s="1"/>
  <c r="CT367" i="2" s="1"/>
  <c r="N53" i="5"/>
  <c r="N50" i="5"/>
  <c r="N51" i="5"/>
  <c r="N52" i="5"/>
  <c r="CN371" i="2" l="1"/>
  <c r="CM368" i="2"/>
  <c r="CO369" i="2"/>
  <c r="CT369" i="2" s="1"/>
  <c r="CM293" i="2"/>
  <c r="CM54" i="2"/>
  <c r="CM295" i="2"/>
  <c r="CM35" i="2"/>
  <c r="CM7" i="2"/>
  <c r="CM219" i="2"/>
  <c r="CM175" i="2"/>
  <c r="CM165" i="2"/>
  <c r="CM379" i="2"/>
  <c r="CM285" i="2"/>
  <c r="CM263" i="2"/>
  <c r="CM139" i="2"/>
  <c r="CM334" i="2"/>
  <c r="CM110" i="2"/>
  <c r="CM26" i="2"/>
  <c r="CM24" i="2"/>
  <c r="CM310" i="2"/>
  <c r="CM345" i="2"/>
  <c r="CM267" i="2"/>
  <c r="CM159" i="2"/>
  <c r="CM255" i="2"/>
  <c r="CM283" i="2"/>
  <c r="CM199" i="2"/>
  <c r="CM194" i="2"/>
  <c r="CM13" i="2"/>
  <c r="CM251" i="2"/>
  <c r="CM227" i="2"/>
  <c r="CN166" i="2"/>
  <c r="CM143" i="2"/>
  <c r="CM83" i="2"/>
  <c r="CM55" i="2"/>
  <c r="CM38" i="2"/>
  <c r="CM5" i="2"/>
  <c r="CM119" i="2"/>
  <c r="CM111" i="2"/>
  <c r="CM8" i="2"/>
  <c r="CM114" i="2"/>
  <c r="CM106" i="2"/>
  <c r="CM101" i="2"/>
  <c r="CN79" i="2"/>
  <c r="CM71" i="2"/>
  <c r="CM242" i="2"/>
  <c r="CM214" i="2"/>
  <c r="CM171" i="2"/>
  <c r="CM138" i="2"/>
  <c r="CM287" i="2"/>
  <c r="CN202" i="2"/>
  <c r="CM187" i="2"/>
  <c r="CM179" i="2"/>
  <c r="CM147" i="2"/>
  <c r="CM31" i="2"/>
  <c r="CM11" i="2"/>
  <c r="CM4" i="2"/>
  <c r="CM381" i="2"/>
  <c r="CM247" i="2"/>
  <c r="CM157" i="2"/>
  <c r="CM112" i="2"/>
  <c r="CM99" i="2"/>
  <c r="CM385" i="2"/>
  <c r="CM354" i="2"/>
  <c r="CM330" i="2"/>
  <c r="CM322" i="2"/>
  <c r="CM314" i="2"/>
  <c r="CM298" i="2"/>
  <c r="CM279" i="2"/>
  <c r="CM271" i="2"/>
  <c r="CM207" i="2"/>
  <c r="CM21" i="2"/>
  <c r="CM367" i="2"/>
  <c r="CM250" i="2"/>
  <c r="CM233" i="2"/>
  <c r="CM200" i="2"/>
  <c r="CM118" i="2"/>
  <c r="CM336" i="2"/>
  <c r="CM320" i="2"/>
  <c r="CM258" i="2"/>
  <c r="CM238" i="2"/>
  <c r="CM218" i="2"/>
  <c r="CM158" i="2"/>
  <c r="CM150" i="2"/>
  <c r="CM67" i="2"/>
  <c r="CM57" i="2"/>
  <c r="CN90" i="2"/>
  <c r="CM19" i="2"/>
  <c r="CM186" i="2"/>
  <c r="CM95" i="2"/>
  <c r="CM78" i="2"/>
  <c r="CT383" i="2"/>
  <c r="CM347" i="2"/>
  <c r="CM360" i="2"/>
  <c r="CM342" i="2"/>
  <c r="CM326" i="2"/>
  <c r="CM291" i="2"/>
  <c r="CM275" i="2"/>
  <c r="CM261" i="2"/>
  <c r="CM259" i="2"/>
  <c r="CM248" i="2"/>
  <c r="CN234" i="2"/>
  <c r="CM203" i="2"/>
  <c r="CM183" i="2"/>
  <c r="CM180" i="2"/>
  <c r="CM155" i="2"/>
  <c r="CM120" i="2"/>
  <c r="CM117" i="2"/>
  <c r="CM96" i="2"/>
  <c r="CM76" i="2"/>
  <c r="CN58" i="2"/>
  <c r="CM51" i="2"/>
  <c r="CM36" i="2"/>
  <c r="CM46" i="2"/>
  <c r="CM33" i="2"/>
  <c r="CN28" i="2"/>
  <c r="CN5" i="2"/>
  <c r="CM358" i="2"/>
  <c r="CM337" i="2"/>
  <c r="CM329" i="2"/>
  <c r="CM294" i="2"/>
  <c r="CM278" i="2"/>
  <c r="CM262" i="2"/>
  <c r="CM246" i="2"/>
  <c r="CM196" i="2"/>
  <c r="CN160" i="2"/>
  <c r="CM153" i="2"/>
  <c r="CM142" i="2"/>
  <c r="CM131" i="2"/>
  <c r="CM123" i="2"/>
  <c r="CM115" i="2"/>
  <c r="CM107" i="2"/>
  <c r="CM89" i="2"/>
  <c r="CN87" i="2"/>
  <c r="CM84" i="2"/>
  <c r="CM79" i="2"/>
  <c r="CM39" i="2"/>
  <c r="CM20" i="2"/>
  <c r="CM15" i="2"/>
  <c r="CN13" i="2"/>
  <c r="CM348" i="2"/>
  <c r="CM297" i="2"/>
  <c r="CM270" i="2"/>
  <c r="CM239" i="2"/>
  <c r="CN208" i="2"/>
  <c r="CM163" i="2"/>
  <c r="CM148" i="2"/>
  <c r="CM145" i="2"/>
  <c r="CM87" i="2"/>
  <c r="CN82" i="2"/>
  <c r="CM66" i="2"/>
  <c r="CM49" i="2"/>
  <c r="CM25" i="2"/>
  <c r="CN8" i="2"/>
  <c r="CM343" i="2"/>
  <c r="CM281" i="2"/>
  <c r="CM254" i="2"/>
  <c r="CM211" i="2"/>
  <c r="CM168" i="2"/>
  <c r="CM166" i="2"/>
  <c r="CM140" i="2"/>
  <c r="CM102" i="2"/>
  <c r="CM69" i="2"/>
  <c r="CM59" i="2"/>
  <c r="CN42" i="2"/>
  <c r="CN16" i="2"/>
  <c r="CM375" i="2"/>
  <c r="CM339" i="2"/>
  <c r="CM313" i="2"/>
  <c r="CM222" i="2"/>
  <c r="CM176" i="2"/>
  <c r="CM161" i="2"/>
  <c r="CN159" i="2"/>
  <c r="CM151" i="2"/>
  <c r="CM129" i="2"/>
  <c r="CN95" i="2"/>
  <c r="CM75" i="2"/>
  <c r="CM305" i="2"/>
  <c r="CN351" i="2"/>
  <c r="CM335" i="2"/>
  <c r="CM327" i="2"/>
  <c r="CM319" i="2"/>
  <c r="CM311" i="2"/>
  <c r="CM303" i="2"/>
  <c r="CM338" i="2"/>
  <c r="CM306" i="2"/>
  <c r="CM235" i="2"/>
  <c r="CM204" i="2"/>
  <c r="CM192" i="2"/>
  <c r="CM154" i="2"/>
  <c r="CM146" i="2"/>
  <c r="CM135" i="2"/>
  <c r="CM132" i="2"/>
  <c r="CN83" i="2"/>
  <c r="CN78" i="2"/>
  <c r="CM47" i="2"/>
  <c r="CM23" i="2"/>
  <c r="CM274" i="2"/>
  <c r="CN9" i="2"/>
  <c r="CM344" i="2"/>
  <c r="CM333" i="2"/>
  <c r="CM325" i="2"/>
  <c r="CM309" i="2"/>
  <c r="CM290" i="2"/>
  <c r="CM245" i="2"/>
  <c r="CM240" i="2"/>
  <c r="CM228" i="2"/>
  <c r="CM223" i="2"/>
  <c r="CM195" i="2"/>
  <c r="CM174" i="2"/>
  <c r="CM130" i="2"/>
  <c r="CM127" i="2"/>
  <c r="CM103" i="2"/>
  <c r="CM90" i="2"/>
  <c r="CN80" i="2"/>
  <c r="CM62" i="2"/>
  <c r="CN50" i="2"/>
  <c r="CM43" i="2"/>
  <c r="CM29" i="2"/>
  <c r="CN6" i="2"/>
  <c r="CM277" i="2"/>
  <c r="CM215" i="2"/>
  <c r="CM210" i="2"/>
  <c r="CM167" i="2"/>
  <c r="CM162" i="2"/>
  <c r="CM65" i="2"/>
  <c r="CM9" i="2"/>
  <c r="CN4" i="2"/>
  <c r="CM352" i="2"/>
  <c r="CM331" i="2"/>
  <c r="CM323" i="2"/>
  <c r="CM315" i="2"/>
  <c r="CM307" i="2"/>
  <c r="CM299" i="2"/>
  <c r="CM288" i="2"/>
  <c r="CM243" i="2"/>
  <c r="CM231" i="2"/>
  <c r="CM226" i="2"/>
  <c r="CM198" i="2"/>
  <c r="CM191" i="2"/>
  <c r="CM91" i="2"/>
  <c r="CN86" i="2"/>
  <c r="CM63" i="2"/>
  <c r="CM60" i="2"/>
  <c r="CM41" i="2"/>
  <c r="CM27" i="2"/>
  <c r="CM17" i="2"/>
  <c r="CM12" i="2"/>
  <c r="CM382" i="2"/>
  <c r="CM361" i="2"/>
  <c r="CM356" i="2"/>
  <c r="CM353" i="2"/>
  <c r="CM324" i="2"/>
  <c r="CM321" i="2"/>
  <c r="CM282" i="2"/>
  <c r="CM234" i="2"/>
  <c r="CM201" i="2"/>
  <c r="CN168" i="2"/>
  <c r="CN158" i="2"/>
  <c r="CM149" i="2"/>
  <c r="CM100" i="2"/>
  <c r="CM94" i="2"/>
  <c r="CN52" i="2"/>
  <c r="CN44" i="2"/>
  <c r="CM30" i="2"/>
  <c r="CN18" i="2"/>
  <c r="CM374" i="2"/>
  <c r="CM359" i="2"/>
  <c r="CN356" i="2"/>
  <c r="CM273" i="2"/>
  <c r="CM265" i="2"/>
  <c r="CM253" i="2"/>
  <c r="CN247" i="2"/>
  <c r="CM237" i="2"/>
  <c r="CM232" i="2"/>
  <c r="CN230" i="2"/>
  <c r="CM212" i="2"/>
  <c r="CN194" i="2"/>
  <c r="CM188" i="2"/>
  <c r="CN179" i="2"/>
  <c r="CM144" i="2"/>
  <c r="CM109" i="2"/>
  <c r="CN97" i="2"/>
  <c r="CM92" i="2"/>
  <c r="CM86" i="2"/>
  <c r="CM72" i="2"/>
  <c r="CM61" i="2"/>
  <c r="CM58" i="2"/>
  <c r="CN55" i="2"/>
  <c r="CM53" i="2"/>
  <c r="CM50" i="2"/>
  <c r="CN47" i="2"/>
  <c r="CM45" i="2"/>
  <c r="CM42" i="2"/>
  <c r="CN27" i="2"/>
  <c r="CN15" i="2"/>
  <c r="CN10" i="2"/>
  <c r="CM366" i="2"/>
  <c r="CM351" i="2"/>
  <c r="CM340" i="2"/>
  <c r="CM328" i="2"/>
  <c r="CM316" i="2"/>
  <c r="CM224" i="2"/>
  <c r="CN210" i="2"/>
  <c r="CN204" i="2"/>
  <c r="CM202" i="2"/>
  <c r="CN197" i="2"/>
  <c r="CN196" i="2"/>
  <c r="CN167" i="2"/>
  <c r="CM141" i="2"/>
  <c r="CM124" i="2"/>
  <c r="CM121" i="2"/>
  <c r="CM81" i="2"/>
  <c r="CM64" i="2"/>
  <c r="CM56" i="2"/>
  <c r="CM48" i="2"/>
  <c r="CM40" i="2"/>
  <c r="CM37" i="2"/>
  <c r="CM34" i="2"/>
  <c r="CM28" i="2"/>
  <c r="CM16" i="2"/>
  <c r="CN232" i="2"/>
  <c r="CN215" i="2"/>
  <c r="CN92" i="2"/>
  <c r="CN89" i="2"/>
  <c r="CM357" i="2"/>
  <c r="CM349" i="2"/>
  <c r="CM304" i="2"/>
  <c r="CM301" i="2"/>
  <c r="CM286" i="2"/>
  <c r="CN246" i="2"/>
  <c r="CM230" i="2"/>
  <c r="CN199" i="2"/>
  <c r="CN191" i="2"/>
  <c r="CM178" i="2"/>
  <c r="CM172" i="2"/>
  <c r="CN170" i="2"/>
  <c r="CM164" i="2"/>
  <c r="CM156" i="2"/>
  <c r="CM116" i="2"/>
  <c r="CM104" i="2"/>
  <c r="CM98" i="2"/>
  <c r="CN65" i="2"/>
  <c r="CN64" i="2"/>
  <c r="CN54" i="2"/>
  <c r="CN46" i="2"/>
  <c r="CN22" i="2"/>
  <c r="CN17" i="2"/>
  <c r="CN7" i="2"/>
  <c r="CM386" i="2"/>
  <c r="CM377" i="2"/>
  <c r="CM355" i="2"/>
  <c r="CM346" i="2"/>
  <c r="CM289" i="2"/>
  <c r="CM216" i="2"/>
  <c r="CN207" i="2"/>
  <c r="CM170" i="2"/>
  <c r="CN162" i="2"/>
  <c r="CN161" i="2"/>
  <c r="CN154" i="2"/>
  <c r="CM136" i="2"/>
  <c r="CM133" i="2"/>
  <c r="CM122" i="2"/>
  <c r="CM113" i="2"/>
  <c r="CM93" i="2"/>
  <c r="CN84" i="2"/>
  <c r="CN81" i="2"/>
  <c r="CM73" i="2"/>
  <c r="CM70" i="2"/>
  <c r="CN57" i="2"/>
  <c r="CN56" i="2"/>
  <c r="CN48" i="2"/>
  <c r="CN40" i="2"/>
  <c r="CN20" i="2"/>
  <c r="CN358" i="2"/>
  <c r="CN350" i="2"/>
  <c r="CM332" i="2"/>
  <c r="CN235" i="2"/>
  <c r="CN172" i="2"/>
  <c r="CN164" i="2"/>
  <c r="CN156" i="2"/>
  <c r="CN102" i="2"/>
  <c r="CN91" i="2"/>
  <c r="CM32" i="2"/>
  <c r="CN19" i="2"/>
  <c r="CN14" i="2"/>
  <c r="CM378" i="2"/>
  <c r="CM266" i="2"/>
  <c r="CM257" i="2"/>
  <c r="CM225" i="2"/>
  <c r="CN216" i="2"/>
  <c r="CM208" i="2"/>
  <c r="CN198" i="2"/>
  <c r="CM128" i="2"/>
  <c r="CM125" i="2"/>
  <c r="CM85" i="2"/>
  <c r="CN59" i="2"/>
  <c r="CN51" i="2"/>
  <c r="CN43" i="2"/>
  <c r="CN12" i="2"/>
  <c r="CN360" i="2"/>
  <c r="CM350" i="2"/>
  <c r="CM341" i="2"/>
  <c r="CM317" i="2"/>
  <c r="CM302" i="2"/>
  <c r="CM272" i="2"/>
  <c r="CM269" i="2"/>
  <c r="CM252" i="2"/>
  <c r="CM249" i="2"/>
  <c r="CM244" i="2"/>
  <c r="CM241" i="2"/>
  <c r="CM236" i="2"/>
  <c r="CN229" i="2"/>
  <c r="CN228" i="2"/>
  <c r="CM206" i="2"/>
  <c r="CN201" i="2"/>
  <c r="CN200" i="2"/>
  <c r="CN192" i="2"/>
  <c r="CM190" i="2"/>
  <c r="CM184" i="2"/>
  <c r="CM134" i="2"/>
  <c r="CM108" i="2"/>
  <c r="CM105" i="2"/>
  <c r="CN96" i="2"/>
  <c r="CN94" i="2"/>
  <c r="CN93" i="2"/>
  <c r="CM88" i="2"/>
  <c r="CM82" i="2"/>
  <c r="CM68" i="2"/>
  <c r="CM52" i="2"/>
  <c r="CM44" i="2"/>
  <c r="CN11" i="2"/>
  <c r="CN242" i="2"/>
  <c r="CN171" i="2"/>
  <c r="CN163" i="2"/>
  <c r="CN155" i="2"/>
  <c r="CN103" i="2"/>
  <c r="CN21" i="2"/>
  <c r="CM318" i="2"/>
  <c r="CN236" i="2"/>
  <c r="CM220" i="2"/>
  <c r="CN203" i="2"/>
  <c r="CN195" i="2"/>
  <c r="CM182" i="2"/>
  <c r="CM160" i="2"/>
  <c r="CM152" i="2"/>
  <c r="CM137" i="2"/>
  <c r="CM126" i="2"/>
  <c r="CM97" i="2"/>
  <c r="CN88" i="2"/>
  <c r="CN85" i="2"/>
  <c r="CM80" i="2"/>
  <c r="CM77" i="2"/>
  <c r="CM74" i="2"/>
  <c r="CM363" i="2"/>
  <c r="CM373" i="2"/>
  <c r="CM364" i="2"/>
  <c r="CM365" i="2"/>
  <c r="CM362" i="2"/>
  <c r="CM380" i="2"/>
  <c r="CM383" i="2"/>
  <c r="CM369" i="2"/>
  <c r="CM370" i="2"/>
  <c r="CM384" i="2"/>
  <c r="CM388" i="2"/>
  <c r="CM387" i="2"/>
  <c r="CM371" i="2"/>
  <c r="CM376" i="2"/>
  <c r="CN233" i="2"/>
  <c r="CM292" i="2"/>
  <c r="CM276" i="2"/>
  <c r="CM260" i="2"/>
  <c r="CN245" i="2"/>
  <c r="CN244" i="2"/>
  <c r="CM209" i="2"/>
  <c r="CM189" i="2"/>
  <c r="CN178" i="2"/>
  <c r="CM177" i="2"/>
  <c r="CN169" i="2"/>
  <c r="CN165" i="2"/>
  <c r="CN157" i="2"/>
  <c r="CM308" i="2"/>
  <c r="CM221" i="2"/>
  <c r="CN193" i="2"/>
  <c r="CM296" i="2"/>
  <c r="CM280" i="2"/>
  <c r="CM264" i="2"/>
  <c r="CM169" i="2"/>
  <c r="CM312" i="2"/>
  <c r="CN239" i="2"/>
  <c r="CN237" i="2"/>
  <c r="CN205" i="2"/>
  <c r="CM193" i="2"/>
  <c r="CM181" i="2"/>
  <c r="CM213" i="2"/>
  <c r="CN173" i="2"/>
  <c r="CN361" i="2"/>
  <c r="CN357" i="2"/>
  <c r="CM300" i="2"/>
  <c r="CM284" i="2"/>
  <c r="CM268" i="2"/>
  <c r="CN253" i="2"/>
  <c r="CN252" i="2"/>
  <c r="CN238" i="2"/>
  <c r="CN231" i="2"/>
  <c r="CM205" i="2"/>
  <c r="CN352" i="2"/>
  <c r="CN243" i="2"/>
  <c r="CN241" i="2"/>
  <c r="CN240" i="2"/>
  <c r="CN206" i="2"/>
  <c r="CM185" i="2"/>
  <c r="CM173" i="2"/>
  <c r="CM256" i="2"/>
  <c r="CM229" i="2"/>
  <c r="CM217" i="2"/>
  <c r="CN209" i="2"/>
  <c r="CM197" i="2"/>
  <c r="CM22" i="2"/>
  <c r="CM18" i="2"/>
  <c r="CM14" i="2"/>
  <c r="CM10" i="2"/>
  <c r="CM6" i="2"/>
  <c r="CN53" i="2"/>
  <c r="CN49" i="2"/>
  <c r="CN45" i="2"/>
  <c r="CN41" i="2"/>
  <c r="N28" i="5"/>
  <c r="CO361" i="2" s="1"/>
  <c r="N27" i="5"/>
  <c r="N20" i="5"/>
  <c r="N23" i="5"/>
  <c r="N24" i="5"/>
  <c r="N25" i="5"/>
  <c r="N26" i="5"/>
  <c r="N21" i="5"/>
  <c r="Z65" i="4"/>
  <c r="AB65" i="4" s="1"/>
  <c r="AC65" i="4"/>
  <c r="Z66" i="4"/>
  <c r="AB66" i="4"/>
  <c r="AC66" i="4"/>
  <c r="Z67" i="4"/>
  <c r="AC67" i="4" s="1"/>
  <c r="CS146" i="2"/>
  <c r="CQ146" i="2"/>
  <c r="CT146" i="2"/>
  <c r="B146" i="2"/>
  <c r="A146" i="2"/>
  <c r="CS141" i="2"/>
  <c r="CQ141" i="2"/>
  <c r="CT141" i="2"/>
  <c r="B141" i="2"/>
  <c r="A141" i="2"/>
  <c r="CS136" i="2"/>
  <c r="CQ136" i="2"/>
  <c r="CT136" i="2"/>
  <c r="B136" i="2"/>
  <c r="A136" i="2"/>
  <c r="CS131" i="2"/>
  <c r="CQ131" i="2"/>
  <c r="CT131" i="2"/>
  <c r="B131" i="2"/>
  <c r="A131" i="2"/>
  <c r="CS126" i="2"/>
  <c r="CQ126" i="2"/>
  <c r="CT126" i="2"/>
  <c r="B126" i="2"/>
  <c r="A126" i="2"/>
  <c r="CS121" i="2"/>
  <c r="CQ121" i="2"/>
  <c r="CT121" i="2"/>
  <c r="B121" i="2"/>
  <c r="A121" i="2"/>
  <c r="CS116" i="2"/>
  <c r="CQ116" i="2"/>
  <c r="CT116" i="2"/>
  <c r="B116" i="2"/>
  <c r="A116" i="2"/>
  <c r="CO349" i="2" l="1"/>
  <c r="CO352" i="2"/>
  <c r="CO358" i="2"/>
  <c r="CO362" i="2"/>
  <c r="CO355" i="2"/>
  <c r="CO359" i="2"/>
  <c r="CO360" i="2"/>
  <c r="CO347" i="2"/>
  <c r="CO350" i="2"/>
  <c r="CO357" i="2"/>
  <c r="CO354" i="2"/>
  <c r="CO353" i="2"/>
  <c r="CO356" i="2"/>
  <c r="AB67" i="4"/>
  <c r="A117" i="3" l="1"/>
  <c r="B117" i="3" s="1"/>
  <c r="BQ5" i="3"/>
  <c r="BN5" i="3"/>
  <c r="BQ4" i="3"/>
  <c r="BN4" i="3"/>
  <c r="A359" i="2"/>
  <c r="B359" i="2"/>
  <c r="A361" i="2"/>
  <c r="B361" i="2"/>
  <c r="CS3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7" i="2"/>
  <c r="CS118" i="2"/>
  <c r="CS119" i="2"/>
  <c r="CS120" i="2"/>
  <c r="CS122" i="2"/>
  <c r="CS123" i="2"/>
  <c r="CS124" i="2"/>
  <c r="CS125" i="2"/>
  <c r="CS127" i="2"/>
  <c r="CS128" i="2"/>
  <c r="CS129" i="2"/>
  <c r="CS130" i="2"/>
  <c r="CS132" i="2"/>
  <c r="CS133" i="2"/>
  <c r="CS134" i="2"/>
  <c r="CS135" i="2"/>
  <c r="CS137" i="2"/>
  <c r="CS138" i="2"/>
  <c r="CS139" i="2"/>
  <c r="CS140" i="2"/>
  <c r="CS142" i="2"/>
  <c r="CS143" i="2"/>
  <c r="CS144" i="2"/>
  <c r="CS145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46" i="2"/>
  <c r="CS347" i="2"/>
  <c r="CS348" i="2"/>
  <c r="CS349" i="2"/>
  <c r="CS350" i="2"/>
  <c r="CS351" i="2"/>
  <c r="CS352" i="2"/>
  <c r="CS353" i="2"/>
  <c r="CS354" i="2"/>
  <c r="CS355" i="2"/>
  <c r="CS356" i="2"/>
  <c r="CS357" i="2"/>
  <c r="CS358" i="2"/>
  <c r="CS359" i="2"/>
  <c r="CS360" i="2"/>
  <c r="CS361" i="2"/>
  <c r="CS362" i="2"/>
  <c r="CS2" i="2"/>
  <c r="BQ3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Q145" i="3"/>
  <c r="BQ146" i="3"/>
  <c r="BQ147" i="3"/>
  <c r="BQ148" i="3"/>
  <c r="BQ149" i="3"/>
  <c r="BQ150" i="3"/>
  <c r="BQ151" i="3"/>
  <c r="BQ152" i="3"/>
  <c r="BQ153" i="3"/>
  <c r="BQ154" i="3"/>
  <c r="BQ155" i="3"/>
  <c r="BQ156" i="3"/>
  <c r="BQ157" i="3"/>
  <c r="BQ158" i="3"/>
  <c r="BQ159" i="3"/>
  <c r="BQ160" i="3"/>
  <c r="BQ161" i="3"/>
  <c r="BQ162" i="3"/>
  <c r="BQ163" i="3"/>
  <c r="BQ164" i="3"/>
  <c r="BQ165" i="3"/>
  <c r="BQ166" i="3"/>
  <c r="BQ167" i="3"/>
  <c r="BQ168" i="3"/>
  <c r="BQ169" i="3"/>
  <c r="BQ170" i="3"/>
  <c r="BQ171" i="3"/>
  <c r="BQ172" i="3"/>
  <c r="BQ173" i="3"/>
  <c r="BQ174" i="3"/>
  <c r="BQ175" i="3"/>
  <c r="BQ176" i="3"/>
  <c r="BQ177" i="3"/>
  <c r="BQ178" i="3"/>
  <c r="BQ179" i="3"/>
  <c r="BQ180" i="3"/>
  <c r="BQ181" i="3"/>
  <c r="BQ182" i="3"/>
  <c r="BQ183" i="3"/>
  <c r="BQ184" i="3"/>
  <c r="BQ185" i="3"/>
  <c r="BQ186" i="3"/>
  <c r="BQ187" i="3"/>
  <c r="BQ188" i="3"/>
  <c r="BQ189" i="3"/>
  <c r="BQ190" i="3"/>
  <c r="BQ191" i="3"/>
  <c r="BQ192" i="3"/>
  <c r="BQ193" i="3"/>
  <c r="BQ194" i="3"/>
  <c r="BQ195" i="3"/>
  <c r="BQ196" i="3"/>
  <c r="BQ197" i="3"/>
  <c r="BQ198" i="3"/>
  <c r="BQ199" i="3"/>
  <c r="BQ200" i="3"/>
  <c r="BQ201" i="3"/>
  <c r="BQ202" i="3"/>
  <c r="BQ203" i="3"/>
  <c r="BQ204" i="3"/>
  <c r="BQ205" i="3"/>
  <c r="BQ206" i="3"/>
  <c r="BQ207" i="3"/>
  <c r="BQ208" i="3"/>
  <c r="BQ209" i="3"/>
  <c r="BQ210" i="3"/>
  <c r="BQ211" i="3"/>
  <c r="BQ212" i="3"/>
  <c r="BQ213" i="3"/>
  <c r="BQ214" i="3"/>
  <c r="BQ215" i="3"/>
  <c r="BQ216" i="3"/>
  <c r="BQ217" i="3"/>
  <c r="BQ218" i="3"/>
  <c r="BQ219" i="3"/>
  <c r="BQ220" i="3"/>
  <c r="BQ221" i="3"/>
  <c r="BQ222" i="3"/>
  <c r="BQ223" i="3"/>
  <c r="BQ224" i="3"/>
  <c r="BQ225" i="3"/>
  <c r="BQ226" i="3"/>
  <c r="BQ227" i="3"/>
  <c r="BQ228" i="3"/>
  <c r="BQ229" i="3"/>
  <c r="BQ230" i="3"/>
  <c r="BQ231" i="3"/>
  <c r="BQ232" i="3"/>
  <c r="BQ233" i="3"/>
  <c r="BQ234" i="3"/>
  <c r="BQ235" i="3"/>
  <c r="BQ236" i="3"/>
  <c r="BQ237" i="3"/>
  <c r="BQ238" i="3"/>
  <c r="BQ239" i="3"/>
  <c r="BQ240" i="3"/>
  <c r="BQ241" i="3"/>
  <c r="BQ242" i="3"/>
  <c r="BQ243" i="3"/>
  <c r="BQ244" i="3"/>
  <c r="BQ245" i="3"/>
  <c r="BQ246" i="3"/>
  <c r="BQ247" i="3"/>
  <c r="BQ248" i="3"/>
  <c r="BQ249" i="3"/>
  <c r="BQ250" i="3"/>
  <c r="BQ251" i="3"/>
  <c r="BQ252" i="3"/>
  <c r="BQ253" i="3"/>
  <c r="BQ254" i="3"/>
  <c r="BQ255" i="3"/>
  <c r="BQ256" i="3"/>
  <c r="BQ257" i="3"/>
  <c r="BQ258" i="3"/>
  <c r="BQ259" i="3"/>
  <c r="BQ260" i="3"/>
  <c r="BQ261" i="3"/>
  <c r="BQ262" i="3"/>
  <c r="BQ263" i="3"/>
  <c r="BQ264" i="3"/>
  <c r="BQ265" i="3"/>
  <c r="BQ266" i="3"/>
  <c r="BQ267" i="3"/>
  <c r="BQ268" i="3"/>
  <c r="BQ269" i="3"/>
  <c r="BQ270" i="3"/>
  <c r="BQ271" i="3"/>
  <c r="BQ272" i="3"/>
  <c r="BQ273" i="3"/>
  <c r="BQ274" i="3"/>
  <c r="BQ275" i="3"/>
  <c r="BQ276" i="3"/>
  <c r="BQ277" i="3"/>
  <c r="BQ278" i="3"/>
  <c r="BQ279" i="3"/>
  <c r="BQ280" i="3"/>
  <c r="BQ281" i="3"/>
  <c r="BQ282" i="3"/>
  <c r="BQ283" i="3"/>
  <c r="BQ284" i="3"/>
  <c r="BQ285" i="3"/>
  <c r="BQ286" i="3"/>
  <c r="BQ287" i="3"/>
  <c r="BQ288" i="3"/>
  <c r="BQ289" i="3"/>
  <c r="BQ290" i="3"/>
  <c r="BQ291" i="3"/>
  <c r="BQ292" i="3"/>
  <c r="BQ293" i="3"/>
  <c r="BQ294" i="3"/>
  <c r="BQ295" i="3"/>
  <c r="BQ296" i="3"/>
  <c r="BQ297" i="3"/>
  <c r="BQ298" i="3"/>
  <c r="BQ299" i="3"/>
  <c r="BQ300" i="3"/>
  <c r="BQ301" i="3"/>
  <c r="BQ302" i="3"/>
  <c r="BQ303" i="3"/>
  <c r="BQ304" i="3"/>
  <c r="BQ305" i="3"/>
  <c r="BQ306" i="3"/>
  <c r="BQ307" i="3"/>
  <c r="BQ308" i="3"/>
  <c r="BQ309" i="3"/>
  <c r="BQ310" i="3"/>
  <c r="BQ311" i="3"/>
  <c r="BQ312" i="3"/>
  <c r="BQ313" i="3"/>
  <c r="BQ314" i="3"/>
  <c r="BQ315" i="3"/>
  <c r="BQ316" i="3"/>
  <c r="BQ317" i="3"/>
  <c r="BQ318" i="3"/>
  <c r="BQ319" i="3"/>
  <c r="BQ320" i="3"/>
  <c r="BQ321" i="3"/>
  <c r="BQ322" i="3"/>
  <c r="BQ323" i="3"/>
  <c r="BQ324" i="3"/>
  <c r="BQ325" i="3"/>
  <c r="BQ326" i="3"/>
  <c r="BQ327" i="3"/>
  <c r="BQ328" i="3"/>
  <c r="BQ329" i="3"/>
  <c r="BQ330" i="3"/>
  <c r="BQ331" i="3"/>
  <c r="BQ332" i="3"/>
  <c r="BQ333" i="3"/>
  <c r="BQ334" i="3"/>
  <c r="BQ335" i="3"/>
  <c r="BQ336" i="3"/>
  <c r="BQ337" i="3"/>
  <c r="BQ338" i="3"/>
  <c r="BQ339" i="3"/>
  <c r="BQ340" i="3"/>
  <c r="BQ341" i="3"/>
  <c r="BQ342" i="3"/>
  <c r="BQ343" i="3"/>
  <c r="BQ344" i="3"/>
  <c r="BQ345" i="3"/>
  <c r="BQ346" i="3"/>
  <c r="BQ347" i="3"/>
  <c r="BQ348" i="3"/>
  <c r="BQ349" i="3"/>
  <c r="BQ350" i="3"/>
  <c r="BQ351" i="3"/>
  <c r="BQ2" i="3"/>
  <c r="BN102" i="3"/>
  <c r="BN351" i="3"/>
  <c r="BN229" i="3"/>
  <c r="BN230" i="3"/>
  <c r="BN231" i="3"/>
  <c r="BN232" i="3"/>
  <c r="BN233" i="3"/>
  <c r="BN234" i="3"/>
  <c r="BN235" i="3"/>
  <c r="BN236" i="3"/>
  <c r="BN237" i="3"/>
  <c r="BN238" i="3"/>
  <c r="BN239" i="3"/>
  <c r="BN240" i="3"/>
  <c r="BN241" i="3"/>
  <c r="BN242" i="3"/>
  <c r="BN243" i="3"/>
  <c r="BN244" i="3"/>
  <c r="BN245" i="3"/>
  <c r="BN246" i="3"/>
  <c r="BN247" i="3"/>
  <c r="BN248" i="3"/>
  <c r="BN249" i="3"/>
  <c r="BN250" i="3"/>
  <c r="BN251" i="3"/>
  <c r="BN252" i="3"/>
  <c r="BN253" i="3"/>
  <c r="BN254" i="3"/>
  <c r="BN255" i="3"/>
  <c r="BN256" i="3"/>
  <c r="BN257" i="3"/>
  <c r="BN258" i="3"/>
  <c r="BN259" i="3"/>
  <c r="BN260" i="3"/>
  <c r="BN261" i="3"/>
  <c r="BN262" i="3"/>
  <c r="BN263" i="3"/>
  <c r="BN264" i="3"/>
  <c r="BN265" i="3"/>
  <c r="BN266" i="3"/>
  <c r="BN267" i="3"/>
  <c r="BN268" i="3"/>
  <c r="BN269" i="3"/>
  <c r="BN270" i="3"/>
  <c r="BN271" i="3"/>
  <c r="BN272" i="3"/>
  <c r="BN273" i="3"/>
  <c r="BN274" i="3"/>
  <c r="BN275" i="3"/>
  <c r="BN276" i="3"/>
  <c r="BN277" i="3"/>
  <c r="BN278" i="3"/>
  <c r="BN279" i="3"/>
  <c r="BN280" i="3"/>
  <c r="BN281" i="3"/>
  <c r="BN282" i="3"/>
  <c r="BN283" i="3"/>
  <c r="BN284" i="3"/>
  <c r="BN285" i="3"/>
  <c r="BN286" i="3"/>
  <c r="BN287" i="3"/>
  <c r="BN288" i="3"/>
  <c r="BN289" i="3"/>
  <c r="BN290" i="3"/>
  <c r="BN291" i="3"/>
  <c r="BN292" i="3"/>
  <c r="BN293" i="3"/>
  <c r="BN294" i="3"/>
  <c r="BN295" i="3"/>
  <c r="BN296" i="3"/>
  <c r="BN297" i="3"/>
  <c r="BN298" i="3"/>
  <c r="BN299" i="3"/>
  <c r="BN300" i="3"/>
  <c r="BN301" i="3"/>
  <c r="BN302" i="3"/>
  <c r="BN303" i="3"/>
  <c r="BN304" i="3"/>
  <c r="BN305" i="3"/>
  <c r="BN306" i="3"/>
  <c r="BN307" i="3"/>
  <c r="BN308" i="3"/>
  <c r="BN309" i="3"/>
  <c r="BN310" i="3"/>
  <c r="BN311" i="3"/>
  <c r="BN312" i="3"/>
  <c r="BN313" i="3"/>
  <c r="BN314" i="3"/>
  <c r="BN315" i="3"/>
  <c r="BN316" i="3"/>
  <c r="BN317" i="3"/>
  <c r="BN318" i="3"/>
  <c r="BN319" i="3"/>
  <c r="BN320" i="3"/>
  <c r="BN321" i="3"/>
  <c r="BN322" i="3"/>
  <c r="BN323" i="3"/>
  <c r="BN324" i="3"/>
  <c r="BN325" i="3"/>
  <c r="BN326" i="3"/>
  <c r="BN327" i="3"/>
  <c r="BN328" i="3"/>
  <c r="BN329" i="3"/>
  <c r="BN330" i="3"/>
  <c r="BN331" i="3"/>
  <c r="BN332" i="3"/>
  <c r="BN333" i="3"/>
  <c r="BN334" i="3"/>
  <c r="BN335" i="3"/>
  <c r="BN336" i="3"/>
  <c r="BN337" i="3"/>
  <c r="BN338" i="3"/>
  <c r="BN339" i="3"/>
  <c r="BN340" i="3"/>
  <c r="BN341" i="3"/>
  <c r="BN342" i="3"/>
  <c r="BN343" i="3"/>
  <c r="BN344" i="3"/>
  <c r="BN345" i="3"/>
  <c r="BN346" i="3"/>
  <c r="BN347" i="3"/>
  <c r="BN348" i="3"/>
  <c r="BN349" i="3"/>
  <c r="BN350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41" i="3"/>
  <c r="BN142" i="3"/>
  <c r="BN143" i="3"/>
  <c r="BN144" i="3"/>
  <c r="BN145" i="3"/>
  <c r="BN146" i="3"/>
  <c r="BN147" i="3"/>
  <c r="BN148" i="3"/>
  <c r="BN149" i="3"/>
  <c r="BN150" i="3"/>
  <c r="BN151" i="3"/>
  <c r="BN152" i="3"/>
  <c r="BN153" i="3"/>
  <c r="BN154" i="3"/>
  <c r="BN155" i="3"/>
  <c r="BN156" i="3"/>
  <c r="BN157" i="3"/>
  <c r="BN158" i="3"/>
  <c r="BN159" i="3"/>
  <c r="BN160" i="3"/>
  <c r="BN161" i="3"/>
  <c r="BN162" i="3"/>
  <c r="BN163" i="3"/>
  <c r="BN164" i="3"/>
  <c r="BN165" i="3"/>
  <c r="BN166" i="3"/>
  <c r="BN167" i="3"/>
  <c r="BN168" i="3"/>
  <c r="BN169" i="3"/>
  <c r="BN170" i="3"/>
  <c r="BN171" i="3"/>
  <c r="BN172" i="3"/>
  <c r="BN173" i="3"/>
  <c r="BN174" i="3"/>
  <c r="BN175" i="3"/>
  <c r="BN176" i="3"/>
  <c r="BN177" i="3"/>
  <c r="BN178" i="3"/>
  <c r="BN179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N194" i="3"/>
  <c r="BN195" i="3"/>
  <c r="BN196" i="3"/>
  <c r="BN197" i="3"/>
  <c r="BN198" i="3"/>
  <c r="BN199" i="3"/>
  <c r="BN200" i="3"/>
  <c r="BN201" i="3"/>
  <c r="BN202" i="3"/>
  <c r="BN203" i="3"/>
  <c r="BN204" i="3"/>
  <c r="BN205" i="3"/>
  <c r="BN206" i="3"/>
  <c r="BN207" i="3"/>
  <c r="BN208" i="3"/>
  <c r="BN209" i="3"/>
  <c r="BN210" i="3"/>
  <c r="BN211" i="3"/>
  <c r="BN212" i="3"/>
  <c r="BN213" i="3"/>
  <c r="BN214" i="3"/>
  <c r="BN215" i="3"/>
  <c r="BN216" i="3"/>
  <c r="BN217" i="3"/>
  <c r="BN218" i="3"/>
  <c r="BN219" i="3"/>
  <c r="BN220" i="3"/>
  <c r="BN221" i="3"/>
  <c r="BN222" i="3"/>
  <c r="BN223" i="3"/>
  <c r="BN224" i="3"/>
  <c r="BN225" i="3"/>
  <c r="BN226" i="3"/>
  <c r="BN227" i="3"/>
  <c r="BN228" i="3"/>
  <c r="BN3" i="3"/>
  <c r="CT151" i="2"/>
  <c r="CT152" i="2"/>
  <c r="CT153" i="2"/>
  <c r="CT345" i="2"/>
  <c r="CT346" i="2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2" i="5"/>
  <c r="N30" i="5"/>
  <c r="N42" i="5"/>
  <c r="N43" i="5"/>
  <c r="N44" i="5"/>
  <c r="N45" i="5"/>
  <c r="N59" i="5"/>
  <c r="N60" i="5"/>
  <c r="N61" i="5"/>
  <c r="N62" i="5"/>
  <c r="N67" i="5"/>
  <c r="N68" i="5"/>
  <c r="N69" i="5"/>
  <c r="N70" i="5"/>
  <c r="N71" i="5"/>
  <c r="N72" i="5"/>
  <c r="N73" i="5"/>
  <c r="E3" i="4"/>
  <c r="Z3" i="4" s="1"/>
  <c r="AB3" i="4" s="1"/>
  <c r="E4" i="4"/>
  <c r="Z4" i="4" s="1"/>
  <c r="E5" i="4"/>
  <c r="Z5" i="4" s="1"/>
  <c r="E6" i="4"/>
  <c r="Z6" i="4" s="1"/>
  <c r="AB6" i="4" s="1"/>
  <c r="E7" i="4"/>
  <c r="Z7" i="4" s="1"/>
  <c r="AB7" i="4" s="1"/>
  <c r="E8" i="4"/>
  <c r="E9" i="4"/>
  <c r="Z9" i="4" s="1"/>
  <c r="AB9" i="4" s="1"/>
  <c r="E10" i="4"/>
  <c r="Z10" i="4" s="1"/>
  <c r="Z11" i="4"/>
  <c r="AB11" i="4" s="1"/>
  <c r="Z12" i="4"/>
  <c r="AB12" i="4" s="1"/>
  <c r="Z13" i="4"/>
  <c r="AB13" i="4" s="1"/>
  <c r="Z14" i="4"/>
  <c r="E15" i="4"/>
  <c r="AB15" i="4"/>
  <c r="AC15" i="4"/>
  <c r="E16" i="4"/>
  <c r="AB16" i="4"/>
  <c r="AC16" i="4"/>
  <c r="Z17" i="4"/>
  <c r="AC17" i="4" s="1"/>
  <c r="E18" i="4"/>
  <c r="Z18" i="4" s="1"/>
  <c r="AB18" i="4" s="1"/>
  <c r="Z19" i="4"/>
  <c r="AC19" i="4" s="1"/>
  <c r="E20" i="4"/>
  <c r="Z20" i="4" s="1"/>
  <c r="E21" i="4"/>
  <c r="Z21" i="4" s="1"/>
  <c r="E22" i="4"/>
  <c r="Z22" i="4" s="1"/>
  <c r="AC22" i="4" s="1"/>
  <c r="E23" i="4"/>
  <c r="Z23" i="4" s="1"/>
  <c r="E24" i="4"/>
  <c r="Z24" i="4" s="1"/>
  <c r="E25" i="4"/>
  <c r="Z25" i="4"/>
  <c r="AC25" i="4" s="1"/>
  <c r="E26" i="4"/>
  <c r="Z26" i="4" s="1"/>
  <c r="E27" i="4"/>
  <c r="Z27" i="4" s="1"/>
  <c r="E28" i="4"/>
  <c r="Z28" i="4" s="1"/>
  <c r="AC28" i="4" s="1"/>
  <c r="E29" i="4"/>
  <c r="Z29" i="4" s="1"/>
  <c r="E30" i="4"/>
  <c r="Z30" i="4" s="1"/>
  <c r="E31" i="4"/>
  <c r="Z31" i="4" s="1"/>
  <c r="AC31" i="4" s="1"/>
  <c r="E32" i="4"/>
  <c r="Z32" i="4" s="1"/>
  <c r="E33" i="4"/>
  <c r="Z33" i="4" s="1"/>
  <c r="E34" i="4"/>
  <c r="Z34" i="4" s="1"/>
  <c r="AC34" i="4" s="1"/>
  <c r="E35" i="4"/>
  <c r="Z35" i="4" s="1"/>
  <c r="E36" i="4"/>
  <c r="Z36" i="4" s="1"/>
  <c r="E37" i="4"/>
  <c r="Z37" i="4"/>
  <c r="AC37" i="4" s="1"/>
  <c r="E38" i="4"/>
  <c r="Z38" i="4" s="1"/>
  <c r="Z39" i="4"/>
  <c r="AB39" i="4" s="1"/>
  <c r="E40" i="4"/>
  <c r="Z40" i="4" s="1"/>
  <c r="AB40" i="4" s="1"/>
  <c r="E41" i="4"/>
  <c r="Z41" i="4" s="1"/>
  <c r="AB41" i="4" s="1"/>
  <c r="Z42" i="4"/>
  <c r="AB42" i="4" s="1"/>
  <c r="E43" i="4"/>
  <c r="Z43" i="4" s="1"/>
  <c r="E44" i="4"/>
  <c r="Z44" i="4"/>
  <c r="AC44" i="4" s="1"/>
  <c r="Z45" i="4"/>
  <c r="AB45" i="4" s="1"/>
  <c r="E46" i="4"/>
  <c r="Z46" i="4" s="1"/>
  <c r="AB46" i="4" s="1"/>
  <c r="E47" i="4"/>
  <c r="E48" i="4"/>
  <c r="Z48" i="4" s="1"/>
  <c r="Z49" i="4"/>
  <c r="AC49" i="4" s="1"/>
  <c r="E50" i="4"/>
  <c r="Z50" i="4" s="1"/>
  <c r="AC50" i="4" s="1"/>
  <c r="E51" i="4"/>
  <c r="Z51" i="4" s="1"/>
  <c r="E52" i="4"/>
  <c r="Z52" i="4" s="1"/>
  <c r="Z53" i="4"/>
  <c r="AC53" i="4" s="1"/>
  <c r="Z54" i="4"/>
  <c r="AC54" i="4" s="1"/>
  <c r="Z55" i="4"/>
  <c r="AB55" i="4" s="1"/>
  <c r="Z56" i="4"/>
  <c r="AC56" i="4" s="1"/>
  <c r="AB57" i="4"/>
  <c r="AC57" i="4"/>
  <c r="Z58" i="4"/>
  <c r="AB58" i="4"/>
  <c r="AC58" i="4"/>
  <c r="E59" i="4"/>
  <c r="Z59" i="4" s="1"/>
  <c r="E60" i="4"/>
  <c r="Z60" i="4" s="1"/>
  <c r="AB60" i="4" s="1"/>
  <c r="E61" i="4"/>
  <c r="E62" i="4"/>
  <c r="Z62" i="4" s="1"/>
  <c r="E63" i="4"/>
  <c r="Z63" i="4" s="1"/>
  <c r="AB63" i="4" s="1"/>
  <c r="E64" i="4"/>
  <c r="Z64" i="4" s="1"/>
  <c r="Z68" i="4"/>
  <c r="AB68" i="4" s="1"/>
  <c r="Z69" i="4"/>
  <c r="AB69" i="4" s="1"/>
  <c r="Z70" i="4"/>
  <c r="AB70" i="4"/>
  <c r="AC70" i="4"/>
  <c r="Z71" i="4"/>
  <c r="AB71" i="4" s="1"/>
  <c r="AC71" i="4"/>
  <c r="Z72" i="4"/>
  <c r="AB72" i="4" s="1"/>
  <c r="AC72" i="4"/>
  <c r="AC73" i="4"/>
  <c r="AC75" i="4"/>
  <c r="BO6" i="3"/>
  <c r="BO7" i="3"/>
  <c r="BO8" i="3"/>
  <c r="BO9" i="3"/>
  <c r="BO10" i="3"/>
  <c r="A116" i="3"/>
  <c r="B116" i="3" s="1"/>
  <c r="BP116" i="3"/>
  <c r="BP117" i="3"/>
  <c r="A118" i="3"/>
  <c r="C118" i="3" s="1"/>
  <c r="BP118" i="3"/>
  <c r="A119" i="3"/>
  <c r="C119" i="3" s="1"/>
  <c r="BP119" i="3"/>
  <c r="A120" i="3"/>
  <c r="B120" i="3" s="1"/>
  <c r="BP120" i="3"/>
  <c r="A121" i="3"/>
  <c r="B121" i="3" s="1"/>
  <c r="BP121" i="3"/>
  <c r="A122" i="3"/>
  <c r="C122" i="3" s="1"/>
  <c r="BP122" i="3"/>
  <c r="A123" i="3"/>
  <c r="C123" i="3" s="1"/>
  <c r="BP123" i="3"/>
  <c r="A124" i="3"/>
  <c r="B124" i="3" s="1"/>
  <c r="BP124" i="3"/>
  <c r="A125" i="3"/>
  <c r="F125" i="3" s="1"/>
  <c r="BP125" i="3"/>
  <c r="A126" i="3"/>
  <c r="B126" i="3" s="1"/>
  <c r="BP126" i="3"/>
  <c r="A127" i="3"/>
  <c r="B127" i="3" s="1"/>
  <c r="BP127" i="3"/>
  <c r="A128" i="3"/>
  <c r="B128" i="3" s="1"/>
  <c r="BP128" i="3"/>
  <c r="A129" i="3"/>
  <c r="B129" i="3" s="1"/>
  <c r="BP129" i="3"/>
  <c r="A130" i="3"/>
  <c r="C130" i="3" s="1"/>
  <c r="BP130" i="3"/>
  <c r="A131" i="3"/>
  <c r="BP131" i="3"/>
  <c r="A132" i="3"/>
  <c r="B132" i="3" s="1"/>
  <c r="BP132" i="3"/>
  <c r="A133" i="3"/>
  <c r="C133" i="3" s="1"/>
  <c r="BP133" i="3"/>
  <c r="A134" i="3"/>
  <c r="C134" i="3" s="1"/>
  <c r="BP134" i="3"/>
  <c r="A135" i="3"/>
  <c r="C135" i="3" s="1"/>
  <c r="BP135" i="3"/>
  <c r="A136" i="3"/>
  <c r="B136" i="3" s="1"/>
  <c r="BP136" i="3"/>
  <c r="A137" i="3"/>
  <c r="F137" i="3" s="1"/>
  <c r="BP137" i="3"/>
  <c r="A138" i="3"/>
  <c r="B138" i="3" s="1"/>
  <c r="BP138" i="3"/>
  <c r="A139" i="3"/>
  <c r="B139" i="3" s="1"/>
  <c r="BP139" i="3"/>
  <c r="A140" i="3"/>
  <c r="B140" i="3" s="1"/>
  <c r="BP140" i="3"/>
  <c r="A141" i="3"/>
  <c r="B141" i="3" s="1"/>
  <c r="BP141" i="3"/>
  <c r="A142" i="3"/>
  <c r="C142" i="3" s="1"/>
  <c r="BP142" i="3"/>
  <c r="A143" i="3"/>
  <c r="B143" i="3" s="1"/>
  <c r="BP143" i="3"/>
  <c r="A144" i="3"/>
  <c r="C144" i="3" s="1"/>
  <c r="BP144" i="3"/>
  <c r="A145" i="3"/>
  <c r="B145" i="3" s="1"/>
  <c r="BP145" i="3"/>
  <c r="A146" i="3"/>
  <c r="C146" i="3" s="1"/>
  <c r="BP146" i="3"/>
  <c r="A147" i="3"/>
  <c r="B147" i="3" s="1"/>
  <c r="BP147" i="3"/>
  <c r="A148" i="3"/>
  <c r="C148" i="3" s="1"/>
  <c r="BP148" i="3"/>
  <c r="A149" i="3"/>
  <c r="B149" i="3" s="1"/>
  <c r="BP149" i="3"/>
  <c r="A150" i="3"/>
  <c r="C150" i="3" s="1"/>
  <c r="BP150" i="3"/>
  <c r="A151" i="3"/>
  <c r="B151" i="3" s="1"/>
  <c r="BP151" i="3"/>
  <c r="A152" i="3"/>
  <c r="C152" i="3" s="1"/>
  <c r="BP152" i="3"/>
  <c r="A153" i="3"/>
  <c r="B153" i="3" s="1"/>
  <c r="BP153" i="3"/>
  <c r="A154" i="3"/>
  <c r="C154" i="3" s="1"/>
  <c r="BP154" i="3"/>
  <c r="A155" i="3"/>
  <c r="B155" i="3" s="1"/>
  <c r="BP155" i="3"/>
  <c r="A156" i="3"/>
  <c r="C156" i="3" s="1"/>
  <c r="BP156" i="3"/>
  <c r="A157" i="3"/>
  <c r="B157" i="3" s="1"/>
  <c r="BP157" i="3"/>
  <c r="A158" i="3"/>
  <c r="C158" i="3" s="1"/>
  <c r="BP158" i="3"/>
  <c r="A159" i="3"/>
  <c r="B159" i="3" s="1"/>
  <c r="BP159" i="3"/>
  <c r="A160" i="3"/>
  <c r="C160" i="3" s="1"/>
  <c r="BP160" i="3"/>
  <c r="A161" i="3"/>
  <c r="B161" i="3" s="1"/>
  <c r="BP161" i="3"/>
  <c r="A162" i="3"/>
  <c r="C162" i="3" s="1"/>
  <c r="BP162" i="3"/>
  <c r="A163" i="3"/>
  <c r="B163" i="3" s="1"/>
  <c r="BP163" i="3"/>
  <c r="A164" i="3"/>
  <c r="C164" i="3" s="1"/>
  <c r="BP164" i="3"/>
  <c r="A165" i="3"/>
  <c r="B165" i="3" s="1"/>
  <c r="BP165" i="3"/>
  <c r="A166" i="3"/>
  <c r="C166" i="3" s="1"/>
  <c r="BP166" i="3"/>
  <c r="A167" i="3"/>
  <c r="B167" i="3" s="1"/>
  <c r="BP167" i="3"/>
  <c r="A168" i="3"/>
  <c r="C168" i="3" s="1"/>
  <c r="BP168" i="3"/>
  <c r="A169" i="3"/>
  <c r="B169" i="3" s="1"/>
  <c r="BP169" i="3"/>
  <c r="A170" i="3"/>
  <c r="C170" i="3" s="1"/>
  <c r="BP170" i="3"/>
  <c r="A171" i="3"/>
  <c r="B171" i="3" s="1"/>
  <c r="BP171" i="3"/>
  <c r="A172" i="3"/>
  <c r="C172" i="3" s="1"/>
  <c r="BP172" i="3"/>
  <c r="A173" i="3"/>
  <c r="B173" i="3" s="1"/>
  <c r="BP173" i="3"/>
  <c r="A174" i="3"/>
  <c r="C174" i="3" s="1"/>
  <c r="BP174" i="3"/>
  <c r="A175" i="3"/>
  <c r="B175" i="3" s="1"/>
  <c r="BP175" i="3"/>
  <c r="A176" i="3"/>
  <c r="C176" i="3" s="1"/>
  <c r="BP176" i="3"/>
  <c r="A177" i="3"/>
  <c r="B177" i="3" s="1"/>
  <c r="BP177" i="3"/>
  <c r="A178" i="3"/>
  <c r="C178" i="3" s="1"/>
  <c r="BP178" i="3"/>
  <c r="A179" i="3"/>
  <c r="B179" i="3" s="1"/>
  <c r="BP179" i="3"/>
  <c r="A180" i="3"/>
  <c r="C180" i="3" s="1"/>
  <c r="BP180" i="3"/>
  <c r="A181" i="3"/>
  <c r="B181" i="3" s="1"/>
  <c r="BP181" i="3"/>
  <c r="A182" i="3"/>
  <c r="C182" i="3" s="1"/>
  <c r="BP182" i="3"/>
  <c r="A183" i="3"/>
  <c r="B183" i="3" s="1"/>
  <c r="BP183" i="3"/>
  <c r="A184" i="3"/>
  <c r="C184" i="3" s="1"/>
  <c r="BP184" i="3"/>
  <c r="BP185" i="3"/>
  <c r="BP186" i="3"/>
  <c r="BP187" i="3"/>
  <c r="BP188" i="3"/>
  <c r="BP189" i="3"/>
  <c r="BP190" i="3"/>
  <c r="BP191" i="3"/>
  <c r="BP192" i="3"/>
  <c r="BP193" i="3"/>
  <c r="BP194" i="3"/>
  <c r="BP195" i="3"/>
  <c r="BP196" i="3"/>
  <c r="BP197" i="3"/>
  <c r="BP198" i="3"/>
  <c r="BP199" i="3"/>
  <c r="BP200" i="3"/>
  <c r="BP201" i="3"/>
  <c r="BP202" i="3"/>
  <c r="BP203" i="3"/>
  <c r="BP204" i="3"/>
  <c r="BP205" i="3"/>
  <c r="BP206" i="3"/>
  <c r="BP207" i="3"/>
  <c r="BP208" i="3"/>
  <c r="BP209" i="3"/>
  <c r="BP210" i="3"/>
  <c r="BP211" i="3"/>
  <c r="BP212" i="3"/>
  <c r="BP213" i="3"/>
  <c r="BP214" i="3"/>
  <c r="BP215" i="3"/>
  <c r="BP216" i="3"/>
  <c r="BP217" i="3"/>
  <c r="BP218" i="3"/>
  <c r="BP219" i="3"/>
  <c r="BP220" i="3"/>
  <c r="BP221" i="3"/>
  <c r="BP222" i="3"/>
  <c r="BP223" i="3"/>
  <c r="BP224" i="3"/>
  <c r="BP225" i="3"/>
  <c r="BP226" i="3"/>
  <c r="BP227" i="3"/>
  <c r="BP228" i="3"/>
  <c r="BP229" i="3"/>
  <c r="BP230" i="3"/>
  <c r="BP231" i="3"/>
  <c r="BP232" i="3"/>
  <c r="BP233" i="3"/>
  <c r="BP234" i="3"/>
  <c r="BP235" i="3"/>
  <c r="BP236" i="3"/>
  <c r="BP237" i="3"/>
  <c r="BP238" i="3"/>
  <c r="BP239" i="3"/>
  <c r="BP240" i="3"/>
  <c r="BP241" i="3"/>
  <c r="BP242" i="3"/>
  <c r="BP243" i="3"/>
  <c r="BP244" i="3"/>
  <c r="BP245" i="3"/>
  <c r="BP246" i="3"/>
  <c r="BP247" i="3"/>
  <c r="BP248" i="3"/>
  <c r="BP249" i="3"/>
  <c r="BP250" i="3"/>
  <c r="BP251" i="3"/>
  <c r="BP252" i="3"/>
  <c r="BP253" i="3"/>
  <c r="BP254" i="3"/>
  <c r="BP255" i="3"/>
  <c r="BP256" i="3"/>
  <c r="BP257" i="3"/>
  <c r="BP258" i="3"/>
  <c r="BP259" i="3"/>
  <c r="BP260" i="3"/>
  <c r="BP261" i="3"/>
  <c r="BP262" i="3"/>
  <c r="BP263" i="3"/>
  <c r="BP264" i="3"/>
  <c r="BP265" i="3"/>
  <c r="BP266" i="3"/>
  <c r="BP267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84" i="3"/>
  <c r="BP285" i="3"/>
  <c r="BP286" i="3"/>
  <c r="BP287" i="3"/>
  <c r="BP288" i="3"/>
  <c r="BP289" i="3"/>
  <c r="BP290" i="3"/>
  <c r="BP291" i="3"/>
  <c r="BP292" i="3"/>
  <c r="BP293" i="3"/>
  <c r="BP294" i="3"/>
  <c r="BP295" i="3"/>
  <c r="BP296" i="3"/>
  <c r="BP297" i="3"/>
  <c r="BP298" i="3"/>
  <c r="BP299" i="3"/>
  <c r="BP300" i="3"/>
  <c r="BP301" i="3"/>
  <c r="BP302" i="3"/>
  <c r="BP303" i="3"/>
  <c r="BP304" i="3"/>
  <c r="BP305" i="3"/>
  <c r="BP306" i="3"/>
  <c r="BP307" i="3"/>
  <c r="BP308" i="3"/>
  <c r="BP309" i="3"/>
  <c r="BP310" i="3"/>
  <c r="BP311" i="3"/>
  <c r="BP312" i="3"/>
  <c r="BP313" i="3"/>
  <c r="BP314" i="3"/>
  <c r="BP315" i="3"/>
  <c r="BP316" i="3"/>
  <c r="BP317" i="3"/>
  <c r="BP318" i="3"/>
  <c r="BP319" i="3"/>
  <c r="BP320" i="3"/>
  <c r="BP321" i="3"/>
  <c r="BP322" i="3"/>
  <c r="BP323" i="3"/>
  <c r="BP324" i="3"/>
  <c r="BP325" i="3"/>
  <c r="BP326" i="3"/>
  <c r="BP327" i="3"/>
  <c r="BP328" i="3"/>
  <c r="BP329" i="3"/>
  <c r="BP330" i="3"/>
  <c r="BP331" i="3"/>
  <c r="BP332" i="3"/>
  <c r="BP333" i="3"/>
  <c r="BP334" i="3"/>
  <c r="BP335" i="3"/>
  <c r="BP336" i="3"/>
  <c r="BP337" i="3"/>
  <c r="BP338" i="3"/>
  <c r="BP339" i="3"/>
  <c r="BP340" i="3"/>
  <c r="BP341" i="3"/>
  <c r="BP342" i="3"/>
  <c r="BP343" i="3"/>
  <c r="BP344" i="3"/>
  <c r="BP345" i="3"/>
  <c r="BP346" i="3"/>
  <c r="BP347" i="3"/>
  <c r="BP348" i="3"/>
  <c r="BP349" i="3"/>
  <c r="BP350" i="3"/>
  <c r="BP351" i="3"/>
  <c r="A3" i="2"/>
  <c r="B3" i="2"/>
  <c r="E3" i="2"/>
  <c r="F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CP3" i="2"/>
  <c r="CQ3" i="2"/>
  <c r="A4" i="2"/>
  <c r="B4" i="2"/>
  <c r="CQ4" i="2"/>
  <c r="A5" i="2"/>
  <c r="B5" i="2"/>
  <c r="CQ5" i="2"/>
  <c r="A6" i="2"/>
  <c r="B6" i="2"/>
  <c r="CQ6" i="2"/>
  <c r="A7" i="2"/>
  <c r="B7" i="2"/>
  <c r="CQ7" i="2"/>
  <c r="A8" i="2"/>
  <c r="B8" i="2"/>
  <c r="CQ8" i="2"/>
  <c r="A9" i="2"/>
  <c r="B9" i="2"/>
  <c r="CQ9" i="2"/>
  <c r="A10" i="2"/>
  <c r="B10" i="2"/>
  <c r="CQ10" i="2"/>
  <c r="A11" i="2"/>
  <c r="B11" i="2"/>
  <c r="CQ11" i="2"/>
  <c r="A12" i="2"/>
  <c r="B12" i="2"/>
  <c r="CQ12" i="2"/>
  <c r="A13" i="2"/>
  <c r="B13" i="2"/>
  <c r="CQ13" i="2"/>
  <c r="A14" i="2"/>
  <c r="B14" i="2"/>
  <c r="CQ14" i="2"/>
  <c r="A15" i="2"/>
  <c r="B15" i="2"/>
  <c r="CQ15" i="2"/>
  <c r="A16" i="2"/>
  <c r="B16" i="2"/>
  <c r="CQ16" i="2"/>
  <c r="A17" i="2"/>
  <c r="B17" i="2"/>
  <c r="CQ17" i="2"/>
  <c r="A18" i="2"/>
  <c r="B18" i="2"/>
  <c r="CQ18" i="2"/>
  <c r="A19" i="2"/>
  <c r="B19" i="2"/>
  <c r="CQ19" i="2"/>
  <c r="A20" i="2"/>
  <c r="B20" i="2"/>
  <c r="CQ20" i="2"/>
  <c r="A21" i="2"/>
  <c r="B21" i="2"/>
  <c r="CQ21" i="2"/>
  <c r="A22" i="2"/>
  <c r="B22" i="2"/>
  <c r="CQ22" i="2"/>
  <c r="A23" i="2"/>
  <c r="B23" i="2"/>
  <c r="CQ23" i="2"/>
  <c r="A24" i="2"/>
  <c r="B24" i="2"/>
  <c r="CQ24" i="2"/>
  <c r="A25" i="2"/>
  <c r="B25" i="2"/>
  <c r="CQ25" i="2"/>
  <c r="A26" i="2"/>
  <c r="B26" i="2"/>
  <c r="CQ26" i="2"/>
  <c r="A27" i="2"/>
  <c r="B27" i="2"/>
  <c r="CQ27" i="2"/>
  <c r="A28" i="2"/>
  <c r="B28" i="2"/>
  <c r="CQ28" i="2"/>
  <c r="A29" i="2"/>
  <c r="B29" i="2"/>
  <c r="CQ29" i="2"/>
  <c r="A30" i="2"/>
  <c r="B30" i="2"/>
  <c r="CQ30" i="2"/>
  <c r="A31" i="2"/>
  <c r="B31" i="2"/>
  <c r="CQ31" i="2"/>
  <c r="A32" i="2"/>
  <c r="B32" i="2"/>
  <c r="CQ32" i="2"/>
  <c r="A33" i="2"/>
  <c r="B33" i="2"/>
  <c r="CQ33" i="2"/>
  <c r="A34" i="2"/>
  <c r="B34" i="2"/>
  <c r="CQ34" i="2"/>
  <c r="A35" i="2"/>
  <c r="B35" i="2"/>
  <c r="CQ35" i="2"/>
  <c r="A36" i="2"/>
  <c r="B36" i="2"/>
  <c r="CQ36" i="2"/>
  <c r="A37" i="2"/>
  <c r="B37" i="2"/>
  <c r="CQ37" i="2"/>
  <c r="A38" i="2"/>
  <c r="B38" i="2"/>
  <c r="CQ38" i="2"/>
  <c r="A39" i="2"/>
  <c r="B39" i="2"/>
  <c r="CQ39" i="2"/>
  <c r="A40" i="2"/>
  <c r="B40" i="2"/>
  <c r="CT40" i="2"/>
  <c r="CQ40" i="2"/>
  <c r="A41" i="2"/>
  <c r="B41" i="2"/>
  <c r="CT41" i="2"/>
  <c r="CQ41" i="2"/>
  <c r="A42" i="2"/>
  <c r="B42" i="2"/>
  <c r="CT42" i="2"/>
  <c r="CQ42" i="2"/>
  <c r="A43" i="2"/>
  <c r="B43" i="2"/>
  <c r="CT43" i="2"/>
  <c r="CQ43" i="2"/>
  <c r="A44" i="2"/>
  <c r="B44" i="2"/>
  <c r="CT44" i="2"/>
  <c r="CQ44" i="2"/>
  <c r="A45" i="2"/>
  <c r="B45" i="2"/>
  <c r="CT45" i="2"/>
  <c r="CQ45" i="2"/>
  <c r="A46" i="2"/>
  <c r="B46" i="2"/>
  <c r="CT46" i="2"/>
  <c r="CQ46" i="2"/>
  <c r="A47" i="2"/>
  <c r="B47" i="2"/>
  <c r="CT47" i="2"/>
  <c r="CQ47" i="2"/>
  <c r="A48" i="2"/>
  <c r="B48" i="2"/>
  <c r="CT48" i="2"/>
  <c r="CQ48" i="2"/>
  <c r="A49" i="2"/>
  <c r="B49" i="2"/>
  <c r="CT49" i="2"/>
  <c r="CQ49" i="2"/>
  <c r="A50" i="2"/>
  <c r="B50" i="2"/>
  <c r="CT50" i="2"/>
  <c r="CQ50" i="2"/>
  <c r="A51" i="2"/>
  <c r="B51" i="2"/>
  <c r="CT51" i="2"/>
  <c r="CQ51" i="2"/>
  <c r="A52" i="2"/>
  <c r="B52" i="2"/>
  <c r="CT52" i="2"/>
  <c r="CQ52" i="2"/>
  <c r="A53" i="2"/>
  <c r="B53" i="2"/>
  <c r="CT53" i="2"/>
  <c r="CQ53" i="2"/>
  <c r="A54" i="2"/>
  <c r="B54" i="2"/>
  <c r="CT54" i="2"/>
  <c r="CQ54" i="2"/>
  <c r="A55" i="2"/>
  <c r="B55" i="2"/>
  <c r="CT55" i="2"/>
  <c r="CQ55" i="2"/>
  <c r="A56" i="2"/>
  <c r="B56" i="2"/>
  <c r="CT56" i="2"/>
  <c r="CQ56" i="2"/>
  <c r="A57" i="2"/>
  <c r="B57" i="2"/>
  <c r="CT57" i="2"/>
  <c r="CQ57" i="2"/>
  <c r="A58" i="2"/>
  <c r="B58" i="2"/>
  <c r="CT58" i="2"/>
  <c r="CQ58" i="2"/>
  <c r="A59" i="2"/>
  <c r="B59" i="2"/>
  <c r="CT59" i="2"/>
  <c r="CQ59" i="2"/>
  <c r="A60" i="2"/>
  <c r="B60" i="2"/>
  <c r="CT60" i="2"/>
  <c r="CQ60" i="2"/>
  <c r="A61" i="2"/>
  <c r="B61" i="2"/>
  <c r="CT61" i="2"/>
  <c r="CQ61" i="2"/>
  <c r="A62" i="2"/>
  <c r="B62" i="2"/>
  <c r="CT62" i="2"/>
  <c r="CQ62" i="2"/>
  <c r="A63" i="2"/>
  <c r="B63" i="2"/>
  <c r="CT63" i="2"/>
  <c r="CQ63" i="2"/>
  <c r="A64" i="2"/>
  <c r="B64" i="2"/>
  <c r="CT64" i="2"/>
  <c r="CQ64" i="2"/>
  <c r="A65" i="2"/>
  <c r="B65" i="2"/>
  <c r="CT65" i="2"/>
  <c r="CQ65" i="2"/>
  <c r="A66" i="2"/>
  <c r="B66" i="2"/>
  <c r="CT66" i="2"/>
  <c r="CQ66" i="2"/>
  <c r="A67" i="2"/>
  <c r="B67" i="2"/>
  <c r="CT67" i="2"/>
  <c r="CQ67" i="2"/>
  <c r="A68" i="2"/>
  <c r="B68" i="2"/>
  <c r="CT68" i="2"/>
  <c r="CQ68" i="2"/>
  <c r="A69" i="2"/>
  <c r="B69" i="2"/>
  <c r="CT69" i="2"/>
  <c r="CQ69" i="2"/>
  <c r="A70" i="2"/>
  <c r="B70" i="2"/>
  <c r="CT70" i="2"/>
  <c r="CQ70" i="2"/>
  <c r="A71" i="2"/>
  <c r="B71" i="2"/>
  <c r="CT71" i="2"/>
  <c r="CQ71" i="2"/>
  <c r="A72" i="2"/>
  <c r="B72" i="2"/>
  <c r="CT72" i="2"/>
  <c r="CQ72" i="2"/>
  <c r="A73" i="2"/>
  <c r="B73" i="2"/>
  <c r="CT73" i="2"/>
  <c r="CQ73" i="2"/>
  <c r="A74" i="2"/>
  <c r="B74" i="2"/>
  <c r="CT74" i="2"/>
  <c r="CQ74" i="2"/>
  <c r="A75" i="2"/>
  <c r="B75" i="2"/>
  <c r="CT75" i="2"/>
  <c r="CQ75" i="2"/>
  <c r="A76" i="2"/>
  <c r="B76" i="2"/>
  <c r="CT76" i="2"/>
  <c r="CQ76" i="2"/>
  <c r="A77" i="2"/>
  <c r="B77" i="2"/>
  <c r="CT77" i="2"/>
  <c r="CQ77" i="2"/>
  <c r="A78" i="2"/>
  <c r="B78" i="2"/>
  <c r="CQ78" i="2"/>
  <c r="A79" i="2"/>
  <c r="B79" i="2"/>
  <c r="CQ79" i="2"/>
  <c r="A80" i="2"/>
  <c r="B80" i="2"/>
  <c r="CQ80" i="2"/>
  <c r="A81" i="2"/>
  <c r="B81" i="2"/>
  <c r="CQ81" i="2"/>
  <c r="A82" i="2"/>
  <c r="B82" i="2"/>
  <c r="CQ82" i="2"/>
  <c r="A83" i="2"/>
  <c r="B83" i="2"/>
  <c r="CQ83" i="2"/>
  <c r="A84" i="2"/>
  <c r="B84" i="2"/>
  <c r="CQ84" i="2"/>
  <c r="A85" i="2"/>
  <c r="B85" i="2"/>
  <c r="CQ85" i="2"/>
  <c r="A86" i="2"/>
  <c r="B86" i="2"/>
  <c r="CQ86" i="2"/>
  <c r="A87" i="2"/>
  <c r="B87" i="2"/>
  <c r="CQ87" i="2"/>
  <c r="A88" i="2"/>
  <c r="B88" i="2"/>
  <c r="CQ88" i="2"/>
  <c r="A89" i="2"/>
  <c r="B89" i="2"/>
  <c r="CQ89" i="2"/>
  <c r="A90" i="2"/>
  <c r="B90" i="2"/>
  <c r="CQ90" i="2"/>
  <c r="A91" i="2"/>
  <c r="B91" i="2"/>
  <c r="CQ91" i="2"/>
  <c r="A92" i="2"/>
  <c r="B92" i="2"/>
  <c r="CQ92" i="2"/>
  <c r="A93" i="2"/>
  <c r="B93" i="2"/>
  <c r="CQ93" i="2"/>
  <c r="A94" i="2"/>
  <c r="B94" i="2"/>
  <c r="CQ94" i="2"/>
  <c r="A95" i="2"/>
  <c r="B95" i="2"/>
  <c r="CQ95" i="2"/>
  <c r="A96" i="2"/>
  <c r="B96" i="2"/>
  <c r="CQ96" i="2"/>
  <c r="A97" i="2"/>
  <c r="B97" i="2"/>
  <c r="CQ97" i="2"/>
  <c r="A98" i="2"/>
  <c r="B98" i="2"/>
  <c r="CQ98" i="2"/>
  <c r="A99" i="2"/>
  <c r="B99" i="2"/>
  <c r="CQ99" i="2"/>
  <c r="A100" i="2"/>
  <c r="B100" i="2"/>
  <c r="CQ100" i="2"/>
  <c r="A101" i="2"/>
  <c r="B101" i="2"/>
  <c r="CQ101" i="2"/>
  <c r="A102" i="2"/>
  <c r="B102" i="2"/>
  <c r="CQ102" i="2"/>
  <c r="A103" i="2"/>
  <c r="B103" i="2"/>
  <c r="CQ103" i="2"/>
  <c r="A104" i="2"/>
  <c r="B104" i="2"/>
  <c r="CQ104" i="2"/>
  <c r="A105" i="2"/>
  <c r="B105" i="2"/>
  <c r="CQ105" i="2"/>
  <c r="A106" i="2"/>
  <c r="B106" i="2"/>
  <c r="CQ106" i="2"/>
  <c r="A107" i="2"/>
  <c r="B107" i="2"/>
  <c r="CQ107" i="2"/>
  <c r="A108" i="2"/>
  <c r="B108" i="2"/>
  <c r="CQ108" i="2"/>
  <c r="A109" i="2"/>
  <c r="B109" i="2"/>
  <c r="CQ109" i="2"/>
  <c r="A110" i="2"/>
  <c r="B110" i="2"/>
  <c r="CQ110" i="2"/>
  <c r="A111" i="2"/>
  <c r="B111" i="2"/>
  <c r="CQ111" i="2"/>
  <c r="A112" i="2"/>
  <c r="B112" i="2"/>
  <c r="CQ112" i="2"/>
  <c r="A113" i="2"/>
  <c r="B113" i="2"/>
  <c r="CQ113" i="2"/>
  <c r="A114" i="2"/>
  <c r="B114" i="2"/>
  <c r="CQ114" i="2"/>
  <c r="A115" i="2"/>
  <c r="B115" i="2"/>
  <c r="CT115" i="2"/>
  <c r="CQ115" i="2"/>
  <c r="A117" i="2"/>
  <c r="B117" i="2"/>
  <c r="CT117" i="2"/>
  <c r="CQ117" i="2"/>
  <c r="A118" i="2"/>
  <c r="B118" i="2"/>
  <c r="CT118" i="2"/>
  <c r="CQ118" i="2"/>
  <c r="A119" i="2"/>
  <c r="B119" i="2"/>
  <c r="CT119" i="2"/>
  <c r="CQ119" i="2"/>
  <c r="A120" i="2"/>
  <c r="B120" i="2"/>
  <c r="CT120" i="2"/>
  <c r="CQ120" i="2"/>
  <c r="A122" i="2"/>
  <c r="B122" i="2"/>
  <c r="CT122" i="2"/>
  <c r="CQ122" i="2"/>
  <c r="A123" i="2"/>
  <c r="B123" i="2"/>
  <c r="CT123" i="2"/>
  <c r="CQ123" i="2"/>
  <c r="A124" i="2"/>
  <c r="B124" i="2"/>
  <c r="CT124" i="2"/>
  <c r="CQ124" i="2"/>
  <c r="A125" i="2"/>
  <c r="B125" i="2"/>
  <c r="CT125" i="2"/>
  <c r="CQ125" i="2"/>
  <c r="A127" i="2"/>
  <c r="B127" i="2"/>
  <c r="CT127" i="2"/>
  <c r="CQ127" i="2"/>
  <c r="A128" i="2"/>
  <c r="B128" i="2"/>
  <c r="CT128" i="2"/>
  <c r="CQ128" i="2"/>
  <c r="A129" i="2"/>
  <c r="B129" i="2"/>
  <c r="CT129" i="2"/>
  <c r="CQ129" i="2"/>
  <c r="A130" i="2"/>
  <c r="B130" i="2"/>
  <c r="CT130" i="2"/>
  <c r="CQ130" i="2"/>
  <c r="A132" i="2"/>
  <c r="B132" i="2"/>
  <c r="CT132" i="2"/>
  <c r="CQ132" i="2"/>
  <c r="A133" i="2"/>
  <c r="B133" i="2"/>
  <c r="CT133" i="2"/>
  <c r="CQ133" i="2"/>
  <c r="A134" i="2"/>
  <c r="B134" i="2"/>
  <c r="CT134" i="2"/>
  <c r="CQ134" i="2"/>
  <c r="A135" i="2"/>
  <c r="B135" i="2"/>
  <c r="CT135" i="2"/>
  <c r="CQ135" i="2"/>
  <c r="A137" i="2"/>
  <c r="B137" i="2"/>
  <c r="CT137" i="2"/>
  <c r="CQ137" i="2"/>
  <c r="A138" i="2"/>
  <c r="B138" i="2"/>
  <c r="CT138" i="2"/>
  <c r="CQ138" i="2"/>
  <c r="A139" i="2"/>
  <c r="B139" i="2"/>
  <c r="CT139" i="2"/>
  <c r="CQ139" i="2"/>
  <c r="A140" i="2"/>
  <c r="B140" i="2"/>
  <c r="CT140" i="2"/>
  <c r="CQ140" i="2"/>
  <c r="A142" i="2"/>
  <c r="B142" i="2"/>
  <c r="CT142" i="2"/>
  <c r="CQ142" i="2"/>
  <c r="A143" i="2"/>
  <c r="B143" i="2"/>
  <c r="CT143" i="2"/>
  <c r="CQ143" i="2"/>
  <c r="A144" i="2"/>
  <c r="B144" i="2"/>
  <c r="CT144" i="2"/>
  <c r="CQ144" i="2"/>
  <c r="A145" i="2"/>
  <c r="B145" i="2"/>
  <c r="CT145" i="2"/>
  <c r="CQ145" i="2"/>
  <c r="A147" i="2"/>
  <c r="B147" i="2"/>
  <c r="CT147" i="2"/>
  <c r="CQ147" i="2"/>
  <c r="A148" i="2"/>
  <c r="B148" i="2"/>
  <c r="CT148" i="2"/>
  <c r="CQ148" i="2"/>
  <c r="A149" i="2"/>
  <c r="B149" i="2"/>
  <c r="CT149" i="2"/>
  <c r="CQ149" i="2"/>
  <c r="A150" i="2"/>
  <c r="B150" i="2"/>
  <c r="CT150" i="2"/>
  <c r="CQ150" i="2"/>
  <c r="A154" i="2"/>
  <c r="B154" i="2"/>
  <c r="CQ154" i="2"/>
  <c r="A155" i="2"/>
  <c r="B155" i="2"/>
  <c r="CQ155" i="2"/>
  <c r="A156" i="2"/>
  <c r="B156" i="2"/>
  <c r="CQ156" i="2"/>
  <c r="A157" i="2"/>
  <c r="B157" i="2"/>
  <c r="CQ157" i="2"/>
  <c r="A158" i="2"/>
  <c r="B158" i="2"/>
  <c r="CQ158" i="2"/>
  <c r="A159" i="2"/>
  <c r="B159" i="2"/>
  <c r="CQ159" i="2"/>
  <c r="A160" i="2"/>
  <c r="B160" i="2"/>
  <c r="CQ160" i="2"/>
  <c r="A161" i="2"/>
  <c r="B161" i="2"/>
  <c r="CQ161" i="2"/>
  <c r="A162" i="2"/>
  <c r="B162" i="2"/>
  <c r="CQ162" i="2"/>
  <c r="A163" i="2"/>
  <c r="B163" i="2"/>
  <c r="CQ163" i="2"/>
  <c r="A164" i="2"/>
  <c r="B164" i="2"/>
  <c r="CQ164" i="2"/>
  <c r="A165" i="2"/>
  <c r="B165" i="2"/>
  <c r="CQ165" i="2"/>
  <c r="A166" i="2"/>
  <c r="B166" i="2"/>
  <c r="CQ166" i="2"/>
  <c r="A167" i="2"/>
  <c r="B167" i="2"/>
  <c r="CQ167" i="2"/>
  <c r="A168" i="2"/>
  <c r="B168" i="2"/>
  <c r="CQ168" i="2"/>
  <c r="A169" i="2"/>
  <c r="B169" i="2"/>
  <c r="CQ169" i="2"/>
  <c r="A170" i="2"/>
  <c r="B170" i="2"/>
  <c r="CQ170" i="2"/>
  <c r="A171" i="2"/>
  <c r="B171" i="2"/>
  <c r="CQ171" i="2"/>
  <c r="A172" i="2"/>
  <c r="B172" i="2"/>
  <c r="CQ172" i="2"/>
  <c r="A173" i="2"/>
  <c r="B173" i="2"/>
  <c r="CQ173" i="2"/>
  <c r="A174" i="2"/>
  <c r="B174" i="2"/>
  <c r="CQ174" i="2"/>
  <c r="A175" i="2"/>
  <c r="B175" i="2"/>
  <c r="CQ175" i="2"/>
  <c r="A176" i="2"/>
  <c r="B176" i="2"/>
  <c r="CQ176" i="2"/>
  <c r="A177" i="2"/>
  <c r="B177" i="2"/>
  <c r="CQ177" i="2"/>
  <c r="A178" i="2"/>
  <c r="B178" i="2"/>
  <c r="CQ178" i="2"/>
  <c r="A179" i="2"/>
  <c r="B179" i="2"/>
  <c r="CQ179" i="2"/>
  <c r="A180" i="2"/>
  <c r="B180" i="2"/>
  <c r="CQ180" i="2"/>
  <c r="A181" i="2"/>
  <c r="B181" i="2"/>
  <c r="CQ181" i="2"/>
  <c r="A182" i="2"/>
  <c r="B182" i="2"/>
  <c r="CQ182" i="2"/>
  <c r="A183" i="2"/>
  <c r="B183" i="2"/>
  <c r="CQ183" i="2"/>
  <c r="A184" i="2"/>
  <c r="B184" i="2"/>
  <c r="CQ184" i="2"/>
  <c r="A185" i="2"/>
  <c r="B185" i="2"/>
  <c r="CQ185" i="2"/>
  <c r="A186" i="2"/>
  <c r="B186" i="2"/>
  <c r="CQ186" i="2"/>
  <c r="A187" i="2"/>
  <c r="B187" i="2"/>
  <c r="CQ187" i="2"/>
  <c r="A188" i="2"/>
  <c r="B188" i="2"/>
  <c r="CQ188" i="2"/>
  <c r="A189" i="2"/>
  <c r="B189" i="2"/>
  <c r="CQ189" i="2"/>
  <c r="A190" i="2"/>
  <c r="B190" i="2"/>
  <c r="CQ190" i="2"/>
  <c r="A191" i="2"/>
  <c r="B191" i="2"/>
  <c r="CQ191" i="2"/>
  <c r="A192" i="2"/>
  <c r="B192" i="2"/>
  <c r="CQ192" i="2"/>
  <c r="A193" i="2"/>
  <c r="B193" i="2"/>
  <c r="CQ193" i="2"/>
  <c r="A194" i="2"/>
  <c r="B194" i="2"/>
  <c r="CQ194" i="2"/>
  <c r="A195" i="2"/>
  <c r="B195" i="2"/>
  <c r="CQ195" i="2"/>
  <c r="A196" i="2"/>
  <c r="B196" i="2"/>
  <c r="CQ196" i="2"/>
  <c r="A197" i="2"/>
  <c r="B197" i="2"/>
  <c r="CQ197" i="2"/>
  <c r="A198" i="2"/>
  <c r="B198" i="2"/>
  <c r="CQ198" i="2"/>
  <c r="A199" i="2"/>
  <c r="B199" i="2"/>
  <c r="CQ199" i="2"/>
  <c r="A200" i="2"/>
  <c r="B200" i="2"/>
  <c r="CQ200" i="2"/>
  <c r="A201" i="2"/>
  <c r="B201" i="2"/>
  <c r="CQ201" i="2"/>
  <c r="A202" i="2"/>
  <c r="B202" i="2"/>
  <c r="CQ202" i="2"/>
  <c r="A203" i="2"/>
  <c r="B203" i="2"/>
  <c r="CQ203" i="2"/>
  <c r="A204" i="2"/>
  <c r="B204" i="2"/>
  <c r="CQ204" i="2"/>
  <c r="A205" i="2"/>
  <c r="B205" i="2"/>
  <c r="CQ205" i="2"/>
  <c r="A206" i="2"/>
  <c r="B206" i="2"/>
  <c r="CQ206" i="2"/>
  <c r="A207" i="2"/>
  <c r="B207" i="2"/>
  <c r="CQ207" i="2"/>
  <c r="A208" i="2"/>
  <c r="B208" i="2"/>
  <c r="CQ208" i="2"/>
  <c r="A209" i="2"/>
  <c r="B209" i="2"/>
  <c r="CQ209" i="2"/>
  <c r="A210" i="2"/>
  <c r="B210" i="2"/>
  <c r="CQ210" i="2"/>
  <c r="A211" i="2"/>
  <c r="B211" i="2"/>
  <c r="CQ211" i="2"/>
  <c r="A212" i="2"/>
  <c r="B212" i="2"/>
  <c r="CQ212" i="2"/>
  <c r="A213" i="2"/>
  <c r="B213" i="2"/>
  <c r="CQ213" i="2"/>
  <c r="A214" i="2"/>
  <c r="B214" i="2"/>
  <c r="CQ214" i="2"/>
  <c r="A215" i="2"/>
  <c r="B215" i="2"/>
  <c r="CQ215" i="2"/>
  <c r="A216" i="2"/>
  <c r="B216" i="2"/>
  <c r="CQ216" i="2"/>
  <c r="A217" i="2"/>
  <c r="B217" i="2"/>
  <c r="CQ217" i="2"/>
  <c r="A218" i="2"/>
  <c r="B218" i="2"/>
  <c r="CQ218" i="2"/>
  <c r="A219" i="2"/>
  <c r="B219" i="2"/>
  <c r="CQ219" i="2"/>
  <c r="A220" i="2"/>
  <c r="B220" i="2"/>
  <c r="CQ220" i="2"/>
  <c r="A221" i="2"/>
  <c r="B221" i="2"/>
  <c r="CQ221" i="2"/>
  <c r="A222" i="2"/>
  <c r="B222" i="2"/>
  <c r="CQ222" i="2"/>
  <c r="A223" i="2"/>
  <c r="B223" i="2"/>
  <c r="CQ223" i="2"/>
  <c r="A224" i="2"/>
  <c r="B224" i="2"/>
  <c r="CQ224" i="2"/>
  <c r="A225" i="2"/>
  <c r="B225" i="2"/>
  <c r="CQ225" i="2"/>
  <c r="A226" i="2"/>
  <c r="B226" i="2"/>
  <c r="CQ226" i="2"/>
  <c r="A227" i="2"/>
  <c r="B227" i="2"/>
  <c r="CQ227" i="2"/>
  <c r="A228" i="2"/>
  <c r="B228" i="2"/>
  <c r="CQ228" i="2"/>
  <c r="A229" i="2"/>
  <c r="B229" i="2"/>
  <c r="CQ229" i="2"/>
  <c r="A230" i="2"/>
  <c r="B230" i="2"/>
  <c r="CQ230" i="2"/>
  <c r="A231" i="2"/>
  <c r="B231" i="2"/>
  <c r="CQ231" i="2"/>
  <c r="A232" i="2"/>
  <c r="B232" i="2"/>
  <c r="CQ232" i="2"/>
  <c r="A233" i="2"/>
  <c r="B233" i="2"/>
  <c r="CQ233" i="2"/>
  <c r="A234" i="2"/>
  <c r="B234" i="2"/>
  <c r="CQ234" i="2"/>
  <c r="A235" i="2"/>
  <c r="B235" i="2"/>
  <c r="CQ235" i="2"/>
  <c r="A236" i="2"/>
  <c r="B236" i="2"/>
  <c r="CQ236" i="2"/>
  <c r="A237" i="2"/>
  <c r="B237" i="2"/>
  <c r="CQ237" i="2"/>
  <c r="A238" i="2"/>
  <c r="B238" i="2"/>
  <c r="CQ238" i="2"/>
  <c r="A239" i="2"/>
  <c r="B239" i="2"/>
  <c r="CQ239" i="2"/>
  <c r="A240" i="2"/>
  <c r="B240" i="2"/>
  <c r="CQ240" i="2"/>
  <c r="A241" i="2"/>
  <c r="B241" i="2"/>
  <c r="CQ241" i="2"/>
  <c r="A242" i="2"/>
  <c r="B242" i="2"/>
  <c r="CQ242" i="2"/>
  <c r="A243" i="2"/>
  <c r="B243" i="2"/>
  <c r="CQ243" i="2"/>
  <c r="A244" i="2"/>
  <c r="B244" i="2"/>
  <c r="CQ244" i="2"/>
  <c r="A245" i="2"/>
  <c r="B245" i="2"/>
  <c r="CQ245" i="2"/>
  <c r="A246" i="2"/>
  <c r="B246" i="2"/>
  <c r="CQ246" i="2"/>
  <c r="A247" i="2"/>
  <c r="B247" i="2"/>
  <c r="CQ247" i="2"/>
  <c r="A248" i="2"/>
  <c r="B248" i="2"/>
  <c r="CQ248" i="2"/>
  <c r="A249" i="2"/>
  <c r="B249" i="2"/>
  <c r="CQ249" i="2"/>
  <c r="A250" i="2"/>
  <c r="B250" i="2"/>
  <c r="CQ250" i="2"/>
  <c r="A251" i="2"/>
  <c r="B251" i="2"/>
  <c r="CQ251" i="2"/>
  <c r="A252" i="2"/>
  <c r="B252" i="2"/>
  <c r="CQ252" i="2"/>
  <c r="A253" i="2"/>
  <c r="B253" i="2"/>
  <c r="CQ253" i="2"/>
  <c r="A254" i="2"/>
  <c r="B254" i="2"/>
  <c r="CQ254" i="2"/>
  <c r="A255" i="2"/>
  <c r="B255" i="2"/>
  <c r="CQ255" i="2"/>
  <c r="A256" i="2"/>
  <c r="B256" i="2"/>
  <c r="CQ256" i="2"/>
  <c r="A257" i="2"/>
  <c r="B257" i="2"/>
  <c r="CQ257" i="2"/>
  <c r="A258" i="2"/>
  <c r="B258" i="2"/>
  <c r="CQ258" i="2"/>
  <c r="A259" i="2"/>
  <c r="B259" i="2"/>
  <c r="CQ259" i="2"/>
  <c r="A260" i="2"/>
  <c r="B260" i="2"/>
  <c r="CQ260" i="2"/>
  <c r="A261" i="2"/>
  <c r="B261" i="2"/>
  <c r="CQ261" i="2"/>
  <c r="A262" i="2"/>
  <c r="B262" i="2"/>
  <c r="CQ262" i="2"/>
  <c r="A263" i="2"/>
  <c r="B263" i="2"/>
  <c r="CQ263" i="2"/>
  <c r="A264" i="2"/>
  <c r="B264" i="2"/>
  <c r="CQ264" i="2"/>
  <c r="B265" i="2"/>
  <c r="CT265" i="2"/>
  <c r="CQ265" i="2"/>
  <c r="B266" i="2"/>
  <c r="CT266" i="2"/>
  <c r="CQ266" i="2"/>
  <c r="B267" i="2"/>
  <c r="CT267" i="2"/>
  <c r="CQ267" i="2"/>
  <c r="B268" i="2"/>
  <c r="CT268" i="2"/>
  <c r="CQ268" i="2"/>
  <c r="A269" i="2"/>
  <c r="B269" i="2"/>
  <c r="CT269" i="2"/>
  <c r="CQ269" i="2"/>
  <c r="A270" i="2"/>
  <c r="B270" i="2"/>
  <c r="CT270" i="2"/>
  <c r="CQ270" i="2"/>
  <c r="A271" i="2"/>
  <c r="B271" i="2"/>
  <c r="CT271" i="2"/>
  <c r="CQ271" i="2"/>
  <c r="A272" i="2"/>
  <c r="B272" i="2"/>
  <c r="CT272" i="2"/>
  <c r="CQ272" i="2"/>
  <c r="A273" i="2"/>
  <c r="B273" i="2"/>
  <c r="CT273" i="2"/>
  <c r="CQ273" i="2"/>
  <c r="A274" i="2"/>
  <c r="B274" i="2"/>
  <c r="CT274" i="2"/>
  <c r="CQ274" i="2"/>
  <c r="A275" i="2"/>
  <c r="B275" i="2"/>
  <c r="CT275" i="2"/>
  <c r="CQ275" i="2"/>
  <c r="A276" i="2"/>
  <c r="B276" i="2"/>
  <c r="CT276" i="2"/>
  <c r="CQ276" i="2"/>
  <c r="A277" i="2"/>
  <c r="B277" i="2"/>
  <c r="CT277" i="2"/>
  <c r="CQ277" i="2"/>
  <c r="A278" i="2"/>
  <c r="B278" i="2"/>
  <c r="CT278" i="2"/>
  <c r="CQ278" i="2"/>
  <c r="A279" i="2"/>
  <c r="B279" i="2"/>
  <c r="CT279" i="2"/>
  <c r="CQ279" i="2"/>
  <c r="A280" i="2"/>
  <c r="B280" i="2"/>
  <c r="CT280" i="2"/>
  <c r="CQ280" i="2"/>
  <c r="A281" i="2"/>
  <c r="B281" i="2"/>
  <c r="CT281" i="2"/>
  <c r="CQ281" i="2"/>
  <c r="A282" i="2"/>
  <c r="B282" i="2"/>
  <c r="CT282" i="2"/>
  <c r="CQ282" i="2"/>
  <c r="A283" i="2"/>
  <c r="B283" i="2"/>
  <c r="CT283" i="2"/>
  <c r="CQ283" i="2"/>
  <c r="A284" i="2"/>
  <c r="B284" i="2"/>
  <c r="CT284" i="2"/>
  <c r="CQ284" i="2"/>
  <c r="A285" i="2"/>
  <c r="B285" i="2"/>
  <c r="CT285" i="2"/>
  <c r="CQ285" i="2"/>
  <c r="A286" i="2"/>
  <c r="B286" i="2"/>
  <c r="CT286" i="2"/>
  <c r="CQ286" i="2"/>
  <c r="A287" i="2"/>
  <c r="B287" i="2"/>
  <c r="CT287" i="2"/>
  <c r="CQ287" i="2"/>
  <c r="A288" i="2"/>
  <c r="B288" i="2"/>
  <c r="CT288" i="2"/>
  <c r="CQ288" i="2"/>
  <c r="A289" i="2"/>
  <c r="B289" i="2"/>
  <c r="CT289" i="2"/>
  <c r="CQ289" i="2"/>
  <c r="A290" i="2"/>
  <c r="B290" i="2"/>
  <c r="CT290" i="2"/>
  <c r="CQ290" i="2"/>
  <c r="A291" i="2"/>
  <c r="B291" i="2"/>
  <c r="CT291" i="2"/>
  <c r="CQ291" i="2"/>
  <c r="A292" i="2"/>
  <c r="B292" i="2"/>
  <c r="CT292" i="2"/>
  <c r="CQ292" i="2"/>
  <c r="A293" i="2"/>
  <c r="B293" i="2"/>
  <c r="CT293" i="2"/>
  <c r="CQ293" i="2"/>
  <c r="A294" i="2"/>
  <c r="B294" i="2"/>
  <c r="CT294" i="2"/>
  <c r="CQ294" i="2"/>
  <c r="A295" i="2"/>
  <c r="B295" i="2"/>
  <c r="CT295" i="2"/>
  <c r="CQ295" i="2"/>
  <c r="A296" i="2"/>
  <c r="B296" i="2"/>
  <c r="CT296" i="2"/>
  <c r="CQ296" i="2"/>
  <c r="A297" i="2"/>
  <c r="B297" i="2"/>
  <c r="CT297" i="2"/>
  <c r="CQ297" i="2"/>
  <c r="A298" i="2"/>
  <c r="B298" i="2"/>
  <c r="CT298" i="2"/>
  <c r="CQ298" i="2"/>
  <c r="A299" i="2"/>
  <c r="B299" i="2"/>
  <c r="CT299" i="2"/>
  <c r="CQ299" i="2"/>
  <c r="A300" i="2"/>
  <c r="B300" i="2"/>
  <c r="CT300" i="2"/>
  <c r="CQ300" i="2"/>
  <c r="A301" i="2"/>
  <c r="B301" i="2"/>
  <c r="CT301" i="2"/>
  <c r="CQ301" i="2"/>
  <c r="A302" i="2"/>
  <c r="B302" i="2"/>
  <c r="CT302" i="2"/>
  <c r="CQ302" i="2"/>
  <c r="A303" i="2"/>
  <c r="B303" i="2"/>
  <c r="CT303" i="2"/>
  <c r="CQ303" i="2"/>
  <c r="A304" i="2"/>
  <c r="B304" i="2"/>
  <c r="CT304" i="2"/>
  <c r="CQ304" i="2"/>
  <c r="A305" i="2"/>
  <c r="B305" i="2"/>
  <c r="CT305" i="2"/>
  <c r="CQ305" i="2"/>
  <c r="A306" i="2"/>
  <c r="B306" i="2"/>
  <c r="CT306" i="2"/>
  <c r="CQ306" i="2"/>
  <c r="A307" i="2"/>
  <c r="B307" i="2"/>
  <c r="CT307" i="2"/>
  <c r="CQ307" i="2"/>
  <c r="A308" i="2"/>
  <c r="B308" i="2"/>
  <c r="CT308" i="2"/>
  <c r="CQ308" i="2"/>
  <c r="A309" i="2"/>
  <c r="B309" i="2"/>
  <c r="CT309" i="2"/>
  <c r="CQ309" i="2"/>
  <c r="A310" i="2"/>
  <c r="B310" i="2"/>
  <c r="CT310" i="2"/>
  <c r="CQ310" i="2"/>
  <c r="A311" i="2"/>
  <c r="B311" i="2"/>
  <c r="CT311" i="2"/>
  <c r="CQ311" i="2"/>
  <c r="A312" i="2"/>
  <c r="B312" i="2"/>
  <c r="CT312" i="2"/>
  <c r="CQ312" i="2"/>
  <c r="A313" i="2"/>
  <c r="B313" i="2"/>
  <c r="CT313" i="2"/>
  <c r="CQ313" i="2"/>
  <c r="A314" i="2"/>
  <c r="B314" i="2"/>
  <c r="CT314" i="2"/>
  <c r="CQ314" i="2"/>
  <c r="A315" i="2"/>
  <c r="B315" i="2"/>
  <c r="CT315" i="2"/>
  <c r="CQ315" i="2"/>
  <c r="A316" i="2"/>
  <c r="B316" i="2"/>
  <c r="CT316" i="2"/>
  <c r="CQ316" i="2"/>
  <c r="A317" i="2"/>
  <c r="B317" i="2"/>
  <c r="CT317" i="2"/>
  <c r="CQ317" i="2"/>
  <c r="A318" i="2"/>
  <c r="B318" i="2"/>
  <c r="CT318" i="2"/>
  <c r="CQ318" i="2"/>
  <c r="A319" i="2"/>
  <c r="B319" i="2"/>
  <c r="CT319" i="2"/>
  <c r="CQ319" i="2"/>
  <c r="A320" i="2"/>
  <c r="B320" i="2"/>
  <c r="CT320" i="2"/>
  <c r="CQ320" i="2"/>
  <c r="A321" i="2"/>
  <c r="B321" i="2"/>
  <c r="CT321" i="2"/>
  <c r="CQ321" i="2"/>
  <c r="A322" i="2"/>
  <c r="B322" i="2"/>
  <c r="CT322" i="2"/>
  <c r="CQ322" i="2"/>
  <c r="A323" i="2"/>
  <c r="B323" i="2"/>
  <c r="CT323" i="2"/>
  <c r="CQ323" i="2"/>
  <c r="A324" i="2"/>
  <c r="B324" i="2"/>
  <c r="CT324" i="2"/>
  <c r="CQ324" i="2"/>
  <c r="A325" i="2"/>
  <c r="B325" i="2"/>
  <c r="CT325" i="2"/>
  <c r="CQ325" i="2"/>
  <c r="A326" i="2"/>
  <c r="B326" i="2"/>
  <c r="CT326" i="2"/>
  <c r="CQ326" i="2"/>
  <c r="A327" i="2"/>
  <c r="B327" i="2"/>
  <c r="CT327" i="2"/>
  <c r="CQ327" i="2"/>
  <c r="A328" i="2"/>
  <c r="B328" i="2"/>
  <c r="CT328" i="2"/>
  <c r="CQ328" i="2"/>
  <c r="A329" i="2"/>
  <c r="B329" i="2"/>
  <c r="CT329" i="2"/>
  <c r="CQ329" i="2"/>
  <c r="A330" i="2"/>
  <c r="B330" i="2"/>
  <c r="CT330" i="2"/>
  <c r="CQ330" i="2"/>
  <c r="A331" i="2"/>
  <c r="B331" i="2"/>
  <c r="CT331" i="2"/>
  <c r="CQ331" i="2"/>
  <c r="A332" i="2"/>
  <c r="B332" i="2"/>
  <c r="CT332" i="2"/>
  <c r="CQ332" i="2"/>
  <c r="A333" i="2"/>
  <c r="B333" i="2"/>
  <c r="CT333" i="2"/>
  <c r="CQ333" i="2"/>
  <c r="A334" i="2"/>
  <c r="B334" i="2"/>
  <c r="CT334" i="2"/>
  <c r="CQ334" i="2"/>
  <c r="A335" i="2"/>
  <c r="B335" i="2"/>
  <c r="CT335" i="2"/>
  <c r="CQ335" i="2"/>
  <c r="A336" i="2"/>
  <c r="B336" i="2"/>
  <c r="CT336" i="2"/>
  <c r="CQ336" i="2"/>
  <c r="A337" i="2"/>
  <c r="B337" i="2"/>
  <c r="CT337" i="2"/>
  <c r="CQ337" i="2"/>
  <c r="A338" i="2"/>
  <c r="B338" i="2"/>
  <c r="CT338" i="2"/>
  <c r="CQ338" i="2"/>
  <c r="A339" i="2"/>
  <c r="B339" i="2"/>
  <c r="CT339" i="2"/>
  <c r="CQ339" i="2"/>
  <c r="A340" i="2"/>
  <c r="B340" i="2"/>
  <c r="CT340" i="2"/>
  <c r="CQ340" i="2"/>
  <c r="A341" i="2"/>
  <c r="B341" i="2"/>
  <c r="CT341" i="2"/>
  <c r="CQ341" i="2"/>
  <c r="A342" i="2"/>
  <c r="B342" i="2"/>
  <c r="CT342" i="2"/>
  <c r="CQ342" i="2"/>
  <c r="A343" i="2"/>
  <c r="B343" i="2"/>
  <c r="CT343" i="2"/>
  <c r="CQ343" i="2"/>
  <c r="A344" i="2"/>
  <c r="B344" i="2"/>
  <c r="CT344" i="2"/>
  <c r="CQ344" i="2"/>
  <c r="A347" i="2"/>
  <c r="B347" i="2"/>
  <c r="CT347" i="2"/>
  <c r="CQ347" i="2"/>
  <c r="A348" i="2"/>
  <c r="B348" i="2"/>
  <c r="CQ348" i="2"/>
  <c r="A349" i="2"/>
  <c r="B349" i="2"/>
  <c r="CT349" i="2"/>
  <c r="CQ349" i="2"/>
  <c r="A350" i="2"/>
  <c r="B350" i="2"/>
  <c r="CT350" i="2"/>
  <c r="CQ350" i="2"/>
  <c r="A351" i="2"/>
  <c r="B351" i="2"/>
  <c r="CQ351" i="2"/>
  <c r="A352" i="2"/>
  <c r="B352" i="2"/>
  <c r="CT352" i="2"/>
  <c r="CQ352" i="2"/>
  <c r="A353" i="2"/>
  <c r="B353" i="2"/>
  <c r="CT353" i="2"/>
  <c r="CQ353" i="2"/>
  <c r="A354" i="2"/>
  <c r="B354" i="2"/>
  <c r="CT354" i="2"/>
  <c r="CQ354" i="2"/>
  <c r="A355" i="2"/>
  <c r="B355" i="2"/>
  <c r="CT355" i="2"/>
  <c r="CQ355" i="2"/>
  <c r="A356" i="2"/>
  <c r="B356" i="2"/>
  <c r="CT356" i="2"/>
  <c r="CQ356" i="2"/>
  <c r="A357" i="2"/>
  <c r="B357" i="2"/>
  <c r="CT357" i="2"/>
  <c r="CQ357" i="2"/>
  <c r="A358" i="2"/>
  <c r="B358" i="2"/>
  <c r="CT358" i="2"/>
  <c r="CQ358" i="2"/>
  <c r="CT359" i="2"/>
  <c r="CQ359" i="2"/>
  <c r="CT360" i="2"/>
  <c r="CQ360" i="2"/>
  <c r="CT361" i="2"/>
  <c r="CQ361" i="2"/>
  <c r="CQ362" i="2"/>
  <c r="C2" i="1"/>
  <c r="C3" i="1"/>
  <c r="C4" i="1"/>
  <c r="C5" i="1"/>
  <c r="C6" i="1"/>
  <c r="C7" i="1"/>
  <c r="C8" i="1"/>
  <c r="CL11" i="1"/>
  <c r="CL12" i="1"/>
  <c r="CL13" i="1"/>
  <c r="CL14" i="1"/>
  <c r="CL15" i="1"/>
  <c r="CL16" i="1"/>
  <c r="CL17" i="1"/>
  <c r="BH18" i="1"/>
  <c r="BH25" i="1" s="1"/>
  <c r="BH32" i="1" s="1"/>
  <c r="CL18" i="1"/>
  <c r="BK19" i="1"/>
  <c r="BK26" i="1" s="1"/>
  <c r="CL19" i="1"/>
  <c r="BL20" i="1"/>
  <c r="BL27" i="1" s="1"/>
  <c r="BM21" i="1"/>
  <c r="CL21" i="1" s="1"/>
  <c r="BN22" i="1"/>
  <c r="CL22" i="1" s="1"/>
  <c r="BO23" i="1"/>
  <c r="BO30" i="1" s="1"/>
  <c r="BP24" i="1"/>
  <c r="CL24" i="1" s="1"/>
  <c r="BP31" i="1"/>
  <c r="BP38" i="1" s="1"/>
  <c r="CL31" i="1"/>
  <c r="CL51" i="1"/>
  <c r="CL52" i="1"/>
  <c r="CL53" i="1"/>
  <c r="CT362" i="2" s="1"/>
  <c r="CL54" i="1"/>
  <c r="CL55" i="1"/>
  <c r="CL56" i="1"/>
  <c r="CL57" i="1"/>
  <c r="CL58" i="1"/>
  <c r="CL59" i="1"/>
  <c r="CL60" i="1"/>
  <c r="CO348" i="2" l="1"/>
  <c r="CT348" i="2" s="1"/>
  <c r="CO351" i="2"/>
  <c r="CT351" i="2" s="1"/>
  <c r="CO81" i="2"/>
  <c r="CT81" i="2" s="1"/>
  <c r="CO93" i="2"/>
  <c r="CT93" i="2" s="1"/>
  <c r="CO105" i="2"/>
  <c r="CT105" i="2" s="1"/>
  <c r="CO82" i="2"/>
  <c r="CT82" i="2" s="1"/>
  <c r="CO94" i="2"/>
  <c r="CT94" i="2" s="1"/>
  <c r="CO106" i="2"/>
  <c r="CT106" i="2" s="1"/>
  <c r="CO83" i="2"/>
  <c r="CT83" i="2" s="1"/>
  <c r="CO95" i="2"/>
  <c r="CT95" i="2" s="1"/>
  <c r="CO107" i="2"/>
  <c r="CT107" i="2" s="1"/>
  <c r="CO84" i="2"/>
  <c r="CT84" i="2" s="1"/>
  <c r="CO96" i="2"/>
  <c r="CT96" i="2" s="1"/>
  <c r="CO108" i="2"/>
  <c r="CT108" i="2" s="1"/>
  <c r="CO85" i="2"/>
  <c r="CT85" i="2" s="1"/>
  <c r="CO97" i="2"/>
  <c r="CT97" i="2" s="1"/>
  <c r="CO109" i="2"/>
  <c r="CT109" i="2" s="1"/>
  <c r="CO86" i="2"/>
  <c r="CT86" i="2" s="1"/>
  <c r="CO98" i="2"/>
  <c r="CT98" i="2" s="1"/>
  <c r="CO110" i="2"/>
  <c r="CT110" i="2" s="1"/>
  <c r="CO87" i="2"/>
  <c r="CT87" i="2" s="1"/>
  <c r="CO99" i="2"/>
  <c r="CT99" i="2" s="1"/>
  <c r="CO111" i="2"/>
  <c r="CT111" i="2" s="1"/>
  <c r="CO88" i="2"/>
  <c r="CT88" i="2" s="1"/>
  <c r="CO100" i="2"/>
  <c r="CT100" i="2" s="1"/>
  <c r="CO112" i="2"/>
  <c r="CT112" i="2" s="1"/>
  <c r="CO89" i="2"/>
  <c r="CT89" i="2" s="1"/>
  <c r="CO101" i="2"/>
  <c r="CT101" i="2" s="1"/>
  <c r="CO113" i="2"/>
  <c r="CT113" i="2" s="1"/>
  <c r="CO78" i="2"/>
  <c r="CT78" i="2" s="1"/>
  <c r="CO90" i="2"/>
  <c r="CT90" i="2" s="1"/>
  <c r="CO102" i="2"/>
  <c r="CT102" i="2" s="1"/>
  <c r="CO114" i="2"/>
  <c r="CT114" i="2" s="1"/>
  <c r="CO79" i="2"/>
  <c r="CT79" i="2" s="1"/>
  <c r="CO91" i="2"/>
  <c r="CT91" i="2" s="1"/>
  <c r="CO103" i="2"/>
  <c r="CT103" i="2" s="1"/>
  <c r="CO80" i="2"/>
  <c r="CT80" i="2" s="1"/>
  <c r="CO92" i="2"/>
  <c r="CT92" i="2" s="1"/>
  <c r="CO104" i="2"/>
  <c r="CT104" i="2" s="1"/>
  <c r="CO9" i="2"/>
  <c r="CT9" i="2" s="1"/>
  <c r="CO21" i="2"/>
  <c r="CT21" i="2" s="1"/>
  <c r="CO33" i="2"/>
  <c r="CT33" i="2" s="1"/>
  <c r="CO10" i="2"/>
  <c r="CT10" i="2" s="1"/>
  <c r="CO22" i="2"/>
  <c r="CT22" i="2" s="1"/>
  <c r="CO34" i="2"/>
  <c r="CT34" i="2" s="1"/>
  <c r="CO11" i="2"/>
  <c r="CT11" i="2" s="1"/>
  <c r="CO23" i="2"/>
  <c r="CT23" i="2" s="1"/>
  <c r="CO35" i="2"/>
  <c r="CT35" i="2" s="1"/>
  <c r="CO12" i="2"/>
  <c r="CT12" i="2" s="1"/>
  <c r="CO24" i="2"/>
  <c r="CT24" i="2" s="1"/>
  <c r="CO36" i="2"/>
  <c r="CT36" i="2" s="1"/>
  <c r="CO13" i="2"/>
  <c r="CT13" i="2" s="1"/>
  <c r="CO25" i="2"/>
  <c r="CT25" i="2" s="1"/>
  <c r="CO37" i="2"/>
  <c r="CT37" i="2" s="1"/>
  <c r="CO14" i="2"/>
  <c r="CT14" i="2" s="1"/>
  <c r="CO26" i="2"/>
  <c r="CT26" i="2" s="1"/>
  <c r="CO38" i="2"/>
  <c r="CT38" i="2" s="1"/>
  <c r="CO3" i="2"/>
  <c r="CT3" i="2" s="1"/>
  <c r="CO15" i="2"/>
  <c r="CT15" i="2" s="1"/>
  <c r="CO27" i="2"/>
  <c r="CT27" i="2" s="1"/>
  <c r="CO39" i="2"/>
  <c r="CT39" i="2" s="1"/>
  <c r="CO4" i="2"/>
  <c r="CO16" i="2"/>
  <c r="CT16" i="2" s="1"/>
  <c r="CO28" i="2"/>
  <c r="CT28" i="2" s="1"/>
  <c r="CO5" i="2"/>
  <c r="CO17" i="2"/>
  <c r="CT17" i="2" s="1"/>
  <c r="CO29" i="2"/>
  <c r="CT29" i="2" s="1"/>
  <c r="CO6" i="2"/>
  <c r="CT6" i="2" s="1"/>
  <c r="CO18" i="2"/>
  <c r="CT18" i="2" s="1"/>
  <c r="CO30" i="2"/>
  <c r="CT30" i="2" s="1"/>
  <c r="CO7" i="2"/>
  <c r="CT7" i="2" s="1"/>
  <c r="CO19" i="2"/>
  <c r="CT19" i="2" s="1"/>
  <c r="CO31" i="2"/>
  <c r="CT31" i="2" s="1"/>
  <c r="CO32" i="2"/>
  <c r="CT32" i="2" s="1"/>
  <c r="CO8" i="2"/>
  <c r="CT8" i="2" s="1"/>
  <c r="CO20" i="2"/>
  <c r="CT20" i="2" s="1"/>
  <c r="CO237" i="2"/>
  <c r="CT237" i="2" s="1"/>
  <c r="CO249" i="2"/>
  <c r="CT249" i="2" s="1"/>
  <c r="CO261" i="2"/>
  <c r="CT261" i="2" s="1"/>
  <c r="CO238" i="2"/>
  <c r="CT238" i="2" s="1"/>
  <c r="CO250" i="2"/>
  <c r="CT250" i="2" s="1"/>
  <c r="CO262" i="2"/>
  <c r="CT262" i="2" s="1"/>
  <c r="CO239" i="2"/>
  <c r="CT239" i="2" s="1"/>
  <c r="CO251" i="2"/>
  <c r="CT251" i="2" s="1"/>
  <c r="CO263" i="2"/>
  <c r="CT263" i="2" s="1"/>
  <c r="CO228" i="2"/>
  <c r="CT228" i="2" s="1"/>
  <c r="CO240" i="2"/>
  <c r="CT240" i="2" s="1"/>
  <c r="CO252" i="2"/>
  <c r="CT252" i="2" s="1"/>
  <c r="CO264" i="2"/>
  <c r="CT264" i="2" s="1"/>
  <c r="CO229" i="2"/>
  <c r="CT229" i="2" s="1"/>
  <c r="CO241" i="2"/>
  <c r="CT241" i="2" s="1"/>
  <c r="CO253" i="2"/>
  <c r="CT253" i="2" s="1"/>
  <c r="CO230" i="2"/>
  <c r="CT230" i="2" s="1"/>
  <c r="CO242" i="2"/>
  <c r="CT242" i="2" s="1"/>
  <c r="CO254" i="2"/>
  <c r="CT254" i="2" s="1"/>
  <c r="CO231" i="2"/>
  <c r="CT231" i="2" s="1"/>
  <c r="CO243" i="2"/>
  <c r="CT243" i="2" s="1"/>
  <c r="CO255" i="2"/>
  <c r="CT255" i="2" s="1"/>
  <c r="CO232" i="2"/>
  <c r="CT232" i="2" s="1"/>
  <c r="CO244" i="2"/>
  <c r="CT244" i="2" s="1"/>
  <c r="CO256" i="2"/>
  <c r="CT256" i="2" s="1"/>
  <c r="CO233" i="2"/>
  <c r="CT233" i="2" s="1"/>
  <c r="CO245" i="2"/>
  <c r="CT245" i="2" s="1"/>
  <c r="CO257" i="2"/>
  <c r="CT257" i="2" s="1"/>
  <c r="CO234" i="2"/>
  <c r="CT234" i="2" s="1"/>
  <c r="CO246" i="2"/>
  <c r="CT246" i="2" s="1"/>
  <c r="CO258" i="2"/>
  <c r="CT258" i="2" s="1"/>
  <c r="CO235" i="2"/>
  <c r="CT235" i="2" s="1"/>
  <c r="CO247" i="2"/>
  <c r="CT247" i="2" s="1"/>
  <c r="CO259" i="2"/>
  <c r="CT259" i="2" s="1"/>
  <c r="CO236" i="2"/>
  <c r="CT236" i="2" s="1"/>
  <c r="CO248" i="2"/>
  <c r="CT248" i="2" s="1"/>
  <c r="CO260" i="2"/>
  <c r="CT260" i="2" s="1"/>
  <c r="CO201" i="2"/>
  <c r="CT201" i="2" s="1"/>
  <c r="CO213" i="2"/>
  <c r="CT213" i="2" s="1"/>
  <c r="CO225" i="2"/>
  <c r="CT225" i="2" s="1"/>
  <c r="CO202" i="2"/>
  <c r="CT202" i="2" s="1"/>
  <c r="CO214" i="2"/>
  <c r="CT214" i="2" s="1"/>
  <c r="CO226" i="2"/>
  <c r="CT226" i="2" s="1"/>
  <c r="CO191" i="2"/>
  <c r="CT191" i="2" s="1"/>
  <c r="CO203" i="2"/>
  <c r="CT203" i="2" s="1"/>
  <c r="CO215" i="2"/>
  <c r="CT215" i="2" s="1"/>
  <c r="CO227" i="2"/>
  <c r="CT227" i="2" s="1"/>
  <c r="CO192" i="2"/>
  <c r="CT192" i="2" s="1"/>
  <c r="CO204" i="2"/>
  <c r="CT204" i="2" s="1"/>
  <c r="CO216" i="2"/>
  <c r="CT216" i="2" s="1"/>
  <c r="CO193" i="2"/>
  <c r="CT193" i="2" s="1"/>
  <c r="CO205" i="2"/>
  <c r="CT205" i="2" s="1"/>
  <c r="CO217" i="2"/>
  <c r="CT217" i="2" s="1"/>
  <c r="CO194" i="2"/>
  <c r="CT194" i="2" s="1"/>
  <c r="CO206" i="2"/>
  <c r="CT206" i="2" s="1"/>
  <c r="CO218" i="2"/>
  <c r="CT218" i="2" s="1"/>
  <c r="CO195" i="2"/>
  <c r="CT195" i="2" s="1"/>
  <c r="CO207" i="2"/>
  <c r="CT207" i="2" s="1"/>
  <c r="CO219" i="2"/>
  <c r="CT219" i="2" s="1"/>
  <c r="CO196" i="2"/>
  <c r="CT196" i="2" s="1"/>
  <c r="CO208" i="2"/>
  <c r="CT208" i="2" s="1"/>
  <c r="CO220" i="2"/>
  <c r="CT220" i="2" s="1"/>
  <c r="CO197" i="2"/>
  <c r="CT197" i="2" s="1"/>
  <c r="CO209" i="2"/>
  <c r="CT209" i="2" s="1"/>
  <c r="CO221" i="2"/>
  <c r="CT221" i="2" s="1"/>
  <c r="CO198" i="2"/>
  <c r="CT198" i="2" s="1"/>
  <c r="CO210" i="2"/>
  <c r="CT210" i="2" s="1"/>
  <c r="CO222" i="2"/>
  <c r="CT222" i="2" s="1"/>
  <c r="CO199" i="2"/>
  <c r="CT199" i="2" s="1"/>
  <c r="CO211" i="2"/>
  <c r="CT211" i="2" s="1"/>
  <c r="CO223" i="2"/>
  <c r="CT223" i="2" s="1"/>
  <c r="CO200" i="2"/>
  <c r="CT200" i="2" s="1"/>
  <c r="CO212" i="2"/>
  <c r="CT212" i="2" s="1"/>
  <c r="CO224" i="2"/>
  <c r="CT224" i="2" s="1"/>
  <c r="CO165" i="2"/>
  <c r="CT165" i="2" s="1"/>
  <c r="CO177" i="2"/>
  <c r="CT177" i="2" s="1"/>
  <c r="CO189" i="2"/>
  <c r="CT189" i="2" s="1"/>
  <c r="CO154" i="2"/>
  <c r="CT154" i="2" s="1"/>
  <c r="CO166" i="2"/>
  <c r="CT166" i="2" s="1"/>
  <c r="CO178" i="2"/>
  <c r="CT178" i="2" s="1"/>
  <c r="CO190" i="2"/>
  <c r="CT190" i="2" s="1"/>
  <c r="CO155" i="2"/>
  <c r="CT155" i="2" s="1"/>
  <c r="CO167" i="2"/>
  <c r="CT167" i="2" s="1"/>
  <c r="CO179" i="2"/>
  <c r="CT179" i="2" s="1"/>
  <c r="CO156" i="2"/>
  <c r="CT156" i="2" s="1"/>
  <c r="CO168" i="2"/>
  <c r="CT168" i="2" s="1"/>
  <c r="CO180" i="2"/>
  <c r="CT180" i="2" s="1"/>
  <c r="CO157" i="2"/>
  <c r="CT157" i="2" s="1"/>
  <c r="CO169" i="2"/>
  <c r="CT169" i="2" s="1"/>
  <c r="CO181" i="2"/>
  <c r="CT181" i="2" s="1"/>
  <c r="CO158" i="2"/>
  <c r="CT158" i="2" s="1"/>
  <c r="CO170" i="2"/>
  <c r="CT170" i="2" s="1"/>
  <c r="CO182" i="2"/>
  <c r="CT182" i="2" s="1"/>
  <c r="CO159" i="2"/>
  <c r="CT159" i="2" s="1"/>
  <c r="CO171" i="2"/>
  <c r="CT171" i="2" s="1"/>
  <c r="CO183" i="2"/>
  <c r="CT183" i="2" s="1"/>
  <c r="CO160" i="2"/>
  <c r="CT160" i="2" s="1"/>
  <c r="CO172" i="2"/>
  <c r="CT172" i="2" s="1"/>
  <c r="CO184" i="2"/>
  <c r="CT184" i="2" s="1"/>
  <c r="CO161" i="2"/>
  <c r="CT161" i="2" s="1"/>
  <c r="CO173" i="2"/>
  <c r="CT173" i="2" s="1"/>
  <c r="CO185" i="2"/>
  <c r="CT185" i="2" s="1"/>
  <c r="CO162" i="2"/>
  <c r="CT162" i="2" s="1"/>
  <c r="CO174" i="2"/>
  <c r="CT174" i="2" s="1"/>
  <c r="CO186" i="2"/>
  <c r="CT186" i="2" s="1"/>
  <c r="CO163" i="2"/>
  <c r="CT163" i="2" s="1"/>
  <c r="CO175" i="2"/>
  <c r="CT175" i="2" s="1"/>
  <c r="CO187" i="2"/>
  <c r="CT187" i="2" s="1"/>
  <c r="CO164" i="2"/>
  <c r="CT164" i="2" s="1"/>
  <c r="CO176" i="2"/>
  <c r="CT176" i="2" s="1"/>
  <c r="CO188" i="2"/>
  <c r="CT188" i="2" s="1"/>
  <c r="CT366" i="2"/>
  <c r="CT365" i="2"/>
  <c r="CT364" i="2"/>
  <c r="CT363" i="2"/>
  <c r="BO37" i="1"/>
  <c r="CL30" i="1"/>
  <c r="CL23" i="1"/>
  <c r="CL20" i="1"/>
  <c r="BN29" i="1"/>
  <c r="CL25" i="1"/>
  <c r="CT4" i="2"/>
  <c r="CT5" i="2"/>
  <c r="F167" i="3"/>
  <c r="BM131" i="3"/>
  <c r="BN131" i="3" s="1"/>
  <c r="F155" i="3"/>
  <c r="B144" i="3"/>
  <c r="AB53" i="4"/>
  <c r="AC42" i="4"/>
  <c r="G3" i="2"/>
  <c r="CM3" i="2" s="1"/>
  <c r="AC12" i="4"/>
  <c r="AB54" i="4"/>
  <c r="Z8" i="4"/>
  <c r="AB44" i="4"/>
  <c r="AB17" i="4"/>
  <c r="AB56" i="4"/>
  <c r="AC36" i="4"/>
  <c r="AB36" i="4"/>
  <c r="AC27" i="4"/>
  <c r="AB27" i="4"/>
  <c r="AB10" i="4"/>
  <c r="AC10" i="4"/>
  <c r="AC33" i="4"/>
  <c r="AB33" i="4"/>
  <c r="AC24" i="4"/>
  <c r="AB24" i="4"/>
  <c r="AC52" i="4"/>
  <c r="AB52" i="4"/>
  <c r="AB5" i="4"/>
  <c r="AC5" i="4"/>
  <c r="AC30" i="4"/>
  <c r="AB30" i="4"/>
  <c r="AC21" i="4"/>
  <c r="AB21" i="4"/>
  <c r="AC14" i="4"/>
  <c r="AB14" i="4"/>
  <c r="AC55" i="4"/>
  <c r="AC39" i="4"/>
  <c r="AC11" i="4"/>
  <c r="AC69" i="4"/>
  <c r="AC7" i="4"/>
  <c r="AB49" i="4"/>
  <c r="AC68" i="4"/>
  <c r="AC13" i="4"/>
  <c r="AC45" i="4"/>
  <c r="AC40" i="4"/>
  <c r="F175" i="3"/>
  <c r="F159" i="3"/>
  <c r="C137" i="3"/>
  <c r="B125" i="3"/>
  <c r="F152" i="3"/>
  <c r="F171" i="3"/>
  <c r="B156" i="3"/>
  <c r="C140" i="3"/>
  <c r="F119" i="3"/>
  <c r="F180" i="3"/>
  <c r="B160" i="3"/>
  <c r="F184" i="3"/>
  <c r="F174" i="3"/>
  <c r="BM133" i="3"/>
  <c r="BN133" i="3" s="1"/>
  <c r="B122" i="3"/>
  <c r="F168" i="3"/>
  <c r="F182" i="3"/>
  <c r="F172" i="3"/>
  <c r="F162" i="3"/>
  <c r="BM125" i="3"/>
  <c r="BN125" i="3" s="1"/>
  <c r="F133" i="3"/>
  <c r="B133" i="3"/>
  <c r="F179" i="3"/>
  <c r="F166" i="3"/>
  <c r="B162" i="3"/>
  <c r="F158" i="3"/>
  <c r="C136" i="3"/>
  <c r="F183" i="3"/>
  <c r="B170" i="3"/>
  <c r="F144" i="3"/>
  <c r="BM140" i="3"/>
  <c r="BN140" i="3" s="1"/>
  <c r="F148" i="3"/>
  <c r="B178" i="3"/>
  <c r="B148" i="3"/>
  <c r="B131" i="3"/>
  <c r="F164" i="3"/>
  <c r="F160" i="3"/>
  <c r="F156" i="3"/>
  <c r="B152" i="3"/>
  <c r="F143" i="3"/>
  <c r="B134" i="3"/>
  <c r="C125" i="3"/>
  <c r="F176" i="3"/>
  <c r="F163" i="3"/>
  <c r="B146" i="3"/>
  <c r="F142" i="3"/>
  <c r="F178" i="3"/>
  <c r="F170" i="3"/>
  <c r="F151" i="3"/>
  <c r="F147" i="3"/>
  <c r="C124" i="3"/>
  <c r="F154" i="3"/>
  <c r="F131" i="3"/>
  <c r="B154" i="3"/>
  <c r="F150" i="3"/>
  <c r="F146" i="3"/>
  <c r="BM138" i="3"/>
  <c r="BN138" i="3" s="1"/>
  <c r="BM134" i="3"/>
  <c r="BN134" i="3" s="1"/>
  <c r="C131" i="3"/>
  <c r="BM122" i="3"/>
  <c r="BN122" i="3" s="1"/>
  <c r="B184" i="3"/>
  <c r="B176" i="3"/>
  <c r="B168" i="3"/>
  <c r="B164" i="3"/>
  <c r="B137" i="3"/>
  <c r="BM128" i="3"/>
  <c r="BN128" i="3" s="1"/>
  <c r="BM124" i="3"/>
  <c r="BN124" i="3" s="1"/>
  <c r="F129" i="3"/>
  <c r="B123" i="3"/>
  <c r="F117" i="3"/>
  <c r="BM116" i="3"/>
  <c r="BN116" i="3" s="1"/>
  <c r="B180" i="3"/>
  <c r="B172" i="3"/>
  <c r="BM136" i="3"/>
  <c r="BN136" i="3" s="1"/>
  <c r="C128" i="3"/>
  <c r="F116" i="3"/>
  <c r="F177" i="3"/>
  <c r="F169" i="3"/>
  <c r="F161" i="3"/>
  <c r="F153" i="3"/>
  <c r="F145" i="3"/>
  <c r="F136" i="3"/>
  <c r="BM119" i="3"/>
  <c r="BN119" i="3" s="1"/>
  <c r="C116" i="3"/>
  <c r="B182" i="3"/>
  <c r="B174" i="3"/>
  <c r="B166" i="3"/>
  <c r="B158" i="3"/>
  <c r="B150" i="3"/>
  <c r="B142" i="3"/>
  <c r="B119" i="3"/>
  <c r="BM121" i="3"/>
  <c r="BN121" i="3" s="1"/>
  <c r="BM135" i="3"/>
  <c r="BN135" i="3" s="1"/>
  <c r="BM126" i="3"/>
  <c r="BN126" i="3" s="1"/>
  <c r="BM123" i="3"/>
  <c r="BN123" i="3" s="1"/>
  <c r="F121" i="3"/>
  <c r="F135" i="3"/>
  <c r="F123" i="3"/>
  <c r="C121" i="3"/>
  <c r="F181" i="3"/>
  <c r="F173" i="3"/>
  <c r="F165" i="3"/>
  <c r="F157" i="3"/>
  <c r="F149" i="3"/>
  <c r="F141" i="3"/>
  <c r="BM137" i="3"/>
  <c r="BN137" i="3" s="1"/>
  <c r="B135" i="3"/>
  <c r="AB43" i="4"/>
  <c r="AC43" i="4"/>
  <c r="AB38" i="4"/>
  <c r="AC38" i="4"/>
  <c r="AB32" i="4"/>
  <c r="AC32" i="4"/>
  <c r="AB26" i="4"/>
  <c r="AC26" i="4"/>
  <c r="AB20" i="4"/>
  <c r="AC20" i="4"/>
  <c r="AB59" i="4"/>
  <c r="AC59" i="4"/>
  <c r="AB48" i="4"/>
  <c r="AC48" i="4"/>
  <c r="AB64" i="4"/>
  <c r="AC64" i="4"/>
  <c r="AB35" i="4"/>
  <c r="AC35" i="4"/>
  <c r="AB29" i="4"/>
  <c r="AC29" i="4"/>
  <c r="AB23" i="4"/>
  <c r="AC23" i="4"/>
  <c r="AB51" i="4"/>
  <c r="AC51" i="4"/>
  <c r="AB4" i="4"/>
  <c r="AC4" i="4"/>
  <c r="AB62" i="4"/>
  <c r="AC62" i="4"/>
  <c r="Z61" i="4"/>
  <c r="AB50" i="4"/>
  <c r="Z47" i="4"/>
  <c r="AB37" i="4"/>
  <c r="AB34" i="4"/>
  <c r="AB31" i="4"/>
  <c r="AB28" i="4"/>
  <c r="AB25" i="4"/>
  <c r="AB22" i="4"/>
  <c r="AB19" i="4"/>
  <c r="AC63" i="4"/>
  <c r="AC60" i="4"/>
  <c r="AC46" i="4"/>
  <c r="AC18" i="4"/>
  <c r="AC41" i="4"/>
  <c r="AC9" i="4"/>
  <c r="AC6" i="4"/>
  <c r="AC3" i="4"/>
  <c r="F140" i="3"/>
  <c r="B130" i="3"/>
  <c r="F128" i="3"/>
  <c r="B118" i="3"/>
  <c r="F138" i="3"/>
  <c r="F126" i="3"/>
  <c r="C138" i="3"/>
  <c r="C126" i="3"/>
  <c r="BM129" i="3"/>
  <c r="BN129" i="3" s="1"/>
  <c r="F124" i="3"/>
  <c r="BM117" i="3"/>
  <c r="BN117" i="3" s="1"/>
  <c r="C183" i="3"/>
  <c r="C181" i="3"/>
  <c r="C179" i="3"/>
  <c r="C177" i="3"/>
  <c r="C175" i="3"/>
  <c r="C173" i="3"/>
  <c r="C171" i="3"/>
  <c r="C169" i="3"/>
  <c r="C167" i="3"/>
  <c r="C165" i="3"/>
  <c r="C163" i="3"/>
  <c r="C161" i="3"/>
  <c r="C159" i="3"/>
  <c r="C157" i="3"/>
  <c r="C155" i="3"/>
  <c r="C153" i="3"/>
  <c r="C151" i="3"/>
  <c r="C149" i="3"/>
  <c r="C147" i="3"/>
  <c r="C145" i="3"/>
  <c r="C143" i="3"/>
  <c r="C141" i="3"/>
  <c r="BM139" i="3"/>
  <c r="BN139" i="3" s="1"/>
  <c r="F134" i="3"/>
  <c r="C129" i="3"/>
  <c r="BM127" i="3"/>
  <c r="BN127" i="3" s="1"/>
  <c r="F122" i="3"/>
  <c r="C117" i="3"/>
  <c r="F139" i="3"/>
  <c r="BM132" i="3"/>
  <c r="BN132" i="3" s="1"/>
  <c r="F127" i="3"/>
  <c r="BM120" i="3"/>
  <c r="BN120" i="3" s="1"/>
  <c r="C139" i="3"/>
  <c r="F132" i="3"/>
  <c r="C127" i="3"/>
  <c r="F120" i="3"/>
  <c r="C132" i="3"/>
  <c r="BM130" i="3"/>
  <c r="BN130" i="3" s="1"/>
  <c r="C120" i="3"/>
  <c r="BM118" i="3"/>
  <c r="BN118" i="3" s="1"/>
  <c r="F130" i="3"/>
  <c r="F118" i="3"/>
  <c r="CL38" i="1"/>
  <c r="BP45" i="1"/>
  <c r="CL45" i="1" s="1"/>
  <c r="CL27" i="1"/>
  <c r="BL34" i="1"/>
  <c r="CL26" i="1"/>
  <c r="BK33" i="1"/>
  <c r="CL32" i="1"/>
  <c r="BH39" i="1"/>
  <c r="CL39" i="1" s="1"/>
  <c r="BM28" i="1"/>
  <c r="BO44" i="1" l="1"/>
  <c r="CL44" i="1" s="1"/>
  <c r="CL37" i="1"/>
  <c r="CL29" i="1"/>
  <c r="BN36" i="1"/>
  <c r="CN3" i="2"/>
  <c r="AC8" i="4"/>
  <c r="AB8" i="4"/>
  <c r="AB47" i="4"/>
  <c r="AC47" i="4"/>
  <c r="AB61" i="4"/>
  <c r="AC61" i="4"/>
  <c r="BM35" i="1"/>
  <c r="CL28" i="1"/>
  <c r="CL33" i="1"/>
  <c r="BK40" i="1"/>
  <c r="CL40" i="1" s="1"/>
  <c r="BL41" i="1"/>
  <c r="CL41" i="1" s="1"/>
  <c r="CL34" i="1"/>
  <c r="BN43" i="1" l="1"/>
  <c r="CL43" i="1" s="1"/>
  <c r="CL36" i="1"/>
  <c r="CL35" i="1"/>
  <c r="BM42" i="1"/>
  <c r="CL42" i="1" s="1"/>
</calcChain>
</file>

<file path=xl/sharedStrings.xml><?xml version="1.0" encoding="utf-8"?>
<sst xmlns="http://schemas.openxmlformats.org/spreadsheetml/2006/main" count="3197" uniqueCount="1297">
  <si>
    <t>外套</t>
  </si>
  <si>
    <t>ライトガード</t>
    <phoneticPr fontId="2"/>
  </si>
  <si>
    <t>耐光</t>
  </si>
  <si>
    <t>ダークガード</t>
    <phoneticPr fontId="2"/>
  </si>
  <si>
    <t>耐闇</t>
  </si>
  <si>
    <t>サウンドガード</t>
    <phoneticPr fontId="2"/>
  </si>
  <si>
    <t>耐音</t>
  </si>
  <si>
    <t>アシッドガード</t>
    <phoneticPr fontId="2"/>
  </si>
  <si>
    <t>耐酸</t>
  </si>
  <si>
    <t>エレクトロガード</t>
    <phoneticPr fontId="2"/>
  </si>
  <si>
    <t>耐雷</t>
  </si>
  <si>
    <t>フロストガード</t>
    <phoneticPr fontId="2"/>
  </si>
  <si>
    <t>耐氷</t>
  </si>
  <si>
    <t>フレイムガード</t>
    <phoneticPr fontId="2"/>
  </si>
  <si>
    <t>耐炎</t>
  </si>
  <si>
    <t>シャドー</t>
    <phoneticPr fontId="2"/>
  </si>
  <si>
    <t>影</t>
    <rPh sb="0" eb="1">
      <t>カゲ</t>
    </rPh>
    <phoneticPr fontId="2"/>
  </si>
  <si>
    <t>パーソン</t>
  </si>
  <si>
    <t>只人</t>
  </si>
  <si>
    <t>ビースト</t>
  </si>
  <si>
    <t>獣人</t>
  </si>
  <si>
    <t>エンジェル</t>
  </si>
  <si>
    <t>天使</t>
  </si>
  <si>
    <t>デヴィル</t>
  </si>
  <si>
    <t>悪魔</t>
  </si>
  <si>
    <t>ギガント</t>
  </si>
  <si>
    <t>妖巨人</t>
  </si>
  <si>
    <t>デーモン</t>
  </si>
  <si>
    <t>鬼</t>
  </si>
  <si>
    <t>ライフツリー</t>
  </si>
  <si>
    <t>生命樹</t>
  </si>
  <si>
    <t>ラージイーグル</t>
  </si>
  <si>
    <t>大鷲</t>
  </si>
  <si>
    <t>シルバーウルフ</t>
  </si>
  <si>
    <t>銀狼</t>
  </si>
  <si>
    <t>アークスピリット</t>
  </si>
  <si>
    <t>大精霊</t>
  </si>
  <si>
    <t>ギガーン</t>
  </si>
  <si>
    <t>大魔</t>
  </si>
  <si>
    <t>ラージベア</t>
  </si>
  <si>
    <t>大熊</t>
  </si>
  <si>
    <t>ゴールドレオ</t>
  </si>
  <si>
    <t>金獅子</t>
  </si>
  <si>
    <t>トライワイト</t>
  </si>
  <si>
    <t>黄昏</t>
  </si>
  <si>
    <t>ファルコン</t>
  </si>
  <si>
    <t>鷹</t>
  </si>
  <si>
    <t>ウルフ</t>
  </si>
  <si>
    <t>狼</t>
  </si>
  <si>
    <t>ピーカク</t>
  </si>
  <si>
    <t>孔雀</t>
  </si>
  <si>
    <t>ジーニ</t>
  </si>
  <si>
    <t>魔人</t>
  </si>
  <si>
    <t>エレファント</t>
  </si>
  <si>
    <t>象</t>
  </si>
  <si>
    <t>レオ</t>
  </si>
  <si>
    <t>大獅子</t>
  </si>
  <si>
    <t>フラワーツリー</t>
  </si>
  <si>
    <t>花樹</t>
  </si>
  <si>
    <t>イーグル</t>
  </si>
  <si>
    <t>鷲</t>
  </si>
  <si>
    <t>キャット</t>
  </si>
  <si>
    <t>猫</t>
  </si>
  <si>
    <t>フィン</t>
  </si>
  <si>
    <t>妖魔</t>
  </si>
  <si>
    <t>マジック</t>
  </si>
  <si>
    <t>魔力</t>
  </si>
  <si>
    <t>ベア</t>
  </si>
  <si>
    <t>熊</t>
  </si>
  <si>
    <t>ライオン</t>
  </si>
  <si>
    <t>獅子</t>
  </si>
  <si>
    <t>ラージツリー</t>
  </si>
  <si>
    <t>大樹</t>
  </si>
  <si>
    <t>スパロウ</t>
  </si>
  <si>
    <t>雀</t>
  </si>
  <si>
    <t>ラット</t>
  </si>
  <si>
    <t>鼠</t>
  </si>
  <si>
    <t>フェアリー</t>
  </si>
  <si>
    <t>妖精</t>
  </si>
  <si>
    <t>スピリット</t>
  </si>
  <si>
    <t>精霊</t>
  </si>
  <si>
    <t>ボア</t>
  </si>
  <si>
    <t>猪</t>
  </si>
  <si>
    <t>アント</t>
  </si>
  <si>
    <t>蟻</t>
  </si>
  <si>
    <t>ツリー</t>
  </si>
  <si>
    <t>樹</t>
  </si>
  <si>
    <t>英名</t>
  </si>
  <si>
    <t>和名</t>
  </si>
  <si>
    <t>リング</t>
  </si>
  <si>
    <t>指輪</t>
  </si>
  <si>
    <t>ネックレス</t>
  </si>
  <si>
    <t>首飾り</t>
    <phoneticPr fontId="2"/>
  </si>
  <si>
    <t>アームリング</t>
  </si>
  <si>
    <t>輪</t>
    <phoneticPr fontId="2"/>
  </si>
  <si>
    <t>ベルト</t>
  </si>
  <si>
    <t>帯</t>
  </si>
  <si>
    <t>ガントレット</t>
  </si>
  <si>
    <t>篭手</t>
  </si>
  <si>
    <t>マント</t>
  </si>
  <si>
    <t>モノクル</t>
  </si>
  <si>
    <t>単眼鏡</t>
  </si>
  <si>
    <t>説明</t>
    <rPh sb="0" eb="2">
      <t>セツメイ</t>
    </rPh>
    <phoneticPr fontId="2"/>
  </si>
  <si>
    <t>武器の説明</t>
    <rPh sb="0" eb="2">
      <t>ブキ</t>
    </rPh>
    <rPh sb="3" eb="5">
      <t>セツメイ</t>
    </rPh>
    <phoneticPr fontId="2"/>
  </si>
  <si>
    <t>素材の説明</t>
    <rPh sb="0" eb="2">
      <t>ソザイ</t>
    </rPh>
    <rPh sb="3" eb="5">
      <t>セツメイ</t>
    </rPh>
    <phoneticPr fontId="2"/>
  </si>
  <si>
    <t>金額</t>
    <rPh sb="0" eb="2">
      <t>キンガク</t>
    </rPh>
    <phoneticPr fontId="2"/>
  </si>
  <si>
    <t>武器フィルター用</t>
    <rPh sb="0" eb="2">
      <t>ブキ</t>
    </rPh>
    <rPh sb="7" eb="8">
      <t>ヨウ</t>
    </rPh>
    <phoneticPr fontId="2"/>
  </si>
  <si>
    <t>威力</t>
    <rPh sb="0" eb="2">
      <t>イリョク</t>
    </rPh>
    <phoneticPr fontId="2"/>
  </si>
  <si>
    <t>重量</t>
    <rPh sb="0" eb="2">
      <t>ジュウリョウ</t>
    </rPh>
    <phoneticPr fontId="2"/>
  </si>
  <si>
    <t>指揮</t>
  </si>
  <si>
    <t>魔法技術</t>
  </si>
  <si>
    <t>精神接続</t>
  </si>
  <si>
    <t>制作</t>
  </si>
  <si>
    <t>変装</t>
  </si>
  <si>
    <t>装置</t>
  </si>
  <si>
    <t>鑑定</t>
  </si>
  <si>
    <t>知識</t>
  </si>
  <si>
    <t>騙す</t>
  </si>
  <si>
    <t>看破</t>
    <rPh sb="0" eb="2">
      <t>カンパ</t>
    </rPh>
    <phoneticPr fontId="2"/>
  </si>
  <si>
    <t>早業</t>
  </si>
  <si>
    <t>技術</t>
  </si>
  <si>
    <t>軽業</t>
  </si>
  <si>
    <t>威圧</t>
  </si>
  <si>
    <t>感知</t>
  </si>
  <si>
    <t>隠密</t>
  </si>
  <si>
    <t>APP</t>
  </si>
  <si>
    <t>SIZ</t>
  </si>
  <si>
    <t>命中</t>
  </si>
  <si>
    <t>速度</t>
  </si>
  <si>
    <t>精神</t>
    <phoneticPr fontId="2"/>
  </si>
  <si>
    <t>防御</t>
  </si>
  <si>
    <t>攻撃</t>
  </si>
  <si>
    <t>ST</t>
  </si>
  <si>
    <t>MP</t>
  </si>
  <si>
    <t>HP</t>
  </si>
  <si>
    <t>Lv</t>
    <phoneticPr fontId="2"/>
  </si>
  <si>
    <t>Cr威力耐性</t>
  </si>
  <si>
    <t>Cr率耐性</t>
  </si>
  <si>
    <t>魔法耐性</t>
  </si>
  <si>
    <t>物理耐性</t>
  </si>
  <si>
    <t>体幹耐性</t>
    <rPh sb="0" eb="2">
      <t>タイカン</t>
    </rPh>
    <rPh sb="2" eb="4">
      <t>タイセイ</t>
    </rPh>
    <phoneticPr fontId="2"/>
  </si>
  <si>
    <t>疲労耐性</t>
  </si>
  <si>
    <t>出血耐性</t>
  </si>
  <si>
    <t>時間耐性</t>
  </si>
  <si>
    <t>即死耐性</t>
  </si>
  <si>
    <t>呪い耐性</t>
  </si>
  <si>
    <t>拘束耐性</t>
  </si>
  <si>
    <t>怯み耐性</t>
  </si>
  <si>
    <t>石化耐性</t>
  </si>
  <si>
    <t>幻覚耐性</t>
  </si>
  <si>
    <t>盲目耐性</t>
  </si>
  <si>
    <t>毒耐性</t>
  </si>
  <si>
    <t>精神耐性</t>
  </si>
  <si>
    <t>負耐性</t>
  </si>
  <si>
    <t>正耐性</t>
  </si>
  <si>
    <t>悪耐性</t>
    <phoneticPr fontId="2"/>
  </si>
  <si>
    <t>善耐性</t>
  </si>
  <si>
    <t>光耐性</t>
  </si>
  <si>
    <t>闇耐性</t>
  </si>
  <si>
    <t>音耐性</t>
  </si>
  <si>
    <t>酸耐性</t>
  </si>
  <si>
    <t>雷耐性</t>
  </si>
  <si>
    <t>氷耐性</t>
  </si>
  <si>
    <t>炎耐性</t>
  </si>
  <si>
    <t>打撃耐性</t>
  </si>
  <si>
    <t>貫通耐性</t>
  </si>
  <si>
    <t>切断耐性</t>
  </si>
  <si>
    <t>魔法軽減</t>
  </si>
  <si>
    <t>物理軽減</t>
    <rPh sb="0" eb="2">
      <t>ブツリ</t>
    </rPh>
    <rPh sb="2" eb="4">
      <t>ケイゲン</t>
    </rPh>
    <phoneticPr fontId="2"/>
  </si>
  <si>
    <t>付与能力</t>
    <rPh sb="0" eb="2">
      <t>フヨ</t>
    </rPh>
    <rPh sb="2" eb="4">
      <t>ノウリョク</t>
    </rPh>
    <phoneticPr fontId="2"/>
  </si>
  <si>
    <t>能力</t>
    <rPh sb="0" eb="2">
      <t>ノウリョク</t>
    </rPh>
    <phoneticPr fontId="2"/>
  </si>
  <si>
    <t>攻撃タイプ</t>
  </si>
  <si>
    <t>攻撃回数</t>
  </si>
  <si>
    <t>リロード時間</t>
  </si>
  <si>
    <t>弾倉</t>
  </si>
  <si>
    <t>射程</t>
    <phoneticPr fontId="2"/>
  </si>
  <si>
    <t>命中率</t>
    <rPh sb="0" eb="3">
      <t>メイチュウリツ</t>
    </rPh>
    <phoneticPr fontId="2"/>
  </si>
  <si>
    <t>回避率</t>
    <rPh sb="0" eb="3">
      <t>カイヒリツ</t>
    </rPh>
    <phoneticPr fontId="2"/>
  </si>
  <si>
    <t>Cr威力</t>
  </si>
  <si>
    <t>Cr率</t>
  </si>
  <si>
    <t>変動</t>
    <rPh sb="0" eb="2">
      <t>ヘンドウ</t>
    </rPh>
    <phoneticPr fontId="2"/>
  </si>
  <si>
    <t>属性値</t>
    <rPh sb="0" eb="3">
      <t>ゾクセイチ</t>
    </rPh>
    <phoneticPr fontId="2"/>
  </si>
  <si>
    <t>属性</t>
    <rPh sb="0" eb="2">
      <t>ゾクセイ</t>
    </rPh>
    <phoneticPr fontId="2"/>
  </si>
  <si>
    <t>射撃</t>
    <rPh sb="0" eb="2">
      <t>シャゲキ</t>
    </rPh>
    <phoneticPr fontId="2"/>
  </si>
  <si>
    <t>ガード</t>
    <phoneticPr fontId="7"/>
  </si>
  <si>
    <t>打撃</t>
  </si>
  <si>
    <t>貫通</t>
  </si>
  <si>
    <t>切断</t>
  </si>
  <si>
    <t>全力</t>
    <rPh sb="0" eb="2">
      <t>ゼンリョク</t>
    </rPh>
    <phoneticPr fontId="7"/>
  </si>
  <si>
    <t>種別</t>
    <rPh sb="0" eb="2">
      <t>シュベツ</t>
    </rPh>
    <phoneticPr fontId="2"/>
  </si>
  <si>
    <t>素材</t>
    <rPh sb="0" eb="2">
      <t>ソザイ</t>
    </rPh>
    <phoneticPr fontId="2"/>
  </si>
  <si>
    <t>分類</t>
    <rPh sb="0" eb="2">
      <t>ブンルイ</t>
    </rPh>
    <phoneticPr fontId="2"/>
  </si>
  <si>
    <t>ルビ</t>
  </si>
  <si>
    <t>名前</t>
  </si>
  <si>
    <t>黒鋼</t>
  </si>
  <si>
    <t>長剣</t>
    <rPh sb="0" eb="2">
      <t>チョウケン</t>
    </rPh>
    <phoneticPr fontId="2"/>
  </si>
  <si>
    <t>金鋼</t>
    <rPh sb="0" eb="1">
      <t>キン</t>
    </rPh>
    <rPh sb="1" eb="2">
      <t>ハガネ</t>
    </rPh>
    <phoneticPr fontId="2"/>
  </si>
  <si>
    <t>銀鋼</t>
    <rPh sb="0" eb="1">
      <t>ギン</t>
    </rPh>
    <rPh sb="1" eb="2">
      <t>ハガネ</t>
    </rPh>
    <phoneticPr fontId="2"/>
  </si>
  <si>
    <t>鎧</t>
    <rPh sb="0" eb="1">
      <t>ヨロイ</t>
    </rPh>
    <phoneticPr fontId="2"/>
  </si>
  <si>
    <t>黒鉄</t>
    <rPh sb="0" eb="2">
      <t>クロテツ</t>
    </rPh>
    <phoneticPr fontId="2"/>
  </si>
  <si>
    <t>金鉄</t>
    <rPh sb="0" eb="2">
      <t>キンテツ</t>
    </rPh>
    <phoneticPr fontId="2"/>
  </si>
  <si>
    <t>銀鉄</t>
  </si>
  <si>
    <t>魔獣皮</t>
  </si>
  <si>
    <t>外套</t>
    <rPh sb="0" eb="2">
      <t>ガイトウ</t>
    </rPh>
    <phoneticPr fontId="2"/>
  </si>
  <si>
    <t>帯</t>
    <rPh sb="0" eb="1">
      <t>オビ</t>
    </rPh>
    <phoneticPr fontId="2"/>
  </si>
  <si>
    <t>熱鉄</t>
  </si>
  <si>
    <t>靴</t>
  </si>
  <si>
    <t>胴衣</t>
  </si>
  <si>
    <t>鎧</t>
  </si>
  <si>
    <t>兜</t>
  </si>
  <si>
    <t>面兜</t>
  </si>
  <si>
    <t>拳銃</t>
  </si>
  <si>
    <t>回転式拳銃</t>
    <rPh sb="0" eb="2">
      <t>カイテン</t>
    </rPh>
    <rPh sb="2" eb="3">
      <t>シキ</t>
    </rPh>
    <rPh sb="3" eb="5">
      <t>ケンジュウ</t>
    </rPh>
    <phoneticPr fontId="7"/>
  </si>
  <si>
    <t>射出弓</t>
  </si>
  <si>
    <t>軽射出弓</t>
  </si>
  <si>
    <t>長杖</t>
  </si>
  <si>
    <t>杖</t>
  </si>
  <si>
    <t>長弓</t>
  </si>
  <si>
    <t>短弓</t>
  </si>
  <si>
    <t>大盾</t>
  </si>
  <si>
    <t>丸大盾</t>
    <rPh sb="1" eb="2">
      <t>オオ</t>
    </rPh>
    <phoneticPr fontId="7"/>
  </si>
  <si>
    <t>盾</t>
  </si>
  <si>
    <t>丸盾</t>
  </si>
  <si>
    <t>鞭</t>
  </si>
  <si>
    <t>戦斧</t>
  </si>
  <si>
    <t>鎌</t>
  </si>
  <si>
    <t>戦鎚</t>
  </si>
  <si>
    <t>鎚</t>
  </si>
  <si>
    <t>棘棍</t>
    <rPh sb="0" eb="1">
      <t>トゲ</t>
    </rPh>
    <rPh sb="1" eb="2">
      <t>ツエ</t>
    </rPh>
    <phoneticPr fontId="2"/>
  </si>
  <si>
    <t>戦棍</t>
  </si>
  <si>
    <t>棍棒</t>
  </si>
  <si>
    <t>斧槍</t>
    <rPh sb="0" eb="1">
      <t>オノ</t>
    </rPh>
    <rPh sb="1" eb="2">
      <t>ヤリ</t>
    </rPh>
    <phoneticPr fontId="7"/>
  </si>
  <si>
    <t>騎士槍</t>
  </si>
  <si>
    <t>槍</t>
  </si>
  <si>
    <t>短槍</t>
  </si>
  <si>
    <t>刺剣</t>
  </si>
  <si>
    <t>細剣</t>
  </si>
  <si>
    <t>大剣</t>
  </si>
  <si>
    <t>長剣</t>
  </si>
  <si>
    <t>広剣</t>
  </si>
  <si>
    <t>剣</t>
  </si>
  <si>
    <t>刀</t>
  </si>
  <si>
    <t>短刀</t>
  </si>
  <si>
    <t>冷気鉄</t>
  </si>
  <si>
    <t>黒鋼鉄</t>
  </si>
  <si>
    <t>炎蜥蜴の鱗</t>
  </si>
  <si>
    <t>法衣</t>
  </si>
  <si>
    <t>衣布</t>
  </si>
  <si>
    <t>氷蜥蜴の鱗</t>
  </si>
  <si>
    <t>雷蜥蜴の鱗</t>
  </si>
  <si>
    <t>軽皮</t>
  </si>
  <si>
    <t>獣皮</t>
    <phoneticPr fontId="2"/>
  </si>
  <si>
    <t>皮</t>
    <phoneticPr fontId="2"/>
  </si>
  <si>
    <t>鋼</t>
    <rPh sb="0" eb="1">
      <t>ハガネ</t>
    </rPh>
    <phoneticPr fontId="2"/>
  </si>
  <si>
    <t>胴衣</t>
    <phoneticPr fontId="2"/>
  </si>
  <si>
    <t>木</t>
    <rPh sb="0" eb="1">
      <t>キ</t>
    </rPh>
    <phoneticPr fontId="2"/>
  </si>
  <si>
    <t>大戦棍</t>
    <rPh sb="0" eb="1">
      <t>ダイ</t>
    </rPh>
    <phoneticPr fontId="2"/>
  </si>
  <si>
    <t>鉄</t>
    <rPh sb="0" eb="1">
      <t>テツ</t>
    </rPh>
    <phoneticPr fontId="2"/>
  </si>
  <si>
    <t>-</t>
  </si>
  <si>
    <t>ダメージの振れ幅</t>
    <rPh sb="5" eb="6">
      <t>フ</t>
    </rPh>
    <rPh sb="7" eb="8">
      <t>ハバ</t>
    </rPh>
    <phoneticPr fontId="2"/>
  </si>
  <si>
    <t>id</t>
    <phoneticPr fontId="2"/>
  </si>
  <si>
    <t>画像url</t>
    <rPh sb="0" eb="2">
      <t>ガゾウ</t>
    </rPh>
    <phoneticPr fontId="2"/>
  </si>
  <si>
    <t>能力2</t>
    <rPh sb="0" eb="2">
      <t>ノウリョク</t>
    </rPh>
    <phoneticPr fontId="2"/>
  </si>
  <si>
    <t>付与</t>
    <rPh sb="0" eb="2">
      <t>フヨ</t>
    </rPh>
    <phoneticPr fontId="2"/>
  </si>
  <si>
    <t>武器特性</t>
    <rPh sb="0" eb="2">
      <t>ブキ</t>
    </rPh>
    <rPh sb="2" eb="4">
      <t>トクセイ</t>
    </rPh>
    <phoneticPr fontId="2"/>
  </si>
  <si>
    <t>究極の回復効果を持つ薬品。飲むだけでほぼすべてのダメージを回復するが、極めて高価。</t>
  </si>
  <si>
    <t>ハイエリクサー</t>
  </si>
  <si>
    <t>上位霊薬</t>
  </si>
  <si>
    <t>魔法の力で作られた伝説的な回復薬。飲むだけで大幅な体力回復が可能。</t>
  </si>
  <si>
    <t>エリクサー</t>
  </si>
  <si>
    <t>霊薬</t>
  </si>
  <si>
    <t>高性能な回復ポーション。短時間で大きな回復が可能で、強敵との戦闘に最適。</t>
  </si>
  <si>
    <t>ハイポーション</t>
  </si>
  <si>
    <t>上位水薬</t>
  </si>
  <si>
    <t>冒険者の定番回復薬。即時回復と再生効果を持ち、戦闘中や緊急時に効果的。</t>
  </si>
  <si>
    <t>ポーション</t>
  </si>
  <si>
    <t>水薬</t>
  </si>
  <si>
    <t>_---------- 素材 ---------</t>
    <rPh sb="12" eb="14">
      <t>ソザイ</t>
    </rPh>
    <phoneticPr fontId="2"/>
  </si>
  <si>
    <t>希少な花々から採取された極上の蜂蜜。料理に使うと味わいだけでなく、食事効果が劇的に向上する。特に、攻撃力や防御力、行動速度といった重要なステータスを大幅に向上させる一時的なバフ効果を得られる。高級レストランや冒険者の間で重宝される一品。</t>
    <phoneticPr fontId="2"/>
  </si>
  <si>
    <t>消費</t>
    <rPh sb="0" eb="2">
      <t>ショウヒ</t>
    </rPh>
    <phoneticPr fontId="2"/>
  </si>
  <si>
    <t>プレミアムハニー</t>
    <phoneticPr fontId="2"/>
  </si>
  <si>
    <t>高級蜂蜜</t>
    <rPh sb="0" eb="2">
      <t>コウキュウ</t>
    </rPh>
    <rPh sb="2" eb="4">
      <t>ハチミツ</t>
    </rPh>
    <phoneticPr fontId="2"/>
  </si>
  <si>
    <t>自然が生み出した甘く濃厚な万能素材。料理に加えることで風味を引き立て、食事全体の効果を高めることができる。使用することで疲労耐性とSTの回復が期待できる。</t>
  </si>
  <si>
    <t>ハニー</t>
    <phoneticPr fontId="2"/>
  </si>
  <si>
    <t>蜂蜜</t>
    <rPh sb="0" eb="2">
      <t>ハチミツ</t>
    </rPh>
    <phoneticPr fontId="2"/>
  </si>
  <si>
    <t>_---------- ドロップアイテム ---------</t>
    <phoneticPr fontId="2"/>
  </si>
  <si>
    <t>青緑色の輝きが特徴。航海の守護石として古代より重宝されてきた。</t>
  </si>
  <si>
    <t>宝石</t>
  </si>
  <si>
    <t>アクアマリンⅤ</t>
  </si>
  <si>
    <t>緑柱石Ⅴ</t>
  </si>
  <si>
    <t>多彩な色を持つ宝石で、調和と癒しのエネルギーをもたらすと言われている。</t>
  </si>
  <si>
    <t>トルマリンⅤ</t>
  </si>
  <si>
    <t>電気石Ⅴ</t>
  </si>
  <si>
    <t>明るい緑色が特徴で、友情や繁栄を呼ぶとされる宝石。</t>
  </si>
  <si>
    <t>ペリドットⅤ</t>
  </si>
  <si>
    <t>橄欖石Ⅴ</t>
  </si>
  <si>
    <t>虹色の輝きを持ち、創造力と変化を象徴する神秘的な石。</t>
  </si>
  <si>
    <t>オパールⅤ</t>
  </si>
  <si>
    <t>欧泊Ⅴ</t>
  </si>
  <si>
    <t>深い赤色で情熱や絆を象徴する。戦士に愛される宝石。</t>
  </si>
  <si>
    <t>ガーネットⅤ</t>
  </si>
  <si>
    <t>柘榴石Ⅴ</t>
  </si>
  <si>
    <t>太陽のような温かい光を放つ。希望と活力を象徴する宝石。</t>
  </si>
  <si>
    <t>サンストーンⅤ</t>
  </si>
  <si>
    <t>陽長石Ⅴ</t>
  </si>
  <si>
    <t>月の光を閉じ込めたような美しい輝きで、女性の守護石とも言われる。</t>
  </si>
  <si>
    <t>ムーンストーンⅤ</t>
  </si>
  <si>
    <t>月長石Ⅴ</t>
  </si>
  <si>
    <t>無色透明な輝きと硬度を持ち、純粋さと不滅を象徴する最高級の宝石。</t>
  </si>
  <si>
    <t>ダイヤモンドⅤ</t>
  </si>
  <si>
    <t>金剛石Ⅴ</t>
  </si>
  <si>
    <t>黄金色の輝きが財運を呼ぶとされる。</t>
  </si>
  <si>
    <t>シトリンⅤ</t>
  </si>
  <si>
    <t>黄水晶Ⅴ</t>
  </si>
  <si>
    <t>紫色の輝きが魔除けや精神集中に適していると言われる宝石。</t>
  </si>
  <si>
    <t>アメジストⅤ</t>
  </si>
  <si>
    <t>紫水晶Ⅴ</t>
  </si>
  <si>
    <t>深い緑色が特徴。自然や癒しを象徴し、魔法の触媒としても利用される。</t>
  </si>
  <si>
    <t>エメラルドⅤ</t>
  </si>
  <si>
    <t>翠玉Ⅴ</t>
  </si>
  <si>
    <t>青い星空のような美しさを持つ。知恵と忠誠を表すと言われている。</t>
  </si>
  <si>
    <t>サファイアⅤ</t>
  </si>
  <si>
    <t>青玉Ⅴ</t>
  </si>
  <si>
    <t>深紅の輝きを持つ希少な宝石。愛や情熱を象徴する。</t>
  </si>
  <si>
    <t>ルビーⅤ</t>
  </si>
  <si>
    <t>紅玉Ⅴ</t>
  </si>
  <si>
    <t>アクアマリンⅣ</t>
  </si>
  <si>
    <t>緑柱石Ⅳ</t>
  </si>
  <si>
    <t>トルマリンⅣ</t>
  </si>
  <si>
    <t>電気石Ⅳ</t>
  </si>
  <si>
    <t>ペリドットⅣ</t>
  </si>
  <si>
    <t>橄欖石Ⅳ</t>
  </si>
  <si>
    <t>オパールⅣ</t>
  </si>
  <si>
    <t>欧泊Ⅳ</t>
  </si>
  <si>
    <t>ガーネットⅣ</t>
  </si>
  <si>
    <t>柘榴石Ⅳ</t>
  </si>
  <si>
    <t>サンストーンⅣ</t>
  </si>
  <si>
    <t>陽長石Ⅳ</t>
  </si>
  <si>
    <t>ムーンストーンⅣ</t>
  </si>
  <si>
    <t>月長石Ⅳ</t>
  </si>
  <si>
    <t>ダイヤモンドⅣ</t>
  </si>
  <si>
    <t>金剛石Ⅳ</t>
  </si>
  <si>
    <t>シトリンⅣ</t>
  </si>
  <si>
    <t>黄水晶Ⅳ</t>
  </si>
  <si>
    <t>アメジストⅣ</t>
  </si>
  <si>
    <t>紫水晶Ⅳ</t>
  </si>
  <si>
    <t>エメラルドⅣ</t>
  </si>
  <si>
    <t>翠玉Ⅳ</t>
  </si>
  <si>
    <t>サファイアⅣ</t>
  </si>
  <si>
    <t>青玉Ⅳ</t>
  </si>
  <si>
    <t>ルビーⅣ</t>
  </si>
  <si>
    <t>紅玉Ⅳ</t>
  </si>
  <si>
    <t>アクアマリンⅢ</t>
  </si>
  <si>
    <t>緑柱石Ⅲ</t>
  </si>
  <si>
    <t>トルマリンⅢ</t>
  </si>
  <si>
    <t>電気石Ⅲ</t>
  </si>
  <si>
    <t>ペリドットⅢ</t>
  </si>
  <si>
    <t>橄欖石Ⅲ</t>
  </si>
  <si>
    <t>オパールⅢ</t>
  </si>
  <si>
    <t>欧泊Ⅲ</t>
  </si>
  <si>
    <t>ガーネットⅢ</t>
  </si>
  <si>
    <t>柘榴石Ⅲ</t>
  </si>
  <si>
    <t>サンストーンⅢ</t>
  </si>
  <si>
    <t>陽長石Ⅲ</t>
  </si>
  <si>
    <t>ムーンストーンⅢ</t>
  </si>
  <si>
    <t>月長石Ⅲ</t>
  </si>
  <si>
    <t>ダイヤモンドⅢ</t>
  </si>
  <si>
    <t>金剛石Ⅲ</t>
  </si>
  <si>
    <t>シトリンⅢ</t>
  </si>
  <si>
    <t>黄水晶Ⅲ</t>
  </si>
  <si>
    <t>アメジストⅢ</t>
  </si>
  <si>
    <t>紫水晶Ⅲ</t>
  </si>
  <si>
    <t>エメラルドⅢ</t>
  </si>
  <si>
    <t>翠玉Ⅲ</t>
  </si>
  <si>
    <t>サファイアⅢ</t>
  </si>
  <si>
    <t>青玉Ⅲ</t>
  </si>
  <si>
    <t>ルビーⅢ</t>
  </si>
  <si>
    <t>紅玉Ⅲ</t>
  </si>
  <si>
    <t>アクアマリンⅡ</t>
  </si>
  <si>
    <t>緑柱石Ⅱ</t>
  </si>
  <si>
    <t>トルマリンⅡ</t>
  </si>
  <si>
    <t>電気石Ⅱ</t>
  </si>
  <si>
    <t>ペリドットⅡ</t>
  </si>
  <si>
    <t>橄欖石Ⅱ</t>
  </si>
  <si>
    <t>オパールⅡ</t>
  </si>
  <si>
    <t>欧泊Ⅱ</t>
  </si>
  <si>
    <t>ガーネットⅡ</t>
  </si>
  <si>
    <t>柘榴石Ⅱ</t>
  </si>
  <si>
    <t>サンストーンⅡ</t>
  </si>
  <si>
    <t>陽長石Ⅱ</t>
  </si>
  <si>
    <t>ムーンストーンⅡ</t>
  </si>
  <si>
    <t>月長石Ⅱ</t>
  </si>
  <si>
    <t>ダイヤモンドⅡ</t>
  </si>
  <si>
    <t>金剛石Ⅱ</t>
  </si>
  <si>
    <t>シトリンⅡ</t>
  </si>
  <si>
    <t>黄水晶Ⅱ</t>
  </si>
  <si>
    <t>アメジストⅡ</t>
  </si>
  <si>
    <t>紫水晶Ⅱ</t>
  </si>
  <si>
    <t>エメラルドⅡ</t>
  </si>
  <si>
    <t>翠玉Ⅱ</t>
  </si>
  <si>
    <t>サファイアⅡ</t>
  </si>
  <si>
    <t>青玉Ⅱ</t>
  </si>
  <si>
    <t>ルビーⅡ</t>
  </si>
  <si>
    <t>紅玉Ⅱ</t>
  </si>
  <si>
    <t>アクアマリンⅠ</t>
  </si>
  <si>
    <t>緑柱石Ⅰ</t>
  </si>
  <si>
    <t>トルマリンⅠ</t>
  </si>
  <si>
    <t>電気石Ⅰ</t>
  </si>
  <si>
    <t>ペリドットⅠ</t>
  </si>
  <si>
    <t>橄欖石Ⅰ</t>
  </si>
  <si>
    <t>オパールⅠ</t>
  </si>
  <si>
    <t>欧泊Ⅰ</t>
  </si>
  <si>
    <t>ガーネットⅠ</t>
  </si>
  <si>
    <t>柘榴石Ⅰ</t>
  </si>
  <si>
    <t>サンストーンⅠ</t>
  </si>
  <si>
    <t>陽長石Ⅰ</t>
  </si>
  <si>
    <t>ムーンストーンⅠ</t>
  </si>
  <si>
    <t>月長石Ⅰ</t>
  </si>
  <si>
    <t>ダイヤモンドⅠ</t>
  </si>
  <si>
    <t>金剛石Ⅰ</t>
  </si>
  <si>
    <t>シトリンⅠ</t>
  </si>
  <si>
    <t>黄水晶Ⅰ</t>
  </si>
  <si>
    <t>アメジストⅠ</t>
  </si>
  <si>
    <t>紫水晶Ⅰ</t>
  </si>
  <si>
    <t>エメラルドⅠ</t>
  </si>
  <si>
    <t>翠玉Ⅰ</t>
  </si>
  <si>
    <t>サファイアⅠ</t>
  </si>
  <si>
    <t>青玉Ⅰ</t>
  </si>
  <si>
    <t>ルビーⅠ</t>
  </si>
  <si>
    <t>紅玉Ⅰ</t>
  </si>
  <si>
    <t>アクアマリン</t>
  </si>
  <si>
    <t>緑柱石</t>
  </si>
  <si>
    <t>トルマリン</t>
  </si>
  <si>
    <t>電気石</t>
  </si>
  <si>
    <t>ペリドット</t>
  </si>
  <si>
    <t>橄欖石</t>
  </si>
  <si>
    <t>オパール</t>
  </si>
  <si>
    <t>欧泊</t>
  </si>
  <si>
    <t>ガーネット</t>
  </si>
  <si>
    <t>柘榴石</t>
  </si>
  <si>
    <t>サンストーン</t>
  </si>
  <si>
    <t>陽長石</t>
  </si>
  <si>
    <t>ムーンストーン</t>
  </si>
  <si>
    <t>月長石</t>
  </si>
  <si>
    <t>ダイヤモンド</t>
  </si>
  <si>
    <t>金剛石</t>
  </si>
  <si>
    <t>シトリン</t>
  </si>
  <si>
    <t>黄水晶</t>
  </si>
  <si>
    <t>アメジスト</t>
  </si>
  <si>
    <t>紫水晶</t>
  </si>
  <si>
    <t>エメラルド</t>
  </si>
  <si>
    <t>翠玉</t>
  </si>
  <si>
    <t>サファイア</t>
  </si>
  <si>
    <t>青玉</t>
  </si>
  <si>
    <t>ルビー</t>
  </si>
  <si>
    <t>紅玉</t>
  </si>
  <si>
    <t>説明</t>
    <phoneticPr fontId="2"/>
  </si>
  <si>
    <t>種別</t>
  </si>
  <si>
    <t>素材</t>
  </si>
  <si>
    <t>分類</t>
  </si>
  <si>
    <t>_---------- 宝石 ---------</t>
    <rPh sb="12" eb="14">
      <t>ホウセキ</t>
    </rPh>
    <phoneticPr fontId="2"/>
  </si>
  <si>
    <t>基本的な回復ポーション。軽傷を治すための初心者冒険者向けの便利な薬品。</t>
  </si>
  <si>
    <t>簡単に設置可能な携帯型の拠点。短期間の休息や補給が可能で、探索中に安全を確保する必需品。</t>
  </si>
  <si>
    <t>杖.webp</t>
    <rPh sb="0" eb="1">
      <t>ツエ</t>
    </rPh>
    <phoneticPr fontId="2"/>
  </si>
  <si>
    <t>S</t>
    <phoneticPr fontId="2"/>
  </si>
  <si>
    <t>光・盲目</t>
    <rPh sb="0" eb="1">
      <t>ヒカリ</t>
    </rPh>
    <rPh sb="2" eb="4">
      <t>モウモク</t>
    </rPh>
    <phoneticPr fontId="2"/>
  </si>
  <si>
    <t>強い光を放つ棒</t>
    <rPh sb="0" eb="1">
      <t>ツヨ</t>
    </rPh>
    <rPh sb="2" eb="3">
      <t>ヒカリ</t>
    </rPh>
    <rPh sb="4" eb="5">
      <t>ハナ</t>
    </rPh>
    <rPh sb="6" eb="7">
      <t>ボウ</t>
    </rPh>
    <phoneticPr fontId="2"/>
  </si>
  <si>
    <t>道具</t>
    <rPh sb="0" eb="2">
      <t>ドウグ</t>
    </rPh>
    <phoneticPr fontId="2"/>
  </si>
  <si>
    <t>ライト・ロッド</t>
    <phoneticPr fontId="2"/>
  </si>
  <si>
    <t>閃光の棒</t>
    <rPh sb="0" eb="2">
      <t>センコウ</t>
    </rPh>
    <rPh sb="3" eb="4">
      <t>ボウ</t>
    </rPh>
    <phoneticPr fontId="2"/>
  </si>
  <si>
    <t>上位霊薬</t>
    <rPh sb="0" eb="2">
      <t>ジョウイ</t>
    </rPh>
    <rPh sb="2" eb="4">
      <t>レイヤク</t>
    </rPh>
    <phoneticPr fontId="2"/>
  </si>
  <si>
    <t>水薬.webp</t>
    <phoneticPr fontId="2"/>
  </si>
  <si>
    <t>ハイエリクサー</t>
    <phoneticPr fontId="2"/>
  </si>
  <si>
    <t>霊薬</t>
    <rPh sb="0" eb="2">
      <t>レイヤク</t>
    </rPh>
    <phoneticPr fontId="2"/>
  </si>
  <si>
    <t>エリクサー</t>
    <phoneticPr fontId="2"/>
  </si>
  <si>
    <t>上位水薬</t>
    <rPh sb="0" eb="2">
      <t>ジョウイ</t>
    </rPh>
    <rPh sb="2" eb="3">
      <t>ミズ</t>
    </rPh>
    <rPh sb="3" eb="4">
      <t>クスリ</t>
    </rPh>
    <phoneticPr fontId="2"/>
  </si>
  <si>
    <t>ハイポーション</t>
    <phoneticPr fontId="2"/>
  </si>
  <si>
    <t>水薬</t>
    <rPh sb="0" eb="1">
      <t>ミズ</t>
    </rPh>
    <rPh sb="1" eb="2">
      <t>クスリ</t>
    </rPh>
    <phoneticPr fontId="2"/>
  </si>
  <si>
    <t>ポーション</t>
    <phoneticPr fontId="2"/>
  </si>
  <si>
    <t>下位水薬</t>
    <rPh sb="0" eb="2">
      <t>カイ</t>
    </rPh>
    <rPh sb="2" eb="3">
      <t>ミズ</t>
    </rPh>
    <rPh sb="3" eb="4">
      <t>クスリ</t>
    </rPh>
    <phoneticPr fontId="2"/>
  </si>
  <si>
    <t>レッサーポーション</t>
    <phoneticPr fontId="2"/>
  </si>
  <si>
    <t>簡易拠点</t>
    <rPh sb="0" eb="2">
      <t>カンイ</t>
    </rPh>
    <rPh sb="2" eb="4">
      <t>キョテン</t>
    </rPh>
    <phoneticPr fontId="2"/>
  </si>
  <si>
    <t>テント.webp</t>
    <phoneticPr fontId="2"/>
  </si>
  <si>
    <t>インスタント・ベース</t>
    <phoneticPr fontId="2"/>
  </si>
  <si>
    <t>効果時間</t>
    <rPh sb="0" eb="2">
      <t>コウカ</t>
    </rPh>
    <rPh sb="2" eb="4">
      <t>ジカン</t>
    </rPh>
    <phoneticPr fontId="2"/>
  </si>
  <si>
    <t>再生</t>
    <rPh sb="0" eb="2">
      <t>サイセイ</t>
    </rPh>
    <phoneticPr fontId="2"/>
  </si>
  <si>
    <t>回復</t>
    <rPh sb="0" eb="2">
      <t>カイフク</t>
    </rPh>
    <phoneticPr fontId="2"/>
  </si>
  <si>
    <t>元の金額</t>
    <rPh sb="0" eb="1">
      <t>モト</t>
    </rPh>
    <rPh sb="2" eb="4">
      <t>キンガク</t>
    </rPh>
    <phoneticPr fontId="2"/>
  </si>
  <si>
    <t>クールタイム</t>
    <phoneticPr fontId="2"/>
  </si>
  <si>
    <t>悪耐性</t>
  </si>
  <si>
    <t>命中倍率</t>
    <rPh sb="0" eb="2">
      <t>メイチュウ</t>
    </rPh>
    <rPh sb="2" eb="4">
      <t>バイリツ</t>
    </rPh>
    <phoneticPr fontId="2"/>
  </si>
  <si>
    <t>速度倍率</t>
    <rPh sb="0" eb="2">
      <t>ソクド</t>
    </rPh>
    <rPh sb="2" eb="4">
      <t>バイリツ</t>
    </rPh>
    <phoneticPr fontId="2"/>
  </si>
  <si>
    <t>知覚</t>
  </si>
  <si>
    <t>看破</t>
  </si>
  <si>
    <t>消音</t>
  </si>
  <si>
    <t>全身</t>
    <rPh sb="0" eb="2">
      <t>ゼンシン</t>
    </rPh>
    <phoneticPr fontId="7"/>
  </si>
  <si>
    <t>盾</t>
    <rPh sb="0" eb="1">
      <t>タテ</t>
    </rPh>
    <phoneticPr fontId="7"/>
  </si>
  <si>
    <t>眼</t>
    <rPh sb="0" eb="1">
      <t>メ</t>
    </rPh>
    <phoneticPr fontId="7"/>
  </si>
  <si>
    <t>その他</t>
    <rPh sb="2" eb="3">
      <t>タ</t>
    </rPh>
    <phoneticPr fontId="2"/>
  </si>
  <si>
    <t>感覚</t>
    <rPh sb="0" eb="2">
      <t>カンカク</t>
    </rPh>
    <phoneticPr fontId="7"/>
  </si>
  <si>
    <t/>
  </si>
  <si>
    <t>鉱石×2、宝石×1</t>
  </si>
  <si>
    <t>装飾</t>
    <rPh sb="0" eb="2">
      <t>ソウショク</t>
    </rPh>
    <phoneticPr fontId="2"/>
  </si>
  <si>
    <t>鉱石×3、糸×2</t>
  </si>
  <si>
    <t xml:space="preserve">魔防 精神 幻覚 石化 呪い 即死 </t>
    <rPh sb="0" eb="2">
      <t>マボウ</t>
    </rPh>
    <rPh sb="3" eb="5">
      <t>セイシン</t>
    </rPh>
    <rPh sb="6" eb="8">
      <t>ゲンカク</t>
    </rPh>
    <rPh sb="9" eb="11">
      <t>セキカ</t>
    </rPh>
    <rPh sb="12" eb="13">
      <t>ノロイ</t>
    </rPh>
    <rPh sb="15" eb="17">
      <t>ソクシ</t>
    </rPh>
    <phoneticPr fontId="2"/>
  </si>
  <si>
    <t>鉱石×2、糸×2</t>
  </si>
  <si>
    <t xml:space="preserve">攻撃 魔力 速度 命中 </t>
    <rPh sb="0" eb="2">
      <t>コウゲキ</t>
    </rPh>
    <rPh sb="3" eb="5">
      <t>マリョク</t>
    </rPh>
    <rPh sb="6" eb="8">
      <t>ソクド</t>
    </rPh>
    <rPh sb="9" eb="11">
      <t>メイチュウ</t>
    </rPh>
    <phoneticPr fontId="2"/>
  </si>
  <si>
    <t>皮×3、布×2</t>
  </si>
  <si>
    <t xml:space="preserve">HP ST 攻撃 防御 体幹 怯み 疲労 </t>
    <rPh sb="6" eb="8">
      <t>コウゲキ</t>
    </rPh>
    <rPh sb="9" eb="11">
      <t>ボウギョ</t>
    </rPh>
    <rPh sb="12" eb="14">
      <t>タイカン</t>
    </rPh>
    <rPh sb="15" eb="16">
      <t>ヒル</t>
    </rPh>
    <rPh sb="18" eb="20">
      <t>ヒロウ</t>
    </rPh>
    <phoneticPr fontId="2"/>
  </si>
  <si>
    <t>鉱石×4、皮×2</t>
  </si>
  <si>
    <t>素手</t>
    <rPh sb="0" eb="2">
      <t>スデ</t>
    </rPh>
    <phoneticPr fontId="2"/>
  </si>
  <si>
    <t>布×4、糸×3</t>
  </si>
  <si>
    <t xml:space="preserve">防御 隠密 </t>
    <rPh sb="0" eb="2">
      <t>ボウギョ</t>
    </rPh>
    <rPh sb="3" eb="5">
      <t>オンミツ</t>
    </rPh>
    <phoneticPr fontId="2"/>
  </si>
  <si>
    <t>鉱石×2、ガラス×2</t>
  </si>
  <si>
    <t>命中,速度,盲目,幻覚,感知,鑑定</t>
    <rPh sb="0" eb="2">
      <t>メイチュウ</t>
    </rPh>
    <rPh sb="3" eb="5">
      <t>ソクド</t>
    </rPh>
    <rPh sb="6" eb="8">
      <t>モウモク</t>
    </rPh>
    <rPh sb="9" eb="11">
      <t>ゲンカク</t>
    </rPh>
    <rPh sb="12" eb="14">
      <t>カンチ</t>
    </rPh>
    <rPh sb="15" eb="17">
      <t>カンテイ</t>
    </rPh>
    <phoneticPr fontId="2"/>
  </si>
  <si>
    <t>鉱石×4、皮×2、魔石×1</t>
  </si>
  <si>
    <t>肉体</t>
    <rPh sb="0" eb="2">
      <t>ニクタイ</t>
    </rPh>
    <phoneticPr fontId="2"/>
  </si>
  <si>
    <t>腕</t>
    <rPh sb="0" eb="1">
      <t>ウデ</t>
    </rPh>
    <phoneticPr fontId="2"/>
  </si>
  <si>
    <t>アームコア</t>
  </si>
  <si>
    <t>腕核</t>
    <rPh sb="0" eb="1">
      <t>ウデ</t>
    </rPh>
    <rPh sb="1" eb="2">
      <t>カク</t>
    </rPh>
    <phoneticPr fontId="7"/>
  </si>
  <si>
    <t>鉱石×5、鱗×3、魔石×2</t>
  </si>
  <si>
    <t>体</t>
    <rPh sb="0" eb="1">
      <t>カラダ</t>
    </rPh>
    <phoneticPr fontId="2"/>
  </si>
  <si>
    <t>メインコア</t>
  </si>
  <si>
    <t>核</t>
    <rPh sb="0" eb="1">
      <t>カク</t>
    </rPh>
    <phoneticPr fontId="7"/>
  </si>
  <si>
    <t>鉱石×3、糸×2、魔石×2</t>
  </si>
  <si>
    <t>頭</t>
    <rPh sb="0" eb="1">
      <t>アタマ</t>
    </rPh>
    <phoneticPr fontId="2"/>
  </si>
  <si>
    <t>スタートコア</t>
  </si>
  <si>
    <t>起動核</t>
    <rPh sb="0" eb="2">
      <t>キドウ</t>
    </rPh>
    <rPh sb="2" eb="3">
      <t>カク</t>
    </rPh>
    <phoneticPr fontId="7"/>
  </si>
  <si>
    <t>皮×4、布×3</t>
  </si>
  <si>
    <t>速度 隠密 軽業 体幹</t>
    <rPh sb="0" eb="2">
      <t>ソクド</t>
    </rPh>
    <rPh sb="3" eb="5">
      <t>オンミツ</t>
    </rPh>
    <rPh sb="6" eb="8">
      <t>カルワザ</t>
    </rPh>
    <rPh sb="9" eb="11">
      <t>タイカン</t>
    </rPh>
    <phoneticPr fontId="2"/>
  </si>
  <si>
    <t>足</t>
    <rPh sb="0" eb="1">
      <t>アシ</t>
    </rPh>
    <phoneticPr fontId="2"/>
  </si>
  <si>
    <t>ブーツ</t>
  </si>
  <si>
    <t>布×5、糸×4</t>
  </si>
  <si>
    <t>HP 物理 魔法 体幹 出血 疲労 Cr</t>
    <rPh sb="3" eb="5">
      <t>ブツリ</t>
    </rPh>
    <rPh sb="6" eb="8">
      <t>マホウ</t>
    </rPh>
    <rPh sb="12" eb="14">
      <t>シュッケツ</t>
    </rPh>
    <rPh sb="15" eb="17">
      <t>ヒロウ</t>
    </rPh>
    <phoneticPr fontId="2"/>
  </si>
  <si>
    <t>ローブ</t>
  </si>
  <si>
    <t>クロース</t>
  </si>
  <si>
    <t>布×4、皮×3</t>
  </si>
  <si>
    <t>ベスト</t>
  </si>
  <si>
    <t>鉱石×6、鱗×4</t>
  </si>
  <si>
    <t>アーマー</t>
  </si>
  <si>
    <t>マスク</t>
  </si>
  <si>
    <t>仮面</t>
  </si>
  <si>
    <t>鉱石×3、皮×2</t>
  </si>
  <si>
    <t>バイザー</t>
  </si>
  <si>
    <t>面頬</t>
    <phoneticPr fontId="2"/>
  </si>
  <si>
    <t>サークレット</t>
  </si>
  <si>
    <t>冠</t>
  </si>
  <si>
    <t>起動核</t>
  </si>
  <si>
    <t>鉱石×4、皮×3</t>
  </si>
  <si>
    <t>ヘルム</t>
  </si>
  <si>
    <t>兜</t>
    <phoneticPr fontId="2"/>
  </si>
  <si>
    <t>腕核</t>
  </si>
  <si>
    <t>バイザーヘルム</t>
    <phoneticPr fontId="2"/>
  </si>
  <si>
    <t>面兜</t>
    <phoneticPr fontId="2"/>
  </si>
  <si>
    <t>核</t>
  </si>
  <si>
    <t>脚輪</t>
  </si>
  <si>
    <t>脚鎧</t>
  </si>
  <si>
    <t>木材×3、鉱石×2</t>
  </si>
  <si>
    <t>楽器</t>
    <rPh sb="0" eb="2">
      <t>ガッキ</t>
    </rPh>
    <phoneticPr fontId="2"/>
  </si>
  <si>
    <t>フルート</t>
  </si>
  <si>
    <t>笛</t>
    <rPh sb="0" eb="1">
      <t>フエ</t>
    </rPh>
    <phoneticPr fontId="2"/>
  </si>
  <si>
    <t>腰鎧</t>
  </si>
  <si>
    <t>木材×4、糸×3</t>
  </si>
  <si>
    <t>ハープ</t>
  </si>
  <si>
    <t>竪琴</t>
    <rPh sb="0" eb="2">
      <t>タテゴト</t>
    </rPh>
    <phoneticPr fontId="2"/>
  </si>
  <si>
    <t>馬乗袴</t>
  </si>
  <si>
    <t>武器</t>
    <rPh sb="0" eb="2">
      <t>ブキ</t>
    </rPh>
    <phoneticPr fontId="2"/>
  </si>
  <si>
    <t>サウンドスティック</t>
  </si>
  <si>
    <t>鳴り鉢</t>
    <rPh sb="0" eb="1">
      <t>ナ</t>
    </rPh>
    <rPh sb="2" eb="3">
      <t>バチ</t>
    </rPh>
    <phoneticPr fontId="2"/>
  </si>
  <si>
    <t>鉱石×3、木材×3、糸×2</t>
  </si>
  <si>
    <t>フルートブレード</t>
  </si>
  <si>
    <t>笛剣</t>
    <rPh sb="0" eb="1">
      <t>フエ</t>
    </rPh>
    <rPh sb="1" eb="2">
      <t>ケン</t>
    </rPh>
    <phoneticPr fontId="2"/>
  </si>
  <si>
    <t>腕輪</t>
  </si>
  <si>
    <t>木材×3、糸×4</t>
  </si>
  <si>
    <t>弦鳴弓。音を利用した特殊な弓で、遠距離攻撃に特化。</t>
  </si>
  <si>
    <t>弓</t>
    <rPh sb="0" eb="1">
      <t>ユミ</t>
    </rPh>
    <phoneticPr fontId="2"/>
  </si>
  <si>
    <t>ハープボウ</t>
  </si>
  <si>
    <t>弦鳴弓</t>
    <rPh sb="2" eb="3">
      <t>ユミ</t>
    </rPh>
    <phoneticPr fontId="2"/>
  </si>
  <si>
    <t>手鎧</t>
  </si>
  <si>
    <t>腕鎧</t>
  </si>
  <si>
    <t>鉱石×5、木材×4</t>
  </si>
  <si>
    <t>銃</t>
    <rPh sb="0" eb="1">
      <t>ジュウ</t>
    </rPh>
    <phoneticPr fontId="2"/>
  </si>
  <si>
    <t>マスケットロングガン</t>
  </si>
  <si>
    <t>滑腔式長銃</t>
  </si>
  <si>
    <t>肌着</t>
  </si>
  <si>
    <t>鉱石×4、木材×3</t>
  </si>
  <si>
    <t>マスケットガン</t>
  </si>
  <si>
    <t>滑腔式銃</t>
  </si>
  <si>
    <t>羽織</t>
  </si>
  <si>
    <t>鉱石×6、糸×5</t>
  </si>
  <si>
    <t>ガトリング</t>
  </si>
  <si>
    <t>機関銃</t>
    <rPh sb="0" eb="3">
      <t>キカンジュウ</t>
    </rPh>
    <phoneticPr fontId="7"/>
  </si>
  <si>
    <t>ショットガン</t>
  </si>
  <si>
    <t>散弾銃</t>
  </si>
  <si>
    <t>胴着</t>
  </si>
  <si>
    <t>鉱石×5、糸×4</t>
  </si>
  <si>
    <t>スナイパー</t>
  </si>
  <si>
    <t>狙撃銃</t>
  </si>
  <si>
    <t>マシンガン</t>
  </si>
  <si>
    <t>軽機関銃</t>
    <rPh sb="0" eb="1">
      <t>カル</t>
    </rPh>
    <phoneticPr fontId="7"/>
  </si>
  <si>
    <t>首飾り</t>
  </si>
  <si>
    <t>アサルトライフル</t>
  </si>
  <si>
    <t>突撃銃</t>
  </si>
  <si>
    <t>鉱石×4、糸×3</t>
  </si>
  <si>
    <t>サブマシンガン</t>
  </si>
  <si>
    <t>短機関銃</t>
  </si>
  <si>
    <t>覆面</t>
  </si>
  <si>
    <t>ロングガン</t>
  </si>
  <si>
    <t>長銃</t>
  </si>
  <si>
    <t>頭飾り</t>
  </si>
  <si>
    <t>ハンドガン</t>
  </si>
  <si>
    <t>頭</t>
  </si>
  <si>
    <t>鉱石×4、糸×2</t>
  </si>
  <si>
    <t>リボルバー</t>
  </si>
  <si>
    <t>鉱石×6、木材×4</t>
  </si>
  <si>
    <t>A</t>
    <phoneticPr fontId="2"/>
  </si>
  <si>
    <t>キャノン</t>
  </si>
  <si>
    <t>大砲</t>
    <rPh sb="0" eb="2">
      <t>タイホウ</t>
    </rPh>
    <phoneticPr fontId="2"/>
  </si>
  <si>
    <t>木材×4、糸×4</t>
  </si>
  <si>
    <t>ヘビィクロスボウ</t>
  </si>
  <si>
    <t>重射出弓</t>
  </si>
  <si>
    <t>雷棒</t>
  </si>
  <si>
    <t>クロスボウ</t>
  </si>
  <si>
    <t>電動鋸刃</t>
  </si>
  <si>
    <t>木材×3、糸×3</t>
  </si>
  <si>
    <t>Q</t>
    <phoneticPr fontId="2"/>
  </si>
  <si>
    <t>ライトクロスボウ</t>
  </si>
  <si>
    <t>ハンドクロスボウ</t>
    <phoneticPr fontId="2"/>
  </si>
  <si>
    <t>手射出弓</t>
  </si>
  <si>
    <t>糸×3、布×3</t>
  </si>
  <si>
    <t>本。魔法を強化する特殊な武器。</t>
  </si>
  <si>
    <t>魔法強化</t>
    <rPh sb="0" eb="2">
      <t>マホウ</t>
    </rPh>
    <rPh sb="2" eb="4">
      <t>キョウカ</t>
    </rPh>
    <phoneticPr fontId="2"/>
  </si>
  <si>
    <t>本</t>
    <rPh sb="0" eb="1">
      <t>ホン</t>
    </rPh>
    <phoneticPr fontId="2"/>
  </si>
  <si>
    <t>ブック</t>
  </si>
  <si>
    <t>機関銃</t>
  </si>
  <si>
    <t>長杖。強力な魔法を扱える杖だが、重い。</t>
  </si>
  <si>
    <t>魔法無詠唱Ⅲ</t>
    <rPh sb="0" eb="2">
      <t>マホウ</t>
    </rPh>
    <rPh sb="2" eb="5">
      <t>ムエイショウ</t>
    </rPh>
    <phoneticPr fontId="2"/>
  </si>
  <si>
    <t>杖</t>
    <rPh sb="0" eb="1">
      <t>ツエ</t>
    </rPh>
    <phoneticPr fontId="2"/>
  </si>
  <si>
    <t>スタッフ</t>
  </si>
  <si>
    <t>杖。バランスの取れた魔法武器。</t>
  </si>
  <si>
    <t>魔法無詠唱Ⅱ</t>
    <rPh sb="0" eb="2">
      <t>マホウ</t>
    </rPh>
    <rPh sb="2" eb="5">
      <t>ムエイショウ</t>
    </rPh>
    <phoneticPr fontId="2"/>
  </si>
  <si>
    <t>ロッド</t>
  </si>
  <si>
    <t>木材×2、糸×2</t>
  </si>
  <si>
    <t>短杖。魔法を使うのに適した軽量な杖。</t>
  </si>
  <si>
    <t>魔法無詠唱Ⅰ</t>
    <rPh sb="0" eb="2">
      <t>マホウ</t>
    </rPh>
    <rPh sb="2" eb="5">
      <t>ムエイショウ</t>
    </rPh>
    <phoneticPr fontId="2"/>
  </si>
  <si>
    <t>ワンド</t>
  </si>
  <si>
    <t>短杖</t>
  </si>
  <si>
    <t>軽機関銃</t>
  </si>
  <si>
    <t>回転式拳銃</t>
  </si>
  <si>
    <t>鉱石×5、鱗×4</t>
  </si>
  <si>
    <t>塔盾。最大の防御範囲を持つが、重さが欠点。</t>
  </si>
  <si>
    <t>片手適正Ⅰ</t>
    <rPh sb="0" eb="2">
      <t>カタテ</t>
    </rPh>
    <rPh sb="2" eb="4">
      <t>テキセイ</t>
    </rPh>
    <phoneticPr fontId="2"/>
  </si>
  <si>
    <t>盾</t>
    <rPh sb="0" eb="1">
      <t>タテ</t>
    </rPh>
    <phoneticPr fontId="2"/>
  </si>
  <si>
    <t>タワーシールド</t>
  </si>
  <si>
    <t>塔盾</t>
  </si>
  <si>
    <t>棘盾。防御と攻撃を兼ね備えた特殊な盾。</t>
  </si>
  <si>
    <t>スパイクシールド</t>
  </si>
  <si>
    <t>棘盾</t>
    <rPh sb="0" eb="1">
      <t>トゲ</t>
    </rPh>
    <phoneticPr fontId="2"/>
  </si>
  <si>
    <t>大盾。さらに大きな盾で、高い防御力を持つ。</t>
  </si>
  <si>
    <t>ラージシールド</t>
  </si>
  <si>
    <t>投擲石</t>
  </si>
  <si>
    <t>木材×4、鱗×3</t>
  </si>
  <si>
    <t>丸大盾。防御範囲が広く、投擲も可能。</t>
  </si>
  <si>
    <t>投擲強化,片手適正Ⅰ</t>
    <phoneticPr fontId="2"/>
  </si>
  <si>
    <t>ラウンドシールド</t>
  </si>
  <si>
    <t>木材×4、鉱石×3</t>
  </si>
  <si>
    <t>盾。防御力が高く、汎用性がある防具。</t>
  </si>
  <si>
    <t>片手適性Ⅱ</t>
    <rPh sb="0" eb="4">
      <t>カタテテキ</t>
    </rPh>
    <phoneticPr fontId="2"/>
  </si>
  <si>
    <t>シールド</t>
  </si>
  <si>
    <t>木材×4、鉱石×3</t>
    <phoneticPr fontId="2"/>
  </si>
  <si>
    <t>丸盾。軽量で投擲にも使える盾。</t>
  </si>
  <si>
    <t>投擲強化,片手適性Ⅱ</t>
    <rPh sb="5" eb="9">
      <t>カタテテキ</t>
    </rPh>
    <phoneticPr fontId="2"/>
  </si>
  <si>
    <t>バックラー</t>
  </si>
  <si>
    <t>長弓。射程が長く、高い威力を持つ。</t>
    <phoneticPr fontId="2"/>
  </si>
  <si>
    <t>ロングボウ</t>
  </si>
  <si>
    <t>短弓。軽量で扱いやすい遠距離武器。</t>
    <rPh sb="11" eb="16">
      <t>エンキョリブキ</t>
    </rPh>
    <phoneticPr fontId="2"/>
  </si>
  <si>
    <t>ボウ</t>
    <phoneticPr fontId="2"/>
  </si>
  <si>
    <t>長弓。射程が長く、高い威力を持つ。</t>
  </si>
  <si>
    <t>短弓。軽量で扱いやすく、近距離戦に適する。</t>
  </si>
  <si>
    <t>ショートボウ</t>
  </si>
  <si>
    <t>投矢</t>
  </si>
  <si>
    <t>糸×4、皮×3</t>
  </si>
  <si>
    <t>超長鞭。非常に長いリーチを持ち、扱いが難しい。</t>
  </si>
  <si>
    <t>ハードロングウィップ</t>
  </si>
  <si>
    <t>超長鞭</t>
  </si>
  <si>
    <t>糸×3、皮×3</t>
  </si>
  <si>
    <t>長鞭。さらにリーチが長く、多様な戦闘スタイルに対応。</t>
  </si>
  <si>
    <t>ロングウィップ</t>
  </si>
  <si>
    <t>長鞭</t>
  </si>
  <si>
    <t>糸×3、皮×2</t>
  </si>
  <si>
    <t>鞭。リーチが長く、敵を絡め取る戦闘に適する。</t>
  </si>
  <si>
    <t>ウィップ</t>
  </si>
  <si>
    <t>大斧。巨大な斧で、高威力だが扱いが難しい。</t>
  </si>
  <si>
    <t>グレートアックス</t>
  </si>
  <si>
    <t>大斧</t>
  </si>
  <si>
    <t>丸大盾</t>
  </si>
  <si>
    <t>鉱石×4、鱗×3</t>
  </si>
  <si>
    <t>戦斧。攻撃力が高く、重いが信頼性がある武器。</t>
  </si>
  <si>
    <t>バトルアックス</t>
  </si>
  <si>
    <t>斧。斬撃に特化した攻撃的な武器。</t>
  </si>
  <si>
    <t>投擲強化、片手適性Ⅰ</t>
    <phoneticPr fontId="2"/>
  </si>
  <si>
    <t>アックス</t>
  </si>
  <si>
    <t>斧</t>
  </si>
  <si>
    <t>破壊籠手</t>
  </si>
  <si>
    <t>大鎌。大きなリーチを持ち、高威力の斬撃が可能。</t>
  </si>
  <si>
    <t>サイズ</t>
  </si>
  <si>
    <t>大鎌</t>
  </si>
  <si>
    <t>木材×3、鉱石×3</t>
  </si>
  <si>
    <t>鎌。農具を転用した武器で、鋭い斬撃を与える。</t>
  </si>
  <si>
    <t>シックル</t>
  </si>
  <si>
    <t>鉱石×5、鱗×3</t>
  </si>
  <si>
    <t>戦鎚。重い打撃を与える強力な武器。</t>
  </si>
  <si>
    <t>ウォーハンマー</t>
  </si>
  <si>
    <t>鎚。打撃力に優れ、投擲にも対応。</t>
  </si>
  <si>
    <t>投擲強化</t>
    <phoneticPr fontId="2"/>
  </si>
  <si>
    <t>ハンマー</t>
  </si>
  <si>
    <t>刺突戦鎚。刺突と打撃を兼ね備えた武器。</t>
  </si>
  <si>
    <t>ウォーピック</t>
  </si>
  <si>
    <t>刺突戦鎚</t>
  </si>
  <si>
    <t>鉱石×3、木材×3</t>
  </si>
  <si>
    <t>鶴嘴。登山用具だが、刺突武器としても有効。</t>
  </si>
  <si>
    <t>ピッケル</t>
  </si>
  <si>
    <t>鶴嘴</t>
  </si>
  <si>
    <t>戦棍棒。重い打撃力を持つ戦闘用武器。</t>
  </si>
  <si>
    <t>ポールメイス</t>
  </si>
  <si>
    <t>戦棍棒</t>
    <rPh sb="2" eb="3">
      <t>ボウ</t>
    </rPh>
    <phoneticPr fontId="2"/>
  </si>
  <si>
    <t>全力時の威力が高い。 クリティカル率が低い。 クリティカル威力が高い。 回避性能にペナルティがある。 命中性能にペナルティがある。 貫通に優れる。</t>
  </si>
  <si>
    <t>戦棒。長いリーチを持つ打撃武器。</t>
  </si>
  <si>
    <t>バトルポール</t>
  </si>
  <si>
    <t>戦棒</t>
    <rPh sb="0" eb="1">
      <t>セン</t>
    </rPh>
    <phoneticPr fontId="2"/>
  </si>
  <si>
    <t>全力時の威力が高い。 クリティカル率が低い。 クリティカル威力が高い。 貫通に優れる。</t>
  </si>
  <si>
    <t>棘棍。打撃と刺突を兼ね備えた武器。</t>
  </si>
  <si>
    <t>モーニングスター</t>
  </si>
  <si>
    <t>全力時の威力が高い。 クリティカル率が低い。 回避性能にペナルティがある。 命中性能にペナルティがある。 打撃に優れる。</t>
  </si>
  <si>
    <t>戦棍。打撃に優れた武器。Cr率が高い</t>
    <rPh sb="14" eb="15">
      <t>リツ</t>
    </rPh>
    <rPh sb="16" eb="17">
      <t>タカ</t>
    </rPh>
    <phoneticPr fontId="2"/>
  </si>
  <si>
    <t>ビックメイス</t>
    <phoneticPr fontId="2"/>
  </si>
  <si>
    <t>メイス</t>
  </si>
  <si>
    <t>全力時の威力が高い。 クリティカル威力が低い。 回避性能にペナルティがある。 命中性能にペナルティがある。 貫通と打撃に優れている。</t>
  </si>
  <si>
    <t>戦棒</t>
  </si>
  <si>
    <t>木材×3、皮×2</t>
  </si>
  <si>
    <t>棍棒。打撃に特化したシンプルな武器。</t>
  </si>
  <si>
    <t>片手適性Ⅰ</t>
    <rPh sb="0" eb="2">
      <t>カタテ</t>
    </rPh>
    <rPh sb="2" eb="4">
      <t>テキセイ</t>
    </rPh>
    <phoneticPr fontId="2"/>
  </si>
  <si>
    <t>クラブ</t>
  </si>
  <si>
    <t>全力時の威力が高い。 クリティカル率が高い。 クリティカル威力が低い。 打撃に優れる。</t>
  </si>
  <si>
    <t>戦棍。甲冑を貫通する打撃に優れた武器。</t>
  </si>
  <si>
    <t>三叉槍。三本の刃を持つ特殊な槍。</t>
  </si>
  <si>
    <t>投擲強化</t>
  </si>
  <si>
    <t>トライデント</t>
  </si>
  <si>
    <t>三叉槍</t>
  </si>
  <si>
    <t>グレートクラブ</t>
  </si>
  <si>
    <t>大棍棒。重く破壊力があるが、扱いが難しい。</t>
  </si>
  <si>
    <t>大棍棒</t>
  </si>
  <si>
    <t>剣槍。剣のように扱える槍で、近接戦闘にも対応。</t>
  </si>
  <si>
    <t>ソードスピア</t>
  </si>
  <si>
    <t>剣槍</t>
  </si>
  <si>
    <t>全力時の威力が高い。 クリティカル率が低い。 打撃に優れる。</t>
  </si>
  <si>
    <t>木材×4、鉱石×4</t>
  </si>
  <si>
    <t>薙刀。リーチが長く、斬撃と刺突のバランスが取れた武器。</t>
  </si>
  <si>
    <t>グレイブ</t>
  </si>
  <si>
    <t>薙刀</t>
    <rPh sb="0" eb="2">
      <t>ナギナタ</t>
    </rPh>
    <phoneticPr fontId="7"/>
  </si>
  <si>
    <t>クリティカル率が高い。 回避性能にペナルティがある。 命中性能にペナルティがある。 貫通に優れる。</t>
  </si>
  <si>
    <t>斧槍。全力時に威力が高く斬撃と突撃の両方に対応できる武器。</t>
    <rPh sb="3" eb="5">
      <t>ゼンリョク</t>
    </rPh>
    <rPh sb="5" eb="6">
      <t>ジ</t>
    </rPh>
    <rPh sb="7" eb="9">
      <t>イリョク</t>
    </rPh>
    <rPh sb="10" eb="11">
      <t>タカ</t>
    </rPh>
    <phoneticPr fontId="2"/>
  </si>
  <si>
    <t>ハルバート</t>
  </si>
  <si>
    <t>全力時の威力が高い。 回避性能にペナルティがある。 命中性能にペナルティがある。 切断と貫通に優れている。</t>
  </si>
  <si>
    <t>薙刀</t>
  </si>
  <si>
    <t>騎士槍。突撃に特化した武器で、高い攻撃力を誇る。</t>
  </si>
  <si>
    <t>突撃強化</t>
    <rPh sb="0" eb="2">
      <t>トツゲキ</t>
    </rPh>
    <rPh sb="2" eb="4">
      <t>キョウカ</t>
    </rPh>
    <phoneticPr fontId="2"/>
  </si>
  <si>
    <t>ランス</t>
  </si>
  <si>
    <t>全力時の威力が高い。 クリティカル威力が高い。 回避性能にペナルティがある。 命中性能にペナルティがある。 切断に優れる。</t>
  </si>
  <si>
    <t>長槍。さらにリーチが長い槍で、攻撃範囲が広い。</t>
  </si>
  <si>
    <t>ロングスピア</t>
  </si>
  <si>
    <t>長槍</t>
  </si>
  <si>
    <t>全力時の威力が高い。 バランスが良い性能を持つ。</t>
  </si>
  <si>
    <t>斧槍。斬撃と突撃の両方に対応できる武器。</t>
  </si>
  <si>
    <t>木材×3、鉱石×4</t>
  </si>
  <si>
    <t>槍。リーチが長く、刺突に優れる武器。</t>
  </si>
  <si>
    <t>スピア</t>
  </si>
  <si>
    <t>木材×2、鉱石×3</t>
  </si>
  <si>
    <t>短槍。短く扱いやすい槍で、投擲にも対応。</t>
  </si>
  <si>
    <t>ショートスピア</t>
  </si>
  <si>
    <t>全力時の威力が高い。 回避性能にペナルティがある。 命中性能にペナルティがある。 貫通に優れる。</t>
  </si>
  <si>
    <t>医療刃。医師が用いる刃物だが、戦闘にも使用可能。</t>
  </si>
  <si>
    <t>片手適正Ⅱ</t>
    <phoneticPr fontId="2"/>
  </si>
  <si>
    <t>メス</t>
  </si>
  <si>
    <t>医療刃</t>
  </si>
  <si>
    <t>全力時の威力が高い。 回避性能にペナルティがある。 貫通に優れる。</t>
  </si>
  <si>
    <t>鉈。片手で使うことができ、全力時の威力とCr率が高い。</t>
    <rPh sb="22" eb="23">
      <t>リツ</t>
    </rPh>
    <phoneticPr fontId="2"/>
  </si>
  <si>
    <t>ククリ</t>
  </si>
  <si>
    <t>鉈</t>
  </si>
  <si>
    <t>貫通に優れる。</t>
  </si>
  <si>
    <t>山刀。片手で使うことができ、全力時の威力とCr威力が高い。</t>
    <rPh sb="3" eb="5">
      <t>カタテ</t>
    </rPh>
    <rPh sb="6" eb="7">
      <t>ツカ</t>
    </rPh>
    <rPh sb="14" eb="16">
      <t>ゼンリョク</t>
    </rPh>
    <rPh sb="16" eb="17">
      <t>ジ</t>
    </rPh>
    <rPh sb="18" eb="20">
      <t>イリョク</t>
    </rPh>
    <rPh sb="23" eb="25">
      <t>イリョク</t>
    </rPh>
    <rPh sb="26" eb="27">
      <t>タカ</t>
    </rPh>
    <phoneticPr fontId="2"/>
  </si>
  <si>
    <t>マチェット</t>
  </si>
  <si>
    <t>山刀</t>
  </si>
  <si>
    <t>クリティカル率が高い。 クリティカル威力が低い。 切断と貫通に優れている。</t>
  </si>
  <si>
    <t>全力時の威力が高い。 クリティカル率が高い。 回避性能にペナルティがある。 切断に優れる。</t>
  </si>
  <si>
    <t>鉈。中型の刀で、斬撃に優れる。</t>
  </si>
  <si>
    <t>刺剣。小型で精密な攻撃が可能な武器。</t>
    <phoneticPr fontId="2"/>
  </si>
  <si>
    <t>スティレット</t>
  </si>
  <si>
    <t>全力時の威力が高い。 クリティカル威力が高い。 切断に優れる。</t>
  </si>
  <si>
    <t>山刀。軽量で扱いやすく、斬撃力が高い。</t>
  </si>
  <si>
    <t>細剣。刺突に優れた武器でCr率が高い</t>
    <rPh sb="14" eb="15">
      <t>リツ</t>
    </rPh>
    <rPh sb="16" eb="17">
      <t>タカ</t>
    </rPh>
    <phoneticPr fontId="2"/>
  </si>
  <si>
    <t>レイピア</t>
  </si>
  <si>
    <t>全力時の威力が高い。 貫通に優れる。</t>
  </si>
  <si>
    <t>刺剣。小型で精密な攻撃が可能な武器。</t>
  </si>
  <si>
    <t>大剣。非常に重いが威力が突出して高い武器。大きい分ガードにも向いている</t>
    <rPh sb="9" eb="11">
      <t>イリョク</t>
    </rPh>
    <rPh sb="12" eb="14">
      <t>トッシュツ</t>
    </rPh>
    <rPh sb="21" eb="22">
      <t>オオ</t>
    </rPh>
    <rPh sb="24" eb="25">
      <t>ブン</t>
    </rPh>
    <rPh sb="30" eb="31">
      <t>ム</t>
    </rPh>
    <phoneticPr fontId="2"/>
  </si>
  <si>
    <t>バスターソード</t>
  </si>
  <si>
    <t>クリティカル率が高い。 クリティカル威力が低い。 切断に優れる。</t>
  </si>
  <si>
    <t>細剣。刺突に優れた軽量な武器で、俊敏な戦闘スタイルに適する。</t>
  </si>
  <si>
    <t>長剣。長く重い分扱いにくいが威力が高い。</t>
    <rPh sb="3" eb="4">
      <t>ナガ</t>
    </rPh>
    <rPh sb="5" eb="6">
      <t>オモ</t>
    </rPh>
    <rPh sb="7" eb="8">
      <t>ブン</t>
    </rPh>
    <rPh sb="8" eb="9">
      <t>アツカ</t>
    </rPh>
    <rPh sb="14" eb="16">
      <t>イリョク</t>
    </rPh>
    <rPh sb="17" eb="18">
      <t>タカ</t>
    </rPh>
    <phoneticPr fontId="2"/>
  </si>
  <si>
    <t>ロングソード</t>
  </si>
  <si>
    <t>全力時の威力が高い。 回避性能にペナルティがある。 命中性能にペナルティがある。 切断に優れる。</t>
  </si>
  <si>
    <t>大剣。非常に重いが攻撃力が高い武器。</t>
  </si>
  <si>
    <t>幅の広い剣。扱いにくいが攻撃と防御にも優れている。状況に合わせて立ち回ろう。</t>
    <rPh sb="0" eb="1">
      <t>ハバ</t>
    </rPh>
    <rPh sb="2" eb="3">
      <t>ヒロ</t>
    </rPh>
    <rPh sb="4" eb="5">
      <t>ケン</t>
    </rPh>
    <rPh sb="6" eb="7">
      <t>アツカ</t>
    </rPh>
    <rPh sb="19" eb="20">
      <t>スグ</t>
    </rPh>
    <rPh sb="25" eb="27">
      <t>ジョウキョウ</t>
    </rPh>
    <rPh sb="28" eb="29">
      <t>ア</t>
    </rPh>
    <rPh sb="32" eb="33">
      <t>タ</t>
    </rPh>
    <rPh sb="34" eb="35">
      <t>マワ</t>
    </rPh>
    <phoneticPr fontId="2"/>
  </si>
  <si>
    <t>ブロードソード</t>
  </si>
  <si>
    <t>長剣。広剣よりリーチが長く、扱いに熟練が必要。</t>
  </si>
  <si>
    <t>剣。短い剣で片手で扱いやすく、初心者向けの武器。</t>
    <phoneticPr fontId="2"/>
  </si>
  <si>
    <t>ソード</t>
    <phoneticPr fontId="2"/>
  </si>
  <si>
    <t>広剣。標準的な剣で、攻撃と防御のバランスが良い。</t>
  </si>
  <si>
    <t>皮×2、鉱石×3</t>
  </si>
  <si>
    <t>短剣。軽量で扱いやすい暗殺用の武器。</t>
  </si>
  <si>
    <t>暗殺強化,片手適正Ⅱ</t>
    <rPh sb="0" eb="2">
      <t>アンサツ</t>
    </rPh>
    <rPh sb="2" eb="4">
      <t>キョウカ</t>
    </rPh>
    <phoneticPr fontId="2"/>
  </si>
  <si>
    <t>ダガー</t>
  </si>
  <si>
    <t>短剣</t>
  </si>
  <si>
    <t>切断に優れる。</t>
  </si>
  <si>
    <t>ショートソード</t>
  </si>
  <si>
    <t>剣。短い剣で片手で扱いやすく、初心者向けの武器。</t>
  </si>
  <si>
    <t>切断と貫通に優れている。</t>
  </si>
  <si>
    <t>斬馬刀</t>
  </si>
  <si>
    <t>木材×4、鉱石×5</t>
  </si>
  <si>
    <t>斬馬刀。重く巨大な刀で、攻撃力は高いが動きが鈍くなる。</t>
    <rPh sb="9" eb="10">
      <t>カタナ</t>
    </rPh>
    <phoneticPr fontId="2"/>
  </si>
  <si>
    <t>ザンバトウ</t>
  </si>
  <si>
    <t>斬馬刀。重く巨大な武器で、攻撃力は高いが動きが鈍くなる。</t>
  </si>
  <si>
    <t>太刀</t>
  </si>
  <si>
    <t>太刀。刀より長く、威力とCr威力が高いが重く使いにくい。</t>
    <rPh sb="9" eb="11">
      <t>イリョク</t>
    </rPh>
    <rPh sb="17" eb="18">
      <t>タカ</t>
    </rPh>
    <rPh sb="20" eb="21">
      <t>オモ</t>
    </rPh>
    <rPh sb="22" eb="23">
      <t>ツカ</t>
    </rPh>
    <phoneticPr fontId="2"/>
  </si>
  <si>
    <t>タチ</t>
  </si>
  <si>
    <t>太刀。刀より長く、大きな攻撃力を誇るが操作がやや難しい。</t>
  </si>
  <si>
    <t>刀。切断力に優れた武器で、Cr威力が高い</t>
    <phoneticPr fontId="2"/>
  </si>
  <si>
    <t>カタナ</t>
  </si>
  <si>
    <t>刀。切断力に優れた武器で、使い手次第で強力なダメージを与えられる。</t>
  </si>
  <si>
    <t>小太刀</t>
  </si>
  <si>
    <t>皮×2、木材×3</t>
  </si>
  <si>
    <t>小太刀。片手で扱いやすいバランスの取れた剣。切断とCr威力が高い</t>
    <rPh sb="22" eb="24">
      <t>セツダン</t>
    </rPh>
    <phoneticPr fontId="2"/>
  </si>
  <si>
    <t>コダチ</t>
  </si>
  <si>
    <t>クリティカル威力が高い。 切断に優れる。</t>
  </si>
  <si>
    <t>小太刀。片手で扱いやすいバランスの取れた剣。</t>
  </si>
  <si>
    <t>忍者刀</t>
  </si>
  <si>
    <t>皮×3、糸×3</t>
  </si>
  <si>
    <t>忍者刀。忍者が用いる軽量な剣で、貫通とCr威力が高い。</t>
    <phoneticPr fontId="2"/>
  </si>
  <si>
    <t>ニンジャソード</t>
  </si>
  <si>
    <t>クリティカル威力が高い。 貫通に優れる。</t>
  </si>
  <si>
    <t>忍者刀。忍者が用いる軽量な剣で、高い回避性能を持つ。</t>
  </si>
  <si>
    <t>苦無</t>
  </si>
  <si>
    <t>皮×2、糸×2</t>
  </si>
  <si>
    <t>苦無。投擲向きの武器で、暗殺や遠距離攻撃に有効。Cr威力が高い</t>
    <rPh sb="5" eb="6">
      <t>ム</t>
    </rPh>
    <phoneticPr fontId="2"/>
  </si>
  <si>
    <t>暗殺強化,投擲強化,片手適正Ⅱ</t>
    <rPh sb="5" eb="7">
      <t>トウテキ</t>
    </rPh>
    <rPh sb="7" eb="9">
      <t>キョウカ</t>
    </rPh>
    <phoneticPr fontId="2"/>
  </si>
  <si>
    <t>クナイ</t>
  </si>
  <si>
    <t>苦無。投擲可能な武器で、暗殺や遠距離攻撃に有効。</t>
  </si>
  <si>
    <t>脇差</t>
  </si>
  <si>
    <t>皮×2、鉱石×4</t>
  </si>
  <si>
    <t>脇差。軽く扱いやすい片手用の武器。Cr威力が高い</t>
    <phoneticPr fontId="2"/>
  </si>
  <si>
    <t>片手適正Ⅱ</t>
    <rPh sb="0" eb="2">
      <t>カタテ</t>
    </rPh>
    <rPh sb="2" eb="4">
      <t>テキセイ</t>
    </rPh>
    <phoneticPr fontId="2"/>
  </si>
  <si>
    <t>ワキザシ</t>
  </si>
  <si>
    <t>脇差。軽く扱いやすい片手用の武器。</t>
  </si>
  <si>
    <t>ワキザシ</t>
    <phoneticPr fontId="2"/>
  </si>
  <si>
    <t>短刀。暗殺向けの武器で、軽量かつ片手操作に適する。Cr威力が高い</t>
    <rPh sb="27" eb="29">
      <t>イリョク</t>
    </rPh>
    <rPh sb="30" eb="31">
      <t>タカ</t>
    </rPh>
    <phoneticPr fontId="2"/>
  </si>
  <si>
    <t>ナイフ</t>
  </si>
  <si>
    <t>短刀。暗殺向けの武器で、軽量かつ片手操作に適する。</t>
  </si>
  <si>
    <t>特徴</t>
  </si>
  <si>
    <t>武器名</t>
  </si>
  <si>
    <t>説明</t>
  </si>
  <si>
    <t>軽装*1,中装*3,重装*5</t>
  </si>
  <si>
    <t>鉱石</t>
  </si>
  <si>
    <t>合計</t>
    <rPh sb="0" eb="2">
      <t>ゴウケイ</t>
    </rPh>
    <phoneticPr fontId="2"/>
  </si>
  <si>
    <t>全力</t>
    <rPh sb="0" eb="2">
      <t>ゼンリョク</t>
    </rPh>
    <phoneticPr fontId="2"/>
  </si>
  <si>
    <t>基礎値</t>
    <rPh sb="0" eb="3">
      <t>キソチ</t>
    </rPh>
    <phoneticPr fontId="2"/>
  </si>
  <si>
    <t>計算</t>
    <rPh sb="0" eb="2">
      <t>ケイサン</t>
    </rPh>
    <phoneticPr fontId="2"/>
  </si>
  <si>
    <t>サブ素材</t>
    <rPh sb="2" eb="4">
      <t>ソザイ</t>
    </rPh>
    <phoneticPr fontId="2"/>
  </si>
  <si>
    <t>効果</t>
    <rPh sb="0" eb="2">
      <t>コウカ</t>
    </rPh>
    <phoneticPr fontId="2"/>
  </si>
  <si>
    <t>最低ダメージ</t>
  </si>
  <si>
    <t>呪いを帯びた骨。武器に使用すると攻撃に呪い効果が追加され、防具に使用すると呪い耐性が強化される。</t>
  </si>
  <si>
    <t>骨</t>
  </si>
  <si>
    <t>呪い耐性強化</t>
  </si>
  <si>
    <t>呪い強化</t>
  </si>
  <si>
    <t>呪い</t>
  </si>
  <si>
    <t>カースドボーン</t>
  </si>
  <si>
    <t>呪骨</t>
  </si>
  <si>
    <t>幻覚の力を持つ素材。武器に使用すると攻撃に幻覚を誘発し、防具に使用すると幻覚耐性が強化される。</t>
  </si>
  <si>
    <t>幻覚付加</t>
  </si>
  <si>
    <t>幻覚</t>
  </si>
  <si>
    <t>ミラージュボーン</t>
  </si>
  <si>
    <t>幻骨</t>
  </si>
  <si>
    <t>特殊な暗闇効果を持つ骨。武器に使用すると攻撃に暗闇効果が追加され、防具に使用すると盲目耐性が付加される。</t>
  </si>
  <si>
    <t>暗闇付加</t>
  </si>
  <si>
    <t>盲目</t>
  </si>
  <si>
    <t>ブラインドボーン</t>
  </si>
  <si>
    <t>盲目の骨</t>
  </si>
  <si>
    <t>不死者の骨。武器に使用すると不死者への打撃が強化され、防具に使用すると悪への耐性が付加される。</t>
  </si>
  <si>
    <t>悪耐性強化</t>
  </si>
  <si>
    <t>不死打撃</t>
  </si>
  <si>
    <t>悪</t>
  </si>
  <si>
    <t>ゴーストボーン</t>
  </si>
  <si>
    <t>亡者骨</t>
  </si>
  <si>
    <t>竜の骨から作られた素材。竜に対する攻撃力が高まり、竜からの攻撃を軽減する効果を持つ。</t>
  </si>
  <si>
    <t>竜耐性強化</t>
  </si>
  <si>
    <t>竜撃強化</t>
  </si>
  <si>
    <t>古の力</t>
  </si>
  <si>
    <t>龍骨</t>
  </si>
  <si>
    <t>金額</t>
  </si>
  <si>
    <t>防具能力</t>
  </si>
  <si>
    <t>武器能力</t>
  </si>
  <si>
    <t>属性値</t>
  </si>
  <si>
    <t>属性</t>
  </si>
  <si>
    <t>重さ</t>
  </si>
  <si>
    <t>Lv</t>
  </si>
  <si>
    <t>3. 骨（ボーン）素材例</t>
  </si>
  <si>
    <t>月光を浴びて育った木材で、闇の力に影響されやすい。武器に使用すると攻撃に闇属性が付加され、防具に使用すると闇耐性が強化される。</t>
  </si>
  <si>
    <t>木材</t>
  </si>
  <si>
    <t>闇耐性強化</t>
  </si>
  <si>
    <t>闇の刃</t>
  </si>
  <si>
    <t>闇</t>
  </si>
  <si>
    <t>ムーンシャドーウッド</t>
  </si>
  <si>
    <t>月影木</t>
  </si>
  <si>
    <t>精神的なエネルギーを吸収する木材。武器に使用すると精神的耐性が上昇、防具に使用すると精神耐性がさらに強化される。</t>
  </si>
  <si>
    <t>精神耐性強化</t>
  </si>
  <si>
    <t>精神</t>
  </si>
  <si>
    <t>スピリットウッド</t>
  </si>
  <si>
    <t>亡霊樹</t>
  </si>
  <si>
    <t>神聖な力を持つ木材。武器として使用すると善属性が付加され、防具に使用すると呪いへの耐性が強化される。</t>
  </si>
  <si>
    <t>正の加護</t>
  </si>
  <si>
    <t>善</t>
  </si>
  <si>
    <t>セイクリッドウッド</t>
  </si>
  <si>
    <t>聖木</t>
  </si>
  <si>
    <t>雷を引き寄せる性質がある木材。武器に使用すると電撃属性を付加し、防具に使用すると雷耐性が強化される。</t>
  </si>
  <si>
    <t>電撃耐性</t>
  </si>
  <si>
    <t>電撃効果</t>
  </si>
  <si>
    <t>雷</t>
  </si>
  <si>
    <t>サンダーウッド</t>
  </si>
  <si>
    <t>雷樹</t>
  </si>
  <si>
    <t>音を増幅させる性質を持つ木材。武器に使用すると音波効果を付加し、防具に使用すると音耐性が強化される。</t>
  </si>
  <si>
    <t>音波増幅</t>
  </si>
  <si>
    <t>音</t>
  </si>
  <si>
    <t>ソニックウッド</t>
  </si>
  <si>
    <t>音響樹</t>
  </si>
  <si>
    <t>ブラックウッドコア</t>
    <phoneticPr fontId="2"/>
  </si>
  <si>
    <t>黒の芯木</t>
    <rPh sb="0" eb="1">
      <t>クロ</t>
    </rPh>
    <rPh sb="2" eb="3">
      <t>シン</t>
    </rPh>
    <rPh sb="3" eb="4">
      <t>キ</t>
    </rPh>
    <phoneticPr fontId="2"/>
  </si>
  <si>
    <t>ブラックウッド</t>
    <phoneticPr fontId="2"/>
  </si>
  <si>
    <t>黒の木</t>
    <rPh sb="0" eb="1">
      <t>クロ</t>
    </rPh>
    <rPh sb="2" eb="3">
      <t>キ</t>
    </rPh>
    <phoneticPr fontId="2"/>
  </si>
  <si>
    <t>一般的な木材。金属より軽いが少し脆い</t>
    <rPh sb="0" eb="3">
      <t>イッパンテキ</t>
    </rPh>
    <rPh sb="7" eb="9">
      <t>キンゾク</t>
    </rPh>
    <rPh sb="11" eb="12">
      <t>カル</t>
    </rPh>
    <rPh sb="14" eb="15">
      <t>スコ</t>
    </rPh>
    <rPh sb="16" eb="17">
      <t>モロ</t>
    </rPh>
    <phoneticPr fontId="2"/>
  </si>
  <si>
    <t>ウッド</t>
    <phoneticPr fontId="2"/>
  </si>
  <si>
    <t>物理</t>
    <rPh sb="0" eb="2">
      <t>ブツリ</t>
    </rPh>
    <phoneticPr fontId="2"/>
  </si>
  <si>
    <t>2. 木材（ウッド）素材例</t>
  </si>
  <si>
    <t>酸性の体液を持つドラゴン型生物から採取される鱗素材。特殊な酸属性耐性を提供し、毒性や腐食性のある環境に適した防具の製作に適しています。</t>
  </si>
  <si>
    <t>鱗</t>
  </si>
  <si>
    <t>アシッドドレイクスケール</t>
  </si>
  <si>
    <t>酸蜥蜴の鱗</t>
  </si>
  <si>
    <t>雷属性を持つドラゴン型生物から採取される鱗素材。雷属性攻撃への耐性を強化し、武器の電撃効果を高めることも可能です。</t>
  </si>
  <si>
    <t>サンダードレイクスケール</t>
  </si>
  <si>
    <t>氷属性を持つドラゴン型生物から採取される鱗素材。極寒の環境や冷気攻撃への対策として優れた性能を発揮します。</t>
  </si>
  <si>
    <t>氷</t>
  </si>
  <si>
    <t>アイスドレイクスケール</t>
  </si>
  <si>
    <t>炎属性を持つドラゴン型生物から採取される鱗素材。強力な炎属性防御を備えており、耐熱性が求められる場面で特に有用です。</t>
  </si>
  <si>
    <t>炎</t>
  </si>
  <si>
    <t>ファイアドレイクスケール</t>
  </si>
  <si>
    <t>魔力を帯びた特殊な皮素材。魔法防御や属性耐性を強化する効果があり、高レベルの冒険者に重宝されます。</t>
  </si>
  <si>
    <t>皮</t>
  </si>
  <si>
    <t>魔法</t>
  </si>
  <si>
    <t>マジックレザー</t>
  </si>
  <si>
    <t>高品質な加工を施した軽量の皮素材。軽量化により動きやすさを確保しつつ、適度な防御力を提供します。</t>
  </si>
  <si>
    <t>ライトレザー</t>
  </si>
  <si>
    <t>野生動物から得られる丈夫な皮素材。皮装備の性能を向上させ、基本的な防護性能を備えています。</t>
  </si>
  <si>
    <t>ビーストレザー</t>
  </si>
  <si>
    <t>獣皮</t>
  </si>
  <si>
    <t>一般的な皮素材で、防具や軽量装備の材料として最適です。耐久性は高くありませんが、軽量で扱いやすい点が特徴です。</t>
  </si>
  <si>
    <t>レザー</t>
  </si>
  <si>
    <t>物理</t>
  </si>
  <si>
    <t>重さ/全力</t>
  </si>
  <si>
    <t>ブラックメタル</t>
    <phoneticPr fontId="2"/>
  </si>
  <si>
    <t>黒鋼</t>
    <phoneticPr fontId="2"/>
  </si>
  <si>
    <t>魔法</t>
    <rPh sb="0" eb="2">
      <t>マホウ</t>
    </rPh>
    <phoneticPr fontId="2"/>
  </si>
  <si>
    <t>ゴールドメタル</t>
    <phoneticPr fontId="2"/>
  </si>
  <si>
    <t>シルバーメタル</t>
    <phoneticPr fontId="2"/>
  </si>
  <si>
    <t>アダマンタイト</t>
    <phoneticPr fontId="2"/>
  </si>
  <si>
    <t>オリハルコン</t>
    <phoneticPr fontId="2"/>
  </si>
  <si>
    <t>ミスリル</t>
    <phoneticPr fontId="2"/>
  </si>
  <si>
    <t>銀鉄</t>
    <phoneticPr fontId="2"/>
  </si>
  <si>
    <t>水晶</t>
    <rPh sb="0" eb="2">
      <t>スイショウ</t>
    </rPh>
    <phoneticPr fontId="2"/>
  </si>
  <si>
    <t>武器透明化</t>
    <rPh sb="0" eb="2">
      <t>ブキ</t>
    </rPh>
    <rPh sb="2" eb="5">
      <t>トウメイカ</t>
    </rPh>
    <phoneticPr fontId="2"/>
  </si>
  <si>
    <t>光</t>
    <phoneticPr fontId="2"/>
  </si>
  <si>
    <t>クリスタル</t>
    <phoneticPr fontId="2"/>
  </si>
  <si>
    <t>明細水晶</t>
    <rPh sb="0" eb="2">
      <t>メイサイ</t>
    </rPh>
    <rPh sb="2" eb="4">
      <t>スイショウ</t>
    </rPh>
    <phoneticPr fontId="2"/>
  </si>
  <si>
    <t>悪</t>
    <phoneticPr fontId="2"/>
  </si>
  <si>
    <t>エルスタリン</t>
  </si>
  <si>
    <t>悪の鉄</t>
  </si>
  <si>
    <t>善</t>
    <phoneticPr fontId="2"/>
  </si>
  <si>
    <t>フリスタリン</t>
  </si>
  <si>
    <t>善の鉄</t>
  </si>
  <si>
    <t>セレン</t>
  </si>
  <si>
    <t>幽鉄</t>
  </si>
  <si>
    <t>水晶と鉄が融合した素材。武器に使用すると魔法効果が高まり、防具に使用すると魔法防御力が強化される。</t>
  </si>
  <si>
    <t>魔法防御強化</t>
  </si>
  <si>
    <t>魔力伝導性向上</t>
  </si>
  <si>
    <t>クリスタルスティール</t>
  </si>
  <si>
    <t>水晶鉄</t>
  </si>
  <si>
    <t>ネロスティール</t>
  </si>
  <si>
    <t>滅鉄柱</t>
  </si>
  <si>
    <t>炎</t>
    <rPh sb="0" eb="1">
      <t>ホノオ</t>
    </rPh>
    <phoneticPr fontId="2"/>
  </si>
  <si>
    <t>ヒートスティール</t>
  </si>
  <si>
    <t>氷</t>
    <rPh sb="0" eb="1">
      <t>コオリ</t>
    </rPh>
    <phoneticPr fontId="2"/>
  </si>
  <si>
    <t>ドゥララン</t>
  </si>
  <si>
    <t>雷</t>
    <rPh sb="0" eb="1">
      <t>イカズチ</t>
    </rPh>
    <phoneticPr fontId="2"/>
  </si>
  <si>
    <t>ブラックスティール</t>
  </si>
  <si>
    <t>能力:深い水晶開放[HPを20消費して武器の威力+25]、深い水晶内包[HPを20消費して物理軽減+25上昇]</t>
    <rPh sb="0" eb="2">
      <t>ノウリョク</t>
    </rPh>
    <rPh sb="3" eb="4">
      <t>フカ</t>
    </rPh>
    <rPh sb="5" eb="7">
      <t>スイショウ</t>
    </rPh>
    <rPh sb="7" eb="9">
      <t>カイホウ</t>
    </rPh>
    <rPh sb="15" eb="17">
      <t>ショウヒ</t>
    </rPh>
    <rPh sb="19" eb="21">
      <t>ブキ</t>
    </rPh>
    <rPh sb="22" eb="24">
      <t>イリョク</t>
    </rPh>
    <rPh sb="41" eb="43">
      <t>ショウヒ</t>
    </rPh>
    <rPh sb="45" eb="47">
      <t>ブツリ</t>
    </rPh>
    <rPh sb="47" eb="49">
      <t>ケイゲン</t>
    </rPh>
    <rPh sb="52" eb="54">
      <t>ジョウショウ</t>
    </rPh>
    <phoneticPr fontId="2"/>
  </si>
  <si>
    <t>深い水晶内包</t>
    <rPh sb="4" eb="6">
      <t>ナイホウ</t>
    </rPh>
    <phoneticPr fontId="2"/>
  </si>
  <si>
    <t>深い水晶開放</t>
  </si>
  <si>
    <t>ディープクリスタル</t>
  </si>
  <si>
    <t>深い水晶</t>
  </si>
  <si>
    <t>鍛えられた鉄。硬度が高く安価なためよく使用される。</t>
    <rPh sb="0" eb="1">
      <t>キタ</t>
    </rPh>
    <rPh sb="5" eb="6">
      <t>テツ</t>
    </rPh>
    <rPh sb="7" eb="9">
      <t>コウド</t>
    </rPh>
    <rPh sb="10" eb="11">
      <t>タカ</t>
    </rPh>
    <rPh sb="12" eb="14">
      <t>アンカ</t>
    </rPh>
    <rPh sb="19" eb="21">
      <t>シヨウ</t>
    </rPh>
    <phoneticPr fontId="2"/>
  </si>
  <si>
    <t>スチール</t>
  </si>
  <si>
    <t>鋼</t>
  </si>
  <si>
    <t>一般的な鉄。量産品を作るのに使用されることが多い</t>
    <rPh sb="0" eb="3">
      <t>イッパンテキ</t>
    </rPh>
    <rPh sb="4" eb="5">
      <t>テツ</t>
    </rPh>
    <rPh sb="6" eb="9">
      <t>リョウサンヒン</t>
    </rPh>
    <rPh sb="10" eb="11">
      <t>ツク</t>
    </rPh>
    <rPh sb="14" eb="16">
      <t>シヨウ</t>
    </rPh>
    <rPh sb="22" eb="23">
      <t>オオ</t>
    </rPh>
    <phoneticPr fontId="2"/>
  </si>
  <si>
    <t>鉱石</t>
    <rPh sb="0" eb="2">
      <t>コウセキ</t>
    </rPh>
    <phoneticPr fontId="2"/>
  </si>
  <si>
    <t>アイアン</t>
    <phoneticPr fontId="2"/>
  </si>
  <si>
    <t>最高位の魔法文字を書くのに使用される。貴金属では最も高価値</t>
    <rPh sb="0" eb="3">
      <t>サイコウイ</t>
    </rPh>
    <rPh sb="4" eb="8">
      <t>マホウモジ</t>
    </rPh>
    <rPh sb="9" eb="10">
      <t>カ</t>
    </rPh>
    <rPh sb="13" eb="15">
      <t>シヨウ</t>
    </rPh>
    <rPh sb="19" eb="22">
      <t>キキンゾク</t>
    </rPh>
    <rPh sb="24" eb="25">
      <t>モット</t>
    </rPh>
    <rPh sb="26" eb="29">
      <t>コウカチ</t>
    </rPh>
    <phoneticPr fontId="2"/>
  </si>
  <si>
    <t>プラチナ</t>
  </si>
  <si>
    <t>白金</t>
  </si>
  <si>
    <t>魔法文字を書くのに使用させる。金銭的価値が非常に高い</t>
    <rPh sb="0" eb="2">
      <t>マホウ</t>
    </rPh>
    <rPh sb="2" eb="4">
      <t>モジ</t>
    </rPh>
    <rPh sb="5" eb="6">
      <t>カ</t>
    </rPh>
    <rPh sb="9" eb="11">
      <t>シヨウ</t>
    </rPh>
    <rPh sb="15" eb="18">
      <t>キンセンテキ</t>
    </rPh>
    <rPh sb="18" eb="20">
      <t>カチ</t>
    </rPh>
    <rPh sb="21" eb="23">
      <t>ヒジョウ</t>
    </rPh>
    <rPh sb="24" eb="25">
      <t>タカ</t>
    </rPh>
    <phoneticPr fontId="2"/>
  </si>
  <si>
    <t>ゴールド</t>
  </si>
  <si>
    <t>金</t>
  </si>
  <si>
    <t>魔道具を作るのに使用される。価値はそれなり</t>
    <rPh sb="0" eb="3">
      <t>マドウグ</t>
    </rPh>
    <rPh sb="4" eb="5">
      <t>ツク</t>
    </rPh>
    <rPh sb="8" eb="10">
      <t>シヨウ</t>
    </rPh>
    <rPh sb="14" eb="16">
      <t>カチ</t>
    </rPh>
    <phoneticPr fontId="2"/>
  </si>
  <si>
    <t>シルバー</t>
  </si>
  <si>
    <t>銀</t>
  </si>
  <si>
    <t>低価値、利用頻度は高くよく取れる</t>
    <rPh sb="0" eb="3">
      <t>テイカチ</t>
    </rPh>
    <rPh sb="4" eb="8">
      <t>リヨウヒンド</t>
    </rPh>
    <rPh sb="9" eb="10">
      <t>タカ</t>
    </rPh>
    <rPh sb="13" eb="14">
      <t>ト</t>
    </rPh>
    <phoneticPr fontId="2"/>
  </si>
  <si>
    <t>カッパー</t>
  </si>
  <si>
    <t>銅</t>
  </si>
  <si>
    <t>鉱石鱗木材骨皮布糸
宝石液体</t>
    <phoneticPr fontId="2"/>
  </si>
  <si>
    <t>体装備のときだけ付与</t>
    <rPh sb="0" eb="1">
      <t>カラダ</t>
    </rPh>
    <rPh sb="1" eb="3">
      <t>ソウビ</t>
    </rPh>
    <rPh sb="8" eb="10">
      <t>フヨ</t>
    </rPh>
    <phoneticPr fontId="2"/>
  </si>
  <si>
    <t>一定より大きい武器にしたときのみ付与</t>
    <rPh sb="0" eb="2">
      <t>イッテイ</t>
    </rPh>
    <rPh sb="4" eb="5">
      <t>オオ</t>
    </rPh>
    <rPh sb="7" eb="9">
      <t>ブキ</t>
    </rPh>
    <rPh sb="16" eb="18">
      <t>フヨ</t>
    </rPh>
    <phoneticPr fontId="2"/>
  </si>
  <si>
    <t>元金額</t>
    <rPh sb="0" eb="1">
      <t>モト</t>
    </rPh>
    <rPh sb="1" eb="3">
      <t>キンガク</t>
    </rPh>
    <phoneticPr fontId="2"/>
  </si>
  <si>
    <t>防具能力</t>
    <rPh sb="0" eb="2">
      <t>ボウグ</t>
    </rPh>
    <rPh sb="2" eb="4">
      <t>ノウリョク</t>
    </rPh>
    <phoneticPr fontId="2"/>
  </si>
  <si>
    <t>武器能力</t>
    <rPh sb="0" eb="2">
      <t>ブキ</t>
    </rPh>
    <rPh sb="2" eb="4">
      <t>ノウリョク</t>
    </rPh>
    <phoneticPr fontId="2"/>
  </si>
  <si>
    <t>Cr威力</t>
    <rPh sb="2" eb="4">
      <t>イリョク</t>
    </rPh>
    <phoneticPr fontId="2"/>
  </si>
  <si>
    <t>Cr率</t>
    <rPh sb="2" eb="3">
      <t>リツ</t>
    </rPh>
    <phoneticPr fontId="2"/>
  </si>
  <si>
    <t>重さ/全力</t>
    <rPh sb="0" eb="1">
      <t>オモ</t>
    </rPh>
    <rPh sb="3" eb="5">
      <t>ゼンリョク</t>
    </rPh>
    <phoneticPr fontId="2"/>
  </si>
  <si>
    <t>英名</t>
    <rPh sb="0" eb="2">
      <t>エイメイ</t>
    </rPh>
    <phoneticPr fontId="2"/>
  </si>
  <si>
    <t>名前</t>
    <rPh sb="0" eb="2">
      <t>ナマエ</t>
    </rPh>
    <phoneticPr fontId="2"/>
  </si>
  <si>
    <t>耐酸の外套</t>
  </si>
  <si>
    <t>耐雷の外套</t>
  </si>
  <si>
    <t>耐氷の外套</t>
  </si>
  <si>
    <t>耐炎の外套</t>
  </si>
  <si>
    <t>影の外套</t>
  </si>
  <si>
    <t>熱鉄の靴</t>
  </si>
  <si>
    <t>魔獣皮の胴衣</t>
  </si>
  <si>
    <t>魔獣皮の鎧</t>
  </si>
  <si>
    <t>魔獣皮の法衣</t>
  </si>
  <si>
    <t>魔獣皮の衣布</t>
  </si>
  <si>
    <t>熱鉄の胴衣</t>
  </si>
  <si>
    <t>熱鉄の鎧</t>
  </si>
  <si>
    <t>熱鉄の兜</t>
  </si>
  <si>
    <t>熱鉄の盾</t>
  </si>
  <si>
    <t>熱鉄の短弓</t>
    <rPh sb="3" eb="4">
      <t>タン</t>
    </rPh>
    <rPh sb="4" eb="5">
      <t>ユミ</t>
    </rPh>
    <phoneticPr fontId="2"/>
  </si>
  <si>
    <t>熱鉄の棍棒</t>
  </si>
  <si>
    <t>熱鉄の槍</t>
  </si>
  <si>
    <t>熱鉄の剣</t>
  </si>
  <si>
    <t>熱鉄の短刀</t>
  </si>
  <si>
    <t>鋼の靴</t>
  </si>
  <si>
    <t>鋼の胴衣</t>
  </si>
  <si>
    <t>鋼の鎧</t>
  </si>
  <si>
    <t>鋼の兜</t>
  </si>
  <si>
    <t>鋼の面兜</t>
    <phoneticPr fontId="2"/>
  </si>
  <si>
    <t>鋼の棘棍</t>
  </si>
  <si>
    <t>鋼の戦棍</t>
  </si>
  <si>
    <t>鋼の槍</t>
  </si>
  <si>
    <t>鋼の細剣</t>
  </si>
  <si>
    <t>鋼の長剣</t>
  </si>
  <si>
    <t>鋼の広剣</t>
  </si>
  <si>
    <t>鋼の剣</t>
  </si>
  <si>
    <t>鋼の短刀</t>
  </si>
  <si>
    <t>熊の帯</t>
  </si>
  <si>
    <t>獅子の帯</t>
  </si>
  <si>
    <t>大樹の帯</t>
  </si>
  <si>
    <t>猪の帯</t>
  </si>
  <si>
    <t>蟻の帯</t>
  </si>
  <si>
    <t>樹の帯</t>
    <phoneticPr fontId="2"/>
  </si>
  <si>
    <t>鉄の靴</t>
  </si>
  <si>
    <t>獣皮の胴衣</t>
  </si>
  <si>
    <t>獣皮の鎧</t>
  </si>
  <si>
    <t>獣皮の法衣</t>
  </si>
  <si>
    <t>獣皮の衣布</t>
  </si>
  <si>
    <t>皮の胴衣</t>
  </si>
  <si>
    <t>皮の鎧</t>
  </si>
  <si>
    <t>皮の法衣</t>
  </si>
  <si>
    <t>皮の衣布</t>
  </si>
  <si>
    <t>鉄の胴衣</t>
  </si>
  <si>
    <t>鉄の鎧</t>
  </si>
  <si>
    <t>鉄の兜</t>
  </si>
  <si>
    <t>鉄の盾</t>
  </si>
  <si>
    <t>鉄の短弓</t>
    <rPh sb="2" eb="3">
      <t>タン</t>
    </rPh>
    <rPh sb="3" eb="4">
      <t>ユミ</t>
    </rPh>
    <phoneticPr fontId="2"/>
  </si>
  <si>
    <t>鉄の棍棒</t>
  </si>
  <si>
    <t>鉄の槍</t>
  </si>
  <si>
    <t>鉄の剣</t>
  </si>
  <si>
    <t>鉄の短刀</t>
  </si>
  <si>
    <t>商品46</t>
    <rPh sb="0" eb="2">
      <t>ショウヒン</t>
    </rPh>
    <phoneticPr fontId="2"/>
  </si>
  <si>
    <t>商品45</t>
    <rPh sb="0" eb="2">
      <t>ショウヒン</t>
    </rPh>
    <phoneticPr fontId="2"/>
  </si>
  <si>
    <t>商品44</t>
    <rPh sb="0" eb="2">
      <t>ショウヒン</t>
    </rPh>
    <phoneticPr fontId="2"/>
  </si>
  <si>
    <t>商品43</t>
    <rPh sb="0" eb="2">
      <t>ショウヒン</t>
    </rPh>
    <phoneticPr fontId="2"/>
  </si>
  <si>
    <t>商品42</t>
    <rPh sb="0" eb="2">
      <t>ショウヒン</t>
    </rPh>
    <phoneticPr fontId="2"/>
  </si>
  <si>
    <t>商品41</t>
    <rPh sb="0" eb="2">
      <t>ショウヒン</t>
    </rPh>
    <phoneticPr fontId="2"/>
  </si>
  <si>
    <t>商品40</t>
    <rPh sb="0" eb="2">
      <t>ショウヒン</t>
    </rPh>
    <phoneticPr fontId="2"/>
  </si>
  <si>
    <t>商品39</t>
    <rPh sb="0" eb="2">
      <t>ショウヒン</t>
    </rPh>
    <phoneticPr fontId="2"/>
  </si>
  <si>
    <t>商品38</t>
    <rPh sb="0" eb="2">
      <t>ショウヒン</t>
    </rPh>
    <phoneticPr fontId="2"/>
  </si>
  <si>
    <t>商品37</t>
    <rPh sb="0" eb="2">
      <t>ショウヒン</t>
    </rPh>
    <phoneticPr fontId="2"/>
  </si>
  <si>
    <t>商品36</t>
    <rPh sb="0" eb="2">
      <t>ショウヒン</t>
    </rPh>
    <phoneticPr fontId="2"/>
  </si>
  <si>
    <t>商品35</t>
    <rPh sb="0" eb="2">
      <t>ショウヒン</t>
    </rPh>
    <phoneticPr fontId="2"/>
  </si>
  <si>
    <t>商品34</t>
    <rPh sb="0" eb="2">
      <t>ショウヒン</t>
    </rPh>
    <phoneticPr fontId="2"/>
  </si>
  <si>
    <t>商品33</t>
    <rPh sb="0" eb="2">
      <t>ショウヒン</t>
    </rPh>
    <phoneticPr fontId="2"/>
  </si>
  <si>
    <t>商品32</t>
    <rPh sb="0" eb="2">
      <t>ショウヒン</t>
    </rPh>
    <phoneticPr fontId="2"/>
  </si>
  <si>
    <t>商品31</t>
    <rPh sb="0" eb="2">
      <t>ショウヒン</t>
    </rPh>
    <phoneticPr fontId="2"/>
  </si>
  <si>
    <t>商品30</t>
    <rPh sb="0" eb="2">
      <t>ショウヒン</t>
    </rPh>
    <phoneticPr fontId="2"/>
  </si>
  <si>
    <t>商品29</t>
    <rPh sb="0" eb="2">
      <t>ショウヒン</t>
    </rPh>
    <phoneticPr fontId="2"/>
  </si>
  <si>
    <t>商品28</t>
    <rPh sb="0" eb="2">
      <t>ショウヒン</t>
    </rPh>
    <phoneticPr fontId="2"/>
  </si>
  <si>
    <t>商品27</t>
    <rPh sb="0" eb="2">
      <t>ショウヒン</t>
    </rPh>
    <phoneticPr fontId="2"/>
  </si>
  <si>
    <t>商品26</t>
    <rPh sb="0" eb="2">
      <t>ショウヒン</t>
    </rPh>
    <phoneticPr fontId="2"/>
  </si>
  <si>
    <t>商品25</t>
    <rPh sb="0" eb="2">
      <t>ショウヒン</t>
    </rPh>
    <phoneticPr fontId="2"/>
  </si>
  <si>
    <t>商品24</t>
    <rPh sb="0" eb="2">
      <t>ショウヒン</t>
    </rPh>
    <phoneticPr fontId="2"/>
  </si>
  <si>
    <t>商品23</t>
    <rPh sb="0" eb="2">
      <t>ショウヒン</t>
    </rPh>
    <phoneticPr fontId="2"/>
  </si>
  <si>
    <t>商品22</t>
    <rPh sb="0" eb="2">
      <t>ショウヒン</t>
    </rPh>
    <phoneticPr fontId="2"/>
  </si>
  <si>
    <t>商品21</t>
    <rPh sb="0" eb="2">
      <t>ショウヒン</t>
    </rPh>
    <phoneticPr fontId="2"/>
  </si>
  <si>
    <t>商品20</t>
    <rPh sb="0" eb="2">
      <t>ショウヒン</t>
    </rPh>
    <phoneticPr fontId="2"/>
  </si>
  <si>
    <t>商品19</t>
    <rPh sb="0" eb="2">
      <t>ショウヒン</t>
    </rPh>
    <phoneticPr fontId="2"/>
  </si>
  <si>
    <t>商品18</t>
    <rPh sb="0" eb="2">
      <t>ショウヒン</t>
    </rPh>
    <phoneticPr fontId="2"/>
  </si>
  <si>
    <t>商品17</t>
    <rPh sb="0" eb="2">
      <t>ショウヒン</t>
    </rPh>
    <phoneticPr fontId="2"/>
  </si>
  <si>
    <t>商品16</t>
    <rPh sb="0" eb="2">
      <t>ショウヒン</t>
    </rPh>
    <phoneticPr fontId="2"/>
  </si>
  <si>
    <t>商品15</t>
    <rPh sb="0" eb="2">
      <t>ショウヒン</t>
    </rPh>
    <phoneticPr fontId="2"/>
  </si>
  <si>
    <t>商品14</t>
    <rPh sb="0" eb="2">
      <t>ショウヒン</t>
    </rPh>
    <phoneticPr fontId="2"/>
  </si>
  <si>
    <t>商品13</t>
    <rPh sb="0" eb="2">
      <t>ショウヒン</t>
    </rPh>
    <phoneticPr fontId="2"/>
  </si>
  <si>
    <t>商品12</t>
    <rPh sb="0" eb="2">
      <t>ショウヒン</t>
    </rPh>
    <phoneticPr fontId="2"/>
  </si>
  <si>
    <t>商品11</t>
    <rPh sb="0" eb="2">
      <t>ショウヒン</t>
    </rPh>
    <phoneticPr fontId="2"/>
  </si>
  <si>
    <t>商品10</t>
    <rPh sb="0" eb="2">
      <t>ショウヒン</t>
    </rPh>
    <phoneticPr fontId="2"/>
  </si>
  <si>
    <t>商品9</t>
    <rPh sb="0" eb="2">
      <t>ショウヒン</t>
    </rPh>
    <phoneticPr fontId="2"/>
  </si>
  <si>
    <t>商品8</t>
    <rPh sb="0" eb="2">
      <t>ショウヒン</t>
    </rPh>
    <phoneticPr fontId="2"/>
  </si>
  <si>
    <t>商品7</t>
    <rPh sb="0" eb="2">
      <t>ショウヒン</t>
    </rPh>
    <phoneticPr fontId="2"/>
  </si>
  <si>
    <t>商品6</t>
    <rPh sb="0" eb="2">
      <t>ショウヒン</t>
    </rPh>
    <phoneticPr fontId="2"/>
  </si>
  <si>
    <t>商品5</t>
    <rPh sb="0" eb="2">
      <t>ショウヒン</t>
    </rPh>
    <phoneticPr fontId="2"/>
  </si>
  <si>
    <t>商品4</t>
    <rPh sb="0" eb="2">
      <t>ショウヒン</t>
    </rPh>
    <phoneticPr fontId="2"/>
  </si>
  <si>
    <t>商品3</t>
    <rPh sb="0" eb="2">
      <t>ショウヒン</t>
    </rPh>
    <phoneticPr fontId="2"/>
  </si>
  <si>
    <t>商品2</t>
    <rPh sb="0" eb="2">
      <t>ショウヒン</t>
    </rPh>
    <phoneticPr fontId="2"/>
  </si>
  <si>
    <t>商品1</t>
    <rPh sb="0" eb="2">
      <t>ショウヒン</t>
    </rPh>
    <phoneticPr fontId="2"/>
  </si>
  <si>
    <t>ルビ</t>
    <phoneticPr fontId="2"/>
  </si>
  <si>
    <t>店名</t>
    <rPh sb="0" eb="2">
      <t>テンメイ</t>
    </rPh>
    <phoneticPr fontId="2"/>
  </si>
  <si>
    <t>レア武器や防具、特別な効果の付与。</t>
  </si>
  <si>
    <t>星鉄、隕石の欠片</t>
  </si>
  <si>
    <t>特殊</t>
  </si>
  <si>
    <t>ポーション、魔法武器、属性強化。</t>
  </si>
  <si>
    <t>魔獣の血、特殊な溶液</t>
  </si>
  <si>
    <t>液体</t>
  </si>
  <si>
    <t>属性付与、魔法強化、特殊装備。</t>
  </si>
  <si>
    <t>魔石、エメラルド</t>
  </si>
  <si>
    <t>弦、軽装防具、魔法アイテム。</t>
  </si>
  <si>
    <t>魔力繊維、蜘蛛の糸</t>
  </si>
  <si>
    <t>糸</t>
  </si>
  <si>
    <t>軽装防具、バッグ、補助アイテム。</t>
  </si>
  <si>
    <t>普通の布、魔法織布</t>
  </si>
  <si>
    <t>布</t>
  </si>
  <si>
    <t>軽装防具、グリップ、補強材。</t>
  </si>
  <si>
    <t>普通の皮、硬革、魔獣の皮</t>
  </si>
  <si>
    <t>軽量武器、特殊防具、装飾品。</t>
  </si>
  <si>
    <t>魔獣の骨、大型獣の牙</t>
  </si>
  <si>
    <t>棒系武器、弓、軽量武器の素材。</t>
  </si>
  <si>
    <t>アイアンウッド、フレイムウッド</t>
    <phoneticPr fontId="2"/>
  </si>
  <si>
    <t>重装防具、耐久性の高い防具。</t>
  </si>
  <si>
    <t>ドラゴンの鱗、水生生物の鱗</t>
  </si>
  <si>
    <t>武器や防具の基本素材。</t>
  </si>
  <si>
    <t>鉄鉱石、銀鉱石、魔石</t>
  </si>
  <si>
    <t>使用例</t>
    <rPh sb="0" eb="2">
      <t>シヨウ</t>
    </rPh>
    <rPh sb="2" eb="3">
      <t>レイ</t>
    </rPh>
    <phoneticPr fontId="2"/>
  </si>
  <si>
    <t>速度ペナルティ</t>
    <rPh sb="0" eb="2">
      <t>ソクド</t>
    </rPh>
    <phoneticPr fontId="2"/>
  </si>
  <si>
    <t>打撃補正</t>
    <rPh sb="0" eb="2">
      <t>ダゲキ</t>
    </rPh>
    <rPh sb="2" eb="4">
      <t>ホセイ</t>
    </rPh>
    <phoneticPr fontId="2"/>
  </si>
  <si>
    <t>貫通補正</t>
    <rPh sb="0" eb="2">
      <t>カンツウ</t>
    </rPh>
    <rPh sb="2" eb="4">
      <t>ホセイ</t>
    </rPh>
    <phoneticPr fontId="2"/>
  </si>
  <si>
    <t>切断補正</t>
    <rPh sb="0" eb="2">
      <t>セツダン</t>
    </rPh>
    <rPh sb="2" eb="4">
      <t>ホセイ</t>
    </rPh>
    <phoneticPr fontId="2"/>
  </si>
  <si>
    <t>力核</t>
    <rPh sb="0" eb="1">
      <t>リキ</t>
    </rPh>
    <rPh sb="1" eb="2">
      <t>カク</t>
    </rPh>
    <phoneticPr fontId="2"/>
  </si>
  <si>
    <t>パワーコア</t>
    <phoneticPr fontId="2"/>
  </si>
  <si>
    <t>一部の生物が持つ、肉体の核となる部分</t>
    <rPh sb="0" eb="2">
      <t>イチブ</t>
    </rPh>
    <rPh sb="3" eb="5">
      <t>セイブツ</t>
    </rPh>
    <rPh sb="6" eb="7">
      <t>モ</t>
    </rPh>
    <rPh sb="9" eb="11">
      <t>ニクタイ</t>
    </rPh>
    <rPh sb="12" eb="13">
      <t>カク</t>
    </rPh>
    <rPh sb="16" eb="18">
      <t>ブブン</t>
    </rPh>
    <phoneticPr fontId="2"/>
  </si>
  <si>
    <t>真柱核</t>
    <rPh sb="0" eb="2">
      <t>シンチュウ</t>
    </rPh>
    <rPh sb="2" eb="3">
      <t>カク</t>
    </rPh>
    <phoneticPr fontId="2"/>
  </si>
  <si>
    <t>休憩</t>
    <rPh sb="0" eb="2">
      <t>キュウケイ</t>
    </rPh>
    <phoneticPr fontId="2"/>
  </si>
  <si>
    <t>簡易拠点Ⅱ</t>
    <rPh sb="0" eb="2">
      <t>カンイ</t>
    </rPh>
    <rPh sb="2" eb="4">
      <t>キョテン</t>
    </rPh>
    <phoneticPr fontId="2"/>
  </si>
  <si>
    <t>簡易拠点Ⅲ</t>
    <rPh sb="0" eb="2">
      <t>カンイ</t>
    </rPh>
    <rPh sb="2" eb="4">
      <t>キョテン</t>
    </rPh>
    <phoneticPr fontId="2"/>
  </si>
  <si>
    <t>インスタント・ベースⅡ</t>
    <phoneticPr fontId="2"/>
  </si>
  <si>
    <t>インスタント・ベースⅢ</t>
    <phoneticPr fontId="2"/>
  </si>
  <si>
    <t>死霊の骨</t>
    <rPh sb="0" eb="2">
      <t>シリョウ</t>
    </rPh>
    <phoneticPr fontId="8"/>
  </si>
  <si>
    <t>毒の牙</t>
  </si>
  <si>
    <t>鋭利な爪</t>
  </si>
  <si>
    <t>ボーン</t>
    <phoneticPr fontId="2"/>
  </si>
  <si>
    <t>負</t>
    <rPh sb="0" eb="1">
      <t>フ</t>
    </rPh>
    <phoneticPr fontId="2"/>
  </si>
  <si>
    <t>毒</t>
    <rPh sb="0" eb="1">
      <t>ドク</t>
    </rPh>
    <phoneticPr fontId="2"/>
  </si>
  <si>
    <t>スケルトンの骨、負のエネルギーが宿っている</t>
    <rPh sb="6" eb="7">
      <t>ホネ</t>
    </rPh>
    <rPh sb="8" eb="9">
      <t>フ</t>
    </rPh>
    <rPh sb="16" eb="17">
      <t>ヤド</t>
    </rPh>
    <phoneticPr fontId="2"/>
  </si>
  <si>
    <t>ゾンビの牙、毒々しい液が先端からこぼれている</t>
    <rPh sb="4" eb="5">
      <t>キバ</t>
    </rPh>
    <rPh sb="6" eb="8">
      <t>ドクドク</t>
    </rPh>
    <rPh sb="10" eb="11">
      <t>エキ</t>
    </rPh>
    <rPh sb="12" eb="14">
      <t>センタン</t>
    </rPh>
    <phoneticPr fontId="2"/>
  </si>
  <si>
    <t>動物や、モンスターがもつ鋭い爪</t>
    <rPh sb="0" eb="2">
      <t>ドウブツ</t>
    </rPh>
    <rPh sb="12" eb="13">
      <t>スルド</t>
    </rPh>
    <rPh sb="14" eb="15">
      <t>ツメ</t>
    </rPh>
    <phoneticPr fontId="2"/>
  </si>
  <si>
    <t>帽子</t>
    <rPh sb="0" eb="2">
      <t>ボウシ</t>
    </rPh>
    <phoneticPr fontId="2"/>
  </si>
  <si>
    <t>ハット</t>
    <phoneticPr fontId="2"/>
  </si>
  <si>
    <t>カタール</t>
    <phoneticPr fontId="2"/>
  </si>
  <si>
    <t>拳刃</t>
  </si>
  <si>
    <t>酸</t>
  </si>
  <si>
    <t>正</t>
  </si>
  <si>
    <t>負</t>
  </si>
  <si>
    <t>毒</t>
  </si>
  <si>
    <t>石化</t>
  </si>
  <si>
    <t>怯み</t>
  </si>
  <si>
    <t>拘束</t>
  </si>
  <si>
    <t>即死</t>
  </si>
  <si>
    <t>時間</t>
  </si>
  <si>
    <t>出血</t>
  </si>
  <si>
    <t>疲労</t>
  </si>
  <si>
    <t>闇</t>
    <phoneticPr fontId="2"/>
  </si>
  <si>
    <t>精神攻撃</t>
    <rPh sb="2" eb="4">
      <t>コウゲキ</t>
    </rPh>
    <phoneticPr fontId="2"/>
  </si>
  <si>
    <t>体幹</t>
    <rPh sb="0" eb="2">
      <t>タイカン</t>
    </rPh>
    <phoneticPr fontId="2"/>
  </si>
  <si>
    <t>物理ガード</t>
    <phoneticPr fontId="2"/>
  </si>
  <si>
    <t>魔法ガード</t>
    <phoneticPr fontId="2"/>
  </si>
  <si>
    <t>溶鉄</t>
    <rPh sb="0" eb="1">
      <t>ヨウ</t>
    </rPh>
    <rPh sb="1" eb="2">
      <t>テツ</t>
    </rPh>
    <phoneticPr fontId="2"/>
  </si>
  <si>
    <t>マグマログ</t>
    <phoneticPr fontId="2"/>
  </si>
  <si>
    <t>虚無鉱</t>
    <phoneticPr fontId="2"/>
  </si>
  <si>
    <t>闇</t>
    <rPh sb="0" eb="1">
      <t>ヤミ</t>
    </rPh>
    <phoneticPr fontId="2"/>
  </si>
  <si>
    <t>オルダーク</t>
    <phoneticPr fontId="2"/>
  </si>
  <si>
    <t>レインボーメタル</t>
    <phoneticPr fontId="2"/>
  </si>
  <si>
    <t>炎・氷・雷・酸・光・闇</t>
    <rPh sb="0" eb="1">
      <t>ホノオ</t>
    </rPh>
    <rPh sb="2" eb="3">
      <t>コオリ</t>
    </rPh>
    <rPh sb="4" eb="5">
      <t>イカズチ</t>
    </rPh>
    <rPh sb="6" eb="7">
      <t>サン</t>
    </rPh>
    <rPh sb="8" eb="9">
      <t>ヒカリ</t>
    </rPh>
    <rPh sb="10" eb="11">
      <t>ヤミ</t>
    </rPh>
    <phoneticPr fontId="2"/>
  </si>
  <si>
    <t>神玉鋼</t>
  </si>
  <si>
    <t>ヘブンズジェルタイト</t>
  </si>
  <si>
    <t>虹宝鋼</t>
    <rPh sb="0" eb="1">
      <t>ニジ</t>
    </rPh>
    <rPh sb="1" eb="3">
      <t>ホウコウ</t>
    </rPh>
    <rPh sb="2" eb="3">
      <t>ハガネ</t>
    </rPh>
    <phoneticPr fontId="2"/>
  </si>
  <si>
    <t>オルタイト</t>
    <phoneticPr fontId="2"/>
  </si>
  <si>
    <t>アルタイト</t>
    <phoneticPr fontId="2"/>
  </si>
  <si>
    <t>ヘマタイト</t>
    <phoneticPr fontId="2"/>
  </si>
  <si>
    <t>武器暗闇化</t>
    <rPh sb="0" eb="2">
      <t>ブキ</t>
    </rPh>
    <rPh sb="2" eb="4">
      <t>クラヤミ</t>
    </rPh>
    <rPh sb="4" eb="5">
      <t>カ</t>
    </rPh>
    <phoneticPr fontId="2"/>
  </si>
  <si>
    <t>黄昏樹</t>
    <rPh sb="0" eb="2">
      <t>タソガレ</t>
    </rPh>
    <rPh sb="2" eb="3">
      <t>キ</t>
    </rPh>
    <phoneticPr fontId="2"/>
  </si>
  <si>
    <t>紫昏樹</t>
    <rPh sb="0" eb="1">
      <t>ムラサキ</t>
    </rPh>
    <rPh sb="1" eb="2">
      <t>コン</t>
    </rPh>
    <rPh sb="2" eb="3">
      <t>キ</t>
    </rPh>
    <phoneticPr fontId="2"/>
  </si>
  <si>
    <t>トライワイトウッド</t>
    <phoneticPr fontId="2"/>
  </si>
  <si>
    <t>ホロウウッド</t>
    <phoneticPr fontId="2"/>
  </si>
  <si>
    <t>悪</t>
    <rPh sb="0" eb="1">
      <t>アク</t>
    </rPh>
    <phoneticPr fontId="2"/>
  </si>
  <si>
    <t>黄昏の生命</t>
    <rPh sb="0" eb="2">
      <t>タソガレ</t>
    </rPh>
    <rPh sb="3" eb="5">
      <t>セイメイ</t>
    </rPh>
    <phoneticPr fontId="2"/>
  </si>
  <si>
    <t>紫昏の魂</t>
    <rPh sb="1" eb="2">
      <t>コン</t>
    </rPh>
    <rPh sb="3" eb="4">
      <t>タマシイ</t>
    </rPh>
    <phoneticPr fontId="2"/>
  </si>
  <si>
    <t>黄昏芯樹</t>
    <rPh sb="0" eb="2">
      <t>タソガレ</t>
    </rPh>
    <rPh sb="2" eb="3">
      <t>シン</t>
    </rPh>
    <rPh sb="3" eb="4">
      <t>キ</t>
    </rPh>
    <phoneticPr fontId="2"/>
  </si>
  <si>
    <t>紫昏芯樹</t>
    <rPh sb="0" eb="1">
      <t>ムラサキ</t>
    </rPh>
    <rPh sb="1" eb="2">
      <t>コン</t>
    </rPh>
    <rPh sb="3" eb="4">
      <t>キ</t>
    </rPh>
    <phoneticPr fontId="2"/>
  </si>
  <si>
    <t>トライウッドコア</t>
    <phoneticPr fontId="2"/>
  </si>
  <si>
    <t>ホロウウッドコア</t>
    <phoneticPr fontId="2"/>
  </si>
  <si>
    <t>ドラゴンボーン</t>
    <phoneticPr fontId="2"/>
  </si>
  <si>
    <t>ル・エストロ</t>
    <phoneticPr fontId="2"/>
  </si>
  <si>
    <t>アルジビア王国</t>
    <rPh sb="5" eb="7">
      <t>オウコク</t>
    </rPh>
    <phoneticPr fontId="2"/>
  </si>
  <si>
    <t>攻撃タイプ</t>
    <phoneticPr fontId="2"/>
  </si>
  <si>
    <t>素手</t>
  </si>
  <si>
    <t>A</t>
  </si>
  <si>
    <t>角</t>
  </si>
  <si>
    <t>S</t>
  </si>
  <si>
    <t>牙</t>
  </si>
  <si>
    <t>爪</t>
  </si>
  <si>
    <t>羽</t>
  </si>
  <si>
    <t>Q</t>
  </si>
  <si>
    <t>尾</t>
  </si>
  <si>
    <t>フィスト</t>
    <phoneticPr fontId="2"/>
  </si>
  <si>
    <t>ホーン</t>
    <phoneticPr fontId="2"/>
  </si>
  <si>
    <t>ファング</t>
    <phoneticPr fontId="2"/>
  </si>
  <si>
    <t>クロー</t>
    <phoneticPr fontId="2"/>
  </si>
  <si>
    <t>ウィング</t>
    <phoneticPr fontId="2"/>
  </si>
  <si>
    <t>テイル</t>
    <phoneticPr fontId="2"/>
  </si>
  <si>
    <t>-</t>
    <phoneticPr fontId="2"/>
  </si>
  <si>
    <t>戦篭手</t>
    <rPh sb="0" eb="1">
      <t>セン</t>
    </rPh>
    <phoneticPr fontId="2"/>
  </si>
  <si>
    <t>ガントレット</t>
    <phoneticPr fontId="2"/>
  </si>
  <si>
    <t>ブレスレット</t>
    <phoneticPr fontId="2"/>
  </si>
  <si>
    <t>熱鉄</t>
    <phoneticPr fontId="2"/>
  </si>
  <si>
    <t>刀</t>
    <phoneticPr fontId="2"/>
  </si>
  <si>
    <t>全灯・極彩</t>
    <rPh sb="0" eb="2">
      <t>ゼントウ</t>
    </rPh>
    <rPh sb="3" eb="5">
      <t>ゴクサイ</t>
    </rPh>
    <phoneticPr fontId="2"/>
  </si>
  <si>
    <t>ゼントウ・ゴクサイ</t>
    <phoneticPr fontId="2"/>
  </si>
  <si>
    <t>外套</t>
    <phoneticPr fontId="2"/>
  </si>
  <si>
    <t>耐炎の外套</t>
    <phoneticPr fontId="2"/>
  </si>
  <si>
    <t>耐氷の外套</t>
    <phoneticPr fontId="2"/>
  </si>
  <si>
    <t>黒竜の加護</t>
    <phoneticPr fontId="2"/>
  </si>
  <si>
    <t>法衣</t>
    <phoneticPr fontId="2"/>
  </si>
  <si>
    <t>影蜥蜴の鱗</t>
    <rPh sb="0" eb="1">
      <t>カゲ</t>
    </rPh>
    <phoneticPr fontId="2"/>
  </si>
  <si>
    <t>シャドウスケール</t>
    <phoneticPr fontId="2"/>
  </si>
  <si>
    <t>靴</t>
    <rPh sb="0" eb="1">
      <t>クツ</t>
    </rPh>
    <phoneticPr fontId="2"/>
  </si>
  <si>
    <t>冠</t>
    <rPh sb="0" eb="1">
      <t>カンムリ</t>
    </rPh>
    <phoneticPr fontId="2"/>
  </si>
  <si>
    <t>耐性</t>
    <rPh sb="0" eb="2">
      <t>タイセイ</t>
    </rPh>
    <phoneticPr fontId="2"/>
  </si>
  <si>
    <t>対属性</t>
    <rPh sb="0" eb="1">
      <t>タイ</t>
    </rPh>
    <rPh sb="1" eb="3">
      <t>ゾクセイ</t>
    </rPh>
    <phoneticPr fontId="2"/>
  </si>
  <si>
    <t>Cr耐性Lv1</t>
    <rPh sb="2" eb="4">
      <t>タイセイ</t>
    </rPh>
    <phoneticPr fontId="2"/>
  </si>
  <si>
    <t>Cr耐性Lv2</t>
    <rPh sb="2" eb="4">
      <t>タイセイ</t>
    </rPh>
    <phoneticPr fontId="2"/>
  </si>
  <si>
    <t>Cr耐性Lv3</t>
    <rPh sb="2" eb="4">
      <t>タイセイ</t>
    </rPh>
    <phoneticPr fontId="2"/>
  </si>
  <si>
    <t>Cr耐性Lv4</t>
    <rPh sb="2" eb="4">
      <t>タイセイ</t>
    </rPh>
    <phoneticPr fontId="2"/>
  </si>
  <si>
    <t>Cr耐性Lv5</t>
    <rPh sb="2" eb="4">
      <t>タイセイ</t>
    </rPh>
    <phoneticPr fontId="2"/>
  </si>
  <si>
    <t>玉虫色の靴</t>
    <rPh sb="0" eb="2">
      <t>タマムシ</t>
    </rPh>
    <rPh sb="2" eb="3">
      <t>イロ</t>
    </rPh>
    <rPh sb="4" eb="5">
      <t>クツ</t>
    </rPh>
    <phoneticPr fontId="2"/>
  </si>
  <si>
    <t>イリデセント・ブーツ</t>
    <phoneticPr fontId="2"/>
  </si>
  <si>
    <t>命中 魔防 Cr</t>
    <rPh sb="0" eb="2">
      <t>メイチュウ</t>
    </rPh>
    <rPh sb="3" eb="5">
      <t>マボウ</t>
    </rPh>
    <phoneticPr fontId="2"/>
  </si>
  <si>
    <t>速度 命中 魔防 Cr</t>
    <rPh sb="0" eb="2">
      <t>ソクド</t>
    </rPh>
    <rPh sb="3" eb="5">
      <t>メイチュウ</t>
    </rPh>
    <rPh sb="6" eb="8">
      <t>マボウ</t>
    </rPh>
    <phoneticPr fontId="2"/>
  </si>
  <si>
    <t>命中 魔力 魔防 Cr</t>
    <rPh sb="0" eb="2">
      <t>メイチュウ</t>
    </rPh>
    <rPh sb="3" eb="5">
      <t>マリョク</t>
    </rPh>
    <rPh sb="6" eb="8">
      <t>マボウ</t>
    </rPh>
    <phoneticPr fontId="2"/>
  </si>
  <si>
    <t>紫の冠</t>
    <rPh sb="0" eb="1">
      <t>ムラサキ</t>
    </rPh>
    <rPh sb="2" eb="3">
      <t>カンムリ</t>
    </rPh>
    <phoneticPr fontId="2"/>
  </si>
  <si>
    <t>金獅子の帯</t>
    <rPh sb="0" eb="3">
      <t>キンジシ</t>
    </rPh>
    <phoneticPr fontId="2"/>
  </si>
  <si>
    <t>ゴールドレオ・ベルト</t>
    <phoneticPr fontId="2"/>
  </si>
  <si>
    <t>朱刀・断絶</t>
    <rPh sb="0" eb="1">
      <t>アカ</t>
    </rPh>
    <rPh sb="1" eb="2">
      <t>カタナ</t>
    </rPh>
    <rPh sb="3" eb="5">
      <t>ダンゼツ</t>
    </rPh>
    <phoneticPr fontId="2"/>
  </si>
  <si>
    <t>シュトウ・ダンゼツ</t>
    <phoneticPr fontId="2"/>
  </si>
  <si>
    <t>虚無鉱</t>
  </si>
  <si>
    <t>黒竜刀</t>
    <phoneticPr fontId="2"/>
  </si>
  <si>
    <t>ブレード・ダークドラゴン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</si>
</sst>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0"/>
      <color theme="1"/>
      <name val="Arial"/>
      <family val="2"/>
    </font>
    <font>
      <b/>
      <sz val="10"/>
      <color theme="1"/>
      <name val="ＭＳ Ｐゴシック"/>
      <family val="3"/>
      <charset val="128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9900FF"/>
      <name val="游ゴシック"/>
      <family val="3"/>
      <charset val="128"/>
      <scheme val="minor"/>
    </font>
    <font>
      <sz val="10"/>
      <color theme="1"/>
      <name val="Arial"/>
      <family val="2"/>
    </font>
    <font>
      <b/>
      <sz val="9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sz val="9"/>
      <color rgb="FF000000"/>
      <name val="HGPｺﾞｼｯｸE"/>
      <family val="3"/>
      <charset val="128"/>
    </font>
    <font>
      <sz val="9"/>
      <name val="HGPｺﾞｼｯｸE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000000"/>
      <name val="HGPｺﾞｼｯｸE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12" borderId="0" xfId="1" applyNumberFormat="1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1" applyNumberFormat="1" applyFont="1">
      <alignment vertical="center"/>
    </xf>
    <xf numFmtId="0" fontId="0" fillId="11" borderId="0" xfId="0" applyFill="1">
      <alignment vertical="center"/>
    </xf>
    <xf numFmtId="0" fontId="11" fillId="0" borderId="1" xfId="0" applyFont="1" applyBorder="1" applyAlignment="1">
      <alignment wrapText="1"/>
    </xf>
    <xf numFmtId="0" fontId="0" fillId="0" borderId="0" xfId="1" applyNumberFormat="1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12" fillId="12" borderId="0" xfId="1" applyNumberFormat="1" applyFont="1" applyFill="1" applyAlignment="1">
      <alignment horizontal="center" vertical="center" wrapText="1"/>
    </xf>
    <xf numFmtId="9" fontId="0" fillId="0" borderId="0" xfId="1" applyFont="1">
      <alignment vertical="center"/>
    </xf>
    <xf numFmtId="9" fontId="0" fillId="0" borderId="0" xfId="1" applyFont="1" applyAlignment="1">
      <alignment vertical="center" wrapText="1"/>
    </xf>
    <xf numFmtId="9" fontId="9" fillId="12" borderId="0" xfId="1" applyFont="1" applyFill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9" fontId="0" fillId="0" borderId="0" xfId="0" applyNumberFormat="1" applyAlignment="1">
      <alignment vertical="center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/>
    <xf numFmtId="9" fontId="0" fillId="0" borderId="0" xfId="1" applyFont="1" applyAlignment="1">
      <alignment vertical="center"/>
    </xf>
    <xf numFmtId="9" fontId="0" fillId="0" borderId="0" xfId="0" applyNumberFormat="1">
      <alignment vertical="center"/>
    </xf>
    <xf numFmtId="9" fontId="13" fillId="0" borderId="0" xfId="0" applyNumberFormat="1" applyFont="1">
      <alignment vertical="center"/>
    </xf>
    <xf numFmtId="0" fontId="11" fillId="0" borderId="1" xfId="0" applyFont="1" applyBorder="1">
      <alignment vertical="center"/>
    </xf>
    <xf numFmtId="0" fontId="16" fillId="0" borderId="1" xfId="0" applyFont="1" applyBorder="1" applyAlignment="1">
      <alignment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9" fontId="9" fillId="0" borderId="0" xfId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9" fontId="9" fillId="0" borderId="0" xfId="1" applyFont="1">
      <alignment vertical="center"/>
    </xf>
    <xf numFmtId="0" fontId="9" fillId="3" borderId="0" xfId="0" applyFont="1" applyFill="1">
      <alignment vertical="center"/>
    </xf>
    <xf numFmtId="0" fontId="4" fillId="8" borderId="1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DC0C-0726-435C-945B-DEBA654A99B8}">
  <sheetPr codeName="Sheet1"/>
  <dimension ref="A1:G11"/>
  <sheetViews>
    <sheetView zoomScaleNormal="100" workbookViewId="0">
      <selection sqref="A1:F11"/>
    </sheetView>
  </sheetViews>
  <sheetFormatPr defaultRowHeight="18.75" x14ac:dyDescent="0.4"/>
  <cols>
    <col min="6" max="7" width="22.5" style="1" customWidth="1"/>
    <col min="9" max="9" width="7.125" bestFit="1" customWidth="1"/>
    <col min="10" max="11" width="28.875" customWidth="1"/>
  </cols>
  <sheetData>
    <row r="1" spans="1:7" x14ac:dyDescent="0.4">
      <c r="A1" t="s">
        <v>1044</v>
      </c>
      <c r="B1" t="s">
        <v>1177</v>
      </c>
      <c r="C1" t="s">
        <v>1176</v>
      </c>
      <c r="D1" t="s">
        <v>1175</v>
      </c>
      <c r="E1" t="s">
        <v>1174</v>
      </c>
      <c r="F1" s="1" t="s">
        <v>189</v>
      </c>
      <c r="G1" s="1" t="s">
        <v>1173</v>
      </c>
    </row>
    <row r="2" spans="1:7" x14ac:dyDescent="0.4">
      <c r="A2" t="s">
        <v>871</v>
      </c>
      <c r="B2">
        <v>25</v>
      </c>
      <c r="C2">
        <v>25</v>
      </c>
      <c r="D2">
        <v>15</v>
      </c>
      <c r="E2">
        <v>-20</v>
      </c>
      <c r="F2" s="1" t="s">
        <v>1172</v>
      </c>
      <c r="G2" s="1" t="s">
        <v>1171</v>
      </c>
    </row>
    <row r="3" spans="1:7" ht="37.5" x14ac:dyDescent="0.4">
      <c r="A3" t="s">
        <v>952</v>
      </c>
      <c r="B3">
        <v>15</v>
      </c>
      <c r="C3">
        <v>15</v>
      </c>
      <c r="D3">
        <v>15</v>
      </c>
      <c r="E3">
        <v>-15</v>
      </c>
      <c r="F3" s="1" t="s">
        <v>1170</v>
      </c>
      <c r="G3" s="1" t="s">
        <v>1169</v>
      </c>
    </row>
    <row r="4" spans="1:7" ht="37.5" x14ac:dyDescent="0.4">
      <c r="A4" t="s">
        <v>916</v>
      </c>
      <c r="B4">
        <v>5</v>
      </c>
      <c r="C4">
        <v>15</v>
      </c>
      <c r="D4">
        <v>10</v>
      </c>
      <c r="E4">
        <v>-10</v>
      </c>
      <c r="F4" s="1" t="s">
        <v>1168</v>
      </c>
      <c r="G4" s="1" t="s">
        <v>1167</v>
      </c>
    </row>
    <row r="5" spans="1:7" ht="37.5" x14ac:dyDescent="0.4">
      <c r="A5" t="s">
        <v>880</v>
      </c>
      <c r="B5">
        <v>10</v>
      </c>
      <c r="C5">
        <v>0</v>
      </c>
      <c r="D5">
        <v>5</v>
      </c>
      <c r="E5">
        <v>-5</v>
      </c>
      <c r="F5" s="1" t="s">
        <v>1166</v>
      </c>
      <c r="G5" s="1" t="s">
        <v>1165</v>
      </c>
    </row>
    <row r="6" spans="1:7" ht="37.5" x14ac:dyDescent="0.4">
      <c r="A6" t="s">
        <v>964</v>
      </c>
      <c r="B6">
        <v>5</v>
      </c>
      <c r="C6">
        <v>5</v>
      </c>
      <c r="D6">
        <v>5</v>
      </c>
      <c r="E6">
        <v>-5</v>
      </c>
      <c r="F6" s="1" t="s">
        <v>1164</v>
      </c>
      <c r="G6" s="1" t="s">
        <v>1163</v>
      </c>
    </row>
    <row r="7" spans="1:7" ht="37.5" x14ac:dyDescent="0.4">
      <c r="A7" t="s">
        <v>1162</v>
      </c>
      <c r="B7">
        <v>0</v>
      </c>
      <c r="C7">
        <v>0</v>
      </c>
      <c r="D7">
        <v>0</v>
      </c>
      <c r="E7">
        <v>0</v>
      </c>
      <c r="F7" s="1" t="s">
        <v>1161</v>
      </c>
      <c r="G7" s="1" t="s">
        <v>1160</v>
      </c>
    </row>
    <row r="8" spans="1:7" ht="37.5" x14ac:dyDescent="0.4">
      <c r="A8" t="s">
        <v>1159</v>
      </c>
      <c r="F8" s="1" t="s">
        <v>1158</v>
      </c>
      <c r="G8" s="1" t="s">
        <v>1157</v>
      </c>
    </row>
    <row r="9" spans="1:7" ht="37.5" x14ac:dyDescent="0.4">
      <c r="A9" t="s">
        <v>287</v>
      </c>
      <c r="F9" s="1" t="s">
        <v>1156</v>
      </c>
      <c r="G9" s="1" t="s">
        <v>1155</v>
      </c>
    </row>
    <row r="10" spans="1:7" ht="37.5" x14ac:dyDescent="0.4">
      <c r="A10" t="s">
        <v>1154</v>
      </c>
      <c r="F10" s="1" t="s">
        <v>1153</v>
      </c>
      <c r="G10" s="1" t="s">
        <v>1152</v>
      </c>
    </row>
    <row r="11" spans="1:7" ht="37.5" x14ac:dyDescent="0.4">
      <c r="A11" t="s">
        <v>1151</v>
      </c>
      <c r="F11" s="1" t="s">
        <v>1150</v>
      </c>
      <c r="G11" s="1" t="s">
        <v>1149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BDCF5-195D-49FB-8114-0888B149F139}">
  <sheetPr codeName="Sheet2">
    <tabColor theme="8" tint="0.79998168889431442"/>
  </sheetPr>
  <dimension ref="A1:CT388"/>
  <sheetViews>
    <sheetView tabSelected="1" zoomScaleNormal="100" workbookViewId="0">
      <pane xSplit="6" ySplit="3" topLeftCell="BP353" activePane="bottomRight" state="frozen"/>
      <selection pane="topRight" activeCell="G1" sqref="G1"/>
      <selection pane="bottomLeft" activeCell="A4" sqref="A4"/>
      <selection pane="bottomRight" activeCell="A369" sqref="A369"/>
    </sheetView>
  </sheetViews>
  <sheetFormatPr defaultRowHeight="18.75" outlineLevelRow="1" outlineLevelCol="1" x14ac:dyDescent="0.4"/>
  <cols>
    <col min="1" max="1" width="9" bestFit="1" customWidth="1"/>
    <col min="2" max="2" width="21.375" bestFit="1" customWidth="1"/>
    <col min="3" max="3" width="4.625" customWidth="1"/>
    <col min="4" max="4" width="6.375" customWidth="1"/>
    <col min="5" max="5" width="6" customWidth="1"/>
    <col min="6" max="6" width="4.875" customWidth="1"/>
    <col min="7" max="9" width="5.75" customWidth="1" outlineLevel="1"/>
    <col min="10" max="10" width="6.5" customWidth="1" outlineLevel="1"/>
    <col min="11" max="11" width="5.125" customWidth="1" outlineLevel="1"/>
    <col min="12" max="12" width="4.5" customWidth="1" outlineLevel="1"/>
    <col min="13" max="13" width="3.625" customWidth="1" outlineLevel="1"/>
    <col min="14" max="14" width="5.25" customWidth="1" outlineLevel="1"/>
    <col min="15" max="15" width="6.5" style="23" customWidth="1" outlineLevel="1"/>
    <col min="16" max="16" width="7" style="23" customWidth="1" outlineLevel="1"/>
    <col min="17" max="18" width="6.25" customWidth="1" outlineLevel="1"/>
    <col min="19" max="19" width="6.25" customWidth="1"/>
    <col min="20" max="20" width="6.25" customWidth="1" outlineLevel="1"/>
    <col min="21" max="21" width="8.375" customWidth="1" outlineLevel="1"/>
    <col min="22" max="22" width="6.25" customWidth="1" outlineLevel="1"/>
    <col min="23" max="23" width="5.5" customWidth="1" outlineLevel="1"/>
    <col min="24" max="24" width="6.25" customWidth="1" outlineLevel="1"/>
    <col min="25" max="25" width="17.875" customWidth="1" outlineLevel="1"/>
    <col min="26" max="26" width="4.875" customWidth="1"/>
    <col min="27" max="51" width="4.875" customWidth="1" outlineLevel="1"/>
    <col min="52" max="52" width="4.875" customWidth="1"/>
    <col min="53" max="53" width="3.5" customWidth="1"/>
    <col min="54" max="58" width="4.875" customWidth="1" outlineLevel="1"/>
    <col min="59" max="59" width="6.125" bestFit="1" customWidth="1"/>
    <col min="60" max="60" width="4.125" customWidth="1" outlineLevel="1"/>
    <col min="61" max="61" width="4.375" customWidth="1" outlineLevel="1"/>
    <col min="62" max="62" width="4" customWidth="1" outlineLevel="1"/>
    <col min="63" max="68" width="5.75" customWidth="1" outlineLevel="1"/>
    <col min="69" max="69" width="4.25" customWidth="1" outlineLevel="1"/>
    <col min="70" max="70" width="5.125" customWidth="1" outlineLevel="1"/>
    <col min="71" max="71" width="5.25" bestFit="1" customWidth="1"/>
    <col min="72" max="76" width="5.25" hidden="1" customWidth="1" outlineLevel="1"/>
    <col min="77" max="77" width="5" hidden="1" customWidth="1" outlineLevel="1"/>
    <col min="78" max="83" width="5.25" hidden="1" customWidth="1" outlineLevel="1"/>
    <col min="84" max="85" width="9" hidden="1" customWidth="1" outlineLevel="1"/>
    <col min="86" max="86" width="5.25" hidden="1" customWidth="1" outlineLevel="1"/>
    <col min="87" max="87" width="9" collapsed="1"/>
    <col min="89" max="90" width="9" customWidth="1" outlineLevel="1"/>
    <col min="91" max="91" width="6.5" customWidth="1" outlineLevel="1"/>
    <col min="92" max="92" width="9" style="22" customWidth="1" outlineLevel="1"/>
    <col min="93" max="93" width="9" customWidth="1" outlineLevel="1"/>
    <col min="94" max="95" width="10" customWidth="1" outlineLevel="1"/>
    <col min="96" max="96" width="31.125" customWidth="1" outlineLevel="1"/>
  </cols>
  <sheetData>
    <row r="1" spans="1:98" s="2" customFormat="1" ht="36" customHeight="1" thickBot="1" x14ac:dyDescent="0.3">
      <c r="A1" s="18" t="s">
        <v>193</v>
      </c>
      <c r="B1" s="18" t="s">
        <v>192</v>
      </c>
      <c r="C1" s="21" t="s">
        <v>191</v>
      </c>
      <c r="D1" s="21" t="s">
        <v>190</v>
      </c>
      <c r="E1" s="21" t="s">
        <v>189</v>
      </c>
      <c r="F1" s="20" t="s">
        <v>188</v>
      </c>
      <c r="G1" s="20" t="s">
        <v>187</v>
      </c>
      <c r="H1" s="20" t="s">
        <v>186</v>
      </c>
      <c r="I1" s="20" t="s">
        <v>185</v>
      </c>
      <c r="J1" s="19" t="s">
        <v>184</v>
      </c>
      <c r="K1" s="19" t="s">
        <v>183</v>
      </c>
      <c r="L1" s="19" t="s">
        <v>182</v>
      </c>
      <c r="M1" s="28" t="s">
        <v>181</v>
      </c>
      <c r="N1" s="20" t="s">
        <v>180</v>
      </c>
      <c r="O1" s="19" t="s">
        <v>179</v>
      </c>
      <c r="P1" s="19" t="s">
        <v>178</v>
      </c>
      <c r="Q1" s="18" t="s">
        <v>177</v>
      </c>
      <c r="R1" s="18" t="s">
        <v>176</v>
      </c>
      <c r="S1" s="16" t="s">
        <v>175</v>
      </c>
      <c r="T1" s="16" t="s">
        <v>174</v>
      </c>
      <c r="U1" s="16" t="s">
        <v>173</v>
      </c>
      <c r="V1" s="17" t="s">
        <v>172</v>
      </c>
      <c r="W1" s="16" t="s">
        <v>1244</v>
      </c>
      <c r="X1" s="16" t="s">
        <v>170</v>
      </c>
      <c r="Y1" s="16" t="s">
        <v>264</v>
      </c>
      <c r="Z1" s="15" t="s">
        <v>168</v>
      </c>
      <c r="AA1" s="15" t="s">
        <v>167</v>
      </c>
      <c r="AB1" s="11" t="s">
        <v>166</v>
      </c>
      <c r="AC1" s="11" t="s">
        <v>165</v>
      </c>
      <c r="AD1" s="11" t="s">
        <v>164</v>
      </c>
      <c r="AE1" s="14" t="s">
        <v>163</v>
      </c>
      <c r="AF1" s="14" t="s">
        <v>162</v>
      </c>
      <c r="AG1" s="14" t="s">
        <v>161</v>
      </c>
      <c r="AH1" s="14" t="s">
        <v>160</v>
      </c>
      <c r="AI1" s="14" t="s">
        <v>159</v>
      </c>
      <c r="AJ1" s="14" t="s">
        <v>158</v>
      </c>
      <c r="AK1" s="14" t="s">
        <v>157</v>
      </c>
      <c r="AL1" s="13" t="s">
        <v>156</v>
      </c>
      <c r="AM1" s="13" t="s">
        <v>155</v>
      </c>
      <c r="AN1" s="12" t="s">
        <v>154</v>
      </c>
      <c r="AO1" s="12" t="s">
        <v>153</v>
      </c>
      <c r="AP1" s="11" t="s">
        <v>152</v>
      </c>
      <c r="AQ1" s="11" t="s">
        <v>151</v>
      </c>
      <c r="AR1" s="11" t="s">
        <v>150</v>
      </c>
      <c r="AS1" s="11" t="s">
        <v>149</v>
      </c>
      <c r="AT1" s="11" t="s">
        <v>148</v>
      </c>
      <c r="AU1" s="11" t="s">
        <v>147</v>
      </c>
      <c r="AV1" s="11" t="s">
        <v>146</v>
      </c>
      <c r="AW1" s="11" t="s">
        <v>145</v>
      </c>
      <c r="AX1" s="11" t="s">
        <v>144</v>
      </c>
      <c r="AY1" s="11" t="s">
        <v>143</v>
      </c>
      <c r="AZ1" s="10" t="s">
        <v>142</v>
      </c>
      <c r="BA1" s="10" t="s">
        <v>141</v>
      </c>
      <c r="BB1" s="8" t="s">
        <v>140</v>
      </c>
      <c r="BC1" s="10" t="s">
        <v>139</v>
      </c>
      <c r="BD1" s="9" t="s">
        <v>138</v>
      </c>
      <c r="BE1" s="8" t="s">
        <v>137</v>
      </c>
      <c r="BF1" s="8" t="s">
        <v>136</v>
      </c>
      <c r="BG1" s="6" t="s">
        <v>135</v>
      </c>
      <c r="BH1" s="6" t="s">
        <v>134</v>
      </c>
      <c r="BI1" s="6" t="s">
        <v>133</v>
      </c>
      <c r="BJ1" s="6" t="s">
        <v>132</v>
      </c>
      <c r="BK1" s="6" t="s">
        <v>131</v>
      </c>
      <c r="BL1" s="6" t="s">
        <v>130</v>
      </c>
      <c r="BM1" s="6" t="s">
        <v>66</v>
      </c>
      <c r="BN1" s="7" t="s">
        <v>129</v>
      </c>
      <c r="BO1" s="6" t="s">
        <v>128</v>
      </c>
      <c r="BP1" s="6" t="s">
        <v>127</v>
      </c>
      <c r="BQ1" s="5" t="s">
        <v>126</v>
      </c>
      <c r="BR1" s="5" t="s">
        <v>125</v>
      </c>
      <c r="BS1" s="3" t="s">
        <v>124</v>
      </c>
      <c r="BT1" s="3" t="s">
        <v>123</v>
      </c>
      <c r="BU1" s="3" t="s">
        <v>122</v>
      </c>
      <c r="BV1" s="3" t="s">
        <v>121</v>
      </c>
      <c r="BW1" s="3" t="s">
        <v>120</v>
      </c>
      <c r="BX1" s="3" t="s">
        <v>119</v>
      </c>
      <c r="BY1" s="4" t="s">
        <v>118</v>
      </c>
      <c r="BZ1" s="3" t="s">
        <v>117</v>
      </c>
      <c r="CA1" s="3" t="s">
        <v>116</v>
      </c>
      <c r="CB1" s="3" t="s">
        <v>115</v>
      </c>
      <c r="CC1" s="3" t="s">
        <v>114</v>
      </c>
      <c r="CD1" s="3" t="s">
        <v>113</v>
      </c>
      <c r="CE1" s="3" t="s">
        <v>112</v>
      </c>
      <c r="CF1" s="3" t="s">
        <v>111</v>
      </c>
      <c r="CG1" s="3" t="s">
        <v>110</v>
      </c>
      <c r="CH1" s="3" t="s">
        <v>109</v>
      </c>
      <c r="CI1" s="2" t="s">
        <v>108</v>
      </c>
      <c r="CJ1" s="2" t="s">
        <v>263</v>
      </c>
      <c r="CK1" s="2" t="s">
        <v>170</v>
      </c>
      <c r="CL1" s="2" t="s">
        <v>262</v>
      </c>
      <c r="CM1" s="2" t="s">
        <v>107</v>
      </c>
      <c r="CN1" s="27" t="s">
        <v>261</v>
      </c>
      <c r="CO1" s="2" t="s">
        <v>105</v>
      </c>
      <c r="CP1" s="2" t="s">
        <v>104</v>
      </c>
      <c r="CQ1" s="2" t="s">
        <v>103</v>
      </c>
      <c r="CR1" s="2" t="s">
        <v>102</v>
      </c>
      <c r="CS1" s="2" t="s">
        <v>260</v>
      </c>
      <c r="CT1" s="2" t="s">
        <v>1037</v>
      </c>
    </row>
    <row r="2" spans="1:98" x14ac:dyDescent="0.4">
      <c r="A2" s="1" t="s">
        <v>258</v>
      </c>
      <c r="B2" s="1" t="s">
        <v>258</v>
      </c>
      <c r="C2" s="1" t="s">
        <v>258</v>
      </c>
      <c r="D2" s="1" t="s">
        <v>258</v>
      </c>
      <c r="E2" s="1" t="s">
        <v>258</v>
      </c>
      <c r="F2" s="1" t="s">
        <v>258</v>
      </c>
      <c r="G2" s="1" t="s">
        <v>258</v>
      </c>
      <c r="H2" s="1" t="s">
        <v>258</v>
      </c>
      <c r="I2" s="1" t="s">
        <v>258</v>
      </c>
      <c r="J2" s="1" t="s">
        <v>258</v>
      </c>
      <c r="K2" s="1" t="s">
        <v>258</v>
      </c>
      <c r="L2" s="1" t="s">
        <v>258</v>
      </c>
      <c r="M2" s="1" t="s">
        <v>258</v>
      </c>
      <c r="N2" t="s">
        <v>259</v>
      </c>
      <c r="O2" s="26" t="s">
        <v>258</v>
      </c>
      <c r="P2" s="26" t="s">
        <v>258</v>
      </c>
      <c r="Q2" s="1" t="s">
        <v>258</v>
      </c>
      <c r="R2" s="1" t="s">
        <v>258</v>
      </c>
      <c r="S2" s="1" t="s">
        <v>258</v>
      </c>
      <c r="T2" s="1" t="s">
        <v>258</v>
      </c>
      <c r="U2" s="1" t="s">
        <v>258</v>
      </c>
      <c r="V2" s="1" t="s">
        <v>258</v>
      </c>
      <c r="W2" s="1" t="s">
        <v>258</v>
      </c>
      <c r="X2" s="1" t="s">
        <v>258</v>
      </c>
      <c r="Y2" s="1" t="s">
        <v>258</v>
      </c>
      <c r="Z2" s="1" t="s">
        <v>258</v>
      </c>
      <c r="CS2" t="str">
        <f>"e_"&amp;ROW(CS2)</f>
        <v>e_2</v>
      </c>
    </row>
    <row r="3" spans="1:98" x14ac:dyDescent="0.4">
      <c r="A3" t="str">
        <f t="shared" ref="A3:A34" si="0">D3&amp;"の"&amp;C3</f>
        <v>鉄の短刀</v>
      </c>
      <c r="B3" t="str">
        <f>IFERROR(VLOOKUP($D3,素材!$1:$1016,COLUMN($B$1),FALSE)&amp;"・"&amp;VLOOKUP($C3,武器!$1:$998,COLUMN(B$1),FALSE),"")</f>
        <v>アイアン・ナイフ</v>
      </c>
      <c r="C3" s="24" t="s">
        <v>242</v>
      </c>
      <c r="D3" s="24" t="s">
        <v>257</v>
      </c>
      <c r="E3" t="str">
        <f>IFERROR(VLOOKUP(C3,武器!$1:$998,COLUMN(C$1),FALSE),"")</f>
        <v>武器</v>
      </c>
      <c r="F3">
        <f>IFERROR(ROUNDDOWN((VLOOKUP($C3,武器!$1:$998,COLUMN(D$1),FALSE)+IFERROR(VLOOKUP($CJ3,装強!$1:$999,COLUMN(F$1),FALSE),0))*VLOOKUP($D3,素材!$1:$1016,COLUMN(D$1),FALSE),0),"")</f>
        <v>100</v>
      </c>
      <c r="G3">
        <f>IFERROR(ROUNDDOWN((VLOOKUP($C3,武器!$1:$998,COLUMN(E$1),FALSE)+IFERROR(VLOOKUP($CJ3,装強!$1:$999,COLUMN(G$1),FALSE),0))*VLOOKUP($D3,素材!$1:$1016,COLUMN($E$1),FALSE),0),"")</f>
        <v>10</v>
      </c>
      <c r="H3">
        <f>IFERROR(ROUNDDOWN((VLOOKUP($C3,武器!$1:$998,COLUMN(F$1),FALSE)+IFERROR(VLOOKUP($CJ3,装強!$1:$999,COLUMN(H$1),FALSE),0))*VLOOKUP($D3,素材!$1:$1016,COLUMN($E$1),FALSE),0),"")</f>
        <v>8</v>
      </c>
      <c r="I3">
        <f>IFERROR(ROUNDDOWN((VLOOKUP($C3,武器!$1:$998,COLUMN(G$1),FALSE)+IFERROR(VLOOKUP($CJ3,装強!$1:$999,COLUMN(I$1),FALSE),0))*VLOOKUP($D3,素材!$1:$1016,COLUMN($E$1),FALSE),0),"")</f>
        <v>2</v>
      </c>
      <c r="J3">
        <f>IFERROR(ROUNDDOWN((VLOOKUP($C3,武器!$1:$998,COLUMN(H$1),FALSE)+IFERROR(VLOOKUP($CJ3,装強!$1:$999,COLUMN(J$1),FALSE),0))*VLOOKUP($D3,素材!$1:$1016,COLUMN($E$1),FALSE),0),"")</f>
        <v>13</v>
      </c>
      <c r="K3">
        <f>IFERROR(ROUNDDOWN((VLOOKUP($C3,武器!$1:$998,COLUMN(I$1),FALSE)+IFERROR(VLOOKUP($CJ3,装強!$1:$999,COLUMN(K$1),FALSE),0))*VLOOKUP($D3,素材!$1:$1016,COLUMN($E$1),FALSE),0),"")</f>
        <v>0</v>
      </c>
      <c r="L3">
        <f>IFERROR(VLOOKUP($D3,素材!$1:$1016,COLUMN($F$1),FALSE),"")</f>
        <v>0</v>
      </c>
      <c r="M3">
        <f>IFERROR(VLOOKUP($C3,武器!$1:$998,COLUMN(AA$1),FALSE)*VLOOKUP($D3,素材!$1:$1016,COLUMN($G$1),FALSE),"")</f>
        <v>0</v>
      </c>
      <c r="N3">
        <f>IFERROR(VLOOKUP($C3,武器!$1:$998,COLUMN(I$1),FALSE),"")</f>
        <v>0</v>
      </c>
      <c r="O3" s="23">
        <f>IFERROR((VLOOKUP($C3,武器!$1:$998,COLUMN(K$1),FALSE)+VLOOKUP($D3,素材!$1:$1016,COLUMN(H$1),FALSE))*100+IFERROR(VLOOKUP($CJ3,装強!$1:$999,COLUMN(O$1),FALSE),0),"")</f>
        <v>10</v>
      </c>
      <c r="P3" s="23">
        <f>IFERROR((VLOOKUP($C3,武器!$1:$998,COLUMN(L$1),FALSE)+VLOOKUP($D3,素材!$1:$1016,COLUMN(I$1),FALSE))*100+IFERROR(VLOOKUP($CJ3,装強!$1:$999,COLUMN(P$1),FALSE),0),"")</f>
        <v>175</v>
      </c>
      <c r="Q3">
        <f>IFERROR(ROUNDUP(VLOOKUP($C3,武器!$1:$998,COLUMN(M$1),FALSE)*(VLOOKUP($D3,素材!$1:$1002,COLUMN(D$1),FALSE)/100),1),"")</f>
        <v>0</v>
      </c>
      <c r="R3">
        <f>IFERROR(ROUNDUP(VLOOKUP($C3,武器!$1:$998,COLUMN(N$1),FALSE)*(VLOOKUP($D3,素材!$1:$1002,COLUMN(D$1),FALSE)/100),1),"")</f>
        <v>0</v>
      </c>
      <c r="S3">
        <f>IFERROR(VLOOKUP($C3,武器!$1:$998,COLUMN(P$1),FALSE),"")</f>
        <v>0</v>
      </c>
      <c r="T3">
        <f>IFERROR(VLOOKUP($C3,武器!$1:$998,COLUMN(Q$1),FALSE),"")</f>
        <v>0</v>
      </c>
      <c r="U3">
        <f>IFERROR(VLOOKUP($C3,武器!$1:$998,COLUMN(R$1),FALSE),"")</f>
        <v>0</v>
      </c>
      <c r="V3">
        <f>IFERROR(VLOOKUP($C3,武器!$1:$998,COLUMN(Q$1),FALSE),"")</f>
        <v>0</v>
      </c>
      <c r="W3" t="str">
        <f>IFERROR(VLOOKUP($C3,武器!$1:$998,COLUMN(T$1),FALSE),"")</f>
        <v>A</v>
      </c>
      <c r="Y3" t="str">
        <f>IFERROR(VLOOKUP($C3,武器!$1:$998,COLUMN(U$1),FALSE),"")</f>
        <v>暗殺強化,片手適正Ⅱ</v>
      </c>
      <c r="Z3">
        <f>IFERROR(ROUNDUP(VLOOKUP($C3,武器!$1:$998,COLUMN(O$1),FALSE)*VLOOKUP($D3,素材!$1:$1016,COLUMN(E$1),FALSE),1),"")</f>
        <v>0</v>
      </c>
      <c r="AA3">
        <f>IF(ISNUMBER(SEARCH(SUBSTITUTE(AA$1,RIGHT(AA$1,2),""),VLOOKUP($D3,素材!$1:$1016,COLUMN($F$1),FALSE))),VLOOKUP($C3,武器!$1:$998,COLUMN($O$1),FALSE)*VLOOKUP($D3,素材!$1:$1016,COLUMN($E$1),FALSE)/(LEN(VLOOKUP($D3,素材!$1:$1016,COLUMN($F$1),FALSE))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B3">
        <f>IF(ISNUMBER(SEARCH(SUBSTITUTE(AB$1,RIGHT(AB$1,2),""),VLOOKUP($D3,素材!$1:$1016,COLUMN($F$1),FALSE))),VLOOKUP($C3,武器!$1:$998,COLUMN($O$1),FALSE)*VLOOKUP($D3,素材!$1:$1016,COLUMN($E$1),FALSE)/(LEN(VLOOKUP($D3,素材!$1:$1016,COLUMN($F$1),FALSE))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C3">
        <f>IF(ISNUMBER(SEARCH(SUBSTITUTE(AC$1,RIGHT(AC$1,2),""),VLOOKUP($D3,素材!$1:$1016,COLUMN($F$1),FALSE))),VLOOKUP($C3,武器!$1:$998,COLUMN($O$1),FALSE)*VLOOKUP($D3,素材!$1:$1016,COLUMN($E$1),FALSE)/(LEN(VLOOKUP($D3,素材!$1:$1016,COLUMN($F$1),FALSE))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D3">
        <f>IF(ISNUMBER(SEARCH(SUBSTITUTE(AD$1,RIGHT(AD$1,2),""),VLOOKUP($D3,素材!$1:$1016,COLUMN($F$1),FALSE))),VLOOKUP($C3,武器!$1:$998,COLUMN($O$1),FALSE)*VLOOKUP($D3,素材!$1:$1016,COLUMN($E$1),FALSE)/(LEN(VLOOKUP($D3,素材!$1:$1016,COLUMN($F$1),FALSE))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E3">
        <f>IF(ISNUMBER(SEARCH(SUBSTITUTE(AE$1,RIGHT(AE$1,2),""),VLOOKUP($D3,素材!$1:$1016,COLUMN($F$1),FALSE))),VLOOKUP($C3,武器!$1:$998,COLUMN($O$1),FALSE)*VLOOKUP($D3,素材!$1:$1016,COLUMN($E$1),FALSE)/(LEN(VLOOKUP($D3,素材!$1:$1016,COLUMN($F$1),FALSE))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F3">
        <f>IF(ISNUMBER(SEARCH(SUBSTITUTE(AF$1,RIGHT(AF$1,2),""),VLOOKUP($D3,素材!$1:$1016,COLUMN($F$1),FALSE))),VLOOKUP($C3,武器!$1:$998,COLUMN($O$1),FALSE)*VLOOKUP($D3,素材!$1:$1016,COLUMN($E$1),FALSE)/(LEN(VLOOKUP($D3,素材!$1:$1016,COLUMN($F$1),FALSE))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G3">
        <f>IF(ISNUMBER(SEARCH(SUBSTITUTE(AG$1,RIGHT(AG$1,2),""),VLOOKUP($D3,素材!$1:$1016,COLUMN($F$1),FALSE))),VLOOKUP($C3,武器!$1:$998,COLUMN($O$1),FALSE)*VLOOKUP($D3,素材!$1:$1016,COLUMN($E$1),FALSE)/(LEN(VLOOKUP($D3,素材!$1:$1016,COLUMN($F$1),FALSE))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H3">
        <f>IF(ISNUMBER(SEARCH(SUBSTITUTE(AH$1,RIGHT(AH$1,2),""),VLOOKUP($D3,素材!$1:$1016,COLUMN($F$1),FALSE))),VLOOKUP($C3,武器!$1:$998,COLUMN($O$1),FALSE)*VLOOKUP($D3,素材!$1:$1016,COLUMN($E$1),FALSE)/(LEN(VLOOKUP($D3,素材!$1:$1016,COLUMN($F$1),FALSE))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I3">
        <f>IF(ISNUMBER(SEARCH(SUBSTITUTE(AI$1,RIGHT(AI$1,2),""),VLOOKUP($D3,素材!$1:$1016,COLUMN($F$1),FALSE))),VLOOKUP($C3,武器!$1:$998,COLUMN($O$1),FALSE)*VLOOKUP($D3,素材!$1:$1016,COLUMN($E$1),FALSE)/(LEN(VLOOKUP($D3,素材!$1:$1016,COLUMN($F$1),FALSE))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J3">
        <f>IF(ISNUMBER(SEARCH(SUBSTITUTE(AJ$1,RIGHT(AJ$1,2),""),VLOOKUP($D3,素材!$1:$1016,COLUMN($F$1),FALSE))),VLOOKUP($C3,武器!$1:$998,COLUMN($O$1),FALSE)*VLOOKUP($D3,素材!$1:$1016,COLUMN($E$1),FALSE)/(LEN(VLOOKUP($D3,素材!$1:$1016,COLUMN($F$1),FALSE))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K3">
        <f>IF(ISNUMBER(SEARCH(SUBSTITUTE(AK$1,RIGHT(AK$1,2),""),VLOOKUP($D3,素材!$1:$1016,COLUMN($F$1),FALSE))),VLOOKUP($C3,武器!$1:$998,COLUMN($O$1),FALSE)*VLOOKUP($D3,素材!$1:$1016,COLUMN($E$1),FALSE)/(LEN(VLOOKUP($D3,素材!$1:$1016,COLUMN($F$1),FALSE))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L3">
        <f>IF(ISNUMBER(SEARCH(SUBSTITUTE(AL$1,RIGHT(AL$1,2),""),VLOOKUP($D3,素材!$1:$1016,COLUMN($F$1),FALSE))),VLOOKUP($C3,武器!$1:$998,COLUMN($O$1),FALSE)*VLOOKUP($D3,素材!$1:$1016,COLUMN($E$1),FALSE)/(LEN(VLOOKUP($D3,素材!$1:$1016,COLUMN($F$1),FALSE))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M3">
        <f>IF(ISNUMBER(SEARCH(SUBSTITUTE(AM$1,RIGHT(AM$1,2),""),VLOOKUP($D3,素材!$1:$1016,COLUMN($F$1),FALSE))),VLOOKUP($C3,武器!$1:$998,COLUMN($O$1),FALSE)*VLOOKUP($D3,素材!$1:$1016,COLUMN($E$1),FALSE)/(LEN(VLOOKUP($D3,素材!$1:$1016,COLUMN($F$1),FALSE))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N3">
        <f>IF(ISNUMBER(SEARCH(SUBSTITUTE(AN$1,RIGHT(AN$1,2),""),VLOOKUP($D3,素材!$1:$1016,COLUMN($F$1),FALSE))),VLOOKUP($C3,武器!$1:$998,COLUMN($O$1),FALSE)*VLOOKUP($D3,素材!$1:$1016,COLUMN($E$1),FALSE)/(LEN(VLOOKUP($D3,素材!$1:$1016,COLUMN($F$1),FALSE))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O3">
        <f>IF(ISNUMBER(SEARCH(SUBSTITUTE(AO$1,RIGHT(AO$1,2),""),VLOOKUP($D3,素材!$1:$1016,COLUMN($F$1),FALSE))),VLOOKUP($C3,武器!$1:$998,COLUMN($O$1),FALSE)*VLOOKUP($D3,素材!$1:$1016,COLUMN($E$1),FALSE)/(LEN(VLOOKUP($D3,素材!$1:$1016,COLUMN($F$1),FALSE))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P3">
        <f>IF(ISNUMBER(SEARCH(SUBSTITUTE(AP$1,RIGHT(AP$1,2),""),VLOOKUP($D3,素材!$1:$1016,COLUMN($F$1),FALSE))),VLOOKUP($C3,武器!$1:$998,COLUMN($O$1),FALSE)*VLOOKUP($D3,素材!$1:$1016,COLUMN($E$1),FALSE)/(LEN(VLOOKUP($D3,素材!$1:$1016,COLUMN($F$1),FALSE))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Q3">
        <f>IF(ISNUMBER(SEARCH(SUBSTITUTE(AQ$1,RIGHT(AQ$1,2),""),VLOOKUP($D3,素材!$1:$1016,COLUMN($F$1),FALSE))),VLOOKUP($C3,武器!$1:$998,COLUMN($O$1),FALSE)*VLOOKUP($D3,素材!$1:$1016,COLUMN($E$1),FALSE)/(LEN(VLOOKUP($D3,素材!$1:$1016,COLUMN($F$1),FALSE))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R3">
        <f>IF(ISNUMBER(SEARCH(SUBSTITUTE(AR$1,RIGHT(AR$1,2),""),VLOOKUP($D3,素材!$1:$1016,COLUMN($F$1),FALSE))),VLOOKUP($C3,武器!$1:$998,COLUMN($O$1),FALSE)*VLOOKUP($D3,素材!$1:$1016,COLUMN($E$1),FALSE)/(LEN(VLOOKUP($D3,素材!$1:$1016,COLUMN($F$1),FALSE))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S3">
        <f>IF(ISNUMBER(SEARCH(SUBSTITUTE(AS$1,RIGHT(AS$1,2),""),VLOOKUP($D3,素材!$1:$1016,COLUMN($F$1),FALSE))),VLOOKUP($C3,武器!$1:$998,COLUMN($O$1),FALSE)*VLOOKUP($D3,素材!$1:$1016,COLUMN($E$1),FALSE)/(LEN(VLOOKUP($D3,素材!$1:$1016,COLUMN($F$1),FALSE))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T3">
        <f>IF(ISNUMBER(SEARCH(SUBSTITUTE(AT$1,RIGHT(AT$1,2),""),VLOOKUP($D3,素材!$1:$1016,COLUMN($F$1),FALSE))),VLOOKUP($C3,武器!$1:$998,COLUMN($O$1),FALSE)*VLOOKUP($D3,素材!$1:$1016,COLUMN($E$1),FALSE)/(LEN(VLOOKUP($D3,素材!$1:$1016,COLUMN($F$1),FALSE))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U3">
        <f>IF(ISNUMBER(SEARCH(SUBSTITUTE(AU$1,RIGHT(AU$1,2),""),VLOOKUP($D3,素材!$1:$1016,COLUMN($F$1),FALSE))),VLOOKUP($C3,武器!$1:$998,COLUMN($O$1),FALSE)*VLOOKUP($D3,素材!$1:$1016,COLUMN($E$1),FALSE)/(LEN(VLOOKUP($D3,素材!$1:$1016,COLUMN($F$1),FALSE))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V3">
        <f>IF(ISNUMBER(SEARCH(SUBSTITUTE(AV$1,RIGHT(AV$1,2),""),VLOOKUP($D3,素材!$1:$1016,COLUMN($F$1),FALSE))),VLOOKUP($C3,武器!$1:$998,COLUMN($O$1),FALSE)*VLOOKUP($D3,素材!$1:$1016,COLUMN($E$1),FALSE)/(LEN(VLOOKUP($D3,素材!$1:$1016,COLUMN($F$1),FALSE))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W3">
        <f>IF(ISNUMBER(SEARCH(SUBSTITUTE(AW$1,RIGHT(AW$1,2),""),VLOOKUP($D3,素材!$1:$1016,COLUMN($F$1),FALSE))),VLOOKUP($C3,武器!$1:$998,COLUMN($O$1),FALSE)*VLOOKUP($D3,素材!$1:$1016,COLUMN($E$1),FALSE)/(LEN(VLOOKUP($D3,素材!$1:$1016,COLUMN($F$1),FALSE))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X3">
        <f>IF(ISNUMBER(SEARCH(SUBSTITUTE(AX$1,RIGHT(AX$1,2),""),VLOOKUP($D3,素材!$1:$1016,COLUMN($F$1),FALSE))),VLOOKUP($C3,武器!$1:$998,COLUMN($O$1),FALSE)*VLOOKUP($D3,素材!$1:$1016,COLUMN($E$1),FALSE)/(LEN(VLOOKUP($D3,素材!$1:$1016,COLUMN($F$1),FALSE))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Y3">
        <f>IF(ISNUMBER(SEARCH(SUBSTITUTE(AY$1,RIGHT(AY$1,2),""),VLOOKUP($D3,素材!$1:$1016,COLUMN($F$1),FALSE))),VLOOKUP($C3,武器!$1:$998,COLUMN($O$1),FALSE)*VLOOKUP($D3,素材!$1:$1016,COLUMN($E$1),FALSE)/(LEN(VLOOKUP($D3,素材!$1:$1016,COLUMN($F$1),FALSE))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AZ3">
        <f>IF(ISNUMBER(SEARCH(SUBSTITUTE(AZ$1,RIGHT(AZ$1,2),""),VLOOKUP($D3,素材!$1:$1016,COLUMN($F$1),FALSE))),VLOOKUP($C3,武器!$1:$998,COLUMN($O$1),FALSE)*VLOOKUP($D3,素材!$1:$1016,COLUMN($E$1),FALSE)/(LEN(VLOOKUP($D3,素材!$1:$1016,COLUMN($F$1),FALSE))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BA3">
        <f>IF(ISNUMBER(SEARCH(SUBSTITUTE(BA$1,RIGHT(BA$1,2),""),VLOOKUP($D3,素材!$1:$1016,COLUMN($F$1),FALSE))),VLOOKUP($C3,武器!$1:$998,COLUMN($O$1),FALSE)*VLOOKUP($D3,素材!$1:$1016,COLUMN($E$1),FALSE)/(LEN(VLOOKUP($D3,素材!$1:$1016,COLUMN($F$1),FALSE))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BB3">
        <f>IF(ISNUMBER(SEARCH(SUBSTITUTE(BB$1,RIGHT(BB$1,2),""),VLOOKUP($D3,素材!$1:$1016,COLUMN($F$1),FALSE))),VLOOKUP($C3,武器!$1:$998,COLUMN($O$1),FALSE)*VLOOKUP($D3,素材!$1:$1016,COLUMN($E$1),FALSE)/(LEN(VLOOKUP($D3,素材!$1:$1016,COLUMN($F$1),FALSE))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BC3">
        <f>IF(ISNUMBER(SEARCH(SUBSTITUTE(BC$1,RIGHT(BC$1,2),""),VLOOKUP($D3,素材!$1:$1016,COLUMN($F$1),FALSE))),VLOOKUP($C3,武器!$1:$998,COLUMN($O$1),FALSE)*VLOOKUP($D3,素材!$1:$1016,COLUMN($E$1),FALSE)/(LEN(VLOOKUP($D3,素材!$1:$1016,COLUMN($F$1),FALSE))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BD3">
        <f>IF(ISNUMBER(SEARCH(SUBSTITUTE(BD$1,RIGHT(BD$1,2),""),VLOOKUP($D3,素材!$1:$1016,COLUMN($F$1),FALSE))),VLOOKUP($C3,武器!$1:$998,COLUMN($O$1),FALSE)*VLOOKUP($D3,素材!$1:$1016,COLUMN($E$1),FALSE)/(LEN(VLOOKUP($D3,素材!$1:$1016,COLUMN($F$1),FALSE))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BE3">
        <f>IF(ISNUMBER(SEARCH(SUBSTITUTE(BE$1,RIGHT(BE$1,2),""),VLOOKUP($D3,素材!$1:$1016,COLUMN($F$1),FALSE))),VLOOKUP($C3,武器!$1:$998,COLUMN($O$1),FALSE)*VLOOKUP($D3,素材!$1:$1016,COLUMN($E$1),FALSE)/(LEN(VLOOKUP($D3,素材!$1:$1016,COLUMN($F$1),FALSE))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BF3">
        <f>IF(ISNUMBER(SEARCH(SUBSTITUTE(BF$1,RIGHT(BF$1,2),""),VLOOKUP($D3,素材!$1:$1016,COLUMN($F$1),FALSE))),VLOOKUP($C3,武器!$1:$998,COLUMN($O$1),FALSE)*VLOOKUP($D3,素材!$1:$1016,COLUMN($E$1),FALSE)/(LEN(VLOOKUP($D3,素材!$1:$1016,COLUMN($F$1),FALSE)) - LEN(SUBSTITUTE(VLOOKUP($D3,素材!$1:$1016,COLUMN($F$1),FALSE), "・", 0)) + 1), 0)</f>
        <v>0</v>
      </c>
      <c r="CM3">
        <f t="shared" ref="CM3" si="1">SUM(G3:I3)</f>
        <v>20</v>
      </c>
      <c r="CN3" s="22" t="str">
        <f>IF(E3="武器",IF(J3-1&gt;SUM(G3:I3),"盾",IF(MAX(G3:I3)=G3,"切断",IF(MAX(G3:I3)=H3,"貫通",IF(MAX(G3:I3)=I3,"打撃","射撃")))),E3)&amp;".webp"</f>
        <v>切断.webp</v>
      </c>
      <c r="CO3">
        <f>IFERROR(VLOOKUP($C3,武器!$1:$998,COLUMN(V$1),FALSE)*VLOOKUP($D3,素材!$1:$1016,COLUMN(N$1),FALSE)+IF(CJ3="",0,VLOOKUP($CJ3,装強!$1:$1008,COLUMN($CL$1),FALSE)),"")</f>
        <v>200</v>
      </c>
      <c r="CP3" t="str">
        <f>VLOOKUP(D3,素材!$A:$O,COLUMN(素材!O$1),FALSE)</f>
        <v>一般的な鉄。量産品を作るのに使用されることが多い</v>
      </c>
      <c r="CQ3" t="str">
        <f>VLOOKUP(C3,武器!$A:$W,COLUMN(武器!W$1),FALSE)</f>
        <v>短刀。暗殺向けの武器で、軽量かつ片手操作に適する。Cr威力が高い</v>
      </c>
      <c r="CS3" t="str">
        <f t="shared" ref="CS3:CS66" si="2">"e_"&amp;ROW(CS3)</f>
        <v>e_3</v>
      </c>
      <c r="CT3">
        <f>CO3*100</f>
        <v>20000</v>
      </c>
    </row>
    <row r="4" spans="1:98" outlineLevel="1" x14ac:dyDescent="0.4">
      <c r="A4" t="str">
        <f t="shared" si="0"/>
        <v>鉄の刀</v>
      </c>
      <c r="B4" t="str">
        <f>IFERROR(VLOOKUP($D4,素材!$1:$1016,COLUMN($B$1),FALSE)&amp;"・"&amp;VLOOKUP($C4,武器!$1:$998,COLUMN(B$1),FALSE),"")</f>
        <v>アイアン・カタナ</v>
      </c>
      <c r="C4" s="24" t="s">
        <v>241</v>
      </c>
      <c r="D4" s="24" t="s">
        <v>257</v>
      </c>
      <c r="E4" t="str">
        <f>IFERROR(VLOOKUP(C4,武器!$1:$998,COLUMN(C$1),FALSE),"")</f>
        <v>武器</v>
      </c>
      <c r="F4">
        <f>IFERROR(ROUNDDOWN((VLOOKUP($C4,武器!$1:$998,COLUMN(D$1),FALSE)+IFERROR(VLOOKUP($CJ4,装強!$1:$999,COLUMN(F$1),FALSE),0))*VLOOKUP($D4,素材!$1:$1016,COLUMN(D$1),FALSE),0),"")</f>
        <v>105</v>
      </c>
      <c r="G4">
        <f>IFERROR(ROUNDDOWN((VLOOKUP($C4,武器!$1:$998,COLUMN(E$1),FALSE)+IFERROR(VLOOKUP($CJ4,装強!$1:$999,COLUMN(G$1),FALSE),0))*VLOOKUP($D4,素材!$1:$1016,COLUMN($E$1),FALSE),0),"")</f>
        <v>14</v>
      </c>
      <c r="H4">
        <f>IFERROR(ROUNDDOWN((VLOOKUP($C4,武器!$1:$998,COLUMN(F$1),FALSE)+IFERROR(VLOOKUP($CJ4,装強!$1:$999,COLUMN(H$1),FALSE),0))*VLOOKUP($D4,素材!$1:$1016,COLUMN($E$1),FALSE),0),"")</f>
        <v>8</v>
      </c>
      <c r="I4">
        <f>IFERROR(ROUNDDOWN((VLOOKUP($C4,武器!$1:$998,COLUMN(G$1),FALSE)+IFERROR(VLOOKUP($CJ4,装強!$1:$999,COLUMN(I$1),FALSE),0))*VLOOKUP($D4,素材!$1:$1016,COLUMN($E$1),FALSE),0),"")</f>
        <v>2</v>
      </c>
      <c r="J4">
        <f>IFERROR(ROUNDDOWN((VLOOKUP($C4,武器!$1:$998,COLUMN(H$1),FALSE)+IFERROR(VLOOKUP($CJ4,装強!$1:$999,COLUMN(J$1),FALSE),0))*VLOOKUP($D4,素材!$1:$1016,COLUMN($E$1),FALSE),0),"")</f>
        <v>17</v>
      </c>
      <c r="K4">
        <f>IFERROR(ROUNDDOWN((VLOOKUP($C4,武器!$1:$998,COLUMN(I$1),FALSE)+IFERROR(VLOOKUP($CJ4,装強!$1:$999,COLUMN(K$1),FALSE),0))*VLOOKUP($D4,素材!$1:$1016,COLUMN($E$1),FALSE),0),"")</f>
        <v>0</v>
      </c>
      <c r="L4">
        <f>IFERROR(VLOOKUP($D4,素材!$1:$1016,COLUMN($F$1),FALSE),"")</f>
        <v>0</v>
      </c>
      <c r="M4">
        <f>IFERROR(VLOOKUP($C4,武器!$1:$998,COLUMN(AA$1),FALSE)*VLOOKUP($D4,素材!$1:$1016,COLUMN($G$1),FALSE),"")</f>
        <v>0</v>
      </c>
      <c r="N4">
        <f>IFERROR(VLOOKUP($C4,武器!$1:$998,COLUMN(I$1),FALSE),"")</f>
        <v>0</v>
      </c>
      <c r="O4" s="23">
        <f>IFERROR((VLOOKUP($C4,武器!$1:$998,COLUMN(K$1),FALSE)+VLOOKUP($D4,素材!$1:$1016,COLUMN(H$1),FALSE))*100+IFERROR(VLOOKUP($CJ4,装強!$1:$999,COLUMN(O$1),FALSE),0),"")</f>
        <v>10</v>
      </c>
      <c r="P4" s="23">
        <f>IFERROR((VLOOKUP($C4,武器!$1:$998,COLUMN(L$1),FALSE)+VLOOKUP($D4,素材!$1:$1016,COLUMN(I$1),FALSE))*100+IFERROR(VLOOKUP($CJ4,装強!$1:$999,COLUMN(P$1),FALSE),0),"")</f>
        <v>175</v>
      </c>
      <c r="Q4">
        <f>IFERROR(ROUNDUP(VLOOKUP($C4,武器!$1:$998,COLUMN(M$1),FALSE)*(VLOOKUP($D4,素材!$1:$1002,COLUMN(D$1),FALSE)/100),1),"")</f>
        <v>0</v>
      </c>
      <c r="R4">
        <f>IFERROR(ROUNDUP(VLOOKUP($C4,武器!$1:$998,COLUMN(N$1),FALSE)*(VLOOKUP($D4,素材!$1:$1002,COLUMN(D$1),FALSE)/100),1),"")</f>
        <v>0</v>
      </c>
      <c r="S4">
        <f>IFERROR(VLOOKUP($C4,武器!$1:$998,COLUMN(P$1),FALSE),"")</f>
        <v>0</v>
      </c>
      <c r="T4">
        <f>IFERROR(VLOOKUP($C4,武器!$1:$998,COLUMN(Q$1),FALSE),"")</f>
        <v>0</v>
      </c>
      <c r="U4">
        <f>IFERROR(VLOOKUP($C4,武器!$1:$998,COLUMN(R$1),FALSE),"")</f>
        <v>0</v>
      </c>
      <c r="V4">
        <f>IFERROR(VLOOKUP($C4,武器!$1:$998,COLUMN(Q$1),FALSE),"")</f>
        <v>0</v>
      </c>
      <c r="W4" t="str">
        <f>IFERROR(VLOOKUP($C4,武器!$1:$998,COLUMN(T$1),FALSE),"")</f>
        <v>A</v>
      </c>
      <c r="Y4">
        <f>IFERROR(VLOOKUP($C4,武器!$1:$998,COLUMN(U$1),FALSE),"")</f>
        <v>0</v>
      </c>
      <c r="Z4">
        <f>IFERROR(ROUNDUP(VLOOKUP($C4,武器!$1:$998,COLUMN(O$1),FALSE)*VLOOKUP($D4,素材!$1:$1016,COLUMN(E$1),FALSE),1),"")</f>
        <v>0</v>
      </c>
      <c r="AA4">
        <f>IF(ISNUMBER(SEARCH(SUBSTITUTE(AA$1,RIGHT(AA$1,2),""),VLOOKUP($D4,素材!$1:$1016,COLUMN($F$1),FALSE))),VLOOKUP($C4,武器!$1:$998,COLUMN($O$1),FALSE)*VLOOKUP($D4,素材!$1:$1016,COLUMN($E$1),FALSE)/(LEN(VLOOKUP($D4,素材!$1:$1016,COLUMN($F$1),FALSE))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B4">
        <f>IF(ISNUMBER(SEARCH(SUBSTITUTE(AB$1,RIGHT(AB$1,2),""),VLOOKUP($D4,素材!$1:$1016,COLUMN($F$1),FALSE))),VLOOKUP($C4,武器!$1:$998,COLUMN($O$1),FALSE)*VLOOKUP($D4,素材!$1:$1016,COLUMN($E$1),FALSE)/(LEN(VLOOKUP($D4,素材!$1:$1016,COLUMN($F$1),FALSE))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C4">
        <f>IF(ISNUMBER(SEARCH(SUBSTITUTE(AC$1,RIGHT(AC$1,2),""),VLOOKUP($D4,素材!$1:$1016,COLUMN($F$1),FALSE))),VLOOKUP($C4,武器!$1:$998,COLUMN($O$1),FALSE)*VLOOKUP($D4,素材!$1:$1016,COLUMN($E$1),FALSE)/(LEN(VLOOKUP($D4,素材!$1:$1016,COLUMN($F$1),FALSE))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D4">
        <f>IF(ISNUMBER(SEARCH(SUBSTITUTE(AD$1,RIGHT(AD$1,2),""),VLOOKUP($D4,素材!$1:$1016,COLUMN($F$1),FALSE))),VLOOKUP($C4,武器!$1:$998,COLUMN($O$1),FALSE)*VLOOKUP($D4,素材!$1:$1016,COLUMN($E$1),FALSE)/(LEN(VLOOKUP($D4,素材!$1:$1016,COLUMN($F$1),FALSE))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E4">
        <f>IF(ISNUMBER(SEARCH(SUBSTITUTE(AE$1,RIGHT(AE$1,2),""),VLOOKUP($D4,素材!$1:$1016,COLUMN($F$1),FALSE))),VLOOKUP($C4,武器!$1:$998,COLUMN($O$1),FALSE)*VLOOKUP($D4,素材!$1:$1016,COLUMN($E$1),FALSE)/(LEN(VLOOKUP($D4,素材!$1:$1016,COLUMN($F$1),FALSE))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F4">
        <f>IF(ISNUMBER(SEARCH(SUBSTITUTE(AF$1,RIGHT(AF$1,2),""),VLOOKUP($D4,素材!$1:$1016,COLUMN($F$1),FALSE))),VLOOKUP($C4,武器!$1:$998,COLUMN($O$1),FALSE)*VLOOKUP($D4,素材!$1:$1016,COLUMN($E$1),FALSE)/(LEN(VLOOKUP($D4,素材!$1:$1016,COLUMN($F$1),FALSE))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G4">
        <f>IF(ISNUMBER(SEARCH(SUBSTITUTE(AG$1,RIGHT(AG$1,2),""),VLOOKUP($D4,素材!$1:$1016,COLUMN($F$1),FALSE))),VLOOKUP($C4,武器!$1:$998,COLUMN($O$1),FALSE)*VLOOKUP($D4,素材!$1:$1016,COLUMN($E$1),FALSE)/(LEN(VLOOKUP($D4,素材!$1:$1016,COLUMN($F$1),FALSE))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H4">
        <f>IF(ISNUMBER(SEARCH(SUBSTITUTE(AH$1,RIGHT(AH$1,2),""),VLOOKUP($D4,素材!$1:$1016,COLUMN($F$1),FALSE))),VLOOKUP($C4,武器!$1:$998,COLUMN($O$1),FALSE)*VLOOKUP($D4,素材!$1:$1016,COLUMN($E$1),FALSE)/(LEN(VLOOKUP($D4,素材!$1:$1016,COLUMN($F$1),FALSE))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I4">
        <f>IF(ISNUMBER(SEARCH(SUBSTITUTE(AI$1,RIGHT(AI$1,2),""),VLOOKUP($D4,素材!$1:$1016,COLUMN($F$1),FALSE))),VLOOKUP($C4,武器!$1:$998,COLUMN($O$1),FALSE)*VLOOKUP($D4,素材!$1:$1016,COLUMN($E$1),FALSE)/(LEN(VLOOKUP($D4,素材!$1:$1016,COLUMN($F$1),FALSE))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J4">
        <f>IF(ISNUMBER(SEARCH(SUBSTITUTE(AJ$1,RIGHT(AJ$1,2),""),VLOOKUP($D4,素材!$1:$1016,COLUMN($F$1),FALSE))),VLOOKUP($C4,武器!$1:$998,COLUMN($O$1),FALSE)*VLOOKUP($D4,素材!$1:$1016,COLUMN($E$1),FALSE)/(LEN(VLOOKUP($D4,素材!$1:$1016,COLUMN($F$1),FALSE))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K4">
        <f>IF(ISNUMBER(SEARCH(SUBSTITUTE(AK$1,RIGHT(AK$1,2),""),VLOOKUP($D4,素材!$1:$1016,COLUMN($F$1),FALSE))),VLOOKUP($C4,武器!$1:$998,COLUMN($O$1),FALSE)*VLOOKUP($D4,素材!$1:$1016,COLUMN($E$1),FALSE)/(LEN(VLOOKUP($D4,素材!$1:$1016,COLUMN($F$1),FALSE))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L4">
        <f>IF(ISNUMBER(SEARCH(SUBSTITUTE(AL$1,RIGHT(AL$1,2),""),VLOOKUP($D4,素材!$1:$1016,COLUMN($F$1),FALSE))),VLOOKUP($C4,武器!$1:$998,COLUMN($O$1),FALSE)*VLOOKUP($D4,素材!$1:$1016,COLUMN($E$1),FALSE)/(LEN(VLOOKUP($D4,素材!$1:$1016,COLUMN($F$1),FALSE))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M4">
        <f>IF(ISNUMBER(SEARCH(SUBSTITUTE(AM$1,RIGHT(AM$1,2),""),VLOOKUP($D4,素材!$1:$1016,COLUMN($F$1),FALSE))),VLOOKUP($C4,武器!$1:$998,COLUMN($O$1),FALSE)*VLOOKUP($D4,素材!$1:$1016,COLUMN($E$1),FALSE)/(LEN(VLOOKUP($D4,素材!$1:$1016,COLUMN($F$1),FALSE))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N4">
        <f>IF(ISNUMBER(SEARCH(SUBSTITUTE(AN$1,RIGHT(AN$1,2),""),VLOOKUP($D4,素材!$1:$1016,COLUMN($F$1),FALSE))),VLOOKUP($C4,武器!$1:$998,COLUMN($O$1),FALSE)*VLOOKUP($D4,素材!$1:$1016,COLUMN($E$1),FALSE)/(LEN(VLOOKUP($D4,素材!$1:$1016,COLUMN($F$1),FALSE))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O4">
        <f>IF(ISNUMBER(SEARCH(SUBSTITUTE(AO$1,RIGHT(AO$1,2),""),VLOOKUP($D4,素材!$1:$1016,COLUMN($F$1),FALSE))),VLOOKUP($C4,武器!$1:$998,COLUMN($O$1),FALSE)*VLOOKUP($D4,素材!$1:$1016,COLUMN($E$1),FALSE)/(LEN(VLOOKUP($D4,素材!$1:$1016,COLUMN($F$1),FALSE))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P4">
        <f>IF(ISNUMBER(SEARCH(SUBSTITUTE(AP$1,RIGHT(AP$1,2),""),VLOOKUP($D4,素材!$1:$1016,COLUMN($F$1),FALSE))),VLOOKUP($C4,武器!$1:$998,COLUMN($O$1),FALSE)*VLOOKUP($D4,素材!$1:$1016,COLUMN($E$1),FALSE)/(LEN(VLOOKUP($D4,素材!$1:$1016,COLUMN($F$1),FALSE))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Q4">
        <f>IF(ISNUMBER(SEARCH(SUBSTITUTE(AQ$1,RIGHT(AQ$1,2),""),VLOOKUP($D4,素材!$1:$1016,COLUMN($F$1),FALSE))),VLOOKUP($C4,武器!$1:$998,COLUMN($O$1),FALSE)*VLOOKUP($D4,素材!$1:$1016,COLUMN($E$1),FALSE)/(LEN(VLOOKUP($D4,素材!$1:$1016,COLUMN($F$1),FALSE))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R4">
        <f>IF(ISNUMBER(SEARCH(SUBSTITUTE(AR$1,RIGHT(AR$1,2),""),VLOOKUP($D4,素材!$1:$1016,COLUMN($F$1),FALSE))),VLOOKUP($C4,武器!$1:$998,COLUMN($O$1),FALSE)*VLOOKUP($D4,素材!$1:$1016,COLUMN($E$1),FALSE)/(LEN(VLOOKUP($D4,素材!$1:$1016,COLUMN($F$1),FALSE))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S4">
        <f>IF(ISNUMBER(SEARCH(SUBSTITUTE(AS$1,RIGHT(AS$1,2),""),VLOOKUP($D4,素材!$1:$1016,COLUMN($F$1),FALSE))),VLOOKUP($C4,武器!$1:$998,COLUMN($O$1),FALSE)*VLOOKUP($D4,素材!$1:$1016,COLUMN($E$1),FALSE)/(LEN(VLOOKUP($D4,素材!$1:$1016,COLUMN($F$1),FALSE))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T4">
        <f>IF(ISNUMBER(SEARCH(SUBSTITUTE(AT$1,RIGHT(AT$1,2),""),VLOOKUP($D4,素材!$1:$1016,COLUMN($F$1),FALSE))),VLOOKUP($C4,武器!$1:$998,COLUMN($O$1),FALSE)*VLOOKUP($D4,素材!$1:$1016,COLUMN($E$1),FALSE)/(LEN(VLOOKUP($D4,素材!$1:$1016,COLUMN($F$1),FALSE))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U4">
        <f>IF(ISNUMBER(SEARCH(SUBSTITUTE(AU$1,RIGHT(AU$1,2),""),VLOOKUP($D4,素材!$1:$1016,COLUMN($F$1),FALSE))),VLOOKUP($C4,武器!$1:$998,COLUMN($O$1),FALSE)*VLOOKUP($D4,素材!$1:$1016,COLUMN($E$1),FALSE)/(LEN(VLOOKUP($D4,素材!$1:$1016,COLUMN($F$1),FALSE))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V4">
        <f>IF(ISNUMBER(SEARCH(SUBSTITUTE(AV$1,RIGHT(AV$1,2),""),VLOOKUP($D4,素材!$1:$1016,COLUMN($F$1),FALSE))),VLOOKUP($C4,武器!$1:$998,COLUMN($O$1),FALSE)*VLOOKUP($D4,素材!$1:$1016,COLUMN($E$1),FALSE)/(LEN(VLOOKUP($D4,素材!$1:$1016,COLUMN($F$1),FALSE))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W4">
        <f>IF(ISNUMBER(SEARCH(SUBSTITUTE(AW$1,RIGHT(AW$1,2),""),VLOOKUP($D4,素材!$1:$1016,COLUMN($F$1),FALSE))),VLOOKUP($C4,武器!$1:$998,COLUMN($O$1),FALSE)*VLOOKUP($D4,素材!$1:$1016,COLUMN($E$1),FALSE)/(LEN(VLOOKUP($D4,素材!$1:$1016,COLUMN($F$1),FALSE))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X4">
        <f>IF(ISNUMBER(SEARCH(SUBSTITUTE(AX$1,RIGHT(AX$1,2),""),VLOOKUP($D4,素材!$1:$1016,COLUMN($F$1),FALSE))),VLOOKUP($C4,武器!$1:$998,COLUMN($O$1),FALSE)*VLOOKUP($D4,素材!$1:$1016,COLUMN($E$1),FALSE)/(LEN(VLOOKUP($D4,素材!$1:$1016,COLUMN($F$1),FALSE))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Y4">
        <f>IF(ISNUMBER(SEARCH(SUBSTITUTE(AY$1,RIGHT(AY$1,2),""),VLOOKUP($D4,素材!$1:$1016,COLUMN($F$1),FALSE))),VLOOKUP($C4,武器!$1:$998,COLUMN($O$1),FALSE)*VLOOKUP($D4,素材!$1:$1016,COLUMN($E$1),FALSE)/(LEN(VLOOKUP($D4,素材!$1:$1016,COLUMN($F$1),FALSE))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AZ4">
        <f>IF(ISNUMBER(SEARCH(SUBSTITUTE(AZ$1,RIGHT(AZ$1,2),""),VLOOKUP($D4,素材!$1:$1016,COLUMN($F$1),FALSE))),VLOOKUP($C4,武器!$1:$998,COLUMN($O$1),FALSE)*VLOOKUP($D4,素材!$1:$1016,COLUMN($E$1),FALSE)/(LEN(VLOOKUP($D4,素材!$1:$1016,COLUMN($F$1),FALSE))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BA4">
        <f>IF(ISNUMBER(SEARCH(SUBSTITUTE(BA$1,RIGHT(BA$1,2),""),VLOOKUP($D4,素材!$1:$1016,COLUMN($F$1),FALSE))),VLOOKUP($C4,武器!$1:$998,COLUMN($O$1),FALSE)*VLOOKUP($D4,素材!$1:$1016,COLUMN($E$1),FALSE)/(LEN(VLOOKUP($D4,素材!$1:$1016,COLUMN($F$1),FALSE))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BB4">
        <f>IF(ISNUMBER(SEARCH(SUBSTITUTE(BB$1,RIGHT(BB$1,2),""),VLOOKUP($D4,素材!$1:$1016,COLUMN($F$1),FALSE))),VLOOKUP($C4,武器!$1:$998,COLUMN($O$1),FALSE)*VLOOKUP($D4,素材!$1:$1016,COLUMN($E$1),FALSE)/(LEN(VLOOKUP($D4,素材!$1:$1016,COLUMN($F$1),FALSE))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BC4">
        <f>IF(ISNUMBER(SEARCH(SUBSTITUTE(BC$1,RIGHT(BC$1,2),""),VLOOKUP($D4,素材!$1:$1016,COLUMN($F$1),FALSE))),VLOOKUP($C4,武器!$1:$998,COLUMN($O$1),FALSE)*VLOOKUP($D4,素材!$1:$1016,COLUMN($E$1),FALSE)/(LEN(VLOOKUP($D4,素材!$1:$1016,COLUMN($F$1),FALSE))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BD4">
        <f>IF(ISNUMBER(SEARCH(SUBSTITUTE(BD$1,RIGHT(BD$1,2),""),VLOOKUP($D4,素材!$1:$1016,COLUMN($F$1),FALSE))),VLOOKUP($C4,武器!$1:$998,COLUMN($O$1),FALSE)*VLOOKUP($D4,素材!$1:$1016,COLUMN($E$1),FALSE)/(LEN(VLOOKUP($D4,素材!$1:$1016,COLUMN($F$1),FALSE))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BE4">
        <f>IF(ISNUMBER(SEARCH(SUBSTITUTE(BE$1,RIGHT(BE$1,2),""),VLOOKUP($D4,素材!$1:$1016,COLUMN($F$1),FALSE))),VLOOKUP($C4,武器!$1:$998,COLUMN($O$1),FALSE)*VLOOKUP($D4,素材!$1:$1016,COLUMN($E$1),FALSE)/(LEN(VLOOKUP($D4,素材!$1:$1016,COLUMN($F$1),FALSE))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BF4">
        <f>IF(ISNUMBER(SEARCH(SUBSTITUTE(BF$1,RIGHT(BF$1,2),""),VLOOKUP($D4,素材!$1:$1016,COLUMN($F$1),FALSE))),VLOOKUP($C4,武器!$1:$998,COLUMN($O$1),FALSE)*VLOOKUP($D4,素材!$1:$1016,COLUMN($E$1),FALSE)/(LEN(VLOOKUP($D4,素材!$1:$1016,COLUMN($F$1),FALSE)) - LEN(SUBSTITUTE(VLOOKUP($D4,素材!$1:$1016,COLUMN($F$1),FALSE), "・", 0)) + 1), 0)</f>
        <v>0</v>
      </c>
      <c r="CM4">
        <f t="shared" ref="CM4:CM67" si="3">SUM(G4:I4)</f>
        <v>24</v>
      </c>
      <c r="CN4" s="22" t="str">
        <f>IF(E4="武器",IF(J4-1&gt;SUM(G4:I4),"盾",IF(MAX(G4:I4)=G4,"切断",IF(MAX(G4:I4)=H4,"貫通",IF(MAX(G4:I4)=I4,"打撃","射撃")))),E4)&amp;".webp"</f>
        <v>切断.webp</v>
      </c>
      <c r="CO4">
        <f>IFERROR(VLOOKUP($C4,武器!$1:$998,COLUMN(V$1),FALSE)*VLOOKUP($D4,素材!$1:$1016,COLUMN(N$1),FALSE)+IF(CJ4="",0,VLOOKUP($CJ4,装強!$1:$1008,COLUMN($CL$1),FALSE)),"")</f>
        <v>400</v>
      </c>
      <c r="CP4" t="str">
        <f>VLOOKUP(D4,素材!$A:$O,COLUMN(素材!O$1),FALSE)</f>
        <v>一般的な鉄。量産品を作るのに使用されることが多い</v>
      </c>
      <c r="CQ4" t="str">
        <f>VLOOKUP(C4,武器!$A:$W,COLUMN(武器!W$1),FALSE)</f>
        <v>刀。切断力に優れた武器で、Cr威力が高い</v>
      </c>
      <c r="CS4" t="str">
        <f t="shared" si="2"/>
        <v>e_4</v>
      </c>
      <c r="CT4">
        <f t="shared" ref="CT4:CT67" si="4">CO4*100</f>
        <v>40000</v>
      </c>
    </row>
    <row r="5" spans="1:98" outlineLevel="1" x14ac:dyDescent="0.4">
      <c r="A5" t="str">
        <f t="shared" si="0"/>
        <v>鉄の剣</v>
      </c>
      <c r="B5" t="str">
        <f>IFERROR(VLOOKUP($D5,素材!$1:$1016,COLUMN($B$1),FALSE)&amp;"・"&amp;VLOOKUP($C5,武器!$1:$998,COLUMN(B$1),FALSE),"")</f>
        <v>アイアン・ソード</v>
      </c>
      <c r="C5" s="24" t="s">
        <v>240</v>
      </c>
      <c r="D5" s="24" t="s">
        <v>257</v>
      </c>
      <c r="E5" t="str">
        <f>IFERROR(VLOOKUP(C5,武器!$1:$998,COLUMN(C$1),FALSE),"")</f>
        <v>武器</v>
      </c>
      <c r="F5">
        <f>IFERROR(ROUNDDOWN((VLOOKUP($C5,武器!$1:$998,COLUMN(D$1),FALSE)+IFERROR(VLOOKUP($CJ5,装強!$1:$999,COLUMN(F$1),FALSE),0))*VLOOKUP($D5,素材!$1:$1016,COLUMN(D$1),FALSE),0),"")</f>
        <v>100</v>
      </c>
      <c r="G5">
        <f>IFERROR(ROUNDDOWN((VLOOKUP($C5,武器!$1:$998,COLUMN(E$1),FALSE)+IFERROR(VLOOKUP($CJ5,装強!$1:$999,COLUMN(G$1),FALSE),0))*VLOOKUP($D5,素材!$1:$1016,COLUMN($E$1),FALSE),0),"")</f>
        <v>12</v>
      </c>
      <c r="H5">
        <f>IFERROR(ROUNDDOWN((VLOOKUP($C5,武器!$1:$998,COLUMN(F$1),FALSE)+IFERROR(VLOOKUP($CJ5,装強!$1:$999,COLUMN(H$1),FALSE),0))*VLOOKUP($D5,素材!$1:$1016,COLUMN($E$1),FALSE),0),"")</f>
        <v>9</v>
      </c>
      <c r="I5">
        <f>IFERROR(ROUNDDOWN((VLOOKUP($C5,武器!$1:$998,COLUMN(G$1),FALSE)+IFERROR(VLOOKUP($CJ5,装強!$1:$999,COLUMN(I$1),FALSE),0))*VLOOKUP($D5,素材!$1:$1016,COLUMN($E$1),FALSE),0),"")</f>
        <v>3</v>
      </c>
      <c r="J5">
        <f>IFERROR(ROUNDDOWN((VLOOKUP($C5,武器!$1:$998,COLUMN(H$1),FALSE)+IFERROR(VLOOKUP($CJ5,装強!$1:$999,COLUMN(J$1),FALSE),0))*VLOOKUP($D5,素材!$1:$1016,COLUMN($E$1),FALSE),0),"")</f>
        <v>19</v>
      </c>
      <c r="K5">
        <f>IFERROR(ROUNDDOWN((VLOOKUP($C5,武器!$1:$998,COLUMN(I$1),FALSE)+IFERROR(VLOOKUP($CJ5,装強!$1:$999,COLUMN(K$1),FALSE),0))*VLOOKUP($D5,素材!$1:$1016,COLUMN($E$1),FALSE),0),"")</f>
        <v>0</v>
      </c>
      <c r="L5">
        <f>IFERROR(VLOOKUP($D5,素材!$1:$1016,COLUMN($F$1),FALSE),"")</f>
        <v>0</v>
      </c>
      <c r="M5">
        <f>IFERROR(VLOOKUP($C5,武器!$1:$998,COLUMN(AA$1),FALSE)*VLOOKUP($D5,素材!$1:$1016,COLUMN($G$1),FALSE),"")</f>
        <v>0</v>
      </c>
      <c r="N5">
        <f>IFERROR(VLOOKUP($C5,武器!$1:$998,COLUMN(I$1),FALSE),"")</f>
        <v>0</v>
      </c>
      <c r="O5" s="23">
        <f>IFERROR((VLOOKUP($C5,武器!$1:$998,COLUMN(K$1),FALSE)+VLOOKUP($D5,素材!$1:$1016,COLUMN(H$1),FALSE))*100+IFERROR(VLOOKUP($CJ5,装強!$1:$999,COLUMN(O$1),FALSE),0),"")</f>
        <v>10</v>
      </c>
      <c r="P5" s="23">
        <f>IFERROR((VLOOKUP($C5,武器!$1:$998,COLUMN(L$1),FALSE)+VLOOKUP($D5,素材!$1:$1016,COLUMN(I$1),FALSE))*100+IFERROR(VLOOKUP($CJ5,装強!$1:$999,COLUMN(P$1),FALSE),0),"")</f>
        <v>150</v>
      </c>
      <c r="Q5">
        <f>IFERROR(ROUNDUP(VLOOKUP($C5,武器!$1:$998,COLUMN(M$1),FALSE)*(VLOOKUP($D5,素材!$1:$1002,COLUMN(D$1),FALSE)/100),1),"")</f>
        <v>0</v>
      </c>
      <c r="R5">
        <f>IFERROR(ROUNDUP(VLOOKUP($C5,武器!$1:$998,COLUMN(N$1),FALSE)*(VLOOKUP($D5,素材!$1:$1002,COLUMN(D$1),FALSE)/100),1),"")</f>
        <v>0</v>
      </c>
      <c r="S5">
        <f>IFERROR(VLOOKUP($C5,武器!$1:$998,COLUMN(P$1),FALSE),"")</f>
        <v>0</v>
      </c>
      <c r="T5">
        <f>IFERROR(VLOOKUP($C5,武器!$1:$998,COLUMN(Q$1),FALSE),"")</f>
        <v>0</v>
      </c>
      <c r="U5">
        <f>IFERROR(VLOOKUP($C5,武器!$1:$998,COLUMN(R$1),FALSE),"")</f>
        <v>0</v>
      </c>
      <c r="V5">
        <f>IFERROR(VLOOKUP($C5,武器!$1:$998,COLUMN(Q$1),FALSE),"")</f>
        <v>0</v>
      </c>
      <c r="W5" t="str">
        <f>IFERROR(VLOOKUP($C5,武器!$1:$998,COLUMN(T$1),FALSE),"")</f>
        <v>A</v>
      </c>
      <c r="Y5" t="str">
        <f>IFERROR(VLOOKUP($C5,武器!$1:$998,COLUMN(U$1),FALSE),"")</f>
        <v>片手適正Ⅰ</v>
      </c>
      <c r="Z5">
        <f>IFERROR(ROUNDUP(VLOOKUP($C5,武器!$1:$998,COLUMN(O$1),FALSE)*VLOOKUP($D5,素材!$1:$1016,COLUMN(E$1),FALSE),1),"")</f>
        <v>0</v>
      </c>
      <c r="AA5">
        <f>IF(ISNUMBER(SEARCH(SUBSTITUTE(AA$1,RIGHT(AA$1,2),""),VLOOKUP($D5,素材!$1:$1016,COLUMN($F$1),FALSE))),VLOOKUP($C5,武器!$1:$998,COLUMN($O$1),FALSE)*VLOOKUP($D5,素材!$1:$1016,COLUMN($E$1),FALSE)/(LEN(VLOOKUP($D5,素材!$1:$1016,COLUMN($F$1),FALSE))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B5">
        <f>IF(ISNUMBER(SEARCH(SUBSTITUTE(AB$1,RIGHT(AB$1,2),""),VLOOKUP($D5,素材!$1:$1016,COLUMN($F$1),FALSE))),VLOOKUP($C5,武器!$1:$998,COLUMN($O$1),FALSE)*VLOOKUP($D5,素材!$1:$1016,COLUMN($E$1),FALSE)/(LEN(VLOOKUP($D5,素材!$1:$1016,COLUMN($F$1),FALSE))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C5">
        <f>IF(ISNUMBER(SEARCH(SUBSTITUTE(AC$1,RIGHT(AC$1,2),""),VLOOKUP($D5,素材!$1:$1016,COLUMN($F$1),FALSE))),VLOOKUP($C5,武器!$1:$998,COLUMN($O$1),FALSE)*VLOOKUP($D5,素材!$1:$1016,COLUMN($E$1),FALSE)/(LEN(VLOOKUP($D5,素材!$1:$1016,COLUMN($F$1),FALSE))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D5">
        <f>IF(ISNUMBER(SEARCH(SUBSTITUTE(AD$1,RIGHT(AD$1,2),""),VLOOKUP($D5,素材!$1:$1016,COLUMN($F$1),FALSE))),VLOOKUP($C5,武器!$1:$998,COLUMN($O$1),FALSE)*VLOOKUP($D5,素材!$1:$1016,COLUMN($E$1),FALSE)/(LEN(VLOOKUP($D5,素材!$1:$1016,COLUMN($F$1),FALSE))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E5">
        <f>IF(ISNUMBER(SEARCH(SUBSTITUTE(AE$1,RIGHT(AE$1,2),""),VLOOKUP($D5,素材!$1:$1016,COLUMN($F$1),FALSE))),VLOOKUP($C5,武器!$1:$998,COLUMN($O$1),FALSE)*VLOOKUP($D5,素材!$1:$1016,COLUMN($E$1),FALSE)/(LEN(VLOOKUP($D5,素材!$1:$1016,COLUMN($F$1),FALSE))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F5">
        <f>IF(ISNUMBER(SEARCH(SUBSTITUTE(AF$1,RIGHT(AF$1,2),""),VLOOKUP($D5,素材!$1:$1016,COLUMN($F$1),FALSE))),VLOOKUP($C5,武器!$1:$998,COLUMN($O$1),FALSE)*VLOOKUP($D5,素材!$1:$1016,COLUMN($E$1),FALSE)/(LEN(VLOOKUP($D5,素材!$1:$1016,COLUMN($F$1),FALSE))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G5">
        <f>IF(ISNUMBER(SEARCH(SUBSTITUTE(AG$1,RIGHT(AG$1,2),""),VLOOKUP($D5,素材!$1:$1016,COLUMN($F$1),FALSE))),VLOOKUP($C5,武器!$1:$998,COLUMN($O$1),FALSE)*VLOOKUP($D5,素材!$1:$1016,COLUMN($E$1),FALSE)/(LEN(VLOOKUP($D5,素材!$1:$1016,COLUMN($F$1),FALSE))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H5">
        <f>IF(ISNUMBER(SEARCH(SUBSTITUTE(AH$1,RIGHT(AH$1,2),""),VLOOKUP($D5,素材!$1:$1016,COLUMN($F$1),FALSE))),VLOOKUP($C5,武器!$1:$998,COLUMN($O$1),FALSE)*VLOOKUP($D5,素材!$1:$1016,COLUMN($E$1),FALSE)/(LEN(VLOOKUP($D5,素材!$1:$1016,COLUMN($F$1),FALSE))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I5">
        <f>IF(ISNUMBER(SEARCH(SUBSTITUTE(AI$1,RIGHT(AI$1,2),""),VLOOKUP($D5,素材!$1:$1016,COLUMN($F$1),FALSE))),VLOOKUP($C5,武器!$1:$998,COLUMN($O$1),FALSE)*VLOOKUP($D5,素材!$1:$1016,COLUMN($E$1),FALSE)/(LEN(VLOOKUP($D5,素材!$1:$1016,COLUMN($F$1),FALSE))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J5">
        <f>IF(ISNUMBER(SEARCH(SUBSTITUTE(AJ$1,RIGHT(AJ$1,2),""),VLOOKUP($D5,素材!$1:$1016,COLUMN($F$1),FALSE))),VLOOKUP($C5,武器!$1:$998,COLUMN($O$1),FALSE)*VLOOKUP($D5,素材!$1:$1016,COLUMN($E$1),FALSE)/(LEN(VLOOKUP($D5,素材!$1:$1016,COLUMN($F$1),FALSE))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K5">
        <f>IF(ISNUMBER(SEARCH(SUBSTITUTE(AK$1,RIGHT(AK$1,2),""),VLOOKUP($D5,素材!$1:$1016,COLUMN($F$1),FALSE))),VLOOKUP($C5,武器!$1:$998,COLUMN($O$1),FALSE)*VLOOKUP($D5,素材!$1:$1016,COLUMN($E$1),FALSE)/(LEN(VLOOKUP($D5,素材!$1:$1016,COLUMN($F$1),FALSE))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L5">
        <f>IF(ISNUMBER(SEARCH(SUBSTITUTE(AL$1,RIGHT(AL$1,2),""),VLOOKUP($D5,素材!$1:$1016,COLUMN($F$1),FALSE))),VLOOKUP($C5,武器!$1:$998,COLUMN($O$1),FALSE)*VLOOKUP($D5,素材!$1:$1016,COLUMN($E$1),FALSE)/(LEN(VLOOKUP($D5,素材!$1:$1016,COLUMN($F$1),FALSE))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M5">
        <f>IF(ISNUMBER(SEARCH(SUBSTITUTE(AM$1,RIGHT(AM$1,2),""),VLOOKUP($D5,素材!$1:$1016,COLUMN($F$1),FALSE))),VLOOKUP($C5,武器!$1:$998,COLUMN($O$1),FALSE)*VLOOKUP($D5,素材!$1:$1016,COLUMN($E$1),FALSE)/(LEN(VLOOKUP($D5,素材!$1:$1016,COLUMN($F$1),FALSE))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N5">
        <f>IF(ISNUMBER(SEARCH(SUBSTITUTE(AN$1,RIGHT(AN$1,2),""),VLOOKUP($D5,素材!$1:$1016,COLUMN($F$1),FALSE))),VLOOKUP($C5,武器!$1:$998,COLUMN($O$1),FALSE)*VLOOKUP($D5,素材!$1:$1016,COLUMN($E$1),FALSE)/(LEN(VLOOKUP($D5,素材!$1:$1016,COLUMN($F$1),FALSE))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O5">
        <f>IF(ISNUMBER(SEARCH(SUBSTITUTE(AO$1,RIGHT(AO$1,2),""),VLOOKUP($D5,素材!$1:$1016,COLUMN($F$1),FALSE))),VLOOKUP($C5,武器!$1:$998,COLUMN($O$1),FALSE)*VLOOKUP($D5,素材!$1:$1016,COLUMN($E$1),FALSE)/(LEN(VLOOKUP($D5,素材!$1:$1016,COLUMN($F$1),FALSE))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P5">
        <f>IF(ISNUMBER(SEARCH(SUBSTITUTE(AP$1,RIGHT(AP$1,2),""),VLOOKUP($D5,素材!$1:$1016,COLUMN($F$1),FALSE))),VLOOKUP($C5,武器!$1:$998,COLUMN($O$1),FALSE)*VLOOKUP($D5,素材!$1:$1016,COLUMN($E$1),FALSE)/(LEN(VLOOKUP($D5,素材!$1:$1016,COLUMN($F$1),FALSE))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Q5">
        <f>IF(ISNUMBER(SEARCH(SUBSTITUTE(AQ$1,RIGHT(AQ$1,2),""),VLOOKUP($D5,素材!$1:$1016,COLUMN($F$1),FALSE))),VLOOKUP($C5,武器!$1:$998,COLUMN($O$1),FALSE)*VLOOKUP($D5,素材!$1:$1016,COLUMN($E$1),FALSE)/(LEN(VLOOKUP($D5,素材!$1:$1016,COLUMN($F$1),FALSE))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R5">
        <f>IF(ISNUMBER(SEARCH(SUBSTITUTE(AR$1,RIGHT(AR$1,2),""),VLOOKUP($D5,素材!$1:$1016,COLUMN($F$1),FALSE))),VLOOKUP($C5,武器!$1:$998,COLUMN($O$1),FALSE)*VLOOKUP($D5,素材!$1:$1016,COLUMN($E$1),FALSE)/(LEN(VLOOKUP($D5,素材!$1:$1016,COLUMN($F$1),FALSE))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S5">
        <f>IF(ISNUMBER(SEARCH(SUBSTITUTE(AS$1,RIGHT(AS$1,2),""),VLOOKUP($D5,素材!$1:$1016,COLUMN($F$1),FALSE))),VLOOKUP($C5,武器!$1:$998,COLUMN($O$1),FALSE)*VLOOKUP($D5,素材!$1:$1016,COLUMN($E$1),FALSE)/(LEN(VLOOKUP($D5,素材!$1:$1016,COLUMN($F$1),FALSE))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T5">
        <f>IF(ISNUMBER(SEARCH(SUBSTITUTE(AT$1,RIGHT(AT$1,2),""),VLOOKUP($D5,素材!$1:$1016,COLUMN($F$1),FALSE))),VLOOKUP($C5,武器!$1:$998,COLUMN($O$1),FALSE)*VLOOKUP($D5,素材!$1:$1016,COLUMN($E$1),FALSE)/(LEN(VLOOKUP($D5,素材!$1:$1016,COLUMN($F$1),FALSE))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U5">
        <f>IF(ISNUMBER(SEARCH(SUBSTITUTE(AU$1,RIGHT(AU$1,2),""),VLOOKUP($D5,素材!$1:$1016,COLUMN($F$1),FALSE))),VLOOKUP($C5,武器!$1:$998,COLUMN($O$1),FALSE)*VLOOKUP($D5,素材!$1:$1016,COLUMN($E$1),FALSE)/(LEN(VLOOKUP($D5,素材!$1:$1016,COLUMN($F$1),FALSE))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V5">
        <f>IF(ISNUMBER(SEARCH(SUBSTITUTE(AV$1,RIGHT(AV$1,2),""),VLOOKUP($D5,素材!$1:$1016,COLUMN($F$1),FALSE))),VLOOKUP($C5,武器!$1:$998,COLUMN($O$1),FALSE)*VLOOKUP($D5,素材!$1:$1016,COLUMN($E$1),FALSE)/(LEN(VLOOKUP($D5,素材!$1:$1016,COLUMN($F$1),FALSE))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W5">
        <f>IF(ISNUMBER(SEARCH(SUBSTITUTE(AW$1,RIGHT(AW$1,2),""),VLOOKUP($D5,素材!$1:$1016,COLUMN($F$1),FALSE))),VLOOKUP($C5,武器!$1:$998,COLUMN($O$1),FALSE)*VLOOKUP($D5,素材!$1:$1016,COLUMN($E$1),FALSE)/(LEN(VLOOKUP($D5,素材!$1:$1016,COLUMN($F$1),FALSE))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X5">
        <f>IF(ISNUMBER(SEARCH(SUBSTITUTE(AX$1,RIGHT(AX$1,2),""),VLOOKUP($D5,素材!$1:$1016,COLUMN($F$1),FALSE))),VLOOKUP($C5,武器!$1:$998,COLUMN($O$1),FALSE)*VLOOKUP($D5,素材!$1:$1016,COLUMN($E$1),FALSE)/(LEN(VLOOKUP($D5,素材!$1:$1016,COLUMN($F$1),FALSE))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Y5">
        <f>IF(ISNUMBER(SEARCH(SUBSTITUTE(AY$1,RIGHT(AY$1,2),""),VLOOKUP($D5,素材!$1:$1016,COLUMN($F$1),FALSE))),VLOOKUP($C5,武器!$1:$998,COLUMN($O$1),FALSE)*VLOOKUP($D5,素材!$1:$1016,COLUMN($E$1),FALSE)/(LEN(VLOOKUP($D5,素材!$1:$1016,COLUMN($F$1),FALSE))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AZ5">
        <f>IF(ISNUMBER(SEARCH(SUBSTITUTE(AZ$1,RIGHT(AZ$1,2),""),VLOOKUP($D5,素材!$1:$1016,COLUMN($F$1),FALSE))),VLOOKUP($C5,武器!$1:$998,COLUMN($O$1),FALSE)*VLOOKUP($D5,素材!$1:$1016,COLUMN($E$1),FALSE)/(LEN(VLOOKUP($D5,素材!$1:$1016,COLUMN($F$1),FALSE))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BA5">
        <f>IF(ISNUMBER(SEARCH(SUBSTITUTE(BA$1,RIGHT(BA$1,2),""),VLOOKUP($D5,素材!$1:$1016,COLUMN($F$1),FALSE))),VLOOKUP($C5,武器!$1:$998,COLUMN($O$1),FALSE)*VLOOKUP($D5,素材!$1:$1016,COLUMN($E$1),FALSE)/(LEN(VLOOKUP($D5,素材!$1:$1016,COLUMN($F$1),FALSE))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BB5">
        <f>IF(ISNUMBER(SEARCH(SUBSTITUTE(BB$1,RIGHT(BB$1,2),""),VLOOKUP($D5,素材!$1:$1016,COLUMN($F$1),FALSE))),VLOOKUP($C5,武器!$1:$998,COLUMN($O$1),FALSE)*VLOOKUP($D5,素材!$1:$1016,COLUMN($E$1),FALSE)/(LEN(VLOOKUP($D5,素材!$1:$1016,COLUMN($F$1),FALSE))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BC5">
        <f>IF(ISNUMBER(SEARCH(SUBSTITUTE(BC$1,RIGHT(BC$1,2),""),VLOOKUP($D5,素材!$1:$1016,COLUMN($F$1),FALSE))),VLOOKUP($C5,武器!$1:$998,COLUMN($O$1),FALSE)*VLOOKUP($D5,素材!$1:$1016,COLUMN($E$1),FALSE)/(LEN(VLOOKUP($D5,素材!$1:$1016,COLUMN($F$1),FALSE))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BD5">
        <f>IF(ISNUMBER(SEARCH(SUBSTITUTE(BD$1,RIGHT(BD$1,2),""),VLOOKUP($D5,素材!$1:$1016,COLUMN($F$1),FALSE))),VLOOKUP($C5,武器!$1:$998,COLUMN($O$1),FALSE)*VLOOKUP($D5,素材!$1:$1016,COLUMN($E$1),FALSE)/(LEN(VLOOKUP($D5,素材!$1:$1016,COLUMN($F$1),FALSE))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BE5">
        <f>IF(ISNUMBER(SEARCH(SUBSTITUTE(BE$1,RIGHT(BE$1,2),""),VLOOKUP($D5,素材!$1:$1016,COLUMN($F$1),FALSE))),VLOOKUP($C5,武器!$1:$998,COLUMN($O$1),FALSE)*VLOOKUP($D5,素材!$1:$1016,COLUMN($E$1),FALSE)/(LEN(VLOOKUP($D5,素材!$1:$1016,COLUMN($F$1),FALSE))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BF5">
        <f>IF(ISNUMBER(SEARCH(SUBSTITUTE(BF$1,RIGHT(BF$1,2),""),VLOOKUP($D5,素材!$1:$1016,COLUMN($F$1),FALSE))),VLOOKUP($C5,武器!$1:$998,COLUMN($O$1),FALSE)*VLOOKUP($D5,素材!$1:$1016,COLUMN($E$1),FALSE)/(LEN(VLOOKUP($D5,素材!$1:$1016,COLUMN($F$1),FALSE)) - LEN(SUBSTITUTE(VLOOKUP($D5,素材!$1:$1016,COLUMN($F$1),FALSE), "・", 0)) + 1), 0)</f>
        <v>0</v>
      </c>
      <c r="CM5">
        <f t="shared" si="3"/>
        <v>24</v>
      </c>
      <c r="CN5" s="22" t="str">
        <f>IF(E5="武器",IF(J5-1&gt;SUM(G5:I5),"盾",IF(MAX(G5:I5)=G5,"切断",IF(MAX(G5:I5)=H5,"貫通",IF(MAX(G5:I5)=I5,"打撃","射撃")))),E5)&amp;".webp"</f>
        <v>切断.webp</v>
      </c>
      <c r="CO5">
        <f>IFERROR(VLOOKUP($C5,武器!$1:$998,COLUMN(V$1),FALSE)*VLOOKUP($D5,素材!$1:$1016,COLUMN(N$1),FALSE)+IF(CJ5="",0,VLOOKUP($CJ5,装強!$1:$1008,COLUMN($CL$1),FALSE)),"")</f>
        <v>300</v>
      </c>
      <c r="CP5" t="str">
        <f>VLOOKUP(D5,素材!$A:$O,COLUMN(素材!O$1),FALSE)</f>
        <v>一般的な鉄。量産品を作るのに使用されることが多い</v>
      </c>
      <c r="CQ5" t="str">
        <f>VLOOKUP(C5,武器!$A:$W,COLUMN(武器!W$1),FALSE)</f>
        <v>剣。短い剣で片手で扱いやすく、初心者向けの武器。</v>
      </c>
      <c r="CS5" t="str">
        <f t="shared" si="2"/>
        <v>e_5</v>
      </c>
      <c r="CT5">
        <f t="shared" si="4"/>
        <v>30000</v>
      </c>
    </row>
    <row r="6" spans="1:98" outlineLevel="1" x14ac:dyDescent="0.4">
      <c r="A6" t="str">
        <f t="shared" si="0"/>
        <v>鉄の広剣</v>
      </c>
      <c r="B6" t="str">
        <f>IFERROR(VLOOKUP($D6,素材!$1:$1016,COLUMN($B$1),FALSE)&amp;"・"&amp;VLOOKUP($C6,武器!$1:$998,COLUMN(B$1),FALSE),"")</f>
        <v>アイアン・ブロードソード</v>
      </c>
      <c r="C6" s="24" t="s">
        <v>239</v>
      </c>
      <c r="D6" s="24" t="s">
        <v>257</v>
      </c>
      <c r="E6" t="str">
        <f>IFERROR(VLOOKUP(C6,武器!$1:$998,COLUMN(C$1),FALSE),"")</f>
        <v>武器</v>
      </c>
      <c r="F6">
        <f>IFERROR(ROUNDDOWN((VLOOKUP($C6,武器!$1:$998,COLUMN(D$1),FALSE)+IFERROR(VLOOKUP($CJ6,装強!$1:$999,COLUMN(F$1),FALSE),0))*VLOOKUP($D6,素材!$1:$1016,COLUMN(D$1),FALSE),0),"")</f>
        <v>110</v>
      </c>
      <c r="G6">
        <f>IFERROR(ROUNDDOWN((VLOOKUP($C6,武器!$1:$998,COLUMN(E$1),FALSE)+IFERROR(VLOOKUP($CJ6,装強!$1:$999,COLUMN(G$1),FALSE),0))*VLOOKUP($D6,素材!$1:$1016,COLUMN($E$1),FALSE),0),"")</f>
        <v>12</v>
      </c>
      <c r="H6">
        <f>IFERROR(ROUNDDOWN((VLOOKUP($C6,武器!$1:$998,COLUMN(F$1),FALSE)+IFERROR(VLOOKUP($CJ6,装強!$1:$999,COLUMN(H$1),FALSE),0))*VLOOKUP($D6,素材!$1:$1016,COLUMN($E$1),FALSE),0),"")</f>
        <v>8</v>
      </c>
      <c r="I6">
        <f>IFERROR(ROUNDDOWN((VLOOKUP($C6,武器!$1:$998,COLUMN(G$1),FALSE)+IFERROR(VLOOKUP($CJ6,装強!$1:$999,COLUMN(I$1),FALSE),0))*VLOOKUP($D6,素材!$1:$1016,COLUMN($E$1),FALSE),0),"")</f>
        <v>3</v>
      </c>
      <c r="J6">
        <f>IFERROR(ROUNDDOWN((VLOOKUP($C6,武器!$1:$998,COLUMN(H$1),FALSE)+IFERROR(VLOOKUP($CJ6,装強!$1:$999,COLUMN(J$1),FALSE),0))*VLOOKUP($D6,素材!$1:$1016,COLUMN($E$1),FALSE),0),"")</f>
        <v>23</v>
      </c>
      <c r="K6">
        <f>IFERROR(ROUNDDOWN((VLOOKUP($C6,武器!$1:$998,COLUMN(I$1),FALSE)+IFERROR(VLOOKUP($CJ6,装強!$1:$999,COLUMN(K$1),FALSE),0))*VLOOKUP($D6,素材!$1:$1016,COLUMN($E$1),FALSE),0),"")</f>
        <v>0</v>
      </c>
      <c r="L6">
        <f>IFERROR(VLOOKUP($D6,素材!$1:$1016,COLUMN($F$1),FALSE),"")</f>
        <v>0</v>
      </c>
      <c r="M6">
        <f>IFERROR(VLOOKUP($C6,武器!$1:$998,COLUMN(AA$1),FALSE)*VLOOKUP($D6,素材!$1:$1016,COLUMN($G$1),FALSE),"")</f>
        <v>0</v>
      </c>
      <c r="N6">
        <f>IFERROR(VLOOKUP($C6,武器!$1:$998,COLUMN(I$1),FALSE),"")</f>
        <v>0</v>
      </c>
      <c r="O6" s="23">
        <f>IFERROR((VLOOKUP($C6,武器!$1:$998,COLUMN(K$1),FALSE)+VLOOKUP($D6,素材!$1:$1016,COLUMN(H$1),FALSE))*100+IFERROR(VLOOKUP($CJ6,装強!$1:$999,COLUMN(O$1),FALSE),0),"")</f>
        <v>10</v>
      </c>
      <c r="P6" s="23">
        <f>IFERROR((VLOOKUP($C6,武器!$1:$998,COLUMN(L$1),FALSE)+VLOOKUP($D6,素材!$1:$1016,COLUMN(I$1),FALSE))*100+IFERROR(VLOOKUP($CJ6,装強!$1:$999,COLUMN(P$1),FALSE),0),"")</f>
        <v>150</v>
      </c>
      <c r="Q6">
        <f>IFERROR(ROUNDUP(VLOOKUP($C6,武器!$1:$998,COLUMN(M$1),FALSE)*(VLOOKUP($D6,素材!$1:$1002,COLUMN(D$1),FALSE)/100),1),"")</f>
        <v>-2.5</v>
      </c>
      <c r="R6">
        <f>IFERROR(ROUNDUP(VLOOKUP($C6,武器!$1:$998,COLUMN(N$1),FALSE)*(VLOOKUP($D6,素材!$1:$1002,COLUMN(D$1),FALSE)/100),1),"")</f>
        <v>-2.5</v>
      </c>
      <c r="S6">
        <f>IFERROR(VLOOKUP($C6,武器!$1:$998,COLUMN(P$1),FALSE),"")</f>
        <v>0</v>
      </c>
      <c r="T6">
        <f>IFERROR(VLOOKUP($C6,武器!$1:$998,COLUMN(Q$1),FALSE),"")</f>
        <v>0</v>
      </c>
      <c r="U6">
        <f>IFERROR(VLOOKUP($C6,武器!$1:$998,COLUMN(R$1),FALSE),"")</f>
        <v>0</v>
      </c>
      <c r="V6">
        <f>IFERROR(VLOOKUP($C6,武器!$1:$998,COLUMN(Q$1),FALSE),"")</f>
        <v>0</v>
      </c>
      <c r="W6" t="str">
        <f>IFERROR(VLOOKUP($C6,武器!$1:$998,COLUMN(T$1),FALSE),"")</f>
        <v>A</v>
      </c>
      <c r="Y6">
        <f>IFERROR(VLOOKUP($C6,武器!$1:$998,COLUMN(U$1),FALSE),"")</f>
        <v>0</v>
      </c>
      <c r="Z6">
        <f>IFERROR(ROUNDUP(VLOOKUP($C6,武器!$1:$998,COLUMN(O$1),FALSE)*VLOOKUP($D6,素材!$1:$1016,COLUMN(E$1),FALSE),1),"")</f>
        <v>0</v>
      </c>
      <c r="AA6">
        <f>IF(ISNUMBER(SEARCH(SUBSTITUTE(AA$1,RIGHT(AA$1,2),""),VLOOKUP($D6,素材!$1:$1016,COLUMN($F$1),FALSE))),VLOOKUP($C6,武器!$1:$998,COLUMN($O$1),FALSE)*VLOOKUP($D6,素材!$1:$1016,COLUMN($E$1),FALSE)/(LEN(VLOOKUP($D6,素材!$1:$1016,COLUMN($F$1),FALSE))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B6">
        <f>IF(ISNUMBER(SEARCH(SUBSTITUTE(AB$1,RIGHT(AB$1,2),""),VLOOKUP($D6,素材!$1:$1016,COLUMN($F$1),FALSE))),VLOOKUP($C6,武器!$1:$998,COLUMN($O$1),FALSE)*VLOOKUP($D6,素材!$1:$1016,COLUMN($E$1),FALSE)/(LEN(VLOOKUP($D6,素材!$1:$1016,COLUMN($F$1),FALSE))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C6">
        <f>IF(ISNUMBER(SEARCH(SUBSTITUTE(AC$1,RIGHT(AC$1,2),""),VLOOKUP($D6,素材!$1:$1016,COLUMN($F$1),FALSE))),VLOOKUP($C6,武器!$1:$998,COLUMN($O$1),FALSE)*VLOOKUP($D6,素材!$1:$1016,COLUMN($E$1),FALSE)/(LEN(VLOOKUP($D6,素材!$1:$1016,COLUMN($F$1),FALSE))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D6">
        <f>IF(ISNUMBER(SEARCH(SUBSTITUTE(AD$1,RIGHT(AD$1,2),""),VLOOKUP($D6,素材!$1:$1016,COLUMN($F$1),FALSE))),VLOOKUP($C6,武器!$1:$998,COLUMN($O$1),FALSE)*VLOOKUP($D6,素材!$1:$1016,COLUMN($E$1),FALSE)/(LEN(VLOOKUP($D6,素材!$1:$1016,COLUMN($F$1),FALSE))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E6">
        <f>IF(ISNUMBER(SEARCH(SUBSTITUTE(AE$1,RIGHT(AE$1,2),""),VLOOKUP($D6,素材!$1:$1016,COLUMN($F$1),FALSE))),VLOOKUP($C6,武器!$1:$998,COLUMN($O$1),FALSE)*VLOOKUP($D6,素材!$1:$1016,COLUMN($E$1),FALSE)/(LEN(VLOOKUP($D6,素材!$1:$1016,COLUMN($F$1),FALSE))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F6">
        <f>IF(ISNUMBER(SEARCH(SUBSTITUTE(AF$1,RIGHT(AF$1,2),""),VLOOKUP($D6,素材!$1:$1016,COLUMN($F$1),FALSE))),VLOOKUP($C6,武器!$1:$998,COLUMN($O$1),FALSE)*VLOOKUP($D6,素材!$1:$1016,COLUMN($E$1),FALSE)/(LEN(VLOOKUP($D6,素材!$1:$1016,COLUMN($F$1),FALSE))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G6">
        <f>IF(ISNUMBER(SEARCH(SUBSTITUTE(AG$1,RIGHT(AG$1,2),""),VLOOKUP($D6,素材!$1:$1016,COLUMN($F$1),FALSE))),VLOOKUP($C6,武器!$1:$998,COLUMN($O$1),FALSE)*VLOOKUP($D6,素材!$1:$1016,COLUMN($E$1),FALSE)/(LEN(VLOOKUP($D6,素材!$1:$1016,COLUMN($F$1),FALSE))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H6">
        <f>IF(ISNUMBER(SEARCH(SUBSTITUTE(AH$1,RIGHT(AH$1,2),""),VLOOKUP($D6,素材!$1:$1016,COLUMN($F$1),FALSE))),VLOOKUP($C6,武器!$1:$998,COLUMN($O$1),FALSE)*VLOOKUP($D6,素材!$1:$1016,COLUMN($E$1),FALSE)/(LEN(VLOOKUP($D6,素材!$1:$1016,COLUMN($F$1),FALSE))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I6">
        <f>IF(ISNUMBER(SEARCH(SUBSTITUTE(AI$1,RIGHT(AI$1,2),""),VLOOKUP($D6,素材!$1:$1016,COLUMN($F$1),FALSE))),VLOOKUP($C6,武器!$1:$998,COLUMN($O$1),FALSE)*VLOOKUP($D6,素材!$1:$1016,COLUMN($E$1),FALSE)/(LEN(VLOOKUP($D6,素材!$1:$1016,COLUMN($F$1),FALSE))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J6">
        <f>IF(ISNUMBER(SEARCH(SUBSTITUTE(AJ$1,RIGHT(AJ$1,2),""),VLOOKUP($D6,素材!$1:$1016,COLUMN($F$1),FALSE))),VLOOKUP($C6,武器!$1:$998,COLUMN($O$1),FALSE)*VLOOKUP($D6,素材!$1:$1016,COLUMN($E$1),FALSE)/(LEN(VLOOKUP($D6,素材!$1:$1016,COLUMN($F$1),FALSE))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K6">
        <f>IF(ISNUMBER(SEARCH(SUBSTITUTE(AK$1,RIGHT(AK$1,2),""),VLOOKUP($D6,素材!$1:$1016,COLUMN($F$1),FALSE))),VLOOKUP($C6,武器!$1:$998,COLUMN($O$1),FALSE)*VLOOKUP($D6,素材!$1:$1016,COLUMN($E$1),FALSE)/(LEN(VLOOKUP($D6,素材!$1:$1016,COLUMN($F$1),FALSE))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L6">
        <f>IF(ISNUMBER(SEARCH(SUBSTITUTE(AL$1,RIGHT(AL$1,2),""),VLOOKUP($D6,素材!$1:$1016,COLUMN($F$1),FALSE))),VLOOKUP($C6,武器!$1:$998,COLUMN($O$1),FALSE)*VLOOKUP($D6,素材!$1:$1016,COLUMN($E$1),FALSE)/(LEN(VLOOKUP($D6,素材!$1:$1016,COLUMN($F$1),FALSE))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M6">
        <f>IF(ISNUMBER(SEARCH(SUBSTITUTE(AM$1,RIGHT(AM$1,2),""),VLOOKUP($D6,素材!$1:$1016,COLUMN($F$1),FALSE))),VLOOKUP($C6,武器!$1:$998,COLUMN($O$1),FALSE)*VLOOKUP($D6,素材!$1:$1016,COLUMN($E$1),FALSE)/(LEN(VLOOKUP($D6,素材!$1:$1016,COLUMN($F$1),FALSE))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N6">
        <f>IF(ISNUMBER(SEARCH(SUBSTITUTE(AN$1,RIGHT(AN$1,2),""),VLOOKUP($D6,素材!$1:$1016,COLUMN($F$1),FALSE))),VLOOKUP($C6,武器!$1:$998,COLUMN($O$1),FALSE)*VLOOKUP($D6,素材!$1:$1016,COLUMN($E$1),FALSE)/(LEN(VLOOKUP($D6,素材!$1:$1016,COLUMN($F$1),FALSE))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O6">
        <f>IF(ISNUMBER(SEARCH(SUBSTITUTE(AO$1,RIGHT(AO$1,2),""),VLOOKUP($D6,素材!$1:$1016,COLUMN($F$1),FALSE))),VLOOKUP($C6,武器!$1:$998,COLUMN($O$1),FALSE)*VLOOKUP($D6,素材!$1:$1016,COLUMN($E$1),FALSE)/(LEN(VLOOKUP($D6,素材!$1:$1016,COLUMN($F$1),FALSE))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P6">
        <f>IF(ISNUMBER(SEARCH(SUBSTITUTE(AP$1,RIGHT(AP$1,2),""),VLOOKUP($D6,素材!$1:$1016,COLUMN($F$1),FALSE))),VLOOKUP($C6,武器!$1:$998,COLUMN($O$1),FALSE)*VLOOKUP($D6,素材!$1:$1016,COLUMN($E$1),FALSE)/(LEN(VLOOKUP($D6,素材!$1:$1016,COLUMN($F$1),FALSE))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Q6">
        <f>IF(ISNUMBER(SEARCH(SUBSTITUTE(AQ$1,RIGHT(AQ$1,2),""),VLOOKUP($D6,素材!$1:$1016,COLUMN($F$1),FALSE))),VLOOKUP($C6,武器!$1:$998,COLUMN($O$1),FALSE)*VLOOKUP($D6,素材!$1:$1016,COLUMN($E$1),FALSE)/(LEN(VLOOKUP($D6,素材!$1:$1016,COLUMN($F$1),FALSE))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R6">
        <f>IF(ISNUMBER(SEARCH(SUBSTITUTE(AR$1,RIGHT(AR$1,2),""),VLOOKUP($D6,素材!$1:$1016,COLUMN($F$1),FALSE))),VLOOKUP($C6,武器!$1:$998,COLUMN($O$1),FALSE)*VLOOKUP($D6,素材!$1:$1016,COLUMN($E$1),FALSE)/(LEN(VLOOKUP($D6,素材!$1:$1016,COLUMN($F$1),FALSE))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S6">
        <f>IF(ISNUMBER(SEARCH(SUBSTITUTE(AS$1,RIGHT(AS$1,2),""),VLOOKUP($D6,素材!$1:$1016,COLUMN($F$1),FALSE))),VLOOKUP($C6,武器!$1:$998,COLUMN($O$1),FALSE)*VLOOKUP($D6,素材!$1:$1016,COLUMN($E$1),FALSE)/(LEN(VLOOKUP($D6,素材!$1:$1016,COLUMN($F$1),FALSE))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T6">
        <f>IF(ISNUMBER(SEARCH(SUBSTITUTE(AT$1,RIGHT(AT$1,2),""),VLOOKUP($D6,素材!$1:$1016,COLUMN($F$1),FALSE))),VLOOKUP($C6,武器!$1:$998,COLUMN($O$1),FALSE)*VLOOKUP($D6,素材!$1:$1016,COLUMN($E$1),FALSE)/(LEN(VLOOKUP($D6,素材!$1:$1016,COLUMN($F$1),FALSE))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U6">
        <f>IF(ISNUMBER(SEARCH(SUBSTITUTE(AU$1,RIGHT(AU$1,2),""),VLOOKUP($D6,素材!$1:$1016,COLUMN($F$1),FALSE))),VLOOKUP($C6,武器!$1:$998,COLUMN($O$1),FALSE)*VLOOKUP($D6,素材!$1:$1016,COLUMN($E$1),FALSE)/(LEN(VLOOKUP($D6,素材!$1:$1016,COLUMN($F$1),FALSE))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V6">
        <f>IF(ISNUMBER(SEARCH(SUBSTITUTE(AV$1,RIGHT(AV$1,2),""),VLOOKUP($D6,素材!$1:$1016,COLUMN($F$1),FALSE))),VLOOKUP($C6,武器!$1:$998,COLUMN($O$1),FALSE)*VLOOKUP($D6,素材!$1:$1016,COLUMN($E$1),FALSE)/(LEN(VLOOKUP($D6,素材!$1:$1016,COLUMN($F$1),FALSE))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W6">
        <f>IF(ISNUMBER(SEARCH(SUBSTITUTE(AW$1,RIGHT(AW$1,2),""),VLOOKUP($D6,素材!$1:$1016,COLUMN($F$1),FALSE))),VLOOKUP($C6,武器!$1:$998,COLUMN($O$1),FALSE)*VLOOKUP($D6,素材!$1:$1016,COLUMN($E$1),FALSE)/(LEN(VLOOKUP($D6,素材!$1:$1016,COLUMN($F$1),FALSE))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X6">
        <f>IF(ISNUMBER(SEARCH(SUBSTITUTE(AX$1,RIGHT(AX$1,2),""),VLOOKUP($D6,素材!$1:$1016,COLUMN($F$1),FALSE))),VLOOKUP($C6,武器!$1:$998,COLUMN($O$1),FALSE)*VLOOKUP($D6,素材!$1:$1016,COLUMN($E$1),FALSE)/(LEN(VLOOKUP($D6,素材!$1:$1016,COLUMN($F$1),FALSE))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Y6">
        <f>IF(ISNUMBER(SEARCH(SUBSTITUTE(AY$1,RIGHT(AY$1,2),""),VLOOKUP($D6,素材!$1:$1016,COLUMN($F$1),FALSE))),VLOOKUP($C6,武器!$1:$998,COLUMN($O$1),FALSE)*VLOOKUP($D6,素材!$1:$1016,COLUMN($E$1),FALSE)/(LEN(VLOOKUP($D6,素材!$1:$1016,COLUMN($F$1),FALSE))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AZ6">
        <f>IF(ISNUMBER(SEARCH(SUBSTITUTE(AZ$1,RIGHT(AZ$1,2),""),VLOOKUP($D6,素材!$1:$1016,COLUMN($F$1),FALSE))),VLOOKUP($C6,武器!$1:$998,COLUMN($O$1),FALSE)*VLOOKUP($D6,素材!$1:$1016,COLUMN($E$1),FALSE)/(LEN(VLOOKUP($D6,素材!$1:$1016,COLUMN($F$1),FALSE))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BA6">
        <f>IF(ISNUMBER(SEARCH(SUBSTITUTE(BA$1,RIGHT(BA$1,2),""),VLOOKUP($D6,素材!$1:$1016,COLUMN($F$1),FALSE))),VLOOKUP($C6,武器!$1:$998,COLUMN($O$1),FALSE)*VLOOKUP($D6,素材!$1:$1016,COLUMN($E$1),FALSE)/(LEN(VLOOKUP($D6,素材!$1:$1016,COLUMN($F$1),FALSE))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BB6">
        <f>IF(ISNUMBER(SEARCH(SUBSTITUTE(BB$1,RIGHT(BB$1,2),""),VLOOKUP($D6,素材!$1:$1016,COLUMN($F$1),FALSE))),VLOOKUP($C6,武器!$1:$998,COLUMN($O$1),FALSE)*VLOOKUP($D6,素材!$1:$1016,COLUMN($E$1),FALSE)/(LEN(VLOOKUP($D6,素材!$1:$1016,COLUMN($F$1),FALSE))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BC6">
        <f>IF(ISNUMBER(SEARCH(SUBSTITUTE(BC$1,RIGHT(BC$1,2),""),VLOOKUP($D6,素材!$1:$1016,COLUMN($F$1),FALSE))),VLOOKUP($C6,武器!$1:$998,COLUMN($O$1),FALSE)*VLOOKUP($D6,素材!$1:$1016,COLUMN($E$1),FALSE)/(LEN(VLOOKUP($D6,素材!$1:$1016,COLUMN($F$1),FALSE))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BD6">
        <f>IF(ISNUMBER(SEARCH(SUBSTITUTE(BD$1,RIGHT(BD$1,2),""),VLOOKUP($D6,素材!$1:$1016,COLUMN($F$1),FALSE))),VLOOKUP($C6,武器!$1:$998,COLUMN($O$1),FALSE)*VLOOKUP($D6,素材!$1:$1016,COLUMN($E$1),FALSE)/(LEN(VLOOKUP($D6,素材!$1:$1016,COLUMN($F$1),FALSE))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BE6">
        <f>IF(ISNUMBER(SEARCH(SUBSTITUTE(BE$1,RIGHT(BE$1,2),""),VLOOKUP($D6,素材!$1:$1016,COLUMN($F$1),FALSE))),VLOOKUP($C6,武器!$1:$998,COLUMN($O$1),FALSE)*VLOOKUP($D6,素材!$1:$1016,COLUMN($E$1),FALSE)/(LEN(VLOOKUP($D6,素材!$1:$1016,COLUMN($F$1),FALSE))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BF6">
        <f>IF(ISNUMBER(SEARCH(SUBSTITUTE(BF$1,RIGHT(BF$1,2),""),VLOOKUP($D6,素材!$1:$1016,COLUMN($F$1),FALSE))),VLOOKUP($C6,武器!$1:$998,COLUMN($O$1),FALSE)*VLOOKUP($D6,素材!$1:$1016,COLUMN($E$1),FALSE)/(LEN(VLOOKUP($D6,素材!$1:$1016,COLUMN($F$1),FALSE)) - LEN(SUBSTITUTE(VLOOKUP($D6,素材!$1:$1016,COLUMN($F$1),FALSE), "・", 0)) + 1), 0)</f>
        <v>0</v>
      </c>
      <c r="CM6">
        <f t="shared" si="3"/>
        <v>23</v>
      </c>
      <c r="CN6" s="22" t="str">
        <f>IF(E6="武器",IF(J6-1&gt;SUM(G6:I6),"盾",IF(MAX(G6:I6)=G6,"切断",IF(MAX(G6:I6)=H6,"貫通",IF(MAX(G6:I6)=I6,"打撃","射撃")))),E6)&amp;".webp"</f>
        <v>切断.webp</v>
      </c>
      <c r="CO6">
        <f>IFERROR(VLOOKUP($C6,武器!$1:$998,COLUMN(V$1),FALSE)*VLOOKUP($D6,素材!$1:$1016,COLUMN(N$1),FALSE)+IF(CJ6="",0,VLOOKUP($CJ6,装強!$1:$1008,COLUMN($CL$1),FALSE)),"")</f>
        <v>400</v>
      </c>
      <c r="CP6" t="str">
        <f>VLOOKUP(D6,素材!$A:$O,COLUMN(素材!O$1),FALSE)</f>
        <v>一般的な鉄。量産品を作るのに使用されることが多い</v>
      </c>
      <c r="CQ6" t="str">
        <f>VLOOKUP(C6,武器!$A:$W,COLUMN(武器!W$1),FALSE)</f>
        <v>幅の広い剣。扱いにくいが攻撃と防御にも優れている。状況に合わせて立ち回ろう。</v>
      </c>
      <c r="CS6" t="str">
        <f t="shared" si="2"/>
        <v>e_6</v>
      </c>
      <c r="CT6">
        <f t="shared" si="4"/>
        <v>40000</v>
      </c>
    </row>
    <row r="7" spans="1:98" outlineLevel="1" x14ac:dyDescent="0.4">
      <c r="A7" t="str">
        <f t="shared" si="0"/>
        <v>鉄の長剣</v>
      </c>
      <c r="B7" t="str">
        <f>IFERROR(VLOOKUP($D7,素材!$1:$1016,COLUMN($B$1),FALSE)&amp;"・"&amp;VLOOKUP($C7,武器!$1:$998,COLUMN(B$1),FALSE),"")</f>
        <v>アイアン・ロングソード</v>
      </c>
      <c r="C7" s="24" t="s">
        <v>238</v>
      </c>
      <c r="D7" s="24" t="s">
        <v>257</v>
      </c>
      <c r="E7" t="str">
        <f>IFERROR(VLOOKUP(C7,武器!$1:$998,COLUMN(C$1),FALSE),"")</f>
        <v>武器</v>
      </c>
      <c r="F7">
        <f>IFERROR(ROUNDDOWN((VLOOKUP($C7,武器!$1:$998,COLUMN(D$1),FALSE)+IFERROR(VLOOKUP($CJ7,装強!$1:$999,COLUMN(F$1),FALSE),0))*VLOOKUP($D7,素材!$1:$1016,COLUMN(D$1),FALSE),0),"")</f>
        <v>115</v>
      </c>
      <c r="G7">
        <f>IFERROR(ROUNDDOWN((VLOOKUP($C7,武器!$1:$998,COLUMN(E$1),FALSE)+IFERROR(VLOOKUP($CJ7,装強!$1:$999,COLUMN(G$1),FALSE),0))*VLOOKUP($D7,素材!$1:$1016,COLUMN($E$1),FALSE),0),"")</f>
        <v>15</v>
      </c>
      <c r="H7">
        <f>IFERROR(ROUNDDOWN((VLOOKUP($C7,武器!$1:$998,COLUMN(F$1),FALSE)+IFERROR(VLOOKUP($CJ7,装強!$1:$999,COLUMN(H$1),FALSE),0))*VLOOKUP($D7,素材!$1:$1016,COLUMN($E$1),FALSE),0),"")</f>
        <v>9</v>
      </c>
      <c r="I7">
        <f>IFERROR(ROUNDDOWN((VLOOKUP($C7,武器!$1:$998,COLUMN(G$1),FALSE)+IFERROR(VLOOKUP($CJ7,装強!$1:$999,COLUMN(I$1),FALSE),0))*VLOOKUP($D7,素材!$1:$1016,COLUMN($E$1),FALSE),0),"")</f>
        <v>3</v>
      </c>
      <c r="J7">
        <f>IFERROR(ROUNDDOWN((VLOOKUP($C7,武器!$1:$998,COLUMN(H$1),FALSE)+IFERROR(VLOOKUP($CJ7,装強!$1:$999,COLUMN(J$1),FALSE),0))*VLOOKUP($D7,素材!$1:$1016,COLUMN($E$1),FALSE),0),"")</f>
        <v>20</v>
      </c>
      <c r="K7">
        <f>IFERROR(ROUNDDOWN((VLOOKUP($C7,武器!$1:$998,COLUMN(I$1),FALSE)+IFERROR(VLOOKUP($CJ7,装強!$1:$999,COLUMN(K$1),FALSE),0))*VLOOKUP($D7,素材!$1:$1016,COLUMN($E$1),FALSE),0),"")</f>
        <v>0</v>
      </c>
      <c r="L7">
        <f>IFERROR(VLOOKUP($D7,素材!$1:$1016,COLUMN($F$1),FALSE),"")</f>
        <v>0</v>
      </c>
      <c r="M7">
        <f>IFERROR(VLOOKUP($C7,武器!$1:$998,COLUMN(AA$1),FALSE)*VLOOKUP($D7,素材!$1:$1016,COLUMN($G$1),FALSE),"")</f>
        <v>0</v>
      </c>
      <c r="N7">
        <f>IFERROR(VLOOKUP($C7,武器!$1:$998,COLUMN(I$1),FALSE),"")</f>
        <v>0</v>
      </c>
      <c r="O7" s="23">
        <f>IFERROR((VLOOKUP($C7,武器!$1:$998,COLUMN(K$1),FALSE)+VLOOKUP($D7,素材!$1:$1016,COLUMN(H$1),FALSE))*100+IFERROR(VLOOKUP($CJ7,装強!$1:$999,COLUMN(O$1),FALSE),0),"")</f>
        <v>10</v>
      </c>
      <c r="P7" s="23">
        <f>IFERROR((VLOOKUP($C7,武器!$1:$998,COLUMN(L$1),FALSE)+VLOOKUP($D7,素材!$1:$1016,COLUMN(I$1),FALSE))*100+IFERROR(VLOOKUP($CJ7,装強!$1:$999,COLUMN(P$1),FALSE),0),"")</f>
        <v>150</v>
      </c>
      <c r="Q7">
        <f>IFERROR(ROUNDUP(VLOOKUP($C7,武器!$1:$998,COLUMN(M$1),FALSE)*(VLOOKUP($D7,素材!$1:$1002,COLUMN(D$1),FALSE)/100),1),"")</f>
        <v>-2.5</v>
      </c>
      <c r="R7">
        <f>IFERROR(ROUNDUP(VLOOKUP($C7,武器!$1:$998,COLUMN(N$1),FALSE)*(VLOOKUP($D7,素材!$1:$1002,COLUMN(D$1),FALSE)/100),1),"")</f>
        <v>-2.5</v>
      </c>
      <c r="S7">
        <f>IFERROR(VLOOKUP($C7,武器!$1:$998,COLUMN(P$1),FALSE),"")</f>
        <v>0</v>
      </c>
      <c r="T7">
        <f>IFERROR(VLOOKUP($C7,武器!$1:$998,COLUMN(Q$1),FALSE),"")</f>
        <v>0</v>
      </c>
      <c r="U7">
        <f>IFERROR(VLOOKUP($C7,武器!$1:$998,COLUMN(R$1),FALSE),"")</f>
        <v>0</v>
      </c>
      <c r="V7">
        <f>IFERROR(VLOOKUP($C7,武器!$1:$998,COLUMN(Q$1),FALSE),"")</f>
        <v>0</v>
      </c>
      <c r="W7" t="str">
        <f>IFERROR(VLOOKUP($C7,武器!$1:$998,COLUMN(T$1),FALSE),"")</f>
        <v>A</v>
      </c>
      <c r="Y7">
        <f>IFERROR(VLOOKUP($C7,武器!$1:$998,COLUMN(U$1),FALSE),"")</f>
        <v>0</v>
      </c>
      <c r="Z7">
        <f>IFERROR(ROUNDUP(VLOOKUP($C7,武器!$1:$998,COLUMN(O$1),FALSE)*VLOOKUP($D7,素材!$1:$1016,COLUMN(E$1),FALSE),1),"")</f>
        <v>0</v>
      </c>
      <c r="AA7">
        <f>IF(ISNUMBER(SEARCH(SUBSTITUTE(AA$1,RIGHT(AA$1,2),""),VLOOKUP($D7,素材!$1:$1016,COLUMN($F$1),FALSE))),VLOOKUP($C7,武器!$1:$998,COLUMN($O$1),FALSE)*VLOOKUP($D7,素材!$1:$1016,COLUMN($E$1),FALSE)/(LEN(VLOOKUP($D7,素材!$1:$1016,COLUMN($F$1),FALSE))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B7">
        <f>IF(ISNUMBER(SEARCH(SUBSTITUTE(AB$1,RIGHT(AB$1,2),""),VLOOKUP($D7,素材!$1:$1016,COLUMN($F$1),FALSE))),VLOOKUP($C7,武器!$1:$998,COLUMN($O$1),FALSE)*VLOOKUP($D7,素材!$1:$1016,COLUMN($E$1),FALSE)/(LEN(VLOOKUP($D7,素材!$1:$1016,COLUMN($F$1),FALSE))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C7">
        <f>IF(ISNUMBER(SEARCH(SUBSTITUTE(AC$1,RIGHT(AC$1,2),""),VLOOKUP($D7,素材!$1:$1016,COLUMN($F$1),FALSE))),VLOOKUP($C7,武器!$1:$998,COLUMN($O$1),FALSE)*VLOOKUP($D7,素材!$1:$1016,COLUMN($E$1),FALSE)/(LEN(VLOOKUP($D7,素材!$1:$1016,COLUMN($F$1),FALSE))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D7">
        <f>IF(ISNUMBER(SEARCH(SUBSTITUTE(AD$1,RIGHT(AD$1,2),""),VLOOKUP($D7,素材!$1:$1016,COLUMN($F$1),FALSE))),VLOOKUP($C7,武器!$1:$998,COLUMN($O$1),FALSE)*VLOOKUP($D7,素材!$1:$1016,COLUMN($E$1),FALSE)/(LEN(VLOOKUP($D7,素材!$1:$1016,COLUMN($F$1),FALSE))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E7">
        <f>IF(ISNUMBER(SEARCH(SUBSTITUTE(AE$1,RIGHT(AE$1,2),""),VLOOKUP($D7,素材!$1:$1016,COLUMN($F$1),FALSE))),VLOOKUP($C7,武器!$1:$998,COLUMN($O$1),FALSE)*VLOOKUP($D7,素材!$1:$1016,COLUMN($E$1),FALSE)/(LEN(VLOOKUP($D7,素材!$1:$1016,COLUMN($F$1),FALSE))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F7">
        <f>IF(ISNUMBER(SEARCH(SUBSTITUTE(AF$1,RIGHT(AF$1,2),""),VLOOKUP($D7,素材!$1:$1016,COLUMN($F$1),FALSE))),VLOOKUP($C7,武器!$1:$998,COLUMN($O$1),FALSE)*VLOOKUP($D7,素材!$1:$1016,COLUMN($E$1),FALSE)/(LEN(VLOOKUP($D7,素材!$1:$1016,COLUMN($F$1),FALSE))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G7">
        <f>IF(ISNUMBER(SEARCH(SUBSTITUTE(AG$1,RIGHT(AG$1,2),""),VLOOKUP($D7,素材!$1:$1016,COLUMN($F$1),FALSE))),VLOOKUP($C7,武器!$1:$998,COLUMN($O$1),FALSE)*VLOOKUP($D7,素材!$1:$1016,COLUMN($E$1),FALSE)/(LEN(VLOOKUP($D7,素材!$1:$1016,COLUMN($F$1),FALSE))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H7">
        <f>IF(ISNUMBER(SEARCH(SUBSTITUTE(AH$1,RIGHT(AH$1,2),""),VLOOKUP($D7,素材!$1:$1016,COLUMN($F$1),FALSE))),VLOOKUP($C7,武器!$1:$998,COLUMN($O$1),FALSE)*VLOOKUP($D7,素材!$1:$1016,COLUMN($E$1),FALSE)/(LEN(VLOOKUP($D7,素材!$1:$1016,COLUMN($F$1),FALSE))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I7">
        <f>IF(ISNUMBER(SEARCH(SUBSTITUTE(AI$1,RIGHT(AI$1,2),""),VLOOKUP($D7,素材!$1:$1016,COLUMN($F$1),FALSE))),VLOOKUP($C7,武器!$1:$998,COLUMN($O$1),FALSE)*VLOOKUP($D7,素材!$1:$1016,COLUMN($E$1),FALSE)/(LEN(VLOOKUP($D7,素材!$1:$1016,COLUMN($F$1),FALSE))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J7">
        <f>IF(ISNUMBER(SEARCH(SUBSTITUTE(AJ$1,RIGHT(AJ$1,2),""),VLOOKUP($D7,素材!$1:$1016,COLUMN($F$1),FALSE))),VLOOKUP($C7,武器!$1:$998,COLUMN($O$1),FALSE)*VLOOKUP($D7,素材!$1:$1016,COLUMN($E$1),FALSE)/(LEN(VLOOKUP($D7,素材!$1:$1016,COLUMN($F$1),FALSE))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K7">
        <f>IF(ISNUMBER(SEARCH(SUBSTITUTE(AK$1,RIGHT(AK$1,2),""),VLOOKUP($D7,素材!$1:$1016,COLUMN($F$1),FALSE))),VLOOKUP($C7,武器!$1:$998,COLUMN($O$1),FALSE)*VLOOKUP($D7,素材!$1:$1016,COLUMN($E$1),FALSE)/(LEN(VLOOKUP($D7,素材!$1:$1016,COLUMN($F$1),FALSE))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L7">
        <f>IF(ISNUMBER(SEARCH(SUBSTITUTE(AL$1,RIGHT(AL$1,2),""),VLOOKUP($D7,素材!$1:$1016,COLUMN($F$1),FALSE))),VLOOKUP($C7,武器!$1:$998,COLUMN($O$1),FALSE)*VLOOKUP($D7,素材!$1:$1016,COLUMN($E$1),FALSE)/(LEN(VLOOKUP($D7,素材!$1:$1016,COLUMN($F$1),FALSE))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M7">
        <f>IF(ISNUMBER(SEARCH(SUBSTITUTE(AM$1,RIGHT(AM$1,2),""),VLOOKUP($D7,素材!$1:$1016,COLUMN($F$1),FALSE))),VLOOKUP($C7,武器!$1:$998,COLUMN($O$1),FALSE)*VLOOKUP($D7,素材!$1:$1016,COLUMN($E$1),FALSE)/(LEN(VLOOKUP($D7,素材!$1:$1016,COLUMN($F$1),FALSE))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N7">
        <f>IF(ISNUMBER(SEARCH(SUBSTITUTE(AN$1,RIGHT(AN$1,2),""),VLOOKUP($D7,素材!$1:$1016,COLUMN($F$1),FALSE))),VLOOKUP($C7,武器!$1:$998,COLUMN($O$1),FALSE)*VLOOKUP($D7,素材!$1:$1016,COLUMN($E$1),FALSE)/(LEN(VLOOKUP($D7,素材!$1:$1016,COLUMN($F$1),FALSE))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O7">
        <f>IF(ISNUMBER(SEARCH(SUBSTITUTE(AO$1,RIGHT(AO$1,2),""),VLOOKUP($D7,素材!$1:$1016,COLUMN($F$1),FALSE))),VLOOKUP($C7,武器!$1:$998,COLUMN($O$1),FALSE)*VLOOKUP($D7,素材!$1:$1016,COLUMN($E$1),FALSE)/(LEN(VLOOKUP($D7,素材!$1:$1016,COLUMN($F$1),FALSE))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P7">
        <f>IF(ISNUMBER(SEARCH(SUBSTITUTE(AP$1,RIGHT(AP$1,2),""),VLOOKUP($D7,素材!$1:$1016,COLUMN($F$1),FALSE))),VLOOKUP($C7,武器!$1:$998,COLUMN($O$1),FALSE)*VLOOKUP($D7,素材!$1:$1016,COLUMN($E$1),FALSE)/(LEN(VLOOKUP($D7,素材!$1:$1016,COLUMN($F$1),FALSE))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Q7">
        <f>IF(ISNUMBER(SEARCH(SUBSTITUTE(AQ$1,RIGHT(AQ$1,2),""),VLOOKUP($D7,素材!$1:$1016,COLUMN($F$1),FALSE))),VLOOKUP($C7,武器!$1:$998,COLUMN($O$1),FALSE)*VLOOKUP($D7,素材!$1:$1016,COLUMN($E$1),FALSE)/(LEN(VLOOKUP($D7,素材!$1:$1016,COLUMN($F$1),FALSE))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R7">
        <f>IF(ISNUMBER(SEARCH(SUBSTITUTE(AR$1,RIGHT(AR$1,2),""),VLOOKUP($D7,素材!$1:$1016,COLUMN($F$1),FALSE))),VLOOKUP($C7,武器!$1:$998,COLUMN($O$1),FALSE)*VLOOKUP($D7,素材!$1:$1016,COLUMN($E$1),FALSE)/(LEN(VLOOKUP($D7,素材!$1:$1016,COLUMN($F$1),FALSE))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S7">
        <f>IF(ISNUMBER(SEARCH(SUBSTITUTE(AS$1,RIGHT(AS$1,2),""),VLOOKUP($D7,素材!$1:$1016,COLUMN($F$1),FALSE))),VLOOKUP($C7,武器!$1:$998,COLUMN($O$1),FALSE)*VLOOKUP($D7,素材!$1:$1016,COLUMN($E$1),FALSE)/(LEN(VLOOKUP($D7,素材!$1:$1016,COLUMN($F$1),FALSE))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T7">
        <f>IF(ISNUMBER(SEARCH(SUBSTITUTE(AT$1,RIGHT(AT$1,2),""),VLOOKUP($D7,素材!$1:$1016,COLUMN($F$1),FALSE))),VLOOKUP($C7,武器!$1:$998,COLUMN($O$1),FALSE)*VLOOKUP($D7,素材!$1:$1016,COLUMN($E$1),FALSE)/(LEN(VLOOKUP($D7,素材!$1:$1016,COLUMN($F$1),FALSE))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U7">
        <f>IF(ISNUMBER(SEARCH(SUBSTITUTE(AU$1,RIGHT(AU$1,2),""),VLOOKUP($D7,素材!$1:$1016,COLUMN($F$1),FALSE))),VLOOKUP($C7,武器!$1:$998,COLUMN($O$1),FALSE)*VLOOKUP($D7,素材!$1:$1016,COLUMN($E$1),FALSE)/(LEN(VLOOKUP($D7,素材!$1:$1016,COLUMN($F$1),FALSE))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V7">
        <f>IF(ISNUMBER(SEARCH(SUBSTITUTE(AV$1,RIGHT(AV$1,2),""),VLOOKUP($D7,素材!$1:$1016,COLUMN($F$1),FALSE))),VLOOKUP($C7,武器!$1:$998,COLUMN($O$1),FALSE)*VLOOKUP($D7,素材!$1:$1016,COLUMN($E$1),FALSE)/(LEN(VLOOKUP($D7,素材!$1:$1016,COLUMN($F$1),FALSE))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W7">
        <f>IF(ISNUMBER(SEARCH(SUBSTITUTE(AW$1,RIGHT(AW$1,2),""),VLOOKUP($D7,素材!$1:$1016,COLUMN($F$1),FALSE))),VLOOKUP($C7,武器!$1:$998,COLUMN($O$1),FALSE)*VLOOKUP($D7,素材!$1:$1016,COLUMN($E$1),FALSE)/(LEN(VLOOKUP($D7,素材!$1:$1016,COLUMN($F$1),FALSE))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X7">
        <f>IF(ISNUMBER(SEARCH(SUBSTITUTE(AX$1,RIGHT(AX$1,2),""),VLOOKUP($D7,素材!$1:$1016,COLUMN($F$1),FALSE))),VLOOKUP($C7,武器!$1:$998,COLUMN($O$1),FALSE)*VLOOKUP($D7,素材!$1:$1016,COLUMN($E$1),FALSE)/(LEN(VLOOKUP($D7,素材!$1:$1016,COLUMN($F$1),FALSE))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Y7">
        <f>IF(ISNUMBER(SEARCH(SUBSTITUTE(AY$1,RIGHT(AY$1,2),""),VLOOKUP($D7,素材!$1:$1016,COLUMN($F$1),FALSE))),VLOOKUP($C7,武器!$1:$998,COLUMN($O$1),FALSE)*VLOOKUP($D7,素材!$1:$1016,COLUMN($E$1),FALSE)/(LEN(VLOOKUP($D7,素材!$1:$1016,COLUMN($F$1),FALSE))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AZ7">
        <f>IF(ISNUMBER(SEARCH(SUBSTITUTE(AZ$1,RIGHT(AZ$1,2),""),VLOOKUP($D7,素材!$1:$1016,COLUMN($F$1),FALSE))),VLOOKUP($C7,武器!$1:$998,COLUMN($O$1),FALSE)*VLOOKUP($D7,素材!$1:$1016,COLUMN($E$1),FALSE)/(LEN(VLOOKUP($D7,素材!$1:$1016,COLUMN($F$1),FALSE))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BA7">
        <f>IF(ISNUMBER(SEARCH(SUBSTITUTE(BA$1,RIGHT(BA$1,2),""),VLOOKUP($D7,素材!$1:$1016,COLUMN($F$1),FALSE))),VLOOKUP($C7,武器!$1:$998,COLUMN($O$1),FALSE)*VLOOKUP($D7,素材!$1:$1016,COLUMN($E$1),FALSE)/(LEN(VLOOKUP($D7,素材!$1:$1016,COLUMN($F$1),FALSE))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BB7">
        <f>IF(ISNUMBER(SEARCH(SUBSTITUTE(BB$1,RIGHT(BB$1,2),""),VLOOKUP($D7,素材!$1:$1016,COLUMN($F$1),FALSE))),VLOOKUP($C7,武器!$1:$998,COLUMN($O$1),FALSE)*VLOOKUP($D7,素材!$1:$1016,COLUMN($E$1),FALSE)/(LEN(VLOOKUP($D7,素材!$1:$1016,COLUMN($F$1),FALSE))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BC7">
        <f>IF(ISNUMBER(SEARCH(SUBSTITUTE(BC$1,RIGHT(BC$1,2),""),VLOOKUP($D7,素材!$1:$1016,COLUMN($F$1),FALSE))),VLOOKUP($C7,武器!$1:$998,COLUMN($O$1),FALSE)*VLOOKUP($D7,素材!$1:$1016,COLUMN($E$1),FALSE)/(LEN(VLOOKUP($D7,素材!$1:$1016,COLUMN($F$1),FALSE))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BD7">
        <f>IF(ISNUMBER(SEARCH(SUBSTITUTE(BD$1,RIGHT(BD$1,2),""),VLOOKUP($D7,素材!$1:$1016,COLUMN($F$1),FALSE))),VLOOKUP($C7,武器!$1:$998,COLUMN($O$1),FALSE)*VLOOKUP($D7,素材!$1:$1016,COLUMN($E$1),FALSE)/(LEN(VLOOKUP($D7,素材!$1:$1016,COLUMN($F$1),FALSE))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BE7">
        <f>IF(ISNUMBER(SEARCH(SUBSTITUTE(BE$1,RIGHT(BE$1,2),""),VLOOKUP($D7,素材!$1:$1016,COLUMN($F$1),FALSE))),VLOOKUP($C7,武器!$1:$998,COLUMN($O$1),FALSE)*VLOOKUP($D7,素材!$1:$1016,COLUMN($E$1),FALSE)/(LEN(VLOOKUP($D7,素材!$1:$1016,COLUMN($F$1),FALSE))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BF7">
        <f>IF(ISNUMBER(SEARCH(SUBSTITUTE(BF$1,RIGHT(BF$1,2),""),VLOOKUP($D7,素材!$1:$1016,COLUMN($F$1),FALSE))),VLOOKUP($C7,武器!$1:$998,COLUMN($O$1),FALSE)*VLOOKUP($D7,素材!$1:$1016,COLUMN($E$1),FALSE)/(LEN(VLOOKUP($D7,素材!$1:$1016,COLUMN($F$1),FALSE)) - LEN(SUBSTITUTE(VLOOKUP($D7,素材!$1:$1016,COLUMN($F$1),FALSE), "・", 0)) + 1), 0)</f>
        <v>0</v>
      </c>
      <c r="CM7">
        <f t="shared" si="3"/>
        <v>27</v>
      </c>
      <c r="CN7" s="22" t="str">
        <f>IF(E7="武器",IF(J7-1&gt;SUM(G7:I7),"盾",IF(MAX(G7:I7)=G7,"切断",IF(MAX(G7:I7)=H7,"貫通",IF(MAX(G7:I7)=I7,"打撃","射撃")))),E7)&amp;".webp"</f>
        <v>切断.webp</v>
      </c>
      <c r="CO7">
        <f>IFERROR(VLOOKUP($C7,武器!$1:$998,COLUMN(V$1),FALSE)*VLOOKUP($D7,素材!$1:$1016,COLUMN(N$1),FALSE)+IF(CJ7="",0,VLOOKUP($CJ7,装強!$1:$1008,COLUMN($CL$1),FALSE)),"")</f>
        <v>400</v>
      </c>
      <c r="CP7" t="str">
        <f>VLOOKUP(D7,素材!$A:$O,COLUMN(素材!O$1),FALSE)</f>
        <v>一般的な鉄。量産品を作るのに使用されることが多い</v>
      </c>
      <c r="CQ7" t="str">
        <f>VLOOKUP(C7,武器!$A:$W,COLUMN(武器!W$1),FALSE)</f>
        <v>長剣。長く重い分扱いにくいが威力が高い。</v>
      </c>
      <c r="CS7" t="str">
        <f t="shared" si="2"/>
        <v>e_7</v>
      </c>
      <c r="CT7">
        <f t="shared" si="4"/>
        <v>40000</v>
      </c>
    </row>
    <row r="8" spans="1:98" outlineLevel="1" x14ac:dyDescent="0.4">
      <c r="A8" t="str">
        <f t="shared" si="0"/>
        <v>鉄の大剣</v>
      </c>
      <c r="B8" t="str">
        <f>IFERROR(VLOOKUP($D8,素材!$1:$1016,COLUMN($B$1),FALSE)&amp;"・"&amp;VLOOKUP($C8,武器!$1:$998,COLUMN(B$1),FALSE),"")</f>
        <v>アイアン・バスターソード</v>
      </c>
      <c r="C8" s="24" t="s">
        <v>237</v>
      </c>
      <c r="D8" s="24" t="s">
        <v>257</v>
      </c>
      <c r="E8" t="str">
        <f>IFERROR(VLOOKUP(C8,武器!$1:$998,COLUMN(C$1),FALSE),"")</f>
        <v>武器</v>
      </c>
      <c r="F8">
        <f>IFERROR(ROUNDDOWN((VLOOKUP($C8,武器!$1:$998,COLUMN(D$1),FALSE)+IFERROR(VLOOKUP($CJ8,装強!$1:$999,COLUMN(F$1),FALSE),0))*VLOOKUP($D8,素材!$1:$1016,COLUMN(D$1),FALSE),0),"")</f>
        <v>125</v>
      </c>
      <c r="G8">
        <f>IFERROR(ROUNDDOWN((VLOOKUP($C8,武器!$1:$998,COLUMN(E$1),FALSE)+IFERROR(VLOOKUP($CJ8,装強!$1:$999,COLUMN(G$1),FALSE),0))*VLOOKUP($D8,素材!$1:$1016,COLUMN($E$1),FALSE),0),"")</f>
        <v>18</v>
      </c>
      <c r="H8">
        <f>IFERROR(ROUNDDOWN((VLOOKUP($C8,武器!$1:$998,COLUMN(F$1),FALSE)+IFERROR(VLOOKUP($CJ8,装強!$1:$999,COLUMN(H$1),FALSE),0))*VLOOKUP($D8,素材!$1:$1016,COLUMN($E$1),FALSE),0),"")</f>
        <v>9</v>
      </c>
      <c r="I8">
        <f>IFERROR(ROUNDDOWN((VLOOKUP($C8,武器!$1:$998,COLUMN(G$1),FALSE)+IFERROR(VLOOKUP($CJ8,装強!$1:$999,COLUMN(I$1),FALSE),0))*VLOOKUP($D8,素材!$1:$1016,COLUMN($E$1),FALSE),0),"")</f>
        <v>4</v>
      </c>
      <c r="J8">
        <f>IFERROR(ROUNDDOWN((VLOOKUP($C8,武器!$1:$998,COLUMN(H$1),FALSE)+IFERROR(VLOOKUP($CJ8,装強!$1:$999,COLUMN(J$1),FALSE),0))*VLOOKUP($D8,素材!$1:$1016,COLUMN($E$1),FALSE),0),"")</f>
        <v>22</v>
      </c>
      <c r="K8">
        <f>IFERROR(ROUNDDOWN((VLOOKUP($C8,武器!$1:$998,COLUMN(I$1),FALSE)+IFERROR(VLOOKUP($CJ8,装強!$1:$999,COLUMN(K$1),FALSE),0))*VLOOKUP($D8,素材!$1:$1016,COLUMN($E$1),FALSE),0),"")</f>
        <v>0</v>
      </c>
      <c r="L8">
        <f>IFERROR(VLOOKUP($D8,素材!$1:$1016,COLUMN($F$1),FALSE),"")</f>
        <v>0</v>
      </c>
      <c r="M8">
        <f>IFERROR(VLOOKUP($C8,武器!$1:$998,COLUMN(AA$1),FALSE)*VLOOKUP($D8,素材!$1:$1016,COLUMN($G$1),FALSE),"")</f>
        <v>0</v>
      </c>
      <c r="N8">
        <f>IFERROR(VLOOKUP($C8,武器!$1:$998,COLUMN(I$1),FALSE),"")</f>
        <v>0</v>
      </c>
      <c r="O8" s="23">
        <f>IFERROR((VLOOKUP($C8,武器!$1:$998,COLUMN(K$1),FALSE)+VLOOKUP($D8,素材!$1:$1016,COLUMN(H$1),FALSE))*100+IFERROR(VLOOKUP($CJ8,装強!$1:$999,COLUMN(O$1),FALSE),0),"")</f>
        <v>10</v>
      </c>
      <c r="P8" s="23">
        <f>IFERROR((VLOOKUP($C8,武器!$1:$998,COLUMN(L$1),FALSE)+VLOOKUP($D8,素材!$1:$1016,COLUMN(I$1),FALSE))*100+IFERROR(VLOOKUP($CJ8,装強!$1:$999,COLUMN(P$1),FALSE),0),"")</f>
        <v>150</v>
      </c>
      <c r="Q8">
        <f>IFERROR(ROUNDUP(VLOOKUP($C8,武器!$1:$998,COLUMN(M$1),FALSE)*(VLOOKUP($D8,素材!$1:$1002,COLUMN(D$1),FALSE)/100),1),"")</f>
        <v>-7.5</v>
      </c>
      <c r="R8">
        <f>IFERROR(ROUNDUP(VLOOKUP($C8,武器!$1:$998,COLUMN(N$1),FALSE)*(VLOOKUP($D8,素材!$1:$1002,COLUMN(D$1),FALSE)/100),1),"")</f>
        <v>-7.5</v>
      </c>
      <c r="S8">
        <f>IFERROR(VLOOKUP($C8,武器!$1:$998,COLUMN(P$1),FALSE),"")</f>
        <v>0</v>
      </c>
      <c r="T8">
        <f>IFERROR(VLOOKUP($C8,武器!$1:$998,COLUMN(Q$1),FALSE),"")</f>
        <v>0</v>
      </c>
      <c r="U8">
        <f>IFERROR(VLOOKUP($C8,武器!$1:$998,COLUMN(R$1),FALSE),"")</f>
        <v>0</v>
      </c>
      <c r="V8">
        <f>IFERROR(VLOOKUP($C8,武器!$1:$998,COLUMN(Q$1),FALSE),"")</f>
        <v>0</v>
      </c>
      <c r="W8" t="str">
        <f>IFERROR(VLOOKUP($C8,武器!$1:$998,COLUMN(T$1),FALSE),"")</f>
        <v>A</v>
      </c>
      <c r="Y8">
        <f>IFERROR(VLOOKUP($C8,武器!$1:$998,COLUMN(U$1),FALSE),"")</f>
        <v>0</v>
      </c>
      <c r="Z8">
        <f>IFERROR(ROUNDUP(VLOOKUP($C8,武器!$1:$998,COLUMN(O$1),FALSE)*VLOOKUP($D8,素材!$1:$1016,COLUMN(E$1),FALSE),1),"")</f>
        <v>0</v>
      </c>
      <c r="AA8">
        <f>IF(ISNUMBER(SEARCH(SUBSTITUTE(AA$1,RIGHT(AA$1,2),""),VLOOKUP($D8,素材!$1:$1016,COLUMN($F$1),FALSE))),VLOOKUP($C8,武器!$1:$998,COLUMN($O$1),FALSE)*VLOOKUP($D8,素材!$1:$1016,COLUMN($E$1),FALSE)/(LEN(VLOOKUP($D8,素材!$1:$1016,COLUMN($F$1),FALSE))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B8">
        <f>IF(ISNUMBER(SEARCH(SUBSTITUTE(AB$1,RIGHT(AB$1,2),""),VLOOKUP($D8,素材!$1:$1016,COLUMN($F$1),FALSE))),VLOOKUP($C8,武器!$1:$998,COLUMN($O$1),FALSE)*VLOOKUP($D8,素材!$1:$1016,COLUMN($E$1),FALSE)/(LEN(VLOOKUP($D8,素材!$1:$1016,COLUMN($F$1),FALSE))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C8">
        <f>IF(ISNUMBER(SEARCH(SUBSTITUTE(AC$1,RIGHT(AC$1,2),""),VLOOKUP($D8,素材!$1:$1016,COLUMN($F$1),FALSE))),VLOOKUP($C8,武器!$1:$998,COLUMN($O$1),FALSE)*VLOOKUP($D8,素材!$1:$1016,COLUMN($E$1),FALSE)/(LEN(VLOOKUP($D8,素材!$1:$1016,COLUMN($F$1),FALSE))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D8">
        <f>IF(ISNUMBER(SEARCH(SUBSTITUTE(AD$1,RIGHT(AD$1,2),""),VLOOKUP($D8,素材!$1:$1016,COLUMN($F$1),FALSE))),VLOOKUP($C8,武器!$1:$998,COLUMN($O$1),FALSE)*VLOOKUP($D8,素材!$1:$1016,COLUMN($E$1),FALSE)/(LEN(VLOOKUP($D8,素材!$1:$1016,COLUMN($F$1),FALSE))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E8">
        <f>IF(ISNUMBER(SEARCH(SUBSTITUTE(AE$1,RIGHT(AE$1,2),""),VLOOKUP($D8,素材!$1:$1016,COLUMN($F$1),FALSE))),VLOOKUP($C8,武器!$1:$998,COLUMN($O$1),FALSE)*VLOOKUP($D8,素材!$1:$1016,COLUMN($E$1),FALSE)/(LEN(VLOOKUP($D8,素材!$1:$1016,COLUMN($F$1),FALSE))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F8">
        <f>IF(ISNUMBER(SEARCH(SUBSTITUTE(AF$1,RIGHT(AF$1,2),""),VLOOKUP($D8,素材!$1:$1016,COLUMN($F$1),FALSE))),VLOOKUP($C8,武器!$1:$998,COLUMN($O$1),FALSE)*VLOOKUP($D8,素材!$1:$1016,COLUMN($E$1),FALSE)/(LEN(VLOOKUP($D8,素材!$1:$1016,COLUMN($F$1),FALSE))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G8">
        <f>IF(ISNUMBER(SEARCH(SUBSTITUTE(AG$1,RIGHT(AG$1,2),""),VLOOKUP($D8,素材!$1:$1016,COLUMN($F$1),FALSE))),VLOOKUP($C8,武器!$1:$998,COLUMN($O$1),FALSE)*VLOOKUP($D8,素材!$1:$1016,COLUMN($E$1),FALSE)/(LEN(VLOOKUP($D8,素材!$1:$1016,COLUMN($F$1),FALSE))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H8">
        <f>IF(ISNUMBER(SEARCH(SUBSTITUTE(AH$1,RIGHT(AH$1,2),""),VLOOKUP($D8,素材!$1:$1016,COLUMN($F$1),FALSE))),VLOOKUP($C8,武器!$1:$998,COLUMN($O$1),FALSE)*VLOOKUP($D8,素材!$1:$1016,COLUMN($E$1),FALSE)/(LEN(VLOOKUP($D8,素材!$1:$1016,COLUMN($F$1),FALSE))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I8">
        <f>IF(ISNUMBER(SEARCH(SUBSTITUTE(AI$1,RIGHT(AI$1,2),""),VLOOKUP($D8,素材!$1:$1016,COLUMN($F$1),FALSE))),VLOOKUP($C8,武器!$1:$998,COLUMN($O$1),FALSE)*VLOOKUP($D8,素材!$1:$1016,COLUMN($E$1),FALSE)/(LEN(VLOOKUP($D8,素材!$1:$1016,COLUMN($F$1),FALSE))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J8">
        <f>IF(ISNUMBER(SEARCH(SUBSTITUTE(AJ$1,RIGHT(AJ$1,2),""),VLOOKUP($D8,素材!$1:$1016,COLUMN($F$1),FALSE))),VLOOKUP($C8,武器!$1:$998,COLUMN($O$1),FALSE)*VLOOKUP($D8,素材!$1:$1016,COLUMN($E$1),FALSE)/(LEN(VLOOKUP($D8,素材!$1:$1016,COLUMN($F$1),FALSE))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K8">
        <f>IF(ISNUMBER(SEARCH(SUBSTITUTE(AK$1,RIGHT(AK$1,2),""),VLOOKUP($D8,素材!$1:$1016,COLUMN($F$1),FALSE))),VLOOKUP($C8,武器!$1:$998,COLUMN($O$1),FALSE)*VLOOKUP($D8,素材!$1:$1016,COLUMN($E$1),FALSE)/(LEN(VLOOKUP($D8,素材!$1:$1016,COLUMN($F$1),FALSE))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L8">
        <f>IF(ISNUMBER(SEARCH(SUBSTITUTE(AL$1,RIGHT(AL$1,2),""),VLOOKUP($D8,素材!$1:$1016,COLUMN($F$1),FALSE))),VLOOKUP($C8,武器!$1:$998,COLUMN($O$1),FALSE)*VLOOKUP($D8,素材!$1:$1016,COLUMN($E$1),FALSE)/(LEN(VLOOKUP($D8,素材!$1:$1016,COLUMN($F$1),FALSE))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M8">
        <f>IF(ISNUMBER(SEARCH(SUBSTITUTE(AM$1,RIGHT(AM$1,2),""),VLOOKUP($D8,素材!$1:$1016,COLUMN($F$1),FALSE))),VLOOKUP($C8,武器!$1:$998,COLUMN($O$1),FALSE)*VLOOKUP($D8,素材!$1:$1016,COLUMN($E$1),FALSE)/(LEN(VLOOKUP($D8,素材!$1:$1016,COLUMN($F$1),FALSE))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N8">
        <f>IF(ISNUMBER(SEARCH(SUBSTITUTE(AN$1,RIGHT(AN$1,2),""),VLOOKUP($D8,素材!$1:$1016,COLUMN($F$1),FALSE))),VLOOKUP($C8,武器!$1:$998,COLUMN($O$1),FALSE)*VLOOKUP($D8,素材!$1:$1016,COLUMN($E$1),FALSE)/(LEN(VLOOKUP($D8,素材!$1:$1016,COLUMN($F$1),FALSE))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O8">
        <f>IF(ISNUMBER(SEARCH(SUBSTITUTE(AO$1,RIGHT(AO$1,2),""),VLOOKUP($D8,素材!$1:$1016,COLUMN($F$1),FALSE))),VLOOKUP($C8,武器!$1:$998,COLUMN($O$1),FALSE)*VLOOKUP($D8,素材!$1:$1016,COLUMN($E$1),FALSE)/(LEN(VLOOKUP($D8,素材!$1:$1016,COLUMN($F$1),FALSE))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P8">
        <f>IF(ISNUMBER(SEARCH(SUBSTITUTE(AP$1,RIGHT(AP$1,2),""),VLOOKUP($D8,素材!$1:$1016,COLUMN($F$1),FALSE))),VLOOKUP($C8,武器!$1:$998,COLUMN($O$1),FALSE)*VLOOKUP($D8,素材!$1:$1016,COLUMN($E$1),FALSE)/(LEN(VLOOKUP($D8,素材!$1:$1016,COLUMN($F$1),FALSE))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Q8">
        <f>IF(ISNUMBER(SEARCH(SUBSTITUTE(AQ$1,RIGHT(AQ$1,2),""),VLOOKUP($D8,素材!$1:$1016,COLUMN($F$1),FALSE))),VLOOKUP($C8,武器!$1:$998,COLUMN($O$1),FALSE)*VLOOKUP($D8,素材!$1:$1016,COLUMN($E$1),FALSE)/(LEN(VLOOKUP($D8,素材!$1:$1016,COLUMN($F$1),FALSE))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R8">
        <f>IF(ISNUMBER(SEARCH(SUBSTITUTE(AR$1,RIGHT(AR$1,2),""),VLOOKUP($D8,素材!$1:$1016,COLUMN($F$1),FALSE))),VLOOKUP($C8,武器!$1:$998,COLUMN($O$1),FALSE)*VLOOKUP($D8,素材!$1:$1016,COLUMN($E$1),FALSE)/(LEN(VLOOKUP($D8,素材!$1:$1016,COLUMN($F$1),FALSE))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S8">
        <f>IF(ISNUMBER(SEARCH(SUBSTITUTE(AS$1,RIGHT(AS$1,2),""),VLOOKUP($D8,素材!$1:$1016,COLUMN($F$1),FALSE))),VLOOKUP($C8,武器!$1:$998,COLUMN($O$1),FALSE)*VLOOKUP($D8,素材!$1:$1016,COLUMN($E$1),FALSE)/(LEN(VLOOKUP($D8,素材!$1:$1016,COLUMN($F$1),FALSE))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T8">
        <f>IF(ISNUMBER(SEARCH(SUBSTITUTE(AT$1,RIGHT(AT$1,2),""),VLOOKUP($D8,素材!$1:$1016,COLUMN($F$1),FALSE))),VLOOKUP($C8,武器!$1:$998,COLUMN($O$1),FALSE)*VLOOKUP($D8,素材!$1:$1016,COLUMN($E$1),FALSE)/(LEN(VLOOKUP($D8,素材!$1:$1016,COLUMN($F$1),FALSE))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U8">
        <f>IF(ISNUMBER(SEARCH(SUBSTITUTE(AU$1,RIGHT(AU$1,2),""),VLOOKUP($D8,素材!$1:$1016,COLUMN($F$1),FALSE))),VLOOKUP($C8,武器!$1:$998,COLUMN($O$1),FALSE)*VLOOKUP($D8,素材!$1:$1016,COLUMN($E$1),FALSE)/(LEN(VLOOKUP($D8,素材!$1:$1016,COLUMN($F$1),FALSE))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V8">
        <f>IF(ISNUMBER(SEARCH(SUBSTITUTE(AV$1,RIGHT(AV$1,2),""),VLOOKUP($D8,素材!$1:$1016,COLUMN($F$1),FALSE))),VLOOKUP($C8,武器!$1:$998,COLUMN($O$1),FALSE)*VLOOKUP($D8,素材!$1:$1016,COLUMN($E$1),FALSE)/(LEN(VLOOKUP($D8,素材!$1:$1016,COLUMN($F$1),FALSE))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W8">
        <f>IF(ISNUMBER(SEARCH(SUBSTITUTE(AW$1,RIGHT(AW$1,2),""),VLOOKUP($D8,素材!$1:$1016,COLUMN($F$1),FALSE))),VLOOKUP($C8,武器!$1:$998,COLUMN($O$1),FALSE)*VLOOKUP($D8,素材!$1:$1016,COLUMN($E$1),FALSE)/(LEN(VLOOKUP($D8,素材!$1:$1016,COLUMN($F$1),FALSE))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X8">
        <f>IF(ISNUMBER(SEARCH(SUBSTITUTE(AX$1,RIGHT(AX$1,2),""),VLOOKUP($D8,素材!$1:$1016,COLUMN($F$1),FALSE))),VLOOKUP($C8,武器!$1:$998,COLUMN($O$1),FALSE)*VLOOKUP($D8,素材!$1:$1016,COLUMN($E$1),FALSE)/(LEN(VLOOKUP($D8,素材!$1:$1016,COLUMN($F$1),FALSE))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Y8">
        <f>IF(ISNUMBER(SEARCH(SUBSTITUTE(AY$1,RIGHT(AY$1,2),""),VLOOKUP($D8,素材!$1:$1016,COLUMN($F$1),FALSE))),VLOOKUP($C8,武器!$1:$998,COLUMN($O$1),FALSE)*VLOOKUP($D8,素材!$1:$1016,COLUMN($E$1),FALSE)/(LEN(VLOOKUP($D8,素材!$1:$1016,COLUMN($F$1),FALSE))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AZ8">
        <f>IF(ISNUMBER(SEARCH(SUBSTITUTE(AZ$1,RIGHT(AZ$1,2),""),VLOOKUP($D8,素材!$1:$1016,COLUMN($F$1),FALSE))),VLOOKUP($C8,武器!$1:$998,COLUMN($O$1),FALSE)*VLOOKUP($D8,素材!$1:$1016,COLUMN($E$1),FALSE)/(LEN(VLOOKUP($D8,素材!$1:$1016,COLUMN($F$1),FALSE))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BA8">
        <f>IF(ISNUMBER(SEARCH(SUBSTITUTE(BA$1,RIGHT(BA$1,2),""),VLOOKUP($D8,素材!$1:$1016,COLUMN($F$1),FALSE))),VLOOKUP($C8,武器!$1:$998,COLUMN($O$1),FALSE)*VLOOKUP($D8,素材!$1:$1016,COLUMN($E$1),FALSE)/(LEN(VLOOKUP($D8,素材!$1:$1016,COLUMN($F$1),FALSE))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BB8">
        <f>IF(ISNUMBER(SEARCH(SUBSTITUTE(BB$1,RIGHT(BB$1,2),""),VLOOKUP($D8,素材!$1:$1016,COLUMN($F$1),FALSE))),VLOOKUP($C8,武器!$1:$998,COLUMN($O$1),FALSE)*VLOOKUP($D8,素材!$1:$1016,COLUMN($E$1),FALSE)/(LEN(VLOOKUP($D8,素材!$1:$1016,COLUMN($F$1),FALSE))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BC8">
        <f>IF(ISNUMBER(SEARCH(SUBSTITUTE(BC$1,RIGHT(BC$1,2),""),VLOOKUP($D8,素材!$1:$1016,COLUMN($F$1),FALSE))),VLOOKUP($C8,武器!$1:$998,COLUMN($O$1),FALSE)*VLOOKUP($D8,素材!$1:$1016,COLUMN($E$1),FALSE)/(LEN(VLOOKUP($D8,素材!$1:$1016,COLUMN($F$1),FALSE))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BD8">
        <f>IF(ISNUMBER(SEARCH(SUBSTITUTE(BD$1,RIGHT(BD$1,2),""),VLOOKUP($D8,素材!$1:$1016,COLUMN($F$1),FALSE))),VLOOKUP($C8,武器!$1:$998,COLUMN($O$1),FALSE)*VLOOKUP($D8,素材!$1:$1016,COLUMN($E$1),FALSE)/(LEN(VLOOKUP($D8,素材!$1:$1016,COLUMN($F$1),FALSE))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BE8">
        <f>IF(ISNUMBER(SEARCH(SUBSTITUTE(BE$1,RIGHT(BE$1,2),""),VLOOKUP($D8,素材!$1:$1016,COLUMN($F$1),FALSE))),VLOOKUP($C8,武器!$1:$998,COLUMN($O$1),FALSE)*VLOOKUP($D8,素材!$1:$1016,COLUMN($E$1),FALSE)/(LEN(VLOOKUP($D8,素材!$1:$1016,COLUMN($F$1),FALSE))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BF8">
        <f>IF(ISNUMBER(SEARCH(SUBSTITUTE(BF$1,RIGHT(BF$1,2),""),VLOOKUP($D8,素材!$1:$1016,COLUMN($F$1),FALSE))),VLOOKUP($C8,武器!$1:$998,COLUMN($O$1),FALSE)*VLOOKUP($D8,素材!$1:$1016,COLUMN($E$1),FALSE)/(LEN(VLOOKUP($D8,素材!$1:$1016,COLUMN($F$1),FALSE)) - LEN(SUBSTITUTE(VLOOKUP($D8,素材!$1:$1016,COLUMN($F$1),FALSE), "・", 0)) + 1), 0)</f>
        <v>0</v>
      </c>
      <c r="CM8">
        <f t="shared" si="3"/>
        <v>31</v>
      </c>
      <c r="CN8" s="22" t="str">
        <f>IF(E8="武器",IF(J8-1&gt;SUM(G8:I8),"盾",IF(MAX(G8:I8)=G8,"切断",IF(MAX(G8:I8)=H8,"貫通",IF(MAX(G8:I8)=I8,"打撃","射撃")))),E8)&amp;".webp"</f>
        <v>切断.webp</v>
      </c>
      <c r="CO8">
        <f>IFERROR(VLOOKUP($C8,武器!$1:$998,COLUMN(V$1),FALSE)*VLOOKUP($D8,素材!$1:$1016,COLUMN(N$1),FALSE)+IF(CJ8="",0,VLOOKUP($CJ8,装強!$1:$1008,COLUMN($CL$1),FALSE)),"")</f>
        <v>600</v>
      </c>
      <c r="CP8" t="str">
        <f>VLOOKUP(D8,素材!$A:$O,COLUMN(素材!O$1),FALSE)</f>
        <v>一般的な鉄。量産品を作るのに使用されることが多い</v>
      </c>
      <c r="CQ8" t="str">
        <f>VLOOKUP(C8,武器!$A:$W,COLUMN(武器!W$1),FALSE)</f>
        <v>大剣。非常に重いが威力が突出して高い武器。大きい分ガードにも向いている</v>
      </c>
      <c r="CS8" t="str">
        <f t="shared" si="2"/>
        <v>e_8</v>
      </c>
      <c r="CT8">
        <f t="shared" si="4"/>
        <v>60000</v>
      </c>
    </row>
    <row r="9" spans="1:98" outlineLevel="1" x14ac:dyDescent="0.4">
      <c r="A9" t="str">
        <f t="shared" si="0"/>
        <v>鉄の細剣</v>
      </c>
      <c r="B9" t="str">
        <f>IFERROR(VLOOKUP($D9,素材!$1:$1016,COLUMN($B$1),FALSE)&amp;"・"&amp;VLOOKUP($C9,武器!$1:$998,COLUMN(B$1),FALSE),"")</f>
        <v>アイアン・レイピア</v>
      </c>
      <c r="C9" s="24" t="s">
        <v>236</v>
      </c>
      <c r="D9" s="24" t="s">
        <v>257</v>
      </c>
      <c r="E9" t="str">
        <f>IFERROR(VLOOKUP(C9,武器!$1:$998,COLUMN(C$1),FALSE),"")</f>
        <v>武器</v>
      </c>
      <c r="F9">
        <f>IFERROR(ROUNDDOWN((VLOOKUP($C9,武器!$1:$998,COLUMN(D$1),FALSE)+IFERROR(VLOOKUP($CJ9,装強!$1:$999,COLUMN(F$1),FALSE),0))*VLOOKUP($D9,素材!$1:$1016,COLUMN(D$1),FALSE),0),"")</f>
        <v>100</v>
      </c>
      <c r="G9">
        <f>IFERROR(ROUNDDOWN((VLOOKUP($C9,武器!$1:$998,COLUMN(E$1),FALSE)+IFERROR(VLOOKUP($CJ9,装強!$1:$999,COLUMN(G$1),FALSE),0))*VLOOKUP($D9,素材!$1:$1016,COLUMN($E$1),FALSE),0),"")</f>
        <v>9</v>
      </c>
      <c r="H9">
        <f>IFERROR(ROUNDDOWN((VLOOKUP($C9,武器!$1:$998,COLUMN(F$1),FALSE)+IFERROR(VLOOKUP($CJ9,装強!$1:$999,COLUMN(H$1),FALSE),0))*VLOOKUP($D9,素材!$1:$1016,COLUMN($E$1),FALSE),0),"")</f>
        <v>13</v>
      </c>
      <c r="I9">
        <f>IFERROR(ROUNDDOWN((VLOOKUP($C9,武器!$1:$998,COLUMN(G$1),FALSE)+IFERROR(VLOOKUP($CJ9,装強!$1:$999,COLUMN(I$1),FALSE),0))*VLOOKUP($D9,素材!$1:$1016,COLUMN($E$1),FALSE),0),"")</f>
        <v>0</v>
      </c>
      <c r="J9">
        <f>IFERROR(ROUNDDOWN((VLOOKUP($C9,武器!$1:$998,COLUMN(H$1),FALSE)+IFERROR(VLOOKUP($CJ9,装強!$1:$999,COLUMN(J$1),FALSE),0))*VLOOKUP($D9,素材!$1:$1016,COLUMN($E$1),FALSE),0),"")</f>
        <v>16</v>
      </c>
      <c r="K9">
        <f>IFERROR(ROUNDDOWN((VLOOKUP($C9,武器!$1:$998,COLUMN(I$1),FALSE)+IFERROR(VLOOKUP($CJ9,装強!$1:$999,COLUMN(K$1),FALSE),0))*VLOOKUP($D9,素材!$1:$1016,COLUMN($E$1),FALSE),0),"")</f>
        <v>0</v>
      </c>
      <c r="L9">
        <f>IFERROR(VLOOKUP($D9,素材!$1:$1016,COLUMN($F$1),FALSE),"")</f>
        <v>0</v>
      </c>
      <c r="M9">
        <f>IFERROR(VLOOKUP($C9,武器!$1:$998,COLUMN(AA$1),FALSE)*VLOOKUP($D9,素材!$1:$1016,COLUMN($G$1),FALSE),"")</f>
        <v>0</v>
      </c>
      <c r="N9">
        <f>IFERROR(VLOOKUP($C9,武器!$1:$998,COLUMN(I$1),FALSE),"")</f>
        <v>0</v>
      </c>
      <c r="O9" s="23">
        <f>IFERROR((VLOOKUP($C9,武器!$1:$998,COLUMN(K$1),FALSE)+VLOOKUP($D9,素材!$1:$1016,COLUMN(H$1),FALSE))*100+IFERROR(VLOOKUP($CJ9,装強!$1:$999,COLUMN(O$1),FALSE),0),"")</f>
        <v>15</v>
      </c>
      <c r="P9" s="23">
        <f>IFERROR((VLOOKUP($C9,武器!$1:$998,COLUMN(L$1),FALSE)+VLOOKUP($D9,素材!$1:$1016,COLUMN(I$1),FALSE))*100+IFERROR(VLOOKUP($CJ9,装強!$1:$999,COLUMN(P$1),FALSE),0),"")</f>
        <v>125</v>
      </c>
      <c r="Q9">
        <f>IFERROR(ROUNDUP(VLOOKUP($C9,武器!$1:$998,COLUMN(M$1),FALSE)*(VLOOKUP($D9,素材!$1:$1002,COLUMN(D$1),FALSE)/100),1),"")</f>
        <v>0</v>
      </c>
      <c r="R9">
        <f>IFERROR(ROUNDUP(VLOOKUP($C9,武器!$1:$998,COLUMN(N$1),FALSE)*(VLOOKUP($D9,素材!$1:$1002,COLUMN(D$1),FALSE)/100),1),"")</f>
        <v>0</v>
      </c>
      <c r="S9">
        <f>IFERROR(VLOOKUP($C9,武器!$1:$998,COLUMN(P$1),FALSE),"")</f>
        <v>0</v>
      </c>
      <c r="T9">
        <f>IFERROR(VLOOKUP($C9,武器!$1:$998,COLUMN(Q$1),FALSE),"")</f>
        <v>0</v>
      </c>
      <c r="U9">
        <f>IFERROR(VLOOKUP($C9,武器!$1:$998,COLUMN(R$1),FALSE),"")</f>
        <v>0</v>
      </c>
      <c r="V9">
        <f>IFERROR(VLOOKUP($C9,武器!$1:$998,COLUMN(Q$1),FALSE),"")</f>
        <v>0</v>
      </c>
      <c r="W9" t="str">
        <f>IFERROR(VLOOKUP($C9,武器!$1:$998,COLUMN(T$1),FALSE),"")</f>
        <v>A</v>
      </c>
      <c r="Y9" t="str">
        <f>IFERROR(VLOOKUP($C9,武器!$1:$998,COLUMN(U$1),FALSE),"")</f>
        <v>片手適正Ⅰ</v>
      </c>
      <c r="Z9">
        <f>IFERROR(ROUNDUP(VLOOKUP($C9,武器!$1:$998,COLUMN(O$1),FALSE)*VLOOKUP($D9,素材!$1:$1016,COLUMN(E$1),FALSE),1),"")</f>
        <v>0</v>
      </c>
      <c r="AA9">
        <f>IF(ISNUMBER(SEARCH(SUBSTITUTE(AA$1,RIGHT(AA$1,2),""),VLOOKUP($D9,素材!$1:$1016,COLUMN($F$1),FALSE))),VLOOKUP($C9,武器!$1:$998,COLUMN($O$1),FALSE)*VLOOKUP($D9,素材!$1:$1016,COLUMN($E$1),FALSE)/(LEN(VLOOKUP($D9,素材!$1:$1016,COLUMN($F$1),FALSE))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B9">
        <f>IF(ISNUMBER(SEARCH(SUBSTITUTE(AB$1,RIGHT(AB$1,2),""),VLOOKUP($D9,素材!$1:$1016,COLUMN($F$1),FALSE))),VLOOKUP($C9,武器!$1:$998,COLUMN($O$1),FALSE)*VLOOKUP($D9,素材!$1:$1016,COLUMN($E$1),FALSE)/(LEN(VLOOKUP($D9,素材!$1:$1016,COLUMN($F$1),FALSE))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C9">
        <f>IF(ISNUMBER(SEARCH(SUBSTITUTE(AC$1,RIGHT(AC$1,2),""),VLOOKUP($D9,素材!$1:$1016,COLUMN($F$1),FALSE))),VLOOKUP($C9,武器!$1:$998,COLUMN($O$1),FALSE)*VLOOKUP($D9,素材!$1:$1016,COLUMN($E$1),FALSE)/(LEN(VLOOKUP($D9,素材!$1:$1016,COLUMN($F$1),FALSE))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D9">
        <f>IF(ISNUMBER(SEARCH(SUBSTITUTE(AD$1,RIGHT(AD$1,2),""),VLOOKUP($D9,素材!$1:$1016,COLUMN($F$1),FALSE))),VLOOKUP($C9,武器!$1:$998,COLUMN($O$1),FALSE)*VLOOKUP($D9,素材!$1:$1016,COLUMN($E$1),FALSE)/(LEN(VLOOKUP($D9,素材!$1:$1016,COLUMN($F$1),FALSE))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E9">
        <f>IF(ISNUMBER(SEARCH(SUBSTITUTE(AE$1,RIGHT(AE$1,2),""),VLOOKUP($D9,素材!$1:$1016,COLUMN($F$1),FALSE))),VLOOKUP($C9,武器!$1:$998,COLUMN($O$1),FALSE)*VLOOKUP($D9,素材!$1:$1016,COLUMN($E$1),FALSE)/(LEN(VLOOKUP($D9,素材!$1:$1016,COLUMN($F$1),FALSE))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F9">
        <f>IF(ISNUMBER(SEARCH(SUBSTITUTE(AF$1,RIGHT(AF$1,2),""),VLOOKUP($D9,素材!$1:$1016,COLUMN($F$1),FALSE))),VLOOKUP($C9,武器!$1:$998,COLUMN($O$1),FALSE)*VLOOKUP($D9,素材!$1:$1016,COLUMN($E$1),FALSE)/(LEN(VLOOKUP($D9,素材!$1:$1016,COLUMN($F$1),FALSE))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G9">
        <f>IF(ISNUMBER(SEARCH(SUBSTITUTE(AG$1,RIGHT(AG$1,2),""),VLOOKUP($D9,素材!$1:$1016,COLUMN($F$1),FALSE))),VLOOKUP($C9,武器!$1:$998,COLUMN($O$1),FALSE)*VLOOKUP($D9,素材!$1:$1016,COLUMN($E$1),FALSE)/(LEN(VLOOKUP($D9,素材!$1:$1016,COLUMN($F$1),FALSE))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H9">
        <f>IF(ISNUMBER(SEARCH(SUBSTITUTE(AH$1,RIGHT(AH$1,2),""),VLOOKUP($D9,素材!$1:$1016,COLUMN($F$1),FALSE))),VLOOKUP($C9,武器!$1:$998,COLUMN($O$1),FALSE)*VLOOKUP($D9,素材!$1:$1016,COLUMN($E$1),FALSE)/(LEN(VLOOKUP($D9,素材!$1:$1016,COLUMN($F$1),FALSE))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I9">
        <f>IF(ISNUMBER(SEARCH(SUBSTITUTE(AI$1,RIGHT(AI$1,2),""),VLOOKUP($D9,素材!$1:$1016,COLUMN($F$1),FALSE))),VLOOKUP($C9,武器!$1:$998,COLUMN($O$1),FALSE)*VLOOKUP($D9,素材!$1:$1016,COLUMN($E$1),FALSE)/(LEN(VLOOKUP($D9,素材!$1:$1016,COLUMN($F$1),FALSE))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J9">
        <f>IF(ISNUMBER(SEARCH(SUBSTITUTE(AJ$1,RIGHT(AJ$1,2),""),VLOOKUP($D9,素材!$1:$1016,COLUMN($F$1),FALSE))),VLOOKUP($C9,武器!$1:$998,COLUMN($O$1),FALSE)*VLOOKUP($D9,素材!$1:$1016,COLUMN($E$1),FALSE)/(LEN(VLOOKUP($D9,素材!$1:$1016,COLUMN($F$1),FALSE))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K9">
        <f>IF(ISNUMBER(SEARCH(SUBSTITUTE(AK$1,RIGHT(AK$1,2),""),VLOOKUP($D9,素材!$1:$1016,COLUMN($F$1),FALSE))),VLOOKUP($C9,武器!$1:$998,COLUMN($O$1),FALSE)*VLOOKUP($D9,素材!$1:$1016,COLUMN($E$1),FALSE)/(LEN(VLOOKUP($D9,素材!$1:$1016,COLUMN($F$1),FALSE))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L9">
        <f>IF(ISNUMBER(SEARCH(SUBSTITUTE(AL$1,RIGHT(AL$1,2),""),VLOOKUP($D9,素材!$1:$1016,COLUMN($F$1),FALSE))),VLOOKUP($C9,武器!$1:$998,COLUMN($O$1),FALSE)*VLOOKUP($D9,素材!$1:$1016,COLUMN($E$1),FALSE)/(LEN(VLOOKUP($D9,素材!$1:$1016,COLUMN($F$1),FALSE))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M9">
        <f>IF(ISNUMBER(SEARCH(SUBSTITUTE(AM$1,RIGHT(AM$1,2),""),VLOOKUP($D9,素材!$1:$1016,COLUMN($F$1),FALSE))),VLOOKUP($C9,武器!$1:$998,COLUMN($O$1),FALSE)*VLOOKUP($D9,素材!$1:$1016,COLUMN($E$1),FALSE)/(LEN(VLOOKUP($D9,素材!$1:$1016,COLUMN($F$1),FALSE))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N9">
        <f>IF(ISNUMBER(SEARCH(SUBSTITUTE(AN$1,RIGHT(AN$1,2),""),VLOOKUP($D9,素材!$1:$1016,COLUMN($F$1),FALSE))),VLOOKUP($C9,武器!$1:$998,COLUMN($O$1),FALSE)*VLOOKUP($D9,素材!$1:$1016,COLUMN($E$1),FALSE)/(LEN(VLOOKUP($D9,素材!$1:$1016,COLUMN($F$1),FALSE))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O9">
        <f>IF(ISNUMBER(SEARCH(SUBSTITUTE(AO$1,RIGHT(AO$1,2),""),VLOOKUP($D9,素材!$1:$1016,COLUMN($F$1),FALSE))),VLOOKUP($C9,武器!$1:$998,COLUMN($O$1),FALSE)*VLOOKUP($D9,素材!$1:$1016,COLUMN($E$1),FALSE)/(LEN(VLOOKUP($D9,素材!$1:$1016,COLUMN($F$1),FALSE))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P9">
        <f>IF(ISNUMBER(SEARCH(SUBSTITUTE(AP$1,RIGHT(AP$1,2),""),VLOOKUP($D9,素材!$1:$1016,COLUMN($F$1),FALSE))),VLOOKUP($C9,武器!$1:$998,COLUMN($O$1),FALSE)*VLOOKUP($D9,素材!$1:$1016,COLUMN($E$1),FALSE)/(LEN(VLOOKUP($D9,素材!$1:$1016,COLUMN($F$1),FALSE))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Q9">
        <f>IF(ISNUMBER(SEARCH(SUBSTITUTE(AQ$1,RIGHT(AQ$1,2),""),VLOOKUP($D9,素材!$1:$1016,COLUMN($F$1),FALSE))),VLOOKUP($C9,武器!$1:$998,COLUMN($O$1),FALSE)*VLOOKUP($D9,素材!$1:$1016,COLUMN($E$1),FALSE)/(LEN(VLOOKUP($D9,素材!$1:$1016,COLUMN($F$1),FALSE))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R9">
        <f>IF(ISNUMBER(SEARCH(SUBSTITUTE(AR$1,RIGHT(AR$1,2),""),VLOOKUP($D9,素材!$1:$1016,COLUMN($F$1),FALSE))),VLOOKUP($C9,武器!$1:$998,COLUMN($O$1),FALSE)*VLOOKUP($D9,素材!$1:$1016,COLUMN($E$1),FALSE)/(LEN(VLOOKUP($D9,素材!$1:$1016,COLUMN($F$1),FALSE))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S9">
        <f>IF(ISNUMBER(SEARCH(SUBSTITUTE(AS$1,RIGHT(AS$1,2),""),VLOOKUP($D9,素材!$1:$1016,COLUMN($F$1),FALSE))),VLOOKUP($C9,武器!$1:$998,COLUMN($O$1),FALSE)*VLOOKUP($D9,素材!$1:$1016,COLUMN($E$1),FALSE)/(LEN(VLOOKUP($D9,素材!$1:$1016,COLUMN($F$1),FALSE))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T9">
        <f>IF(ISNUMBER(SEARCH(SUBSTITUTE(AT$1,RIGHT(AT$1,2),""),VLOOKUP($D9,素材!$1:$1016,COLUMN($F$1),FALSE))),VLOOKUP($C9,武器!$1:$998,COLUMN($O$1),FALSE)*VLOOKUP($D9,素材!$1:$1016,COLUMN($E$1),FALSE)/(LEN(VLOOKUP($D9,素材!$1:$1016,COLUMN($F$1),FALSE))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U9">
        <f>IF(ISNUMBER(SEARCH(SUBSTITUTE(AU$1,RIGHT(AU$1,2),""),VLOOKUP($D9,素材!$1:$1016,COLUMN($F$1),FALSE))),VLOOKUP($C9,武器!$1:$998,COLUMN($O$1),FALSE)*VLOOKUP($D9,素材!$1:$1016,COLUMN($E$1),FALSE)/(LEN(VLOOKUP($D9,素材!$1:$1016,COLUMN($F$1),FALSE))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V9">
        <f>IF(ISNUMBER(SEARCH(SUBSTITUTE(AV$1,RIGHT(AV$1,2),""),VLOOKUP($D9,素材!$1:$1016,COLUMN($F$1),FALSE))),VLOOKUP($C9,武器!$1:$998,COLUMN($O$1),FALSE)*VLOOKUP($D9,素材!$1:$1016,COLUMN($E$1),FALSE)/(LEN(VLOOKUP($D9,素材!$1:$1016,COLUMN($F$1),FALSE))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W9">
        <f>IF(ISNUMBER(SEARCH(SUBSTITUTE(AW$1,RIGHT(AW$1,2),""),VLOOKUP($D9,素材!$1:$1016,COLUMN($F$1),FALSE))),VLOOKUP($C9,武器!$1:$998,COLUMN($O$1),FALSE)*VLOOKUP($D9,素材!$1:$1016,COLUMN($E$1),FALSE)/(LEN(VLOOKUP($D9,素材!$1:$1016,COLUMN($F$1),FALSE))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X9">
        <f>IF(ISNUMBER(SEARCH(SUBSTITUTE(AX$1,RIGHT(AX$1,2),""),VLOOKUP($D9,素材!$1:$1016,COLUMN($F$1),FALSE))),VLOOKUP($C9,武器!$1:$998,COLUMN($O$1),FALSE)*VLOOKUP($D9,素材!$1:$1016,COLUMN($E$1),FALSE)/(LEN(VLOOKUP($D9,素材!$1:$1016,COLUMN($F$1),FALSE))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Y9">
        <f>IF(ISNUMBER(SEARCH(SUBSTITUTE(AY$1,RIGHT(AY$1,2),""),VLOOKUP($D9,素材!$1:$1016,COLUMN($F$1),FALSE))),VLOOKUP($C9,武器!$1:$998,COLUMN($O$1),FALSE)*VLOOKUP($D9,素材!$1:$1016,COLUMN($E$1),FALSE)/(LEN(VLOOKUP($D9,素材!$1:$1016,COLUMN($F$1),FALSE))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AZ9">
        <f>IF(ISNUMBER(SEARCH(SUBSTITUTE(AZ$1,RIGHT(AZ$1,2),""),VLOOKUP($D9,素材!$1:$1016,COLUMN($F$1),FALSE))),VLOOKUP($C9,武器!$1:$998,COLUMN($O$1),FALSE)*VLOOKUP($D9,素材!$1:$1016,COLUMN($E$1),FALSE)/(LEN(VLOOKUP($D9,素材!$1:$1016,COLUMN($F$1),FALSE))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BA9">
        <f>IF(ISNUMBER(SEARCH(SUBSTITUTE(BA$1,RIGHT(BA$1,2),""),VLOOKUP($D9,素材!$1:$1016,COLUMN($F$1),FALSE))),VLOOKUP($C9,武器!$1:$998,COLUMN($O$1),FALSE)*VLOOKUP($D9,素材!$1:$1016,COLUMN($E$1),FALSE)/(LEN(VLOOKUP($D9,素材!$1:$1016,COLUMN($F$1),FALSE))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BB9">
        <f>IF(ISNUMBER(SEARCH(SUBSTITUTE(BB$1,RIGHT(BB$1,2),""),VLOOKUP($D9,素材!$1:$1016,COLUMN($F$1),FALSE))),VLOOKUP($C9,武器!$1:$998,COLUMN($O$1),FALSE)*VLOOKUP($D9,素材!$1:$1016,COLUMN($E$1),FALSE)/(LEN(VLOOKUP($D9,素材!$1:$1016,COLUMN($F$1),FALSE))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BC9">
        <f>IF(ISNUMBER(SEARCH(SUBSTITUTE(BC$1,RIGHT(BC$1,2),""),VLOOKUP($D9,素材!$1:$1016,COLUMN($F$1),FALSE))),VLOOKUP($C9,武器!$1:$998,COLUMN($O$1),FALSE)*VLOOKUP($D9,素材!$1:$1016,COLUMN($E$1),FALSE)/(LEN(VLOOKUP($D9,素材!$1:$1016,COLUMN($F$1),FALSE))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BD9">
        <f>IF(ISNUMBER(SEARCH(SUBSTITUTE(BD$1,RIGHT(BD$1,2),""),VLOOKUP($D9,素材!$1:$1016,COLUMN($F$1),FALSE))),VLOOKUP($C9,武器!$1:$998,COLUMN($O$1),FALSE)*VLOOKUP($D9,素材!$1:$1016,COLUMN($E$1),FALSE)/(LEN(VLOOKUP($D9,素材!$1:$1016,COLUMN($F$1),FALSE))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BE9">
        <f>IF(ISNUMBER(SEARCH(SUBSTITUTE(BE$1,RIGHT(BE$1,2),""),VLOOKUP($D9,素材!$1:$1016,COLUMN($F$1),FALSE))),VLOOKUP($C9,武器!$1:$998,COLUMN($O$1),FALSE)*VLOOKUP($D9,素材!$1:$1016,COLUMN($E$1),FALSE)/(LEN(VLOOKUP($D9,素材!$1:$1016,COLUMN($F$1),FALSE))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BF9">
        <f>IF(ISNUMBER(SEARCH(SUBSTITUTE(BF$1,RIGHT(BF$1,2),""),VLOOKUP($D9,素材!$1:$1016,COLUMN($F$1),FALSE))),VLOOKUP($C9,武器!$1:$998,COLUMN($O$1),FALSE)*VLOOKUP($D9,素材!$1:$1016,COLUMN($E$1),FALSE)/(LEN(VLOOKUP($D9,素材!$1:$1016,COLUMN($F$1),FALSE)) - LEN(SUBSTITUTE(VLOOKUP($D9,素材!$1:$1016,COLUMN($F$1),FALSE), "・", 0)) + 1), 0)</f>
        <v>0</v>
      </c>
      <c r="CM9">
        <f t="shared" si="3"/>
        <v>22</v>
      </c>
      <c r="CN9" s="22" t="str">
        <f>IF(E9="武器",IF(J9-1&gt;SUM(G9:I9),"盾",IF(MAX(G9:I9)=G9,"切断",IF(MAX(G9:I9)=H9,"貫通",IF(MAX(G9:I9)=I9,"打撃","射撃")))),E9)&amp;".webp"</f>
        <v>貫通.webp</v>
      </c>
      <c r="CO9">
        <f>IFERROR(VLOOKUP($C9,武器!$1:$998,COLUMN(V$1),FALSE)*VLOOKUP($D9,素材!$1:$1016,COLUMN(N$1),FALSE)+IF(CJ9="",0,VLOOKUP($CJ9,装強!$1:$1008,COLUMN($CL$1),FALSE)),"")</f>
        <v>400</v>
      </c>
      <c r="CP9" t="str">
        <f>VLOOKUP(D9,素材!$A:$O,COLUMN(素材!O$1),FALSE)</f>
        <v>一般的な鉄。量産品を作るのに使用されることが多い</v>
      </c>
      <c r="CQ9" t="str">
        <f>VLOOKUP(C9,武器!$A:$W,COLUMN(武器!W$1),FALSE)</f>
        <v>細剣。刺突に優れた武器でCr率が高い</v>
      </c>
      <c r="CS9" t="str">
        <f t="shared" si="2"/>
        <v>e_9</v>
      </c>
      <c r="CT9">
        <f t="shared" si="4"/>
        <v>40000</v>
      </c>
    </row>
    <row r="10" spans="1:98" outlineLevel="1" x14ac:dyDescent="0.4">
      <c r="A10" t="str">
        <f t="shared" si="0"/>
        <v>鉄の刺剣</v>
      </c>
      <c r="B10" t="str">
        <f>IFERROR(VLOOKUP($D10,素材!$1:$1016,COLUMN($B$1),FALSE)&amp;"・"&amp;VLOOKUP($C10,武器!$1:$998,COLUMN(B$1),FALSE),"")</f>
        <v>アイアン・スティレット</v>
      </c>
      <c r="C10" s="24" t="s">
        <v>235</v>
      </c>
      <c r="D10" s="24" t="s">
        <v>257</v>
      </c>
      <c r="E10" t="str">
        <f>IFERROR(VLOOKUP(C10,武器!$1:$998,COLUMN(C$1),FALSE),"")</f>
        <v>武器</v>
      </c>
      <c r="F10">
        <f>IFERROR(ROUNDDOWN((VLOOKUP($C10,武器!$1:$998,COLUMN(D$1),FALSE)+IFERROR(VLOOKUP($CJ10,装強!$1:$999,COLUMN(F$1),FALSE),0))*VLOOKUP($D10,素材!$1:$1016,COLUMN(D$1),FALSE),0),"")</f>
        <v>110</v>
      </c>
      <c r="G10">
        <f>IFERROR(ROUNDDOWN((VLOOKUP($C10,武器!$1:$998,COLUMN(E$1),FALSE)+IFERROR(VLOOKUP($CJ10,装強!$1:$999,COLUMN(G$1),FALSE),0))*VLOOKUP($D10,素材!$1:$1016,COLUMN($E$1),FALSE),0),"")</f>
        <v>4</v>
      </c>
      <c r="H10">
        <f>IFERROR(ROUNDDOWN((VLOOKUP($C10,武器!$1:$998,COLUMN(F$1),FALSE)+IFERROR(VLOOKUP($CJ10,装強!$1:$999,COLUMN(H$1),FALSE),0))*VLOOKUP($D10,素材!$1:$1016,COLUMN($E$1),FALSE),0),"")</f>
        <v>18</v>
      </c>
      <c r="I10">
        <f>IFERROR(ROUNDDOWN((VLOOKUP($C10,武器!$1:$998,COLUMN(G$1),FALSE)+IFERROR(VLOOKUP($CJ10,装強!$1:$999,COLUMN(I$1),FALSE),0))*VLOOKUP($D10,素材!$1:$1016,COLUMN($E$1),FALSE),0),"")</f>
        <v>0</v>
      </c>
      <c r="J10">
        <f>IFERROR(ROUNDDOWN((VLOOKUP($C10,武器!$1:$998,COLUMN(H$1),FALSE)+IFERROR(VLOOKUP($CJ10,装強!$1:$999,COLUMN(J$1),FALSE),0))*VLOOKUP($D10,素材!$1:$1016,COLUMN($E$1),FALSE),0),"")</f>
        <v>17</v>
      </c>
      <c r="K10">
        <f>IFERROR(ROUNDDOWN((VLOOKUP($C10,武器!$1:$998,COLUMN(I$1),FALSE)+IFERROR(VLOOKUP($CJ10,装強!$1:$999,COLUMN(K$1),FALSE),0))*VLOOKUP($D10,素材!$1:$1016,COLUMN($E$1),FALSE),0),"")</f>
        <v>0</v>
      </c>
      <c r="L10">
        <f>IFERROR(VLOOKUP($D10,素材!$1:$1016,COLUMN($F$1),FALSE),"")</f>
        <v>0</v>
      </c>
      <c r="M10">
        <f>IFERROR(VLOOKUP($C10,武器!$1:$998,COLUMN(AA$1),FALSE)*VLOOKUP($D10,素材!$1:$1016,COLUMN($G$1),FALSE),"")</f>
        <v>0</v>
      </c>
      <c r="N10">
        <f>IFERROR(VLOOKUP($C10,武器!$1:$998,COLUMN(I$1),FALSE),"")</f>
        <v>0</v>
      </c>
      <c r="O10" s="23">
        <f>IFERROR((VLOOKUP($C10,武器!$1:$998,COLUMN(K$1),FALSE)+VLOOKUP($D10,素材!$1:$1016,COLUMN(H$1),FALSE))*100+IFERROR(VLOOKUP($CJ10,装強!$1:$999,COLUMN(O$1),FALSE),0),"")</f>
        <v>10</v>
      </c>
      <c r="P10" s="23">
        <f>IFERROR((VLOOKUP($C10,武器!$1:$998,COLUMN(L$1),FALSE)+VLOOKUP($D10,素材!$1:$1016,COLUMN(I$1),FALSE))*100+IFERROR(VLOOKUP($CJ10,装強!$1:$999,COLUMN(P$1),FALSE),0),"")</f>
        <v>150</v>
      </c>
      <c r="Q10">
        <f>IFERROR(ROUNDUP(VLOOKUP($C10,武器!$1:$998,COLUMN(M$1),FALSE)*(VLOOKUP($D10,素材!$1:$1002,COLUMN(D$1),FALSE)/100),1),"")</f>
        <v>0</v>
      </c>
      <c r="R10">
        <f>IFERROR(ROUNDUP(VLOOKUP($C10,武器!$1:$998,COLUMN(N$1),FALSE)*(VLOOKUP($D10,素材!$1:$1002,COLUMN(D$1),FALSE)/100),1),"")</f>
        <v>0</v>
      </c>
      <c r="S10">
        <f>IFERROR(VLOOKUP($C10,武器!$1:$998,COLUMN(P$1),FALSE),"")</f>
        <v>0</v>
      </c>
      <c r="T10">
        <f>IFERROR(VLOOKUP($C10,武器!$1:$998,COLUMN(Q$1),FALSE),"")</f>
        <v>0</v>
      </c>
      <c r="U10">
        <f>IFERROR(VLOOKUP($C10,武器!$1:$998,COLUMN(R$1),FALSE),"")</f>
        <v>0</v>
      </c>
      <c r="V10">
        <f>IFERROR(VLOOKUP($C10,武器!$1:$998,COLUMN(Q$1),FALSE),"")</f>
        <v>0</v>
      </c>
      <c r="W10" t="str">
        <f>IFERROR(VLOOKUP($C10,武器!$1:$998,COLUMN(T$1),FALSE),"")</f>
        <v>A</v>
      </c>
      <c r="Y10" t="str">
        <f>IFERROR(VLOOKUP($C10,武器!$1:$998,COLUMN(U$1),FALSE),"")</f>
        <v>片手適正Ⅰ</v>
      </c>
      <c r="Z10">
        <f>IFERROR(ROUNDUP(VLOOKUP($C10,武器!$1:$998,COLUMN(O$1),FALSE)*VLOOKUP($D10,素材!$1:$1016,COLUMN(E$1),FALSE),1),"")</f>
        <v>0</v>
      </c>
      <c r="AA10">
        <f>IF(ISNUMBER(SEARCH(SUBSTITUTE(AA$1,RIGHT(AA$1,2),""),VLOOKUP($D10,素材!$1:$1016,COLUMN($F$1),FALSE))),VLOOKUP($C10,武器!$1:$998,COLUMN($O$1),FALSE)*VLOOKUP($D10,素材!$1:$1016,COLUMN($E$1),FALSE)/(LEN(VLOOKUP($D10,素材!$1:$1016,COLUMN($F$1),FALSE))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B10">
        <f>IF(ISNUMBER(SEARCH(SUBSTITUTE(AB$1,RIGHT(AB$1,2),""),VLOOKUP($D10,素材!$1:$1016,COLUMN($F$1),FALSE))),VLOOKUP($C10,武器!$1:$998,COLUMN($O$1),FALSE)*VLOOKUP($D10,素材!$1:$1016,COLUMN($E$1),FALSE)/(LEN(VLOOKUP($D10,素材!$1:$1016,COLUMN($F$1),FALSE))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C10">
        <f>IF(ISNUMBER(SEARCH(SUBSTITUTE(AC$1,RIGHT(AC$1,2),""),VLOOKUP($D10,素材!$1:$1016,COLUMN($F$1),FALSE))),VLOOKUP($C10,武器!$1:$998,COLUMN($O$1),FALSE)*VLOOKUP($D10,素材!$1:$1016,COLUMN($E$1),FALSE)/(LEN(VLOOKUP($D10,素材!$1:$1016,COLUMN($F$1),FALSE))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D10">
        <f>IF(ISNUMBER(SEARCH(SUBSTITUTE(AD$1,RIGHT(AD$1,2),""),VLOOKUP($D10,素材!$1:$1016,COLUMN($F$1),FALSE))),VLOOKUP($C10,武器!$1:$998,COLUMN($O$1),FALSE)*VLOOKUP($D10,素材!$1:$1016,COLUMN($E$1),FALSE)/(LEN(VLOOKUP($D10,素材!$1:$1016,COLUMN($F$1),FALSE))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E10">
        <f>IF(ISNUMBER(SEARCH(SUBSTITUTE(AE$1,RIGHT(AE$1,2),""),VLOOKUP($D10,素材!$1:$1016,COLUMN($F$1),FALSE))),VLOOKUP($C10,武器!$1:$998,COLUMN($O$1),FALSE)*VLOOKUP($D10,素材!$1:$1016,COLUMN($E$1),FALSE)/(LEN(VLOOKUP($D10,素材!$1:$1016,COLUMN($F$1),FALSE))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F10">
        <f>IF(ISNUMBER(SEARCH(SUBSTITUTE(AF$1,RIGHT(AF$1,2),""),VLOOKUP($D10,素材!$1:$1016,COLUMN($F$1),FALSE))),VLOOKUP($C10,武器!$1:$998,COLUMN($O$1),FALSE)*VLOOKUP($D10,素材!$1:$1016,COLUMN($E$1),FALSE)/(LEN(VLOOKUP($D10,素材!$1:$1016,COLUMN($F$1),FALSE))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G10">
        <f>IF(ISNUMBER(SEARCH(SUBSTITUTE(AG$1,RIGHT(AG$1,2),""),VLOOKUP($D10,素材!$1:$1016,COLUMN($F$1),FALSE))),VLOOKUP($C10,武器!$1:$998,COLUMN($O$1),FALSE)*VLOOKUP($D10,素材!$1:$1016,COLUMN($E$1),FALSE)/(LEN(VLOOKUP($D10,素材!$1:$1016,COLUMN($F$1),FALSE))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H10">
        <f>IF(ISNUMBER(SEARCH(SUBSTITUTE(AH$1,RIGHT(AH$1,2),""),VLOOKUP($D10,素材!$1:$1016,COLUMN($F$1),FALSE))),VLOOKUP($C10,武器!$1:$998,COLUMN($O$1),FALSE)*VLOOKUP($D10,素材!$1:$1016,COLUMN($E$1),FALSE)/(LEN(VLOOKUP($D10,素材!$1:$1016,COLUMN($F$1),FALSE))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I10">
        <f>IF(ISNUMBER(SEARCH(SUBSTITUTE(AI$1,RIGHT(AI$1,2),""),VLOOKUP($D10,素材!$1:$1016,COLUMN($F$1),FALSE))),VLOOKUP($C10,武器!$1:$998,COLUMN($O$1),FALSE)*VLOOKUP($D10,素材!$1:$1016,COLUMN($E$1),FALSE)/(LEN(VLOOKUP($D10,素材!$1:$1016,COLUMN($F$1),FALSE))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J10">
        <f>IF(ISNUMBER(SEARCH(SUBSTITUTE(AJ$1,RIGHT(AJ$1,2),""),VLOOKUP($D10,素材!$1:$1016,COLUMN($F$1),FALSE))),VLOOKUP($C10,武器!$1:$998,COLUMN($O$1),FALSE)*VLOOKUP($D10,素材!$1:$1016,COLUMN($E$1),FALSE)/(LEN(VLOOKUP($D10,素材!$1:$1016,COLUMN($F$1),FALSE))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K10">
        <f>IF(ISNUMBER(SEARCH(SUBSTITUTE(AK$1,RIGHT(AK$1,2),""),VLOOKUP($D10,素材!$1:$1016,COLUMN($F$1),FALSE))),VLOOKUP($C10,武器!$1:$998,COLUMN($O$1),FALSE)*VLOOKUP($D10,素材!$1:$1016,COLUMN($E$1),FALSE)/(LEN(VLOOKUP($D10,素材!$1:$1016,COLUMN($F$1),FALSE))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L10">
        <f>IF(ISNUMBER(SEARCH(SUBSTITUTE(AL$1,RIGHT(AL$1,2),""),VLOOKUP($D10,素材!$1:$1016,COLUMN($F$1),FALSE))),VLOOKUP($C10,武器!$1:$998,COLUMN($O$1),FALSE)*VLOOKUP($D10,素材!$1:$1016,COLUMN($E$1),FALSE)/(LEN(VLOOKUP($D10,素材!$1:$1016,COLUMN($F$1),FALSE))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M10">
        <f>IF(ISNUMBER(SEARCH(SUBSTITUTE(AM$1,RIGHT(AM$1,2),""),VLOOKUP($D10,素材!$1:$1016,COLUMN($F$1),FALSE))),VLOOKUP($C10,武器!$1:$998,COLUMN($O$1),FALSE)*VLOOKUP($D10,素材!$1:$1016,COLUMN($E$1),FALSE)/(LEN(VLOOKUP($D10,素材!$1:$1016,COLUMN($F$1),FALSE))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N10">
        <f>IF(ISNUMBER(SEARCH(SUBSTITUTE(AN$1,RIGHT(AN$1,2),""),VLOOKUP($D10,素材!$1:$1016,COLUMN($F$1),FALSE))),VLOOKUP($C10,武器!$1:$998,COLUMN($O$1),FALSE)*VLOOKUP($D10,素材!$1:$1016,COLUMN($E$1),FALSE)/(LEN(VLOOKUP($D10,素材!$1:$1016,COLUMN($F$1),FALSE))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O10">
        <f>IF(ISNUMBER(SEARCH(SUBSTITUTE(AO$1,RIGHT(AO$1,2),""),VLOOKUP($D10,素材!$1:$1016,COLUMN($F$1),FALSE))),VLOOKUP($C10,武器!$1:$998,COLUMN($O$1),FALSE)*VLOOKUP($D10,素材!$1:$1016,COLUMN($E$1),FALSE)/(LEN(VLOOKUP($D10,素材!$1:$1016,COLUMN($F$1),FALSE))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P10">
        <f>IF(ISNUMBER(SEARCH(SUBSTITUTE(AP$1,RIGHT(AP$1,2),""),VLOOKUP($D10,素材!$1:$1016,COLUMN($F$1),FALSE))),VLOOKUP($C10,武器!$1:$998,COLUMN($O$1),FALSE)*VLOOKUP($D10,素材!$1:$1016,COLUMN($E$1),FALSE)/(LEN(VLOOKUP($D10,素材!$1:$1016,COLUMN($F$1),FALSE))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Q10">
        <f>IF(ISNUMBER(SEARCH(SUBSTITUTE(AQ$1,RIGHT(AQ$1,2),""),VLOOKUP($D10,素材!$1:$1016,COLUMN($F$1),FALSE))),VLOOKUP($C10,武器!$1:$998,COLUMN($O$1),FALSE)*VLOOKUP($D10,素材!$1:$1016,COLUMN($E$1),FALSE)/(LEN(VLOOKUP($D10,素材!$1:$1016,COLUMN($F$1),FALSE))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R10">
        <f>IF(ISNUMBER(SEARCH(SUBSTITUTE(AR$1,RIGHT(AR$1,2),""),VLOOKUP($D10,素材!$1:$1016,COLUMN($F$1),FALSE))),VLOOKUP($C10,武器!$1:$998,COLUMN($O$1),FALSE)*VLOOKUP($D10,素材!$1:$1016,COLUMN($E$1),FALSE)/(LEN(VLOOKUP($D10,素材!$1:$1016,COLUMN($F$1),FALSE))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S10">
        <f>IF(ISNUMBER(SEARCH(SUBSTITUTE(AS$1,RIGHT(AS$1,2),""),VLOOKUP($D10,素材!$1:$1016,COLUMN($F$1),FALSE))),VLOOKUP($C10,武器!$1:$998,COLUMN($O$1),FALSE)*VLOOKUP($D10,素材!$1:$1016,COLUMN($E$1),FALSE)/(LEN(VLOOKUP($D10,素材!$1:$1016,COLUMN($F$1),FALSE))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T10">
        <f>IF(ISNUMBER(SEARCH(SUBSTITUTE(AT$1,RIGHT(AT$1,2),""),VLOOKUP($D10,素材!$1:$1016,COLUMN($F$1),FALSE))),VLOOKUP($C10,武器!$1:$998,COLUMN($O$1),FALSE)*VLOOKUP($D10,素材!$1:$1016,COLUMN($E$1),FALSE)/(LEN(VLOOKUP($D10,素材!$1:$1016,COLUMN($F$1),FALSE))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U10">
        <f>IF(ISNUMBER(SEARCH(SUBSTITUTE(AU$1,RIGHT(AU$1,2),""),VLOOKUP($D10,素材!$1:$1016,COLUMN($F$1),FALSE))),VLOOKUP($C10,武器!$1:$998,COLUMN($O$1),FALSE)*VLOOKUP($D10,素材!$1:$1016,COLUMN($E$1),FALSE)/(LEN(VLOOKUP($D10,素材!$1:$1016,COLUMN($F$1),FALSE))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V10">
        <f>IF(ISNUMBER(SEARCH(SUBSTITUTE(AV$1,RIGHT(AV$1,2),""),VLOOKUP($D10,素材!$1:$1016,COLUMN($F$1),FALSE))),VLOOKUP($C10,武器!$1:$998,COLUMN($O$1),FALSE)*VLOOKUP($D10,素材!$1:$1016,COLUMN($E$1),FALSE)/(LEN(VLOOKUP($D10,素材!$1:$1016,COLUMN($F$1),FALSE))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W10">
        <f>IF(ISNUMBER(SEARCH(SUBSTITUTE(AW$1,RIGHT(AW$1,2),""),VLOOKUP($D10,素材!$1:$1016,COLUMN($F$1),FALSE))),VLOOKUP($C10,武器!$1:$998,COLUMN($O$1),FALSE)*VLOOKUP($D10,素材!$1:$1016,COLUMN($E$1),FALSE)/(LEN(VLOOKUP($D10,素材!$1:$1016,COLUMN($F$1),FALSE))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X10">
        <f>IF(ISNUMBER(SEARCH(SUBSTITUTE(AX$1,RIGHT(AX$1,2),""),VLOOKUP($D10,素材!$1:$1016,COLUMN($F$1),FALSE))),VLOOKUP($C10,武器!$1:$998,COLUMN($O$1),FALSE)*VLOOKUP($D10,素材!$1:$1016,COLUMN($E$1),FALSE)/(LEN(VLOOKUP($D10,素材!$1:$1016,COLUMN($F$1),FALSE))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Y10">
        <f>IF(ISNUMBER(SEARCH(SUBSTITUTE(AY$1,RIGHT(AY$1,2),""),VLOOKUP($D10,素材!$1:$1016,COLUMN($F$1),FALSE))),VLOOKUP($C10,武器!$1:$998,COLUMN($O$1),FALSE)*VLOOKUP($D10,素材!$1:$1016,COLUMN($E$1),FALSE)/(LEN(VLOOKUP($D10,素材!$1:$1016,COLUMN($F$1),FALSE))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AZ10">
        <f>IF(ISNUMBER(SEARCH(SUBSTITUTE(AZ$1,RIGHT(AZ$1,2),""),VLOOKUP($D10,素材!$1:$1016,COLUMN($F$1),FALSE))),VLOOKUP($C10,武器!$1:$998,COLUMN($O$1),FALSE)*VLOOKUP($D10,素材!$1:$1016,COLUMN($E$1),FALSE)/(LEN(VLOOKUP($D10,素材!$1:$1016,COLUMN($F$1),FALSE))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BA10">
        <f>IF(ISNUMBER(SEARCH(SUBSTITUTE(BA$1,RIGHT(BA$1,2),""),VLOOKUP($D10,素材!$1:$1016,COLUMN($F$1),FALSE))),VLOOKUP($C10,武器!$1:$998,COLUMN($O$1),FALSE)*VLOOKUP($D10,素材!$1:$1016,COLUMN($E$1),FALSE)/(LEN(VLOOKUP($D10,素材!$1:$1016,COLUMN($F$1),FALSE))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BB10">
        <f>IF(ISNUMBER(SEARCH(SUBSTITUTE(BB$1,RIGHT(BB$1,2),""),VLOOKUP($D10,素材!$1:$1016,COLUMN($F$1),FALSE))),VLOOKUP($C10,武器!$1:$998,COLUMN($O$1),FALSE)*VLOOKUP($D10,素材!$1:$1016,COLUMN($E$1),FALSE)/(LEN(VLOOKUP($D10,素材!$1:$1016,COLUMN($F$1),FALSE))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BC10">
        <f>IF(ISNUMBER(SEARCH(SUBSTITUTE(BC$1,RIGHT(BC$1,2),""),VLOOKUP($D10,素材!$1:$1016,COLUMN($F$1),FALSE))),VLOOKUP($C10,武器!$1:$998,COLUMN($O$1),FALSE)*VLOOKUP($D10,素材!$1:$1016,COLUMN($E$1),FALSE)/(LEN(VLOOKUP($D10,素材!$1:$1016,COLUMN($F$1),FALSE))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BD10">
        <f>IF(ISNUMBER(SEARCH(SUBSTITUTE(BD$1,RIGHT(BD$1,2),""),VLOOKUP($D10,素材!$1:$1016,COLUMN($F$1),FALSE))),VLOOKUP($C10,武器!$1:$998,COLUMN($O$1),FALSE)*VLOOKUP($D10,素材!$1:$1016,COLUMN($E$1),FALSE)/(LEN(VLOOKUP($D10,素材!$1:$1016,COLUMN($F$1),FALSE))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BE10">
        <f>IF(ISNUMBER(SEARCH(SUBSTITUTE(BE$1,RIGHT(BE$1,2),""),VLOOKUP($D10,素材!$1:$1016,COLUMN($F$1),FALSE))),VLOOKUP($C10,武器!$1:$998,COLUMN($O$1),FALSE)*VLOOKUP($D10,素材!$1:$1016,COLUMN($E$1),FALSE)/(LEN(VLOOKUP($D10,素材!$1:$1016,COLUMN($F$1),FALSE))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BF10">
        <f>IF(ISNUMBER(SEARCH(SUBSTITUTE(BF$1,RIGHT(BF$1,2),""),VLOOKUP($D10,素材!$1:$1016,COLUMN($F$1),FALSE))),VLOOKUP($C10,武器!$1:$998,COLUMN($O$1),FALSE)*VLOOKUP($D10,素材!$1:$1016,COLUMN($E$1),FALSE)/(LEN(VLOOKUP($D10,素材!$1:$1016,COLUMN($F$1),FALSE)) - LEN(SUBSTITUTE(VLOOKUP($D10,素材!$1:$1016,COLUMN($F$1),FALSE), "・", 0)) + 1), 0)</f>
        <v>0</v>
      </c>
      <c r="CM10">
        <f t="shared" si="3"/>
        <v>22</v>
      </c>
      <c r="CN10" s="22" t="str">
        <f>IF(E10="武器",IF(J10-1&gt;SUM(G10:I10),"盾",IF(MAX(G10:I10)=G10,"切断",IF(MAX(G10:I10)=H10,"貫通",IF(MAX(G10:I10)=I10,"打撃","射撃")))),E10)&amp;".webp"</f>
        <v>貫通.webp</v>
      </c>
      <c r="CO10">
        <f>IFERROR(VLOOKUP($C10,武器!$1:$998,COLUMN(V$1),FALSE)*VLOOKUP($D10,素材!$1:$1016,COLUMN(N$1),FALSE)+IF(CJ10="",0,VLOOKUP($CJ10,装強!$1:$1008,COLUMN($CL$1),FALSE)),"")</f>
        <v>300</v>
      </c>
      <c r="CP10" t="str">
        <f>VLOOKUP(D10,素材!$A:$O,COLUMN(素材!O$1),FALSE)</f>
        <v>一般的な鉄。量産品を作るのに使用されることが多い</v>
      </c>
      <c r="CQ10" t="str">
        <f>VLOOKUP(C10,武器!$A:$W,COLUMN(武器!W$1),FALSE)</f>
        <v>刺剣。小型で精密な攻撃が可能な武器。</v>
      </c>
      <c r="CS10" t="str">
        <f t="shared" si="2"/>
        <v>e_10</v>
      </c>
      <c r="CT10">
        <f t="shared" si="4"/>
        <v>30000</v>
      </c>
    </row>
    <row r="11" spans="1:98" outlineLevel="1" x14ac:dyDescent="0.4">
      <c r="A11" t="str">
        <f t="shared" si="0"/>
        <v>鉄の短槍</v>
      </c>
      <c r="B11" t="str">
        <f>IFERROR(VLOOKUP($D11,素材!$1:$1016,COLUMN($B$1),FALSE)&amp;"・"&amp;VLOOKUP($C11,武器!$1:$998,COLUMN(B$1),FALSE),"")</f>
        <v>アイアン・ショートスピア</v>
      </c>
      <c r="C11" s="24" t="s">
        <v>234</v>
      </c>
      <c r="D11" s="24" t="s">
        <v>257</v>
      </c>
      <c r="E11" t="str">
        <f>IFERROR(VLOOKUP(C11,武器!$1:$998,COLUMN(C$1),FALSE),"")</f>
        <v>武器</v>
      </c>
      <c r="F11">
        <f>IFERROR(ROUNDDOWN((VLOOKUP($C11,武器!$1:$998,COLUMN(D$1),FALSE)+IFERROR(VLOOKUP($CJ11,装強!$1:$999,COLUMN(F$1),FALSE),0))*VLOOKUP($D11,素材!$1:$1016,COLUMN(D$1),FALSE),0),"")</f>
        <v>105</v>
      </c>
      <c r="G11">
        <f>IFERROR(ROUNDDOWN((VLOOKUP($C11,武器!$1:$998,COLUMN(E$1),FALSE)+IFERROR(VLOOKUP($CJ11,装強!$1:$999,COLUMN(G$1),FALSE),0))*VLOOKUP($D11,素材!$1:$1016,COLUMN($E$1),FALSE),0),"")</f>
        <v>8</v>
      </c>
      <c r="H11">
        <f>IFERROR(ROUNDDOWN((VLOOKUP($C11,武器!$1:$998,COLUMN(F$1),FALSE)+IFERROR(VLOOKUP($CJ11,装強!$1:$999,COLUMN(H$1),FALSE),0))*VLOOKUP($D11,素材!$1:$1016,COLUMN($E$1),FALSE),0),"")</f>
        <v>14</v>
      </c>
      <c r="I11">
        <f>IFERROR(ROUNDDOWN((VLOOKUP($C11,武器!$1:$998,COLUMN(G$1),FALSE)+IFERROR(VLOOKUP($CJ11,装強!$1:$999,COLUMN(I$1),FALSE),0))*VLOOKUP($D11,素材!$1:$1016,COLUMN($E$1),FALSE),0),"")</f>
        <v>3</v>
      </c>
      <c r="J11">
        <f>IFERROR(ROUNDDOWN((VLOOKUP($C11,武器!$1:$998,COLUMN(H$1),FALSE)+IFERROR(VLOOKUP($CJ11,装強!$1:$999,COLUMN(J$1),FALSE),0))*VLOOKUP($D11,素材!$1:$1016,COLUMN($E$1),FALSE),0),"")</f>
        <v>17</v>
      </c>
      <c r="K11">
        <f>IFERROR(ROUNDDOWN((VLOOKUP($C11,武器!$1:$998,COLUMN(I$1),FALSE)+IFERROR(VLOOKUP($CJ11,装強!$1:$999,COLUMN(K$1),FALSE),0))*VLOOKUP($D11,素材!$1:$1016,COLUMN($E$1),FALSE),0),"")</f>
        <v>0</v>
      </c>
      <c r="L11">
        <f>IFERROR(VLOOKUP($D11,素材!$1:$1016,COLUMN($F$1),FALSE),"")</f>
        <v>0</v>
      </c>
      <c r="M11">
        <f>IFERROR(VLOOKUP($C11,武器!$1:$998,COLUMN(AA$1),FALSE)*VLOOKUP($D11,素材!$1:$1016,COLUMN($G$1),FALSE),"")</f>
        <v>0</v>
      </c>
      <c r="N11">
        <f>IFERROR(VLOOKUP($C11,武器!$1:$998,COLUMN(I$1),FALSE),"")</f>
        <v>0</v>
      </c>
      <c r="O11" s="23">
        <f>IFERROR((VLOOKUP($C11,武器!$1:$998,COLUMN(K$1),FALSE)+VLOOKUP($D11,素材!$1:$1016,COLUMN(H$1),FALSE))*100+IFERROR(VLOOKUP($CJ11,装強!$1:$999,COLUMN(O$1),FALSE),0),"")</f>
        <v>10</v>
      </c>
      <c r="P11" s="23">
        <f>IFERROR((VLOOKUP($C11,武器!$1:$998,COLUMN(L$1),FALSE)+VLOOKUP($D11,素材!$1:$1016,COLUMN(I$1),FALSE))*100+IFERROR(VLOOKUP($CJ11,装強!$1:$999,COLUMN(P$1),FALSE),0),"")</f>
        <v>150</v>
      </c>
      <c r="Q11">
        <f>IFERROR(ROUNDUP(VLOOKUP($C11,武器!$1:$998,COLUMN(M$1),FALSE)*(VLOOKUP($D11,素材!$1:$1002,COLUMN(D$1),FALSE)/100),1),"")</f>
        <v>0</v>
      </c>
      <c r="R11">
        <f>IFERROR(ROUNDUP(VLOOKUP($C11,武器!$1:$998,COLUMN(N$1),FALSE)*(VLOOKUP($D11,素材!$1:$1002,COLUMN(D$1),FALSE)/100),1),"")</f>
        <v>0</v>
      </c>
      <c r="S11">
        <f>IFERROR(VLOOKUP($C11,武器!$1:$998,COLUMN(P$1),FALSE),"")</f>
        <v>0</v>
      </c>
      <c r="T11">
        <f>IFERROR(VLOOKUP($C11,武器!$1:$998,COLUMN(Q$1),FALSE),"")</f>
        <v>0</v>
      </c>
      <c r="U11">
        <f>IFERROR(VLOOKUP($C11,武器!$1:$998,COLUMN(R$1),FALSE),"")</f>
        <v>0</v>
      </c>
      <c r="V11">
        <f>IFERROR(VLOOKUP($C11,武器!$1:$998,COLUMN(Q$1),FALSE),"")</f>
        <v>0</v>
      </c>
      <c r="W11" t="str">
        <f>IFERROR(VLOOKUP($C11,武器!$1:$998,COLUMN(T$1),FALSE),"")</f>
        <v>A</v>
      </c>
      <c r="Y11" t="str">
        <f>IFERROR(VLOOKUP($C11,武器!$1:$998,COLUMN(U$1),FALSE),"")</f>
        <v>投擲強化</v>
      </c>
      <c r="Z11">
        <f>IFERROR(ROUNDUP(VLOOKUP($C11,武器!$1:$998,COLUMN(O$1),FALSE)*VLOOKUP($D11,素材!$1:$1016,COLUMN(E$1),FALSE),1),"")</f>
        <v>0</v>
      </c>
      <c r="AA11">
        <f>IF(ISNUMBER(SEARCH(SUBSTITUTE(AA$1,RIGHT(AA$1,2),""),VLOOKUP($D11,素材!$1:$1016,COLUMN($F$1),FALSE))),VLOOKUP($C11,武器!$1:$998,COLUMN($O$1),FALSE)*VLOOKUP($D11,素材!$1:$1016,COLUMN($E$1),FALSE)/(LEN(VLOOKUP($D11,素材!$1:$1016,COLUMN($F$1),FALSE))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B11">
        <f>IF(ISNUMBER(SEARCH(SUBSTITUTE(AB$1,RIGHT(AB$1,2),""),VLOOKUP($D11,素材!$1:$1016,COLUMN($F$1),FALSE))),VLOOKUP($C11,武器!$1:$998,COLUMN($O$1),FALSE)*VLOOKUP($D11,素材!$1:$1016,COLUMN($E$1),FALSE)/(LEN(VLOOKUP($D11,素材!$1:$1016,COLUMN($F$1),FALSE))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C11">
        <f>IF(ISNUMBER(SEARCH(SUBSTITUTE(AC$1,RIGHT(AC$1,2),""),VLOOKUP($D11,素材!$1:$1016,COLUMN($F$1),FALSE))),VLOOKUP($C11,武器!$1:$998,COLUMN($O$1),FALSE)*VLOOKUP($D11,素材!$1:$1016,COLUMN($E$1),FALSE)/(LEN(VLOOKUP($D11,素材!$1:$1016,COLUMN($F$1),FALSE))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D11">
        <f>IF(ISNUMBER(SEARCH(SUBSTITUTE(AD$1,RIGHT(AD$1,2),""),VLOOKUP($D11,素材!$1:$1016,COLUMN($F$1),FALSE))),VLOOKUP($C11,武器!$1:$998,COLUMN($O$1),FALSE)*VLOOKUP($D11,素材!$1:$1016,COLUMN($E$1),FALSE)/(LEN(VLOOKUP($D11,素材!$1:$1016,COLUMN($F$1),FALSE))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E11">
        <f>IF(ISNUMBER(SEARCH(SUBSTITUTE(AE$1,RIGHT(AE$1,2),""),VLOOKUP($D11,素材!$1:$1016,COLUMN($F$1),FALSE))),VLOOKUP($C11,武器!$1:$998,COLUMN($O$1),FALSE)*VLOOKUP($D11,素材!$1:$1016,COLUMN($E$1),FALSE)/(LEN(VLOOKUP($D11,素材!$1:$1016,COLUMN($F$1),FALSE))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F11">
        <f>IF(ISNUMBER(SEARCH(SUBSTITUTE(AF$1,RIGHT(AF$1,2),""),VLOOKUP($D11,素材!$1:$1016,COLUMN($F$1),FALSE))),VLOOKUP($C11,武器!$1:$998,COLUMN($O$1),FALSE)*VLOOKUP($D11,素材!$1:$1016,COLUMN($E$1),FALSE)/(LEN(VLOOKUP($D11,素材!$1:$1016,COLUMN($F$1),FALSE))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G11">
        <f>IF(ISNUMBER(SEARCH(SUBSTITUTE(AG$1,RIGHT(AG$1,2),""),VLOOKUP($D11,素材!$1:$1016,COLUMN($F$1),FALSE))),VLOOKUP($C11,武器!$1:$998,COLUMN($O$1),FALSE)*VLOOKUP($D11,素材!$1:$1016,COLUMN($E$1),FALSE)/(LEN(VLOOKUP($D11,素材!$1:$1016,COLUMN($F$1),FALSE))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H11">
        <f>IF(ISNUMBER(SEARCH(SUBSTITUTE(AH$1,RIGHT(AH$1,2),""),VLOOKUP($D11,素材!$1:$1016,COLUMN($F$1),FALSE))),VLOOKUP($C11,武器!$1:$998,COLUMN($O$1),FALSE)*VLOOKUP($D11,素材!$1:$1016,COLUMN($E$1),FALSE)/(LEN(VLOOKUP($D11,素材!$1:$1016,COLUMN($F$1),FALSE))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I11">
        <f>IF(ISNUMBER(SEARCH(SUBSTITUTE(AI$1,RIGHT(AI$1,2),""),VLOOKUP($D11,素材!$1:$1016,COLUMN($F$1),FALSE))),VLOOKUP($C11,武器!$1:$998,COLUMN($O$1),FALSE)*VLOOKUP($D11,素材!$1:$1016,COLUMN($E$1),FALSE)/(LEN(VLOOKUP($D11,素材!$1:$1016,COLUMN($F$1),FALSE))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J11">
        <f>IF(ISNUMBER(SEARCH(SUBSTITUTE(AJ$1,RIGHT(AJ$1,2),""),VLOOKUP($D11,素材!$1:$1016,COLUMN($F$1),FALSE))),VLOOKUP($C11,武器!$1:$998,COLUMN($O$1),FALSE)*VLOOKUP($D11,素材!$1:$1016,COLUMN($E$1),FALSE)/(LEN(VLOOKUP($D11,素材!$1:$1016,COLUMN($F$1),FALSE))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K11">
        <f>IF(ISNUMBER(SEARCH(SUBSTITUTE(AK$1,RIGHT(AK$1,2),""),VLOOKUP($D11,素材!$1:$1016,COLUMN($F$1),FALSE))),VLOOKUP($C11,武器!$1:$998,COLUMN($O$1),FALSE)*VLOOKUP($D11,素材!$1:$1016,COLUMN($E$1),FALSE)/(LEN(VLOOKUP($D11,素材!$1:$1016,COLUMN($F$1),FALSE))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L11">
        <f>IF(ISNUMBER(SEARCH(SUBSTITUTE(AL$1,RIGHT(AL$1,2),""),VLOOKUP($D11,素材!$1:$1016,COLUMN($F$1),FALSE))),VLOOKUP($C11,武器!$1:$998,COLUMN($O$1),FALSE)*VLOOKUP($D11,素材!$1:$1016,COLUMN($E$1),FALSE)/(LEN(VLOOKUP($D11,素材!$1:$1016,COLUMN($F$1),FALSE))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M11">
        <f>IF(ISNUMBER(SEARCH(SUBSTITUTE(AM$1,RIGHT(AM$1,2),""),VLOOKUP($D11,素材!$1:$1016,COLUMN($F$1),FALSE))),VLOOKUP($C11,武器!$1:$998,COLUMN($O$1),FALSE)*VLOOKUP($D11,素材!$1:$1016,COLUMN($E$1),FALSE)/(LEN(VLOOKUP($D11,素材!$1:$1016,COLUMN($F$1),FALSE))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N11">
        <f>IF(ISNUMBER(SEARCH(SUBSTITUTE(AN$1,RIGHT(AN$1,2),""),VLOOKUP($D11,素材!$1:$1016,COLUMN($F$1),FALSE))),VLOOKUP($C11,武器!$1:$998,COLUMN($O$1),FALSE)*VLOOKUP($D11,素材!$1:$1016,COLUMN($E$1),FALSE)/(LEN(VLOOKUP($D11,素材!$1:$1016,COLUMN($F$1),FALSE))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O11">
        <f>IF(ISNUMBER(SEARCH(SUBSTITUTE(AO$1,RIGHT(AO$1,2),""),VLOOKUP($D11,素材!$1:$1016,COLUMN($F$1),FALSE))),VLOOKUP($C11,武器!$1:$998,COLUMN($O$1),FALSE)*VLOOKUP($D11,素材!$1:$1016,COLUMN($E$1),FALSE)/(LEN(VLOOKUP($D11,素材!$1:$1016,COLUMN($F$1),FALSE))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P11">
        <f>IF(ISNUMBER(SEARCH(SUBSTITUTE(AP$1,RIGHT(AP$1,2),""),VLOOKUP($D11,素材!$1:$1016,COLUMN($F$1),FALSE))),VLOOKUP($C11,武器!$1:$998,COLUMN($O$1),FALSE)*VLOOKUP($D11,素材!$1:$1016,COLUMN($E$1),FALSE)/(LEN(VLOOKUP($D11,素材!$1:$1016,COLUMN($F$1),FALSE))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Q11">
        <f>IF(ISNUMBER(SEARCH(SUBSTITUTE(AQ$1,RIGHT(AQ$1,2),""),VLOOKUP($D11,素材!$1:$1016,COLUMN($F$1),FALSE))),VLOOKUP($C11,武器!$1:$998,COLUMN($O$1),FALSE)*VLOOKUP($D11,素材!$1:$1016,COLUMN($E$1),FALSE)/(LEN(VLOOKUP($D11,素材!$1:$1016,COLUMN($F$1),FALSE))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R11">
        <f>IF(ISNUMBER(SEARCH(SUBSTITUTE(AR$1,RIGHT(AR$1,2),""),VLOOKUP($D11,素材!$1:$1016,COLUMN($F$1),FALSE))),VLOOKUP($C11,武器!$1:$998,COLUMN($O$1),FALSE)*VLOOKUP($D11,素材!$1:$1016,COLUMN($E$1),FALSE)/(LEN(VLOOKUP($D11,素材!$1:$1016,COLUMN($F$1),FALSE))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S11">
        <f>IF(ISNUMBER(SEARCH(SUBSTITUTE(AS$1,RIGHT(AS$1,2),""),VLOOKUP($D11,素材!$1:$1016,COLUMN($F$1),FALSE))),VLOOKUP($C11,武器!$1:$998,COLUMN($O$1),FALSE)*VLOOKUP($D11,素材!$1:$1016,COLUMN($E$1),FALSE)/(LEN(VLOOKUP($D11,素材!$1:$1016,COLUMN($F$1),FALSE))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T11">
        <f>IF(ISNUMBER(SEARCH(SUBSTITUTE(AT$1,RIGHT(AT$1,2),""),VLOOKUP($D11,素材!$1:$1016,COLUMN($F$1),FALSE))),VLOOKUP($C11,武器!$1:$998,COLUMN($O$1),FALSE)*VLOOKUP($D11,素材!$1:$1016,COLUMN($E$1),FALSE)/(LEN(VLOOKUP($D11,素材!$1:$1016,COLUMN($F$1),FALSE))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U11">
        <f>IF(ISNUMBER(SEARCH(SUBSTITUTE(AU$1,RIGHT(AU$1,2),""),VLOOKUP($D11,素材!$1:$1016,COLUMN($F$1),FALSE))),VLOOKUP($C11,武器!$1:$998,COLUMN($O$1),FALSE)*VLOOKUP($D11,素材!$1:$1016,COLUMN($E$1),FALSE)/(LEN(VLOOKUP($D11,素材!$1:$1016,COLUMN($F$1),FALSE))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V11">
        <f>IF(ISNUMBER(SEARCH(SUBSTITUTE(AV$1,RIGHT(AV$1,2),""),VLOOKUP($D11,素材!$1:$1016,COLUMN($F$1),FALSE))),VLOOKUP($C11,武器!$1:$998,COLUMN($O$1),FALSE)*VLOOKUP($D11,素材!$1:$1016,COLUMN($E$1),FALSE)/(LEN(VLOOKUP($D11,素材!$1:$1016,COLUMN($F$1),FALSE))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W11">
        <f>IF(ISNUMBER(SEARCH(SUBSTITUTE(AW$1,RIGHT(AW$1,2),""),VLOOKUP($D11,素材!$1:$1016,COLUMN($F$1),FALSE))),VLOOKUP($C11,武器!$1:$998,COLUMN($O$1),FALSE)*VLOOKUP($D11,素材!$1:$1016,COLUMN($E$1),FALSE)/(LEN(VLOOKUP($D11,素材!$1:$1016,COLUMN($F$1),FALSE))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X11">
        <f>IF(ISNUMBER(SEARCH(SUBSTITUTE(AX$1,RIGHT(AX$1,2),""),VLOOKUP($D11,素材!$1:$1016,COLUMN($F$1),FALSE))),VLOOKUP($C11,武器!$1:$998,COLUMN($O$1),FALSE)*VLOOKUP($D11,素材!$1:$1016,COLUMN($E$1),FALSE)/(LEN(VLOOKUP($D11,素材!$1:$1016,COLUMN($F$1),FALSE))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Y11">
        <f>IF(ISNUMBER(SEARCH(SUBSTITUTE(AY$1,RIGHT(AY$1,2),""),VLOOKUP($D11,素材!$1:$1016,COLUMN($F$1),FALSE))),VLOOKUP($C11,武器!$1:$998,COLUMN($O$1),FALSE)*VLOOKUP($D11,素材!$1:$1016,COLUMN($E$1),FALSE)/(LEN(VLOOKUP($D11,素材!$1:$1016,COLUMN($F$1),FALSE))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AZ11">
        <f>IF(ISNUMBER(SEARCH(SUBSTITUTE(AZ$1,RIGHT(AZ$1,2),""),VLOOKUP($D11,素材!$1:$1016,COLUMN($F$1),FALSE))),VLOOKUP($C11,武器!$1:$998,COLUMN($O$1),FALSE)*VLOOKUP($D11,素材!$1:$1016,COLUMN($E$1),FALSE)/(LEN(VLOOKUP($D11,素材!$1:$1016,COLUMN($F$1),FALSE))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BA11">
        <f>IF(ISNUMBER(SEARCH(SUBSTITUTE(BA$1,RIGHT(BA$1,2),""),VLOOKUP($D11,素材!$1:$1016,COLUMN($F$1),FALSE))),VLOOKUP($C11,武器!$1:$998,COLUMN($O$1),FALSE)*VLOOKUP($D11,素材!$1:$1016,COLUMN($E$1),FALSE)/(LEN(VLOOKUP($D11,素材!$1:$1016,COLUMN($F$1),FALSE))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BB11">
        <f>IF(ISNUMBER(SEARCH(SUBSTITUTE(BB$1,RIGHT(BB$1,2),""),VLOOKUP($D11,素材!$1:$1016,COLUMN($F$1),FALSE))),VLOOKUP($C11,武器!$1:$998,COLUMN($O$1),FALSE)*VLOOKUP($D11,素材!$1:$1016,COLUMN($E$1),FALSE)/(LEN(VLOOKUP($D11,素材!$1:$1016,COLUMN($F$1),FALSE))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BC11">
        <f>IF(ISNUMBER(SEARCH(SUBSTITUTE(BC$1,RIGHT(BC$1,2),""),VLOOKUP($D11,素材!$1:$1016,COLUMN($F$1),FALSE))),VLOOKUP($C11,武器!$1:$998,COLUMN($O$1),FALSE)*VLOOKUP($D11,素材!$1:$1016,COLUMN($E$1),FALSE)/(LEN(VLOOKUP($D11,素材!$1:$1016,COLUMN($F$1),FALSE))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BD11">
        <f>IF(ISNUMBER(SEARCH(SUBSTITUTE(BD$1,RIGHT(BD$1,2),""),VLOOKUP($D11,素材!$1:$1016,COLUMN($F$1),FALSE))),VLOOKUP($C11,武器!$1:$998,COLUMN($O$1),FALSE)*VLOOKUP($D11,素材!$1:$1016,COLUMN($E$1),FALSE)/(LEN(VLOOKUP($D11,素材!$1:$1016,COLUMN($F$1),FALSE))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BE11">
        <f>IF(ISNUMBER(SEARCH(SUBSTITUTE(BE$1,RIGHT(BE$1,2),""),VLOOKUP($D11,素材!$1:$1016,COLUMN($F$1),FALSE))),VLOOKUP($C11,武器!$1:$998,COLUMN($O$1),FALSE)*VLOOKUP($D11,素材!$1:$1016,COLUMN($E$1),FALSE)/(LEN(VLOOKUP($D11,素材!$1:$1016,COLUMN($F$1),FALSE))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BF11">
        <f>IF(ISNUMBER(SEARCH(SUBSTITUTE(BF$1,RIGHT(BF$1,2),""),VLOOKUP($D11,素材!$1:$1016,COLUMN($F$1),FALSE))),VLOOKUP($C11,武器!$1:$998,COLUMN($O$1),FALSE)*VLOOKUP($D11,素材!$1:$1016,COLUMN($E$1),FALSE)/(LEN(VLOOKUP($D11,素材!$1:$1016,COLUMN($F$1),FALSE)) - LEN(SUBSTITUTE(VLOOKUP($D11,素材!$1:$1016,COLUMN($F$1),FALSE), "・", 0)) + 1), 0)</f>
        <v>0</v>
      </c>
      <c r="CM11">
        <f t="shared" si="3"/>
        <v>25</v>
      </c>
      <c r="CN11" s="22" t="str">
        <f>IF(E11="武器",IF(J11-1&gt;SUM(G11:I11),"盾",IF(MAX(G11:I11)=G11,"切断",IF(MAX(G11:I11)=H11,"貫通",IF(MAX(G11:I11)=I11,"打撃","射撃")))),E11)&amp;".webp"</f>
        <v>貫通.webp</v>
      </c>
      <c r="CO11">
        <f>IFERROR(VLOOKUP($C11,武器!$1:$998,COLUMN(V$1),FALSE)*VLOOKUP($D11,素材!$1:$1016,COLUMN(N$1),FALSE)+IF(CJ11="",0,VLOOKUP($CJ11,装強!$1:$1008,COLUMN($CL$1),FALSE)),"")</f>
        <v>300</v>
      </c>
      <c r="CP11" t="str">
        <f>VLOOKUP(D11,素材!$A:$O,COLUMN(素材!O$1),FALSE)</f>
        <v>一般的な鉄。量産品を作るのに使用されることが多い</v>
      </c>
      <c r="CQ11" t="str">
        <f>VLOOKUP(C11,武器!$A:$W,COLUMN(武器!W$1),FALSE)</f>
        <v>短槍。短く扱いやすい槍で、投擲にも対応。</v>
      </c>
      <c r="CS11" t="str">
        <f t="shared" si="2"/>
        <v>e_11</v>
      </c>
      <c r="CT11">
        <f t="shared" si="4"/>
        <v>30000</v>
      </c>
    </row>
    <row r="12" spans="1:98" outlineLevel="1" x14ac:dyDescent="0.4">
      <c r="A12" t="str">
        <f t="shared" si="0"/>
        <v>鉄の槍</v>
      </c>
      <c r="B12" t="str">
        <f>IFERROR(VLOOKUP($D12,素材!$1:$1016,COLUMN($B$1),FALSE)&amp;"・"&amp;VLOOKUP($C12,武器!$1:$998,COLUMN(B$1),FALSE),"")</f>
        <v>アイアン・スピア</v>
      </c>
      <c r="C12" s="24" t="s">
        <v>233</v>
      </c>
      <c r="D12" s="24" t="s">
        <v>257</v>
      </c>
      <c r="E12" t="str">
        <f>IFERROR(VLOOKUP(C12,武器!$1:$998,COLUMN(C$1),FALSE),"")</f>
        <v>武器</v>
      </c>
      <c r="F12">
        <f>IFERROR(ROUNDDOWN((VLOOKUP($C12,武器!$1:$998,COLUMN(D$1),FALSE)+IFERROR(VLOOKUP($CJ12,装強!$1:$999,COLUMN(F$1),FALSE),0))*VLOOKUP($D12,素材!$1:$1016,COLUMN(D$1),FALSE),0),"")</f>
        <v>115</v>
      </c>
      <c r="G12">
        <f>IFERROR(ROUNDDOWN((VLOOKUP($C12,武器!$1:$998,COLUMN(E$1),FALSE)+IFERROR(VLOOKUP($CJ12,装強!$1:$999,COLUMN(G$1),FALSE),0))*VLOOKUP($D12,素材!$1:$1016,COLUMN($E$1),FALSE),0),"")</f>
        <v>8</v>
      </c>
      <c r="H12">
        <f>IFERROR(ROUNDDOWN((VLOOKUP($C12,武器!$1:$998,COLUMN(F$1),FALSE)+IFERROR(VLOOKUP($CJ12,装強!$1:$999,COLUMN(H$1),FALSE),0))*VLOOKUP($D12,素材!$1:$1016,COLUMN($E$1),FALSE),0),"")</f>
        <v>16</v>
      </c>
      <c r="I12">
        <f>IFERROR(ROUNDDOWN((VLOOKUP($C12,武器!$1:$998,COLUMN(G$1),FALSE)+IFERROR(VLOOKUP($CJ12,装強!$1:$999,COLUMN(I$1),FALSE),0))*VLOOKUP($D12,素材!$1:$1016,COLUMN($E$1),FALSE),0),"")</f>
        <v>3</v>
      </c>
      <c r="J12">
        <f>IFERROR(ROUNDDOWN((VLOOKUP($C12,武器!$1:$998,COLUMN(H$1),FALSE)+IFERROR(VLOOKUP($CJ12,装強!$1:$999,COLUMN(J$1),FALSE),0))*VLOOKUP($D12,素材!$1:$1016,COLUMN($E$1),FALSE),0),"")</f>
        <v>17</v>
      </c>
      <c r="K12">
        <f>IFERROR(ROUNDDOWN((VLOOKUP($C12,武器!$1:$998,COLUMN(I$1),FALSE)+IFERROR(VLOOKUP($CJ12,装強!$1:$999,COLUMN(K$1),FALSE),0))*VLOOKUP($D12,素材!$1:$1016,COLUMN($E$1),FALSE),0),"")</f>
        <v>0</v>
      </c>
      <c r="L12">
        <f>IFERROR(VLOOKUP($D12,素材!$1:$1016,COLUMN($F$1),FALSE),"")</f>
        <v>0</v>
      </c>
      <c r="M12">
        <f>IFERROR(VLOOKUP($C12,武器!$1:$998,COLUMN(AA$1),FALSE)*VLOOKUP($D12,素材!$1:$1016,COLUMN($G$1),FALSE),"")</f>
        <v>0</v>
      </c>
      <c r="N12">
        <f>IFERROR(VLOOKUP($C12,武器!$1:$998,COLUMN(I$1),FALSE),"")</f>
        <v>0</v>
      </c>
      <c r="O12" s="23">
        <f>IFERROR((VLOOKUP($C12,武器!$1:$998,COLUMN(K$1),FALSE)+VLOOKUP($D12,素材!$1:$1016,COLUMN(H$1),FALSE))*100+IFERROR(VLOOKUP($CJ12,装強!$1:$999,COLUMN(O$1),FALSE),0),"")</f>
        <v>10</v>
      </c>
      <c r="P12" s="23">
        <f>IFERROR((VLOOKUP($C12,武器!$1:$998,COLUMN(L$1),FALSE)+VLOOKUP($D12,素材!$1:$1016,COLUMN(I$1),FALSE))*100+IFERROR(VLOOKUP($CJ12,装強!$1:$999,COLUMN(P$1),FALSE),0),"")</f>
        <v>150</v>
      </c>
      <c r="Q12">
        <f>IFERROR(ROUNDUP(VLOOKUP($C12,武器!$1:$998,COLUMN(M$1),FALSE)*(VLOOKUP($D12,素材!$1:$1002,COLUMN(D$1),FALSE)/100),1),"")</f>
        <v>0</v>
      </c>
      <c r="R12">
        <f>IFERROR(ROUNDUP(VLOOKUP($C12,武器!$1:$998,COLUMN(N$1),FALSE)*(VLOOKUP($D12,素材!$1:$1002,COLUMN(D$1),FALSE)/100),1),"")</f>
        <v>-5</v>
      </c>
      <c r="S12">
        <f>IFERROR(VLOOKUP($C12,武器!$1:$998,COLUMN(P$1),FALSE),"")</f>
        <v>0</v>
      </c>
      <c r="T12">
        <f>IFERROR(VLOOKUP($C12,武器!$1:$998,COLUMN(Q$1),FALSE),"")</f>
        <v>0</v>
      </c>
      <c r="U12">
        <f>IFERROR(VLOOKUP($C12,武器!$1:$998,COLUMN(R$1),FALSE),"")</f>
        <v>0</v>
      </c>
      <c r="V12">
        <f>IFERROR(VLOOKUP($C12,武器!$1:$998,COLUMN(Q$1),FALSE),"")</f>
        <v>0</v>
      </c>
      <c r="W12" t="str">
        <f>IFERROR(VLOOKUP($C12,武器!$1:$998,COLUMN(T$1),FALSE),"")</f>
        <v>A</v>
      </c>
      <c r="Y12" t="str">
        <f>IFERROR(VLOOKUP($C12,武器!$1:$998,COLUMN(U$1),FALSE),"")</f>
        <v>投擲強化</v>
      </c>
      <c r="Z12">
        <f>IFERROR(ROUNDUP(VLOOKUP($C12,武器!$1:$998,COLUMN(O$1),FALSE)*VLOOKUP($D12,素材!$1:$1016,COLUMN(E$1),FALSE),1),"")</f>
        <v>0</v>
      </c>
      <c r="AA12">
        <f>IF(ISNUMBER(SEARCH(SUBSTITUTE(AA$1,RIGHT(AA$1,2),""),VLOOKUP($D12,素材!$1:$1016,COLUMN($F$1),FALSE))),VLOOKUP($C12,武器!$1:$998,COLUMN($O$1),FALSE)*VLOOKUP($D12,素材!$1:$1016,COLUMN($E$1),FALSE)/(LEN(VLOOKUP($D12,素材!$1:$1016,COLUMN($F$1),FALSE))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B12">
        <f>IF(ISNUMBER(SEARCH(SUBSTITUTE(AB$1,RIGHT(AB$1,2),""),VLOOKUP($D12,素材!$1:$1016,COLUMN($F$1),FALSE))),VLOOKUP($C12,武器!$1:$998,COLUMN($O$1),FALSE)*VLOOKUP($D12,素材!$1:$1016,COLUMN($E$1),FALSE)/(LEN(VLOOKUP($D12,素材!$1:$1016,COLUMN($F$1),FALSE))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C12">
        <f>IF(ISNUMBER(SEARCH(SUBSTITUTE(AC$1,RIGHT(AC$1,2),""),VLOOKUP($D12,素材!$1:$1016,COLUMN($F$1),FALSE))),VLOOKUP($C12,武器!$1:$998,COLUMN($O$1),FALSE)*VLOOKUP($D12,素材!$1:$1016,COLUMN($E$1),FALSE)/(LEN(VLOOKUP($D12,素材!$1:$1016,COLUMN($F$1),FALSE))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D12">
        <f>IF(ISNUMBER(SEARCH(SUBSTITUTE(AD$1,RIGHT(AD$1,2),""),VLOOKUP($D12,素材!$1:$1016,COLUMN($F$1),FALSE))),VLOOKUP($C12,武器!$1:$998,COLUMN($O$1),FALSE)*VLOOKUP($D12,素材!$1:$1016,COLUMN($E$1),FALSE)/(LEN(VLOOKUP($D12,素材!$1:$1016,COLUMN($F$1),FALSE))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E12">
        <f>IF(ISNUMBER(SEARCH(SUBSTITUTE(AE$1,RIGHT(AE$1,2),""),VLOOKUP($D12,素材!$1:$1016,COLUMN($F$1),FALSE))),VLOOKUP($C12,武器!$1:$998,COLUMN($O$1),FALSE)*VLOOKUP($D12,素材!$1:$1016,COLUMN($E$1),FALSE)/(LEN(VLOOKUP($D12,素材!$1:$1016,COLUMN($F$1),FALSE))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F12">
        <f>IF(ISNUMBER(SEARCH(SUBSTITUTE(AF$1,RIGHT(AF$1,2),""),VLOOKUP($D12,素材!$1:$1016,COLUMN($F$1),FALSE))),VLOOKUP($C12,武器!$1:$998,COLUMN($O$1),FALSE)*VLOOKUP($D12,素材!$1:$1016,COLUMN($E$1),FALSE)/(LEN(VLOOKUP($D12,素材!$1:$1016,COLUMN($F$1),FALSE))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G12">
        <f>IF(ISNUMBER(SEARCH(SUBSTITUTE(AG$1,RIGHT(AG$1,2),""),VLOOKUP($D12,素材!$1:$1016,COLUMN($F$1),FALSE))),VLOOKUP($C12,武器!$1:$998,COLUMN($O$1),FALSE)*VLOOKUP($D12,素材!$1:$1016,COLUMN($E$1),FALSE)/(LEN(VLOOKUP($D12,素材!$1:$1016,COLUMN($F$1),FALSE))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H12">
        <f>IF(ISNUMBER(SEARCH(SUBSTITUTE(AH$1,RIGHT(AH$1,2),""),VLOOKUP($D12,素材!$1:$1016,COLUMN($F$1),FALSE))),VLOOKUP($C12,武器!$1:$998,COLUMN($O$1),FALSE)*VLOOKUP($D12,素材!$1:$1016,COLUMN($E$1),FALSE)/(LEN(VLOOKUP($D12,素材!$1:$1016,COLUMN($F$1),FALSE))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I12">
        <f>IF(ISNUMBER(SEARCH(SUBSTITUTE(AI$1,RIGHT(AI$1,2),""),VLOOKUP($D12,素材!$1:$1016,COLUMN($F$1),FALSE))),VLOOKUP($C12,武器!$1:$998,COLUMN($O$1),FALSE)*VLOOKUP($D12,素材!$1:$1016,COLUMN($E$1),FALSE)/(LEN(VLOOKUP($D12,素材!$1:$1016,COLUMN($F$1),FALSE))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J12">
        <f>IF(ISNUMBER(SEARCH(SUBSTITUTE(AJ$1,RIGHT(AJ$1,2),""),VLOOKUP($D12,素材!$1:$1016,COLUMN($F$1),FALSE))),VLOOKUP($C12,武器!$1:$998,COLUMN($O$1),FALSE)*VLOOKUP($D12,素材!$1:$1016,COLUMN($E$1),FALSE)/(LEN(VLOOKUP($D12,素材!$1:$1016,COLUMN($F$1),FALSE))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K12">
        <f>IF(ISNUMBER(SEARCH(SUBSTITUTE(AK$1,RIGHT(AK$1,2),""),VLOOKUP($D12,素材!$1:$1016,COLUMN($F$1),FALSE))),VLOOKUP($C12,武器!$1:$998,COLUMN($O$1),FALSE)*VLOOKUP($D12,素材!$1:$1016,COLUMN($E$1),FALSE)/(LEN(VLOOKUP($D12,素材!$1:$1016,COLUMN($F$1),FALSE))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L12">
        <f>IF(ISNUMBER(SEARCH(SUBSTITUTE(AL$1,RIGHT(AL$1,2),""),VLOOKUP($D12,素材!$1:$1016,COLUMN($F$1),FALSE))),VLOOKUP($C12,武器!$1:$998,COLUMN($O$1),FALSE)*VLOOKUP($D12,素材!$1:$1016,COLUMN($E$1),FALSE)/(LEN(VLOOKUP($D12,素材!$1:$1016,COLUMN($F$1),FALSE))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M12">
        <f>IF(ISNUMBER(SEARCH(SUBSTITUTE(AM$1,RIGHT(AM$1,2),""),VLOOKUP($D12,素材!$1:$1016,COLUMN($F$1),FALSE))),VLOOKUP($C12,武器!$1:$998,COLUMN($O$1),FALSE)*VLOOKUP($D12,素材!$1:$1016,COLUMN($E$1),FALSE)/(LEN(VLOOKUP($D12,素材!$1:$1016,COLUMN($F$1),FALSE))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N12">
        <f>IF(ISNUMBER(SEARCH(SUBSTITUTE(AN$1,RIGHT(AN$1,2),""),VLOOKUP($D12,素材!$1:$1016,COLUMN($F$1),FALSE))),VLOOKUP($C12,武器!$1:$998,COLUMN($O$1),FALSE)*VLOOKUP($D12,素材!$1:$1016,COLUMN($E$1),FALSE)/(LEN(VLOOKUP($D12,素材!$1:$1016,COLUMN($F$1),FALSE))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O12">
        <f>IF(ISNUMBER(SEARCH(SUBSTITUTE(AO$1,RIGHT(AO$1,2),""),VLOOKUP($D12,素材!$1:$1016,COLUMN($F$1),FALSE))),VLOOKUP($C12,武器!$1:$998,COLUMN($O$1),FALSE)*VLOOKUP($D12,素材!$1:$1016,COLUMN($E$1),FALSE)/(LEN(VLOOKUP($D12,素材!$1:$1016,COLUMN($F$1),FALSE))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P12">
        <f>IF(ISNUMBER(SEARCH(SUBSTITUTE(AP$1,RIGHT(AP$1,2),""),VLOOKUP($D12,素材!$1:$1016,COLUMN($F$1),FALSE))),VLOOKUP($C12,武器!$1:$998,COLUMN($O$1),FALSE)*VLOOKUP($D12,素材!$1:$1016,COLUMN($E$1),FALSE)/(LEN(VLOOKUP($D12,素材!$1:$1016,COLUMN($F$1),FALSE))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Q12">
        <f>IF(ISNUMBER(SEARCH(SUBSTITUTE(AQ$1,RIGHT(AQ$1,2),""),VLOOKUP($D12,素材!$1:$1016,COLUMN($F$1),FALSE))),VLOOKUP($C12,武器!$1:$998,COLUMN($O$1),FALSE)*VLOOKUP($D12,素材!$1:$1016,COLUMN($E$1),FALSE)/(LEN(VLOOKUP($D12,素材!$1:$1016,COLUMN($F$1),FALSE))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R12">
        <f>IF(ISNUMBER(SEARCH(SUBSTITUTE(AR$1,RIGHT(AR$1,2),""),VLOOKUP($D12,素材!$1:$1016,COLUMN($F$1),FALSE))),VLOOKUP($C12,武器!$1:$998,COLUMN($O$1),FALSE)*VLOOKUP($D12,素材!$1:$1016,COLUMN($E$1),FALSE)/(LEN(VLOOKUP($D12,素材!$1:$1016,COLUMN($F$1),FALSE))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S12">
        <f>IF(ISNUMBER(SEARCH(SUBSTITUTE(AS$1,RIGHT(AS$1,2),""),VLOOKUP($D12,素材!$1:$1016,COLUMN($F$1),FALSE))),VLOOKUP($C12,武器!$1:$998,COLUMN($O$1),FALSE)*VLOOKUP($D12,素材!$1:$1016,COLUMN($E$1),FALSE)/(LEN(VLOOKUP($D12,素材!$1:$1016,COLUMN($F$1),FALSE))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T12">
        <f>IF(ISNUMBER(SEARCH(SUBSTITUTE(AT$1,RIGHT(AT$1,2),""),VLOOKUP($D12,素材!$1:$1016,COLUMN($F$1),FALSE))),VLOOKUP($C12,武器!$1:$998,COLUMN($O$1),FALSE)*VLOOKUP($D12,素材!$1:$1016,COLUMN($E$1),FALSE)/(LEN(VLOOKUP($D12,素材!$1:$1016,COLUMN($F$1),FALSE))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U12">
        <f>IF(ISNUMBER(SEARCH(SUBSTITUTE(AU$1,RIGHT(AU$1,2),""),VLOOKUP($D12,素材!$1:$1016,COLUMN($F$1),FALSE))),VLOOKUP($C12,武器!$1:$998,COLUMN($O$1),FALSE)*VLOOKUP($D12,素材!$1:$1016,COLUMN($E$1),FALSE)/(LEN(VLOOKUP($D12,素材!$1:$1016,COLUMN($F$1),FALSE))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V12">
        <f>IF(ISNUMBER(SEARCH(SUBSTITUTE(AV$1,RIGHT(AV$1,2),""),VLOOKUP($D12,素材!$1:$1016,COLUMN($F$1),FALSE))),VLOOKUP($C12,武器!$1:$998,COLUMN($O$1),FALSE)*VLOOKUP($D12,素材!$1:$1016,COLUMN($E$1),FALSE)/(LEN(VLOOKUP($D12,素材!$1:$1016,COLUMN($F$1),FALSE))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W12">
        <f>IF(ISNUMBER(SEARCH(SUBSTITUTE(AW$1,RIGHT(AW$1,2),""),VLOOKUP($D12,素材!$1:$1016,COLUMN($F$1),FALSE))),VLOOKUP($C12,武器!$1:$998,COLUMN($O$1),FALSE)*VLOOKUP($D12,素材!$1:$1016,COLUMN($E$1),FALSE)/(LEN(VLOOKUP($D12,素材!$1:$1016,COLUMN($F$1),FALSE))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X12">
        <f>IF(ISNUMBER(SEARCH(SUBSTITUTE(AX$1,RIGHT(AX$1,2),""),VLOOKUP($D12,素材!$1:$1016,COLUMN($F$1),FALSE))),VLOOKUP($C12,武器!$1:$998,COLUMN($O$1),FALSE)*VLOOKUP($D12,素材!$1:$1016,COLUMN($E$1),FALSE)/(LEN(VLOOKUP($D12,素材!$1:$1016,COLUMN($F$1),FALSE))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Y12">
        <f>IF(ISNUMBER(SEARCH(SUBSTITUTE(AY$1,RIGHT(AY$1,2),""),VLOOKUP($D12,素材!$1:$1016,COLUMN($F$1),FALSE))),VLOOKUP($C12,武器!$1:$998,COLUMN($O$1),FALSE)*VLOOKUP($D12,素材!$1:$1016,COLUMN($E$1),FALSE)/(LEN(VLOOKUP($D12,素材!$1:$1016,COLUMN($F$1),FALSE))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AZ12">
        <f>IF(ISNUMBER(SEARCH(SUBSTITUTE(AZ$1,RIGHT(AZ$1,2),""),VLOOKUP($D12,素材!$1:$1016,COLUMN($F$1),FALSE))),VLOOKUP($C12,武器!$1:$998,COLUMN($O$1),FALSE)*VLOOKUP($D12,素材!$1:$1016,COLUMN($E$1),FALSE)/(LEN(VLOOKUP($D12,素材!$1:$1016,COLUMN($F$1),FALSE))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BA12">
        <f>IF(ISNUMBER(SEARCH(SUBSTITUTE(BA$1,RIGHT(BA$1,2),""),VLOOKUP($D12,素材!$1:$1016,COLUMN($F$1),FALSE))),VLOOKUP($C12,武器!$1:$998,COLUMN($O$1),FALSE)*VLOOKUP($D12,素材!$1:$1016,COLUMN($E$1),FALSE)/(LEN(VLOOKUP($D12,素材!$1:$1016,COLUMN($F$1),FALSE))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BB12">
        <f>IF(ISNUMBER(SEARCH(SUBSTITUTE(BB$1,RIGHT(BB$1,2),""),VLOOKUP($D12,素材!$1:$1016,COLUMN($F$1),FALSE))),VLOOKUP($C12,武器!$1:$998,COLUMN($O$1),FALSE)*VLOOKUP($D12,素材!$1:$1016,COLUMN($E$1),FALSE)/(LEN(VLOOKUP($D12,素材!$1:$1016,COLUMN($F$1),FALSE))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BC12">
        <f>IF(ISNUMBER(SEARCH(SUBSTITUTE(BC$1,RIGHT(BC$1,2),""),VLOOKUP($D12,素材!$1:$1016,COLUMN($F$1),FALSE))),VLOOKUP($C12,武器!$1:$998,COLUMN($O$1),FALSE)*VLOOKUP($D12,素材!$1:$1016,COLUMN($E$1),FALSE)/(LEN(VLOOKUP($D12,素材!$1:$1016,COLUMN($F$1),FALSE))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BD12">
        <f>IF(ISNUMBER(SEARCH(SUBSTITUTE(BD$1,RIGHT(BD$1,2),""),VLOOKUP($D12,素材!$1:$1016,COLUMN($F$1),FALSE))),VLOOKUP($C12,武器!$1:$998,COLUMN($O$1),FALSE)*VLOOKUP($D12,素材!$1:$1016,COLUMN($E$1),FALSE)/(LEN(VLOOKUP($D12,素材!$1:$1016,COLUMN($F$1),FALSE))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BE12">
        <f>IF(ISNUMBER(SEARCH(SUBSTITUTE(BE$1,RIGHT(BE$1,2),""),VLOOKUP($D12,素材!$1:$1016,COLUMN($F$1),FALSE))),VLOOKUP($C12,武器!$1:$998,COLUMN($O$1),FALSE)*VLOOKUP($D12,素材!$1:$1016,COLUMN($E$1),FALSE)/(LEN(VLOOKUP($D12,素材!$1:$1016,COLUMN($F$1),FALSE))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BF12">
        <f>IF(ISNUMBER(SEARCH(SUBSTITUTE(BF$1,RIGHT(BF$1,2),""),VLOOKUP($D12,素材!$1:$1016,COLUMN($F$1),FALSE))),VLOOKUP($C12,武器!$1:$998,COLUMN($O$1),FALSE)*VLOOKUP($D12,素材!$1:$1016,COLUMN($E$1),FALSE)/(LEN(VLOOKUP($D12,素材!$1:$1016,COLUMN($F$1),FALSE)) - LEN(SUBSTITUTE(VLOOKUP($D12,素材!$1:$1016,COLUMN($F$1),FALSE), "・", 0)) + 1), 0)</f>
        <v>0</v>
      </c>
      <c r="CM12">
        <f t="shared" si="3"/>
        <v>27</v>
      </c>
      <c r="CN12" s="22" t="str">
        <f>IF(E12="武器",IF(J12-1&gt;SUM(G12:I12),"盾",IF(MAX(G12:I12)=G12,"切断",IF(MAX(G12:I12)=H12,"貫通",IF(MAX(G12:I12)=I12,"打撃","射撃")))),E12)&amp;".webp"</f>
        <v>貫通.webp</v>
      </c>
      <c r="CO12">
        <f>IFERROR(VLOOKUP($C12,武器!$1:$998,COLUMN(V$1),FALSE)*VLOOKUP($D12,素材!$1:$1016,COLUMN(N$1),FALSE)+IF(CJ12="",0,VLOOKUP($CJ12,装強!$1:$1008,COLUMN($CL$1),FALSE)),"")</f>
        <v>400</v>
      </c>
      <c r="CP12" t="str">
        <f>VLOOKUP(D12,素材!$A:$O,COLUMN(素材!O$1),FALSE)</f>
        <v>一般的な鉄。量産品を作るのに使用されることが多い</v>
      </c>
      <c r="CQ12" t="str">
        <f>VLOOKUP(C12,武器!$A:$W,COLUMN(武器!W$1),FALSE)</f>
        <v>槍。リーチが長く、刺突に優れる武器。</v>
      </c>
      <c r="CS12" t="str">
        <f t="shared" si="2"/>
        <v>e_12</v>
      </c>
      <c r="CT12">
        <f t="shared" si="4"/>
        <v>40000</v>
      </c>
    </row>
    <row r="13" spans="1:98" outlineLevel="1" x14ac:dyDescent="0.4">
      <c r="A13" t="str">
        <f t="shared" si="0"/>
        <v>鉄の騎士槍</v>
      </c>
      <c r="B13" t="str">
        <f>IFERROR(VLOOKUP($D13,素材!$1:$1016,COLUMN($B$1),FALSE)&amp;"・"&amp;VLOOKUP($C13,武器!$1:$998,COLUMN(B$1),FALSE),"")</f>
        <v>アイアン・ランス</v>
      </c>
      <c r="C13" s="24" t="s">
        <v>232</v>
      </c>
      <c r="D13" s="24" t="s">
        <v>257</v>
      </c>
      <c r="E13" t="str">
        <f>IFERROR(VLOOKUP(C13,武器!$1:$998,COLUMN(C$1),FALSE),"")</f>
        <v>武器</v>
      </c>
      <c r="F13">
        <f>IFERROR(ROUNDDOWN((VLOOKUP($C13,武器!$1:$998,COLUMN(D$1),FALSE)+IFERROR(VLOOKUP($CJ13,装強!$1:$999,COLUMN(F$1),FALSE),0))*VLOOKUP($D13,素材!$1:$1016,COLUMN(D$1),FALSE),0),"")</f>
        <v>115</v>
      </c>
      <c r="G13">
        <f>IFERROR(ROUNDDOWN((VLOOKUP($C13,武器!$1:$998,COLUMN(E$1),FALSE)+IFERROR(VLOOKUP($CJ13,装強!$1:$999,COLUMN(G$1),FALSE),0))*VLOOKUP($D13,素材!$1:$1016,COLUMN($E$1),FALSE),0),"")</f>
        <v>0</v>
      </c>
      <c r="H13">
        <f>IFERROR(ROUNDDOWN((VLOOKUP($C13,武器!$1:$998,COLUMN(F$1),FALSE)+IFERROR(VLOOKUP($CJ13,装強!$1:$999,COLUMN(H$1),FALSE),0))*VLOOKUP($D13,素材!$1:$1016,COLUMN($E$1),FALSE),0),"")</f>
        <v>19</v>
      </c>
      <c r="I13">
        <f>IFERROR(ROUNDDOWN((VLOOKUP($C13,武器!$1:$998,COLUMN(G$1),FALSE)+IFERROR(VLOOKUP($CJ13,装強!$1:$999,COLUMN(I$1),FALSE),0))*VLOOKUP($D13,素材!$1:$1016,COLUMN($E$1),FALSE),0),"")</f>
        <v>9</v>
      </c>
      <c r="J13">
        <f>IFERROR(ROUNDDOWN((VLOOKUP($C13,武器!$1:$998,COLUMN(H$1),FALSE)+IFERROR(VLOOKUP($CJ13,装強!$1:$999,COLUMN(J$1),FALSE),0))*VLOOKUP($D13,素材!$1:$1016,COLUMN($E$1),FALSE),0),"")</f>
        <v>20</v>
      </c>
      <c r="K13">
        <f>IFERROR(ROUNDDOWN((VLOOKUP($C13,武器!$1:$998,COLUMN(I$1),FALSE)+IFERROR(VLOOKUP($CJ13,装強!$1:$999,COLUMN(K$1),FALSE),0))*VLOOKUP($D13,素材!$1:$1016,COLUMN($E$1),FALSE),0),"")</f>
        <v>0</v>
      </c>
      <c r="L13">
        <f>IFERROR(VLOOKUP($D13,素材!$1:$1016,COLUMN($F$1),FALSE),"")</f>
        <v>0</v>
      </c>
      <c r="M13">
        <f>IFERROR(VLOOKUP($C13,武器!$1:$998,COLUMN(AA$1),FALSE)*VLOOKUP($D13,素材!$1:$1016,COLUMN($G$1),FALSE),"")</f>
        <v>0</v>
      </c>
      <c r="N13">
        <f>IFERROR(VLOOKUP($C13,武器!$1:$998,COLUMN(I$1),FALSE),"")</f>
        <v>0</v>
      </c>
      <c r="O13" s="23">
        <f>IFERROR((VLOOKUP($C13,武器!$1:$998,COLUMN(K$1),FALSE)+VLOOKUP($D13,素材!$1:$1016,COLUMN(H$1),FALSE))*100+IFERROR(VLOOKUP($CJ13,装強!$1:$999,COLUMN(O$1),FALSE),0),"")</f>
        <v>5</v>
      </c>
      <c r="P13" s="23">
        <f>IFERROR((VLOOKUP($C13,武器!$1:$998,COLUMN(L$1),FALSE)+VLOOKUP($D13,素材!$1:$1016,COLUMN(I$1),FALSE))*100+IFERROR(VLOOKUP($CJ13,装強!$1:$999,COLUMN(P$1),FALSE),0),"")</f>
        <v>175</v>
      </c>
      <c r="Q13">
        <f>IFERROR(ROUNDUP(VLOOKUP($C13,武器!$1:$998,COLUMN(M$1),FALSE)*(VLOOKUP($D13,素材!$1:$1002,COLUMN(D$1),FALSE)/100),1),"")</f>
        <v>-5</v>
      </c>
      <c r="R13">
        <f>IFERROR(ROUNDUP(VLOOKUP($C13,武器!$1:$998,COLUMN(N$1),FALSE)*(VLOOKUP($D13,素材!$1:$1002,COLUMN(D$1),FALSE)/100),1),"")</f>
        <v>-5</v>
      </c>
      <c r="S13">
        <f>IFERROR(VLOOKUP($C13,武器!$1:$998,COLUMN(P$1),FALSE),"")</f>
        <v>0</v>
      </c>
      <c r="T13">
        <f>IFERROR(VLOOKUP($C13,武器!$1:$998,COLUMN(Q$1),FALSE),"")</f>
        <v>0</v>
      </c>
      <c r="U13">
        <f>IFERROR(VLOOKUP($C13,武器!$1:$998,COLUMN(R$1),FALSE),"")</f>
        <v>0</v>
      </c>
      <c r="V13">
        <f>IFERROR(VLOOKUP($C13,武器!$1:$998,COLUMN(Q$1),FALSE),"")</f>
        <v>0</v>
      </c>
      <c r="W13" t="str">
        <f>IFERROR(VLOOKUP($C13,武器!$1:$998,COLUMN(T$1),FALSE),"")</f>
        <v>A</v>
      </c>
      <c r="Y13" t="str">
        <f>IFERROR(VLOOKUP($C13,武器!$1:$998,COLUMN(U$1),FALSE),"")</f>
        <v>突撃強化</v>
      </c>
      <c r="Z13">
        <f>IFERROR(ROUNDUP(VLOOKUP($C13,武器!$1:$998,COLUMN(O$1),FALSE)*VLOOKUP($D13,素材!$1:$1016,COLUMN(E$1),FALSE),1),"")</f>
        <v>0</v>
      </c>
      <c r="AA13">
        <f>IF(ISNUMBER(SEARCH(SUBSTITUTE(AA$1,RIGHT(AA$1,2),""),VLOOKUP($D13,素材!$1:$1016,COLUMN($F$1),FALSE))),VLOOKUP($C13,武器!$1:$998,COLUMN($O$1),FALSE)*VLOOKUP($D13,素材!$1:$1016,COLUMN($E$1),FALSE)/(LEN(VLOOKUP($D13,素材!$1:$1016,COLUMN($F$1),FALSE))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B13">
        <f>IF(ISNUMBER(SEARCH(SUBSTITUTE(AB$1,RIGHT(AB$1,2),""),VLOOKUP($D13,素材!$1:$1016,COLUMN($F$1),FALSE))),VLOOKUP($C13,武器!$1:$998,COLUMN($O$1),FALSE)*VLOOKUP($D13,素材!$1:$1016,COLUMN($E$1),FALSE)/(LEN(VLOOKUP($D13,素材!$1:$1016,COLUMN($F$1),FALSE))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C13">
        <f>IF(ISNUMBER(SEARCH(SUBSTITUTE(AC$1,RIGHT(AC$1,2),""),VLOOKUP($D13,素材!$1:$1016,COLUMN($F$1),FALSE))),VLOOKUP($C13,武器!$1:$998,COLUMN($O$1),FALSE)*VLOOKUP($D13,素材!$1:$1016,COLUMN($E$1),FALSE)/(LEN(VLOOKUP($D13,素材!$1:$1016,COLUMN($F$1),FALSE))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D13">
        <f>IF(ISNUMBER(SEARCH(SUBSTITUTE(AD$1,RIGHT(AD$1,2),""),VLOOKUP($D13,素材!$1:$1016,COLUMN($F$1),FALSE))),VLOOKUP($C13,武器!$1:$998,COLUMN($O$1),FALSE)*VLOOKUP($D13,素材!$1:$1016,COLUMN($E$1),FALSE)/(LEN(VLOOKUP($D13,素材!$1:$1016,COLUMN($F$1),FALSE))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E13">
        <f>IF(ISNUMBER(SEARCH(SUBSTITUTE(AE$1,RIGHT(AE$1,2),""),VLOOKUP($D13,素材!$1:$1016,COLUMN($F$1),FALSE))),VLOOKUP($C13,武器!$1:$998,COLUMN($O$1),FALSE)*VLOOKUP($D13,素材!$1:$1016,COLUMN($E$1),FALSE)/(LEN(VLOOKUP($D13,素材!$1:$1016,COLUMN($F$1),FALSE))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F13">
        <f>IF(ISNUMBER(SEARCH(SUBSTITUTE(AF$1,RIGHT(AF$1,2),""),VLOOKUP($D13,素材!$1:$1016,COLUMN($F$1),FALSE))),VLOOKUP($C13,武器!$1:$998,COLUMN($O$1),FALSE)*VLOOKUP($D13,素材!$1:$1016,COLUMN($E$1),FALSE)/(LEN(VLOOKUP($D13,素材!$1:$1016,COLUMN($F$1),FALSE))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G13">
        <f>IF(ISNUMBER(SEARCH(SUBSTITUTE(AG$1,RIGHT(AG$1,2),""),VLOOKUP($D13,素材!$1:$1016,COLUMN($F$1),FALSE))),VLOOKUP($C13,武器!$1:$998,COLUMN($O$1),FALSE)*VLOOKUP($D13,素材!$1:$1016,COLUMN($E$1),FALSE)/(LEN(VLOOKUP($D13,素材!$1:$1016,COLUMN($F$1),FALSE))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H13">
        <f>IF(ISNUMBER(SEARCH(SUBSTITUTE(AH$1,RIGHT(AH$1,2),""),VLOOKUP($D13,素材!$1:$1016,COLUMN($F$1),FALSE))),VLOOKUP($C13,武器!$1:$998,COLUMN($O$1),FALSE)*VLOOKUP($D13,素材!$1:$1016,COLUMN($E$1),FALSE)/(LEN(VLOOKUP($D13,素材!$1:$1016,COLUMN($F$1),FALSE))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I13">
        <f>IF(ISNUMBER(SEARCH(SUBSTITUTE(AI$1,RIGHT(AI$1,2),""),VLOOKUP($D13,素材!$1:$1016,COLUMN($F$1),FALSE))),VLOOKUP($C13,武器!$1:$998,COLUMN($O$1),FALSE)*VLOOKUP($D13,素材!$1:$1016,COLUMN($E$1),FALSE)/(LEN(VLOOKUP($D13,素材!$1:$1016,COLUMN($F$1),FALSE))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J13">
        <f>IF(ISNUMBER(SEARCH(SUBSTITUTE(AJ$1,RIGHT(AJ$1,2),""),VLOOKUP($D13,素材!$1:$1016,COLUMN($F$1),FALSE))),VLOOKUP($C13,武器!$1:$998,COLUMN($O$1),FALSE)*VLOOKUP($D13,素材!$1:$1016,COLUMN($E$1),FALSE)/(LEN(VLOOKUP($D13,素材!$1:$1016,COLUMN($F$1),FALSE))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K13">
        <f>IF(ISNUMBER(SEARCH(SUBSTITUTE(AK$1,RIGHT(AK$1,2),""),VLOOKUP($D13,素材!$1:$1016,COLUMN($F$1),FALSE))),VLOOKUP($C13,武器!$1:$998,COLUMN($O$1),FALSE)*VLOOKUP($D13,素材!$1:$1016,COLUMN($E$1),FALSE)/(LEN(VLOOKUP($D13,素材!$1:$1016,COLUMN($F$1),FALSE))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L13">
        <f>IF(ISNUMBER(SEARCH(SUBSTITUTE(AL$1,RIGHT(AL$1,2),""),VLOOKUP($D13,素材!$1:$1016,COLUMN($F$1),FALSE))),VLOOKUP($C13,武器!$1:$998,COLUMN($O$1),FALSE)*VLOOKUP($D13,素材!$1:$1016,COLUMN($E$1),FALSE)/(LEN(VLOOKUP($D13,素材!$1:$1016,COLUMN($F$1),FALSE))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M13">
        <f>IF(ISNUMBER(SEARCH(SUBSTITUTE(AM$1,RIGHT(AM$1,2),""),VLOOKUP($D13,素材!$1:$1016,COLUMN($F$1),FALSE))),VLOOKUP($C13,武器!$1:$998,COLUMN($O$1),FALSE)*VLOOKUP($D13,素材!$1:$1016,COLUMN($E$1),FALSE)/(LEN(VLOOKUP($D13,素材!$1:$1016,COLUMN($F$1),FALSE))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N13">
        <f>IF(ISNUMBER(SEARCH(SUBSTITUTE(AN$1,RIGHT(AN$1,2),""),VLOOKUP($D13,素材!$1:$1016,COLUMN($F$1),FALSE))),VLOOKUP($C13,武器!$1:$998,COLUMN($O$1),FALSE)*VLOOKUP($D13,素材!$1:$1016,COLUMN($E$1),FALSE)/(LEN(VLOOKUP($D13,素材!$1:$1016,COLUMN($F$1),FALSE))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O13">
        <f>IF(ISNUMBER(SEARCH(SUBSTITUTE(AO$1,RIGHT(AO$1,2),""),VLOOKUP($D13,素材!$1:$1016,COLUMN($F$1),FALSE))),VLOOKUP($C13,武器!$1:$998,COLUMN($O$1),FALSE)*VLOOKUP($D13,素材!$1:$1016,COLUMN($E$1),FALSE)/(LEN(VLOOKUP($D13,素材!$1:$1016,COLUMN($F$1),FALSE))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P13">
        <f>IF(ISNUMBER(SEARCH(SUBSTITUTE(AP$1,RIGHT(AP$1,2),""),VLOOKUP($D13,素材!$1:$1016,COLUMN($F$1),FALSE))),VLOOKUP($C13,武器!$1:$998,COLUMN($O$1),FALSE)*VLOOKUP($D13,素材!$1:$1016,COLUMN($E$1),FALSE)/(LEN(VLOOKUP($D13,素材!$1:$1016,COLUMN($F$1),FALSE))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Q13">
        <f>IF(ISNUMBER(SEARCH(SUBSTITUTE(AQ$1,RIGHT(AQ$1,2),""),VLOOKUP($D13,素材!$1:$1016,COLUMN($F$1),FALSE))),VLOOKUP($C13,武器!$1:$998,COLUMN($O$1),FALSE)*VLOOKUP($D13,素材!$1:$1016,COLUMN($E$1),FALSE)/(LEN(VLOOKUP($D13,素材!$1:$1016,COLUMN($F$1),FALSE))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R13">
        <f>IF(ISNUMBER(SEARCH(SUBSTITUTE(AR$1,RIGHT(AR$1,2),""),VLOOKUP($D13,素材!$1:$1016,COLUMN($F$1),FALSE))),VLOOKUP($C13,武器!$1:$998,COLUMN($O$1),FALSE)*VLOOKUP($D13,素材!$1:$1016,COLUMN($E$1),FALSE)/(LEN(VLOOKUP($D13,素材!$1:$1016,COLUMN($F$1),FALSE))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S13">
        <f>IF(ISNUMBER(SEARCH(SUBSTITUTE(AS$1,RIGHT(AS$1,2),""),VLOOKUP($D13,素材!$1:$1016,COLUMN($F$1),FALSE))),VLOOKUP($C13,武器!$1:$998,COLUMN($O$1),FALSE)*VLOOKUP($D13,素材!$1:$1016,COLUMN($E$1),FALSE)/(LEN(VLOOKUP($D13,素材!$1:$1016,COLUMN($F$1),FALSE))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T13">
        <f>IF(ISNUMBER(SEARCH(SUBSTITUTE(AT$1,RIGHT(AT$1,2),""),VLOOKUP($D13,素材!$1:$1016,COLUMN($F$1),FALSE))),VLOOKUP($C13,武器!$1:$998,COLUMN($O$1),FALSE)*VLOOKUP($D13,素材!$1:$1016,COLUMN($E$1),FALSE)/(LEN(VLOOKUP($D13,素材!$1:$1016,COLUMN($F$1),FALSE))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U13">
        <f>IF(ISNUMBER(SEARCH(SUBSTITUTE(AU$1,RIGHT(AU$1,2),""),VLOOKUP($D13,素材!$1:$1016,COLUMN($F$1),FALSE))),VLOOKUP($C13,武器!$1:$998,COLUMN($O$1),FALSE)*VLOOKUP($D13,素材!$1:$1016,COLUMN($E$1),FALSE)/(LEN(VLOOKUP($D13,素材!$1:$1016,COLUMN($F$1),FALSE))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V13">
        <f>IF(ISNUMBER(SEARCH(SUBSTITUTE(AV$1,RIGHT(AV$1,2),""),VLOOKUP($D13,素材!$1:$1016,COLUMN($F$1),FALSE))),VLOOKUP($C13,武器!$1:$998,COLUMN($O$1),FALSE)*VLOOKUP($D13,素材!$1:$1016,COLUMN($E$1),FALSE)/(LEN(VLOOKUP($D13,素材!$1:$1016,COLUMN($F$1),FALSE))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W13">
        <f>IF(ISNUMBER(SEARCH(SUBSTITUTE(AW$1,RIGHT(AW$1,2),""),VLOOKUP($D13,素材!$1:$1016,COLUMN($F$1),FALSE))),VLOOKUP($C13,武器!$1:$998,COLUMN($O$1),FALSE)*VLOOKUP($D13,素材!$1:$1016,COLUMN($E$1),FALSE)/(LEN(VLOOKUP($D13,素材!$1:$1016,COLUMN($F$1),FALSE))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X13">
        <f>IF(ISNUMBER(SEARCH(SUBSTITUTE(AX$1,RIGHT(AX$1,2),""),VLOOKUP($D13,素材!$1:$1016,COLUMN($F$1),FALSE))),VLOOKUP($C13,武器!$1:$998,COLUMN($O$1),FALSE)*VLOOKUP($D13,素材!$1:$1016,COLUMN($E$1),FALSE)/(LEN(VLOOKUP($D13,素材!$1:$1016,COLUMN($F$1),FALSE))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Y13">
        <f>IF(ISNUMBER(SEARCH(SUBSTITUTE(AY$1,RIGHT(AY$1,2),""),VLOOKUP($D13,素材!$1:$1016,COLUMN($F$1),FALSE))),VLOOKUP($C13,武器!$1:$998,COLUMN($O$1),FALSE)*VLOOKUP($D13,素材!$1:$1016,COLUMN($E$1),FALSE)/(LEN(VLOOKUP($D13,素材!$1:$1016,COLUMN($F$1),FALSE))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AZ13">
        <f>IF(ISNUMBER(SEARCH(SUBSTITUTE(AZ$1,RIGHT(AZ$1,2),""),VLOOKUP($D13,素材!$1:$1016,COLUMN($F$1),FALSE))),VLOOKUP($C13,武器!$1:$998,COLUMN($O$1),FALSE)*VLOOKUP($D13,素材!$1:$1016,COLUMN($E$1),FALSE)/(LEN(VLOOKUP($D13,素材!$1:$1016,COLUMN($F$1),FALSE))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BA13">
        <f>IF(ISNUMBER(SEARCH(SUBSTITUTE(BA$1,RIGHT(BA$1,2),""),VLOOKUP($D13,素材!$1:$1016,COLUMN($F$1),FALSE))),VLOOKUP($C13,武器!$1:$998,COLUMN($O$1),FALSE)*VLOOKUP($D13,素材!$1:$1016,COLUMN($E$1),FALSE)/(LEN(VLOOKUP($D13,素材!$1:$1016,COLUMN($F$1),FALSE))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BB13">
        <f>IF(ISNUMBER(SEARCH(SUBSTITUTE(BB$1,RIGHT(BB$1,2),""),VLOOKUP($D13,素材!$1:$1016,COLUMN($F$1),FALSE))),VLOOKUP($C13,武器!$1:$998,COLUMN($O$1),FALSE)*VLOOKUP($D13,素材!$1:$1016,COLUMN($E$1),FALSE)/(LEN(VLOOKUP($D13,素材!$1:$1016,COLUMN($F$1),FALSE))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BC13">
        <f>IF(ISNUMBER(SEARCH(SUBSTITUTE(BC$1,RIGHT(BC$1,2),""),VLOOKUP($D13,素材!$1:$1016,COLUMN($F$1),FALSE))),VLOOKUP($C13,武器!$1:$998,COLUMN($O$1),FALSE)*VLOOKUP($D13,素材!$1:$1016,COLUMN($E$1),FALSE)/(LEN(VLOOKUP($D13,素材!$1:$1016,COLUMN($F$1),FALSE))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BD13">
        <f>IF(ISNUMBER(SEARCH(SUBSTITUTE(BD$1,RIGHT(BD$1,2),""),VLOOKUP($D13,素材!$1:$1016,COLUMN($F$1),FALSE))),VLOOKUP($C13,武器!$1:$998,COLUMN($O$1),FALSE)*VLOOKUP($D13,素材!$1:$1016,COLUMN($E$1),FALSE)/(LEN(VLOOKUP($D13,素材!$1:$1016,COLUMN($F$1),FALSE))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BE13">
        <f>IF(ISNUMBER(SEARCH(SUBSTITUTE(BE$1,RIGHT(BE$1,2),""),VLOOKUP($D13,素材!$1:$1016,COLUMN($F$1),FALSE))),VLOOKUP($C13,武器!$1:$998,COLUMN($O$1),FALSE)*VLOOKUP($D13,素材!$1:$1016,COLUMN($E$1),FALSE)/(LEN(VLOOKUP($D13,素材!$1:$1016,COLUMN($F$1),FALSE))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BF13">
        <f>IF(ISNUMBER(SEARCH(SUBSTITUTE(BF$1,RIGHT(BF$1,2),""),VLOOKUP($D13,素材!$1:$1016,COLUMN($F$1),FALSE))),VLOOKUP($C13,武器!$1:$998,COLUMN($O$1),FALSE)*VLOOKUP($D13,素材!$1:$1016,COLUMN($E$1),FALSE)/(LEN(VLOOKUP($D13,素材!$1:$1016,COLUMN($F$1),FALSE)) - LEN(SUBSTITUTE(VLOOKUP($D13,素材!$1:$1016,COLUMN($F$1),FALSE), "・", 0)) + 1), 0)</f>
        <v>0</v>
      </c>
      <c r="CM13">
        <f t="shared" si="3"/>
        <v>28</v>
      </c>
      <c r="CN13" s="22" t="str">
        <f>IF(E13="武器",IF(J13-1&gt;SUM(G13:I13),"盾",IF(MAX(G13:I13)=G13,"切断",IF(MAX(G13:I13)=H13,"貫通",IF(MAX(G13:I13)=I13,"打撃","射撃")))),E13)&amp;".webp"</f>
        <v>貫通.webp</v>
      </c>
      <c r="CO13">
        <f>IFERROR(VLOOKUP($C13,武器!$1:$998,COLUMN(V$1),FALSE)*VLOOKUP($D13,素材!$1:$1016,COLUMN(N$1),FALSE)+IF(CJ13="",0,VLOOKUP($CJ13,装強!$1:$1008,COLUMN($CL$1),FALSE)),"")</f>
        <v>600</v>
      </c>
      <c r="CP13" t="str">
        <f>VLOOKUP(D13,素材!$A:$O,COLUMN(素材!O$1),FALSE)</f>
        <v>一般的な鉄。量産品を作るのに使用されることが多い</v>
      </c>
      <c r="CQ13" t="str">
        <f>VLOOKUP(C13,武器!$A:$W,COLUMN(武器!W$1),FALSE)</f>
        <v>騎士槍。突撃に特化した武器で、高い攻撃力を誇る。</v>
      </c>
      <c r="CS13" t="str">
        <f t="shared" si="2"/>
        <v>e_13</v>
      </c>
      <c r="CT13">
        <f t="shared" si="4"/>
        <v>60000</v>
      </c>
    </row>
    <row r="14" spans="1:98" outlineLevel="1" x14ac:dyDescent="0.4">
      <c r="A14" t="str">
        <f t="shared" si="0"/>
        <v>鉄の斧槍</v>
      </c>
      <c r="B14" t="str">
        <f>IFERROR(VLOOKUP($D14,素材!$1:$1016,COLUMN($B$1),FALSE)&amp;"・"&amp;VLOOKUP($C14,武器!$1:$998,COLUMN(B$1),FALSE),"")</f>
        <v>アイアン・ハルバート</v>
      </c>
      <c r="C14" s="24" t="s">
        <v>231</v>
      </c>
      <c r="D14" s="24" t="s">
        <v>257</v>
      </c>
      <c r="E14" t="str">
        <f>IFERROR(VLOOKUP(C14,武器!$1:$998,COLUMN(C$1),FALSE),"")</f>
        <v>武器</v>
      </c>
      <c r="F14">
        <f>IFERROR(ROUNDDOWN((VLOOKUP($C14,武器!$1:$998,COLUMN(D$1),FALSE)+IFERROR(VLOOKUP($CJ14,装強!$1:$999,COLUMN(F$1),FALSE),0))*VLOOKUP($D14,素材!$1:$1016,COLUMN(D$1),FALSE),0),"")</f>
        <v>110</v>
      </c>
      <c r="G14">
        <f>IFERROR(ROUNDDOWN((VLOOKUP($C14,武器!$1:$998,COLUMN(E$1),FALSE)+IFERROR(VLOOKUP($CJ14,装強!$1:$999,COLUMN(G$1),FALSE),0))*VLOOKUP($D14,素材!$1:$1016,COLUMN($E$1),FALSE),0),"")</f>
        <v>8</v>
      </c>
      <c r="H14">
        <f>IFERROR(ROUNDDOWN((VLOOKUP($C14,武器!$1:$998,COLUMN(F$1),FALSE)+IFERROR(VLOOKUP($CJ14,装強!$1:$999,COLUMN(H$1),FALSE),0))*VLOOKUP($D14,素材!$1:$1016,COLUMN($E$1),FALSE),0),"")</f>
        <v>10</v>
      </c>
      <c r="I14">
        <f>IFERROR(ROUNDDOWN((VLOOKUP($C14,武器!$1:$998,COLUMN(G$1),FALSE)+IFERROR(VLOOKUP($CJ14,装強!$1:$999,COLUMN(I$1),FALSE),0))*VLOOKUP($D14,素材!$1:$1016,COLUMN($E$1),FALSE),0),"")</f>
        <v>6</v>
      </c>
      <c r="J14">
        <f>IFERROR(ROUNDDOWN((VLOOKUP($C14,武器!$1:$998,COLUMN(H$1),FALSE)+IFERROR(VLOOKUP($CJ14,装強!$1:$999,COLUMN(J$1),FALSE),0))*VLOOKUP($D14,素材!$1:$1016,COLUMN($E$1),FALSE),0),"")</f>
        <v>19</v>
      </c>
      <c r="K14">
        <f>IFERROR(ROUNDDOWN((VLOOKUP($C14,武器!$1:$998,COLUMN(I$1),FALSE)+IFERROR(VLOOKUP($CJ14,装強!$1:$999,COLUMN(K$1),FALSE),0))*VLOOKUP($D14,素材!$1:$1016,COLUMN($E$1),FALSE),0),"")</f>
        <v>0</v>
      </c>
      <c r="L14">
        <f>IFERROR(VLOOKUP($D14,素材!$1:$1016,COLUMN($F$1),FALSE),"")</f>
        <v>0</v>
      </c>
      <c r="M14">
        <f>IFERROR(VLOOKUP($C14,武器!$1:$998,COLUMN(AA$1),FALSE)*VLOOKUP($D14,素材!$1:$1016,COLUMN($G$1),FALSE),"")</f>
        <v>0</v>
      </c>
      <c r="N14">
        <f>IFERROR(VLOOKUP($C14,武器!$1:$998,COLUMN(I$1),FALSE),"")</f>
        <v>0</v>
      </c>
      <c r="O14" s="23">
        <f>IFERROR((VLOOKUP($C14,武器!$1:$998,COLUMN(K$1),FALSE)+VLOOKUP($D14,素材!$1:$1016,COLUMN(H$1),FALSE))*100+IFERROR(VLOOKUP($CJ14,装強!$1:$999,COLUMN(O$1),FALSE),0),"")</f>
        <v>10</v>
      </c>
      <c r="P14" s="23">
        <f>IFERROR((VLOOKUP($C14,武器!$1:$998,COLUMN(L$1),FALSE)+VLOOKUP($D14,素材!$1:$1016,COLUMN(I$1),FALSE))*100+IFERROR(VLOOKUP($CJ14,装強!$1:$999,COLUMN(P$1),FALSE),0),"")</f>
        <v>150</v>
      </c>
      <c r="Q14">
        <f>IFERROR(ROUNDUP(VLOOKUP($C14,武器!$1:$998,COLUMN(M$1),FALSE)*(VLOOKUP($D14,素材!$1:$1002,COLUMN(D$1),FALSE)/100),1),"")</f>
        <v>-5</v>
      </c>
      <c r="R14">
        <f>IFERROR(ROUNDUP(VLOOKUP($C14,武器!$1:$998,COLUMN(N$1),FALSE)*(VLOOKUP($D14,素材!$1:$1002,COLUMN(D$1),FALSE)/100),1),"")</f>
        <v>-5</v>
      </c>
      <c r="S14">
        <f>IFERROR(VLOOKUP($C14,武器!$1:$998,COLUMN(P$1),FALSE),"")</f>
        <v>0</v>
      </c>
      <c r="T14">
        <f>IFERROR(VLOOKUP($C14,武器!$1:$998,COLUMN(Q$1),FALSE),"")</f>
        <v>0</v>
      </c>
      <c r="U14">
        <f>IFERROR(VLOOKUP($C14,武器!$1:$998,COLUMN(R$1),FALSE),"")</f>
        <v>0</v>
      </c>
      <c r="V14">
        <f>IFERROR(VLOOKUP($C14,武器!$1:$998,COLUMN(Q$1),FALSE),"")</f>
        <v>0</v>
      </c>
      <c r="W14" t="str">
        <f>IFERROR(VLOOKUP($C14,武器!$1:$998,COLUMN(T$1),FALSE),"")</f>
        <v>A</v>
      </c>
      <c r="Y14">
        <f>IFERROR(VLOOKUP($C14,武器!$1:$998,COLUMN(U$1),FALSE),"")</f>
        <v>0</v>
      </c>
      <c r="Z14">
        <f>IFERROR(ROUNDUP(VLOOKUP($C14,武器!$1:$998,COLUMN(O$1),FALSE)*VLOOKUP($D14,素材!$1:$1016,COLUMN(E$1),FALSE),1),"")</f>
        <v>0</v>
      </c>
      <c r="AA14">
        <f>IF(ISNUMBER(SEARCH(SUBSTITUTE(AA$1,RIGHT(AA$1,2),""),VLOOKUP($D14,素材!$1:$1016,COLUMN($F$1),FALSE))),VLOOKUP($C14,武器!$1:$998,COLUMN($O$1),FALSE)*VLOOKUP($D14,素材!$1:$1016,COLUMN($E$1),FALSE)/(LEN(VLOOKUP($D14,素材!$1:$1016,COLUMN($F$1),FALSE))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B14">
        <f>IF(ISNUMBER(SEARCH(SUBSTITUTE(AB$1,RIGHT(AB$1,2),""),VLOOKUP($D14,素材!$1:$1016,COLUMN($F$1),FALSE))),VLOOKUP($C14,武器!$1:$998,COLUMN($O$1),FALSE)*VLOOKUP($D14,素材!$1:$1016,COLUMN($E$1),FALSE)/(LEN(VLOOKUP($D14,素材!$1:$1016,COLUMN($F$1),FALSE))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C14">
        <f>IF(ISNUMBER(SEARCH(SUBSTITUTE(AC$1,RIGHT(AC$1,2),""),VLOOKUP($D14,素材!$1:$1016,COLUMN($F$1),FALSE))),VLOOKUP($C14,武器!$1:$998,COLUMN($O$1),FALSE)*VLOOKUP($D14,素材!$1:$1016,COLUMN($E$1),FALSE)/(LEN(VLOOKUP($D14,素材!$1:$1016,COLUMN($F$1),FALSE))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D14">
        <f>IF(ISNUMBER(SEARCH(SUBSTITUTE(AD$1,RIGHT(AD$1,2),""),VLOOKUP($D14,素材!$1:$1016,COLUMN($F$1),FALSE))),VLOOKUP($C14,武器!$1:$998,COLUMN($O$1),FALSE)*VLOOKUP($D14,素材!$1:$1016,COLUMN($E$1),FALSE)/(LEN(VLOOKUP($D14,素材!$1:$1016,COLUMN($F$1),FALSE))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E14">
        <f>IF(ISNUMBER(SEARCH(SUBSTITUTE(AE$1,RIGHT(AE$1,2),""),VLOOKUP($D14,素材!$1:$1016,COLUMN($F$1),FALSE))),VLOOKUP($C14,武器!$1:$998,COLUMN($O$1),FALSE)*VLOOKUP($D14,素材!$1:$1016,COLUMN($E$1),FALSE)/(LEN(VLOOKUP($D14,素材!$1:$1016,COLUMN($F$1),FALSE))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F14">
        <f>IF(ISNUMBER(SEARCH(SUBSTITUTE(AF$1,RIGHT(AF$1,2),""),VLOOKUP($D14,素材!$1:$1016,COLUMN($F$1),FALSE))),VLOOKUP($C14,武器!$1:$998,COLUMN($O$1),FALSE)*VLOOKUP($D14,素材!$1:$1016,COLUMN($E$1),FALSE)/(LEN(VLOOKUP($D14,素材!$1:$1016,COLUMN($F$1),FALSE))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G14">
        <f>IF(ISNUMBER(SEARCH(SUBSTITUTE(AG$1,RIGHT(AG$1,2),""),VLOOKUP($D14,素材!$1:$1016,COLUMN($F$1),FALSE))),VLOOKUP($C14,武器!$1:$998,COLUMN($O$1),FALSE)*VLOOKUP($D14,素材!$1:$1016,COLUMN($E$1),FALSE)/(LEN(VLOOKUP($D14,素材!$1:$1016,COLUMN($F$1),FALSE))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H14">
        <f>IF(ISNUMBER(SEARCH(SUBSTITUTE(AH$1,RIGHT(AH$1,2),""),VLOOKUP($D14,素材!$1:$1016,COLUMN($F$1),FALSE))),VLOOKUP($C14,武器!$1:$998,COLUMN($O$1),FALSE)*VLOOKUP($D14,素材!$1:$1016,COLUMN($E$1),FALSE)/(LEN(VLOOKUP($D14,素材!$1:$1016,COLUMN($F$1),FALSE))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I14">
        <f>IF(ISNUMBER(SEARCH(SUBSTITUTE(AI$1,RIGHT(AI$1,2),""),VLOOKUP($D14,素材!$1:$1016,COLUMN($F$1),FALSE))),VLOOKUP($C14,武器!$1:$998,COLUMN($O$1),FALSE)*VLOOKUP($D14,素材!$1:$1016,COLUMN($E$1),FALSE)/(LEN(VLOOKUP($D14,素材!$1:$1016,COLUMN($F$1),FALSE))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J14">
        <f>IF(ISNUMBER(SEARCH(SUBSTITUTE(AJ$1,RIGHT(AJ$1,2),""),VLOOKUP($D14,素材!$1:$1016,COLUMN($F$1),FALSE))),VLOOKUP($C14,武器!$1:$998,COLUMN($O$1),FALSE)*VLOOKUP($D14,素材!$1:$1016,COLUMN($E$1),FALSE)/(LEN(VLOOKUP($D14,素材!$1:$1016,COLUMN($F$1),FALSE))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K14">
        <f>IF(ISNUMBER(SEARCH(SUBSTITUTE(AK$1,RIGHT(AK$1,2),""),VLOOKUP($D14,素材!$1:$1016,COLUMN($F$1),FALSE))),VLOOKUP($C14,武器!$1:$998,COLUMN($O$1),FALSE)*VLOOKUP($D14,素材!$1:$1016,COLUMN($E$1),FALSE)/(LEN(VLOOKUP($D14,素材!$1:$1016,COLUMN($F$1),FALSE))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L14">
        <f>IF(ISNUMBER(SEARCH(SUBSTITUTE(AL$1,RIGHT(AL$1,2),""),VLOOKUP($D14,素材!$1:$1016,COLUMN($F$1),FALSE))),VLOOKUP($C14,武器!$1:$998,COLUMN($O$1),FALSE)*VLOOKUP($D14,素材!$1:$1016,COLUMN($E$1),FALSE)/(LEN(VLOOKUP($D14,素材!$1:$1016,COLUMN($F$1),FALSE))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M14">
        <f>IF(ISNUMBER(SEARCH(SUBSTITUTE(AM$1,RIGHT(AM$1,2),""),VLOOKUP($D14,素材!$1:$1016,COLUMN($F$1),FALSE))),VLOOKUP($C14,武器!$1:$998,COLUMN($O$1),FALSE)*VLOOKUP($D14,素材!$1:$1016,COLUMN($E$1),FALSE)/(LEN(VLOOKUP($D14,素材!$1:$1016,COLUMN($F$1),FALSE))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N14">
        <f>IF(ISNUMBER(SEARCH(SUBSTITUTE(AN$1,RIGHT(AN$1,2),""),VLOOKUP($D14,素材!$1:$1016,COLUMN($F$1),FALSE))),VLOOKUP($C14,武器!$1:$998,COLUMN($O$1),FALSE)*VLOOKUP($D14,素材!$1:$1016,COLUMN($E$1),FALSE)/(LEN(VLOOKUP($D14,素材!$1:$1016,COLUMN($F$1),FALSE))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O14">
        <f>IF(ISNUMBER(SEARCH(SUBSTITUTE(AO$1,RIGHT(AO$1,2),""),VLOOKUP($D14,素材!$1:$1016,COLUMN($F$1),FALSE))),VLOOKUP($C14,武器!$1:$998,COLUMN($O$1),FALSE)*VLOOKUP($D14,素材!$1:$1016,COLUMN($E$1),FALSE)/(LEN(VLOOKUP($D14,素材!$1:$1016,COLUMN($F$1),FALSE))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P14">
        <f>IF(ISNUMBER(SEARCH(SUBSTITUTE(AP$1,RIGHT(AP$1,2),""),VLOOKUP($D14,素材!$1:$1016,COLUMN($F$1),FALSE))),VLOOKUP($C14,武器!$1:$998,COLUMN($O$1),FALSE)*VLOOKUP($D14,素材!$1:$1016,COLUMN($E$1),FALSE)/(LEN(VLOOKUP($D14,素材!$1:$1016,COLUMN($F$1),FALSE))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Q14">
        <f>IF(ISNUMBER(SEARCH(SUBSTITUTE(AQ$1,RIGHT(AQ$1,2),""),VLOOKUP($D14,素材!$1:$1016,COLUMN($F$1),FALSE))),VLOOKUP($C14,武器!$1:$998,COLUMN($O$1),FALSE)*VLOOKUP($D14,素材!$1:$1016,COLUMN($E$1),FALSE)/(LEN(VLOOKUP($D14,素材!$1:$1016,COLUMN($F$1),FALSE))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R14">
        <f>IF(ISNUMBER(SEARCH(SUBSTITUTE(AR$1,RIGHT(AR$1,2),""),VLOOKUP($D14,素材!$1:$1016,COLUMN($F$1),FALSE))),VLOOKUP($C14,武器!$1:$998,COLUMN($O$1),FALSE)*VLOOKUP($D14,素材!$1:$1016,COLUMN($E$1),FALSE)/(LEN(VLOOKUP($D14,素材!$1:$1016,COLUMN($F$1),FALSE))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S14">
        <f>IF(ISNUMBER(SEARCH(SUBSTITUTE(AS$1,RIGHT(AS$1,2),""),VLOOKUP($D14,素材!$1:$1016,COLUMN($F$1),FALSE))),VLOOKUP($C14,武器!$1:$998,COLUMN($O$1),FALSE)*VLOOKUP($D14,素材!$1:$1016,COLUMN($E$1),FALSE)/(LEN(VLOOKUP($D14,素材!$1:$1016,COLUMN($F$1),FALSE))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T14">
        <f>IF(ISNUMBER(SEARCH(SUBSTITUTE(AT$1,RIGHT(AT$1,2),""),VLOOKUP($D14,素材!$1:$1016,COLUMN($F$1),FALSE))),VLOOKUP($C14,武器!$1:$998,COLUMN($O$1),FALSE)*VLOOKUP($D14,素材!$1:$1016,COLUMN($E$1),FALSE)/(LEN(VLOOKUP($D14,素材!$1:$1016,COLUMN($F$1),FALSE))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U14">
        <f>IF(ISNUMBER(SEARCH(SUBSTITUTE(AU$1,RIGHT(AU$1,2),""),VLOOKUP($D14,素材!$1:$1016,COLUMN($F$1),FALSE))),VLOOKUP($C14,武器!$1:$998,COLUMN($O$1),FALSE)*VLOOKUP($D14,素材!$1:$1016,COLUMN($E$1),FALSE)/(LEN(VLOOKUP($D14,素材!$1:$1016,COLUMN($F$1),FALSE))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V14">
        <f>IF(ISNUMBER(SEARCH(SUBSTITUTE(AV$1,RIGHT(AV$1,2),""),VLOOKUP($D14,素材!$1:$1016,COLUMN($F$1),FALSE))),VLOOKUP($C14,武器!$1:$998,COLUMN($O$1),FALSE)*VLOOKUP($D14,素材!$1:$1016,COLUMN($E$1),FALSE)/(LEN(VLOOKUP($D14,素材!$1:$1016,COLUMN($F$1),FALSE))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W14">
        <f>IF(ISNUMBER(SEARCH(SUBSTITUTE(AW$1,RIGHT(AW$1,2),""),VLOOKUP($D14,素材!$1:$1016,COLUMN($F$1),FALSE))),VLOOKUP($C14,武器!$1:$998,COLUMN($O$1),FALSE)*VLOOKUP($D14,素材!$1:$1016,COLUMN($E$1),FALSE)/(LEN(VLOOKUP($D14,素材!$1:$1016,COLUMN($F$1),FALSE))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X14">
        <f>IF(ISNUMBER(SEARCH(SUBSTITUTE(AX$1,RIGHT(AX$1,2),""),VLOOKUP($D14,素材!$1:$1016,COLUMN($F$1),FALSE))),VLOOKUP($C14,武器!$1:$998,COLUMN($O$1),FALSE)*VLOOKUP($D14,素材!$1:$1016,COLUMN($E$1),FALSE)/(LEN(VLOOKUP($D14,素材!$1:$1016,COLUMN($F$1),FALSE))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Y14">
        <f>IF(ISNUMBER(SEARCH(SUBSTITUTE(AY$1,RIGHT(AY$1,2),""),VLOOKUP($D14,素材!$1:$1016,COLUMN($F$1),FALSE))),VLOOKUP($C14,武器!$1:$998,COLUMN($O$1),FALSE)*VLOOKUP($D14,素材!$1:$1016,COLUMN($E$1),FALSE)/(LEN(VLOOKUP($D14,素材!$1:$1016,COLUMN($F$1),FALSE))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AZ14">
        <f>IF(ISNUMBER(SEARCH(SUBSTITUTE(AZ$1,RIGHT(AZ$1,2),""),VLOOKUP($D14,素材!$1:$1016,COLUMN($F$1),FALSE))),VLOOKUP($C14,武器!$1:$998,COLUMN($O$1),FALSE)*VLOOKUP($D14,素材!$1:$1016,COLUMN($E$1),FALSE)/(LEN(VLOOKUP($D14,素材!$1:$1016,COLUMN($F$1),FALSE))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BA14">
        <f>IF(ISNUMBER(SEARCH(SUBSTITUTE(BA$1,RIGHT(BA$1,2),""),VLOOKUP($D14,素材!$1:$1016,COLUMN($F$1),FALSE))),VLOOKUP($C14,武器!$1:$998,COLUMN($O$1),FALSE)*VLOOKUP($D14,素材!$1:$1016,COLUMN($E$1),FALSE)/(LEN(VLOOKUP($D14,素材!$1:$1016,COLUMN($F$1),FALSE))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BB14">
        <f>IF(ISNUMBER(SEARCH(SUBSTITUTE(BB$1,RIGHT(BB$1,2),""),VLOOKUP($D14,素材!$1:$1016,COLUMN($F$1),FALSE))),VLOOKUP($C14,武器!$1:$998,COLUMN($O$1),FALSE)*VLOOKUP($D14,素材!$1:$1016,COLUMN($E$1),FALSE)/(LEN(VLOOKUP($D14,素材!$1:$1016,COLUMN($F$1),FALSE))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BC14">
        <f>IF(ISNUMBER(SEARCH(SUBSTITUTE(BC$1,RIGHT(BC$1,2),""),VLOOKUP($D14,素材!$1:$1016,COLUMN($F$1),FALSE))),VLOOKUP($C14,武器!$1:$998,COLUMN($O$1),FALSE)*VLOOKUP($D14,素材!$1:$1016,COLUMN($E$1),FALSE)/(LEN(VLOOKUP($D14,素材!$1:$1016,COLUMN($F$1),FALSE))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BD14">
        <f>IF(ISNUMBER(SEARCH(SUBSTITUTE(BD$1,RIGHT(BD$1,2),""),VLOOKUP($D14,素材!$1:$1016,COLUMN($F$1),FALSE))),VLOOKUP($C14,武器!$1:$998,COLUMN($O$1),FALSE)*VLOOKUP($D14,素材!$1:$1016,COLUMN($E$1),FALSE)/(LEN(VLOOKUP($D14,素材!$1:$1016,COLUMN($F$1),FALSE))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BE14">
        <f>IF(ISNUMBER(SEARCH(SUBSTITUTE(BE$1,RIGHT(BE$1,2),""),VLOOKUP($D14,素材!$1:$1016,COLUMN($F$1),FALSE))),VLOOKUP($C14,武器!$1:$998,COLUMN($O$1),FALSE)*VLOOKUP($D14,素材!$1:$1016,COLUMN($E$1),FALSE)/(LEN(VLOOKUP($D14,素材!$1:$1016,COLUMN($F$1),FALSE))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BF14">
        <f>IF(ISNUMBER(SEARCH(SUBSTITUTE(BF$1,RIGHT(BF$1,2),""),VLOOKUP($D14,素材!$1:$1016,COLUMN($F$1),FALSE))),VLOOKUP($C14,武器!$1:$998,COLUMN($O$1),FALSE)*VLOOKUP($D14,素材!$1:$1016,COLUMN($E$1),FALSE)/(LEN(VLOOKUP($D14,素材!$1:$1016,COLUMN($F$1),FALSE)) - LEN(SUBSTITUTE(VLOOKUP($D14,素材!$1:$1016,COLUMN($F$1),FALSE), "・", 0)) + 1), 0)</f>
        <v>0</v>
      </c>
      <c r="CM14">
        <f t="shared" si="3"/>
        <v>24</v>
      </c>
      <c r="CN14" s="22" t="str">
        <f>IF(E14="武器",IF(J14-1&gt;SUM(G14:I14),"盾",IF(MAX(G14:I14)=G14,"切断",IF(MAX(G14:I14)=H14,"貫通",IF(MAX(G14:I14)=I14,"打撃","射撃")))),E14)&amp;".webp"</f>
        <v>貫通.webp</v>
      </c>
      <c r="CO14">
        <f>IFERROR(VLOOKUP($C14,武器!$1:$998,COLUMN(V$1),FALSE)*VLOOKUP($D14,素材!$1:$1016,COLUMN(N$1),FALSE)+IF(CJ14="",0,VLOOKUP($CJ14,装強!$1:$1008,COLUMN($CL$1),FALSE)),"")</f>
        <v>500</v>
      </c>
      <c r="CP14" t="str">
        <f>VLOOKUP(D14,素材!$A:$O,COLUMN(素材!O$1),FALSE)</f>
        <v>一般的な鉄。量産品を作るのに使用されることが多い</v>
      </c>
      <c r="CQ14" t="str">
        <f>VLOOKUP(C14,武器!$A:$W,COLUMN(武器!W$1),FALSE)</f>
        <v>斧槍。全力時に威力が高く斬撃と突撃の両方に対応できる武器。</v>
      </c>
      <c r="CS14" t="str">
        <f t="shared" si="2"/>
        <v>e_14</v>
      </c>
      <c r="CT14">
        <f t="shared" si="4"/>
        <v>50000</v>
      </c>
    </row>
    <row r="15" spans="1:98" outlineLevel="1" x14ac:dyDescent="0.4">
      <c r="A15" t="str">
        <f t="shared" si="0"/>
        <v>鉄の棍棒</v>
      </c>
      <c r="B15" t="str">
        <f>IFERROR(VLOOKUP($D15,素材!$1:$1016,COLUMN($B$1),FALSE)&amp;"・"&amp;VLOOKUP($C15,武器!$1:$998,COLUMN(B$1),FALSE),"")</f>
        <v>アイアン・クラブ</v>
      </c>
      <c r="C15" s="24" t="s">
        <v>230</v>
      </c>
      <c r="D15" s="24" t="s">
        <v>257</v>
      </c>
      <c r="E15" t="str">
        <f>IFERROR(VLOOKUP(C15,武器!$1:$998,COLUMN(C$1),FALSE),"")</f>
        <v>武器</v>
      </c>
      <c r="F15">
        <f>IFERROR(ROUNDDOWN((VLOOKUP($C15,武器!$1:$998,COLUMN(D$1),FALSE)+IFERROR(VLOOKUP($CJ15,装強!$1:$999,COLUMN(F$1),FALSE),0))*VLOOKUP($D15,素材!$1:$1016,COLUMN(D$1),FALSE),0),"")</f>
        <v>105</v>
      </c>
      <c r="G15">
        <f>IFERROR(ROUNDDOWN((VLOOKUP($C15,武器!$1:$998,COLUMN(E$1),FALSE)+IFERROR(VLOOKUP($CJ15,装強!$1:$999,COLUMN(G$1),FALSE),0))*VLOOKUP($D15,素材!$1:$1016,COLUMN($E$1),FALSE),0),"")</f>
        <v>0</v>
      </c>
      <c r="H15">
        <f>IFERROR(ROUNDDOWN((VLOOKUP($C15,武器!$1:$998,COLUMN(F$1),FALSE)+IFERROR(VLOOKUP($CJ15,装強!$1:$999,COLUMN(H$1),FALSE),0))*VLOOKUP($D15,素材!$1:$1016,COLUMN($E$1),FALSE),0),"")</f>
        <v>0</v>
      </c>
      <c r="I15">
        <f>IFERROR(ROUNDDOWN((VLOOKUP($C15,武器!$1:$998,COLUMN(G$1),FALSE)+IFERROR(VLOOKUP($CJ15,装強!$1:$999,COLUMN(I$1),FALSE),0))*VLOOKUP($D15,素材!$1:$1016,COLUMN($E$1),FALSE),0),"")</f>
        <v>22</v>
      </c>
      <c r="J15">
        <f>IFERROR(ROUNDDOWN((VLOOKUP($C15,武器!$1:$998,COLUMN(H$1),FALSE)+IFERROR(VLOOKUP($CJ15,装強!$1:$999,COLUMN(J$1),FALSE),0))*VLOOKUP($D15,素材!$1:$1016,COLUMN($E$1),FALSE),0),"")</f>
        <v>19</v>
      </c>
      <c r="K15">
        <f>IFERROR(ROUNDDOWN((VLOOKUP($C15,武器!$1:$998,COLUMN(I$1),FALSE)+IFERROR(VLOOKUP($CJ15,装強!$1:$999,COLUMN(K$1),FALSE),0))*VLOOKUP($D15,素材!$1:$1016,COLUMN($E$1),FALSE),0),"")</f>
        <v>0</v>
      </c>
      <c r="L15">
        <f>IFERROR(VLOOKUP($D15,素材!$1:$1016,COLUMN($F$1),FALSE),"")</f>
        <v>0</v>
      </c>
      <c r="M15">
        <f>IFERROR(VLOOKUP($C15,武器!$1:$998,COLUMN(AA$1),FALSE)*VLOOKUP($D15,素材!$1:$1016,COLUMN($G$1),FALSE),"")</f>
        <v>0</v>
      </c>
      <c r="N15">
        <f>IFERROR(VLOOKUP($C15,武器!$1:$998,COLUMN(I$1),FALSE),"")</f>
        <v>0</v>
      </c>
      <c r="O15" s="23">
        <f>IFERROR((VLOOKUP($C15,武器!$1:$998,COLUMN(K$1),FALSE)+VLOOKUP($D15,素材!$1:$1016,COLUMN(H$1),FALSE))*100+IFERROR(VLOOKUP($CJ15,装強!$1:$999,COLUMN(O$1),FALSE),0),"")</f>
        <v>5</v>
      </c>
      <c r="P15" s="23">
        <f>IFERROR((VLOOKUP($C15,武器!$1:$998,COLUMN(L$1),FALSE)+VLOOKUP($D15,素材!$1:$1016,COLUMN(I$1),FALSE))*100+IFERROR(VLOOKUP($CJ15,装強!$1:$999,COLUMN(P$1),FALSE),0),"")</f>
        <v>150</v>
      </c>
      <c r="Q15">
        <f>IFERROR(ROUNDUP(VLOOKUP($C15,武器!$1:$998,COLUMN(M$1),FALSE)*(VLOOKUP($D15,素材!$1:$1002,COLUMN(D$1),FALSE)/100),1),"")</f>
        <v>0</v>
      </c>
      <c r="R15">
        <f>IFERROR(ROUNDUP(VLOOKUP($C15,武器!$1:$998,COLUMN(N$1),FALSE)*(VLOOKUP($D15,素材!$1:$1002,COLUMN(D$1),FALSE)/100),1),"")</f>
        <v>0</v>
      </c>
      <c r="S15">
        <f>IFERROR(VLOOKUP($C15,武器!$1:$998,COLUMN(P$1),FALSE),"")</f>
        <v>0</v>
      </c>
      <c r="T15">
        <f>IFERROR(VLOOKUP($C15,武器!$1:$998,COLUMN(Q$1),FALSE),"")</f>
        <v>0</v>
      </c>
      <c r="U15">
        <f>IFERROR(VLOOKUP($C15,武器!$1:$998,COLUMN(R$1),FALSE),"")</f>
        <v>0</v>
      </c>
      <c r="V15">
        <f>IFERROR(VLOOKUP($C15,武器!$1:$998,COLUMN(Q$1),FALSE),"")</f>
        <v>0</v>
      </c>
      <c r="W15" t="str">
        <f>IFERROR(VLOOKUP($C15,武器!$1:$998,COLUMN(T$1),FALSE),"")</f>
        <v>A</v>
      </c>
      <c r="Y15" t="str">
        <f>IFERROR(VLOOKUP($C15,武器!$1:$998,COLUMN(U$1),FALSE),"")</f>
        <v>片手適性Ⅰ</v>
      </c>
      <c r="Z15">
        <f>IFERROR(ROUNDUP(VLOOKUP($C15,武器!$1:$998,COLUMN(O$1),FALSE)*VLOOKUP($D15,素材!$1:$1016,COLUMN(E$1),FALSE),1),"")</f>
        <v>0</v>
      </c>
      <c r="AA15">
        <f>IF(ISNUMBER(SEARCH(SUBSTITUTE(AA$1,RIGHT(AA$1,2),""),VLOOKUP($D15,素材!$1:$1016,COLUMN($F$1),FALSE))),VLOOKUP($C15,武器!$1:$998,COLUMN($O$1),FALSE)*VLOOKUP($D15,素材!$1:$1016,COLUMN($E$1),FALSE)/(LEN(VLOOKUP($D15,素材!$1:$1016,COLUMN($F$1),FALSE))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B15">
        <f>IF(ISNUMBER(SEARCH(SUBSTITUTE(AB$1,RIGHT(AB$1,2),""),VLOOKUP($D15,素材!$1:$1016,COLUMN($F$1),FALSE))),VLOOKUP($C15,武器!$1:$998,COLUMN($O$1),FALSE)*VLOOKUP($D15,素材!$1:$1016,COLUMN($E$1),FALSE)/(LEN(VLOOKUP($D15,素材!$1:$1016,COLUMN($F$1),FALSE))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C15">
        <f>IF(ISNUMBER(SEARCH(SUBSTITUTE(AC$1,RIGHT(AC$1,2),""),VLOOKUP($D15,素材!$1:$1016,COLUMN($F$1),FALSE))),VLOOKUP($C15,武器!$1:$998,COLUMN($O$1),FALSE)*VLOOKUP($D15,素材!$1:$1016,COLUMN($E$1),FALSE)/(LEN(VLOOKUP($D15,素材!$1:$1016,COLUMN($F$1),FALSE))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D15">
        <f>IF(ISNUMBER(SEARCH(SUBSTITUTE(AD$1,RIGHT(AD$1,2),""),VLOOKUP($D15,素材!$1:$1016,COLUMN($F$1),FALSE))),VLOOKUP($C15,武器!$1:$998,COLUMN($O$1),FALSE)*VLOOKUP($D15,素材!$1:$1016,COLUMN($E$1),FALSE)/(LEN(VLOOKUP($D15,素材!$1:$1016,COLUMN($F$1),FALSE))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E15">
        <f>IF(ISNUMBER(SEARCH(SUBSTITUTE(AE$1,RIGHT(AE$1,2),""),VLOOKUP($D15,素材!$1:$1016,COLUMN($F$1),FALSE))),VLOOKUP($C15,武器!$1:$998,COLUMN($O$1),FALSE)*VLOOKUP($D15,素材!$1:$1016,COLUMN($E$1),FALSE)/(LEN(VLOOKUP($D15,素材!$1:$1016,COLUMN($F$1),FALSE))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F15">
        <f>IF(ISNUMBER(SEARCH(SUBSTITUTE(AF$1,RIGHT(AF$1,2),""),VLOOKUP($D15,素材!$1:$1016,COLUMN($F$1),FALSE))),VLOOKUP($C15,武器!$1:$998,COLUMN($O$1),FALSE)*VLOOKUP($D15,素材!$1:$1016,COLUMN($E$1),FALSE)/(LEN(VLOOKUP($D15,素材!$1:$1016,COLUMN($F$1),FALSE))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G15">
        <f>IF(ISNUMBER(SEARCH(SUBSTITUTE(AG$1,RIGHT(AG$1,2),""),VLOOKUP($D15,素材!$1:$1016,COLUMN($F$1),FALSE))),VLOOKUP($C15,武器!$1:$998,COLUMN($O$1),FALSE)*VLOOKUP($D15,素材!$1:$1016,COLUMN($E$1),FALSE)/(LEN(VLOOKUP($D15,素材!$1:$1016,COLUMN($F$1),FALSE))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H15">
        <f>IF(ISNUMBER(SEARCH(SUBSTITUTE(AH$1,RIGHT(AH$1,2),""),VLOOKUP($D15,素材!$1:$1016,COLUMN($F$1),FALSE))),VLOOKUP($C15,武器!$1:$998,COLUMN($O$1),FALSE)*VLOOKUP($D15,素材!$1:$1016,COLUMN($E$1),FALSE)/(LEN(VLOOKUP($D15,素材!$1:$1016,COLUMN($F$1),FALSE))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I15">
        <f>IF(ISNUMBER(SEARCH(SUBSTITUTE(AI$1,RIGHT(AI$1,2),""),VLOOKUP($D15,素材!$1:$1016,COLUMN($F$1),FALSE))),VLOOKUP($C15,武器!$1:$998,COLUMN($O$1),FALSE)*VLOOKUP($D15,素材!$1:$1016,COLUMN($E$1),FALSE)/(LEN(VLOOKUP($D15,素材!$1:$1016,COLUMN($F$1),FALSE))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J15">
        <f>IF(ISNUMBER(SEARCH(SUBSTITUTE(AJ$1,RIGHT(AJ$1,2),""),VLOOKUP($D15,素材!$1:$1016,COLUMN($F$1),FALSE))),VLOOKUP($C15,武器!$1:$998,COLUMN($O$1),FALSE)*VLOOKUP($D15,素材!$1:$1016,COLUMN($E$1),FALSE)/(LEN(VLOOKUP($D15,素材!$1:$1016,COLUMN($F$1),FALSE))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K15">
        <f>IF(ISNUMBER(SEARCH(SUBSTITUTE(AK$1,RIGHT(AK$1,2),""),VLOOKUP($D15,素材!$1:$1016,COLUMN($F$1),FALSE))),VLOOKUP($C15,武器!$1:$998,COLUMN($O$1),FALSE)*VLOOKUP($D15,素材!$1:$1016,COLUMN($E$1),FALSE)/(LEN(VLOOKUP($D15,素材!$1:$1016,COLUMN($F$1),FALSE))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L15">
        <f>IF(ISNUMBER(SEARCH(SUBSTITUTE(AL$1,RIGHT(AL$1,2),""),VLOOKUP($D15,素材!$1:$1016,COLUMN($F$1),FALSE))),VLOOKUP($C15,武器!$1:$998,COLUMN($O$1),FALSE)*VLOOKUP($D15,素材!$1:$1016,COLUMN($E$1),FALSE)/(LEN(VLOOKUP($D15,素材!$1:$1016,COLUMN($F$1),FALSE))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M15">
        <f>IF(ISNUMBER(SEARCH(SUBSTITUTE(AM$1,RIGHT(AM$1,2),""),VLOOKUP($D15,素材!$1:$1016,COLUMN($F$1),FALSE))),VLOOKUP($C15,武器!$1:$998,COLUMN($O$1),FALSE)*VLOOKUP($D15,素材!$1:$1016,COLUMN($E$1),FALSE)/(LEN(VLOOKUP($D15,素材!$1:$1016,COLUMN($F$1),FALSE))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N15">
        <f>IF(ISNUMBER(SEARCH(SUBSTITUTE(AN$1,RIGHT(AN$1,2),""),VLOOKUP($D15,素材!$1:$1016,COLUMN($F$1),FALSE))),VLOOKUP($C15,武器!$1:$998,COLUMN($O$1),FALSE)*VLOOKUP($D15,素材!$1:$1016,COLUMN($E$1),FALSE)/(LEN(VLOOKUP($D15,素材!$1:$1016,COLUMN($F$1),FALSE))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O15">
        <f>IF(ISNUMBER(SEARCH(SUBSTITUTE(AO$1,RIGHT(AO$1,2),""),VLOOKUP($D15,素材!$1:$1016,COLUMN($F$1),FALSE))),VLOOKUP($C15,武器!$1:$998,COLUMN($O$1),FALSE)*VLOOKUP($D15,素材!$1:$1016,COLUMN($E$1),FALSE)/(LEN(VLOOKUP($D15,素材!$1:$1016,COLUMN($F$1),FALSE))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P15">
        <f>IF(ISNUMBER(SEARCH(SUBSTITUTE(AP$1,RIGHT(AP$1,2),""),VLOOKUP($D15,素材!$1:$1016,COLUMN($F$1),FALSE))),VLOOKUP($C15,武器!$1:$998,COLUMN($O$1),FALSE)*VLOOKUP($D15,素材!$1:$1016,COLUMN($E$1),FALSE)/(LEN(VLOOKUP($D15,素材!$1:$1016,COLUMN($F$1),FALSE))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Q15">
        <f>IF(ISNUMBER(SEARCH(SUBSTITUTE(AQ$1,RIGHT(AQ$1,2),""),VLOOKUP($D15,素材!$1:$1016,COLUMN($F$1),FALSE))),VLOOKUP($C15,武器!$1:$998,COLUMN($O$1),FALSE)*VLOOKUP($D15,素材!$1:$1016,COLUMN($E$1),FALSE)/(LEN(VLOOKUP($D15,素材!$1:$1016,COLUMN($F$1),FALSE))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R15">
        <f>IF(ISNUMBER(SEARCH(SUBSTITUTE(AR$1,RIGHT(AR$1,2),""),VLOOKUP($D15,素材!$1:$1016,COLUMN($F$1),FALSE))),VLOOKUP($C15,武器!$1:$998,COLUMN($O$1),FALSE)*VLOOKUP($D15,素材!$1:$1016,COLUMN($E$1),FALSE)/(LEN(VLOOKUP($D15,素材!$1:$1016,COLUMN($F$1),FALSE))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S15">
        <f>IF(ISNUMBER(SEARCH(SUBSTITUTE(AS$1,RIGHT(AS$1,2),""),VLOOKUP($D15,素材!$1:$1016,COLUMN($F$1),FALSE))),VLOOKUP($C15,武器!$1:$998,COLUMN($O$1),FALSE)*VLOOKUP($D15,素材!$1:$1016,COLUMN($E$1),FALSE)/(LEN(VLOOKUP($D15,素材!$1:$1016,COLUMN($F$1),FALSE))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T15">
        <f>IF(ISNUMBER(SEARCH(SUBSTITUTE(AT$1,RIGHT(AT$1,2),""),VLOOKUP($D15,素材!$1:$1016,COLUMN($F$1),FALSE))),VLOOKUP($C15,武器!$1:$998,COLUMN($O$1),FALSE)*VLOOKUP($D15,素材!$1:$1016,COLUMN($E$1),FALSE)/(LEN(VLOOKUP($D15,素材!$1:$1016,COLUMN($F$1),FALSE))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U15">
        <f>IF(ISNUMBER(SEARCH(SUBSTITUTE(AU$1,RIGHT(AU$1,2),""),VLOOKUP($D15,素材!$1:$1016,COLUMN($F$1),FALSE))),VLOOKUP($C15,武器!$1:$998,COLUMN($O$1),FALSE)*VLOOKUP($D15,素材!$1:$1016,COLUMN($E$1),FALSE)/(LEN(VLOOKUP($D15,素材!$1:$1016,COLUMN($F$1),FALSE))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V15">
        <f>IF(ISNUMBER(SEARCH(SUBSTITUTE(AV$1,RIGHT(AV$1,2),""),VLOOKUP($D15,素材!$1:$1016,COLUMN($F$1),FALSE))),VLOOKUP($C15,武器!$1:$998,COLUMN($O$1),FALSE)*VLOOKUP($D15,素材!$1:$1016,COLUMN($E$1),FALSE)/(LEN(VLOOKUP($D15,素材!$1:$1016,COLUMN($F$1),FALSE))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W15">
        <f>IF(ISNUMBER(SEARCH(SUBSTITUTE(AW$1,RIGHT(AW$1,2),""),VLOOKUP($D15,素材!$1:$1016,COLUMN($F$1),FALSE))),VLOOKUP($C15,武器!$1:$998,COLUMN($O$1),FALSE)*VLOOKUP($D15,素材!$1:$1016,COLUMN($E$1),FALSE)/(LEN(VLOOKUP($D15,素材!$1:$1016,COLUMN($F$1),FALSE))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X15">
        <f>IF(ISNUMBER(SEARCH(SUBSTITUTE(AX$1,RIGHT(AX$1,2),""),VLOOKUP($D15,素材!$1:$1016,COLUMN($F$1),FALSE))),VLOOKUP($C15,武器!$1:$998,COLUMN($O$1),FALSE)*VLOOKUP($D15,素材!$1:$1016,COLUMN($E$1),FALSE)/(LEN(VLOOKUP($D15,素材!$1:$1016,COLUMN($F$1),FALSE))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Y15">
        <f>IF(ISNUMBER(SEARCH(SUBSTITUTE(AY$1,RIGHT(AY$1,2),""),VLOOKUP($D15,素材!$1:$1016,COLUMN($F$1),FALSE))),VLOOKUP($C15,武器!$1:$998,COLUMN($O$1),FALSE)*VLOOKUP($D15,素材!$1:$1016,COLUMN($E$1),FALSE)/(LEN(VLOOKUP($D15,素材!$1:$1016,COLUMN($F$1),FALSE))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AZ15">
        <f>IF(ISNUMBER(SEARCH(SUBSTITUTE(AZ$1,RIGHT(AZ$1,2),""),VLOOKUP($D15,素材!$1:$1016,COLUMN($F$1),FALSE))),VLOOKUP($C15,武器!$1:$998,COLUMN($O$1),FALSE)*VLOOKUP($D15,素材!$1:$1016,COLUMN($E$1),FALSE)/(LEN(VLOOKUP($D15,素材!$1:$1016,COLUMN($F$1),FALSE))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BA15">
        <f>IF(ISNUMBER(SEARCH(SUBSTITUTE(BA$1,RIGHT(BA$1,2),""),VLOOKUP($D15,素材!$1:$1016,COLUMN($F$1),FALSE))),VLOOKUP($C15,武器!$1:$998,COLUMN($O$1),FALSE)*VLOOKUP($D15,素材!$1:$1016,COLUMN($E$1),FALSE)/(LEN(VLOOKUP($D15,素材!$1:$1016,COLUMN($F$1),FALSE))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BB15">
        <f>IF(ISNUMBER(SEARCH(SUBSTITUTE(BB$1,RIGHT(BB$1,2),""),VLOOKUP($D15,素材!$1:$1016,COLUMN($F$1),FALSE))),VLOOKUP($C15,武器!$1:$998,COLUMN($O$1),FALSE)*VLOOKUP($D15,素材!$1:$1016,COLUMN($E$1),FALSE)/(LEN(VLOOKUP($D15,素材!$1:$1016,COLUMN($F$1),FALSE))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BC15">
        <f>IF(ISNUMBER(SEARCH(SUBSTITUTE(BC$1,RIGHT(BC$1,2),""),VLOOKUP($D15,素材!$1:$1016,COLUMN($F$1),FALSE))),VLOOKUP($C15,武器!$1:$998,COLUMN($O$1),FALSE)*VLOOKUP($D15,素材!$1:$1016,COLUMN($E$1),FALSE)/(LEN(VLOOKUP($D15,素材!$1:$1016,COLUMN($F$1),FALSE))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BD15">
        <f>IF(ISNUMBER(SEARCH(SUBSTITUTE(BD$1,RIGHT(BD$1,2),""),VLOOKUP($D15,素材!$1:$1016,COLUMN($F$1),FALSE))),VLOOKUP($C15,武器!$1:$998,COLUMN($O$1),FALSE)*VLOOKUP($D15,素材!$1:$1016,COLUMN($E$1),FALSE)/(LEN(VLOOKUP($D15,素材!$1:$1016,COLUMN($F$1),FALSE))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BE15">
        <f>IF(ISNUMBER(SEARCH(SUBSTITUTE(BE$1,RIGHT(BE$1,2),""),VLOOKUP($D15,素材!$1:$1016,COLUMN($F$1),FALSE))),VLOOKUP($C15,武器!$1:$998,COLUMN($O$1),FALSE)*VLOOKUP($D15,素材!$1:$1016,COLUMN($E$1),FALSE)/(LEN(VLOOKUP($D15,素材!$1:$1016,COLUMN($F$1),FALSE))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BF15">
        <f>IF(ISNUMBER(SEARCH(SUBSTITUTE(BF$1,RIGHT(BF$1,2),""),VLOOKUP($D15,素材!$1:$1016,COLUMN($F$1),FALSE))),VLOOKUP($C15,武器!$1:$998,COLUMN($O$1),FALSE)*VLOOKUP($D15,素材!$1:$1016,COLUMN($E$1),FALSE)/(LEN(VLOOKUP($D15,素材!$1:$1016,COLUMN($F$1),FALSE)) - LEN(SUBSTITUTE(VLOOKUP($D15,素材!$1:$1016,COLUMN($F$1),FALSE), "・", 0)) + 1), 0)</f>
        <v>0</v>
      </c>
      <c r="CM15">
        <f t="shared" si="3"/>
        <v>22</v>
      </c>
      <c r="CN15" s="22" t="str">
        <f>IF(E15="武器",IF(J15-1&gt;SUM(G15:I15),"盾",IF(MAX(G15:I15)=G15,"切断",IF(MAX(G15:I15)=H15,"貫通",IF(MAX(G15:I15)=I15,"打撃","射撃")))),E15)&amp;".webp"</f>
        <v>打撃.webp</v>
      </c>
      <c r="CO15">
        <f>IFERROR(VLOOKUP($C15,武器!$1:$998,COLUMN(V$1),FALSE)*VLOOKUP($D15,素材!$1:$1016,COLUMN(N$1),FALSE)+IF(CJ15="",0,VLOOKUP($CJ15,装強!$1:$1008,COLUMN($CL$1),FALSE)),"")</f>
        <v>300</v>
      </c>
      <c r="CP15" t="str">
        <f>VLOOKUP(D15,素材!$A:$O,COLUMN(素材!O$1),FALSE)</f>
        <v>一般的な鉄。量産品を作るのに使用されることが多い</v>
      </c>
      <c r="CQ15" t="str">
        <f>VLOOKUP(C15,武器!$A:$W,COLUMN(武器!W$1),FALSE)</f>
        <v>棍棒。打撃に特化したシンプルな武器。</v>
      </c>
      <c r="CS15" t="str">
        <f t="shared" si="2"/>
        <v>e_15</v>
      </c>
      <c r="CT15">
        <f t="shared" si="4"/>
        <v>30000</v>
      </c>
    </row>
    <row r="16" spans="1:98" outlineLevel="1" x14ac:dyDescent="0.4">
      <c r="A16" t="str">
        <f t="shared" si="0"/>
        <v>鉄の戦棍</v>
      </c>
      <c r="B16" t="str">
        <f>IFERROR(VLOOKUP($D16,素材!$1:$1016,COLUMN($B$1),FALSE)&amp;"・"&amp;VLOOKUP($C16,武器!$1:$998,COLUMN(B$1),FALSE),"")</f>
        <v>アイアン・メイス</v>
      </c>
      <c r="C16" s="24" t="s">
        <v>229</v>
      </c>
      <c r="D16" s="24" t="s">
        <v>257</v>
      </c>
      <c r="E16" t="str">
        <f>IFERROR(VLOOKUP(C16,武器!$1:$998,COLUMN(C$1),FALSE),"")</f>
        <v>武器</v>
      </c>
      <c r="F16">
        <f>IFERROR(ROUNDDOWN((VLOOKUP($C16,武器!$1:$998,COLUMN(D$1),FALSE)+IFERROR(VLOOKUP($CJ16,装強!$1:$999,COLUMN(F$1),FALSE),0))*VLOOKUP($D16,素材!$1:$1016,COLUMN(D$1),FALSE),0),"")</f>
        <v>110</v>
      </c>
      <c r="G16">
        <f>IFERROR(ROUNDDOWN((VLOOKUP($C16,武器!$1:$998,COLUMN(E$1),FALSE)+IFERROR(VLOOKUP($CJ16,装強!$1:$999,COLUMN(G$1),FALSE),0))*VLOOKUP($D16,素材!$1:$1016,COLUMN($E$1),FALSE),0),"")</f>
        <v>0</v>
      </c>
      <c r="H16">
        <f>IFERROR(ROUNDDOWN((VLOOKUP($C16,武器!$1:$998,COLUMN(F$1),FALSE)+IFERROR(VLOOKUP($CJ16,装強!$1:$999,COLUMN(H$1),FALSE),0))*VLOOKUP($D16,素材!$1:$1016,COLUMN($E$1),FALSE),0),"")</f>
        <v>0</v>
      </c>
      <c r="I16">
        <f>IFERROR(ROUNDDOWN((VLOOKUP($C16,武器!$1:$998,COLUMN(G$1),FALSE)+IFERROR(VLOOKUP($CJ16,装強!$1:$999,COLUMN(I$1),FALSE),0))*VLOOKUP($D16,素材!$1:$1016,COLUMN($E$1),FALSE),0),"")</f>
        <v>23</v>
      </c>
      <c r="J16">
        <f>IFERROR(ROUNDDOWN((VLOOKUP($C16,武器!$1:$998,COLUMN(H$1),FALSE)+IFERROR(VLOOKUP($CJ16,装強!$1:$999,COLUMN(J$1),FALSE),0))*VLOOKUP($D16,素材!$1:$1016,COLUMN($E$1),FALSE),0),"")</f>
        <v>19</v>
      </c>
      <c r="K16">
        <f>IFERROR(ROUNDDOWN((VLOOKUP($C16,武器!$1:$998,COLUMN(I$1),FALSE)+IFERROR(VLOOKUP($CJ16,装強!$1:$999,COLUMN(K$1),FALSE),0))*VLOOKUP($D16,素材!$1:$1016,COLUMN($E$1),FALSE),0),"")</f>
        <v>0</v>
      </c>
      <c r="L16">
        <f>IFERROR(VLOOKUP($D16,素材!$1:$1016,COLUMN($F$1),FALSE),"")</f>
        <v>0</v>
      </c>
      <c r="M16">
        <f>IFERROR(VLOOKUP($C16,武器!$1:$998,COLUMN(AA$1),FALSE)*VLOOKUP($D16,素材!$1:$1016,COLUMN($G$1),FALSE),"")</f>
        <v>0</v>
      </c>
      <c r="N16">
        <f>IFERROR(VLOOKUP($C16,武器!$1:$998,COLUMN(I$1),FALSE),"")</f>
        <v>0</v>
      </c>
      <c r="O16" s="23">
        <f>IFERROR((VLOOKUP($C16,武器!$1:$998,COLUMN(K$1),FALSE)+VLOOKUP($D16,素材!$1:$1016,COLUMN(H$1),FALSE))*100+IFERROR(VLOOKUP($CJ16,装強!$1:$999,COLUMN(O$1),FALSE),0),"")</f>
        <v>15</v>
      </c>
      <c r="P16" s="23">
        <f>IFERROR((VLOOKUP($C16,武器!$1:$998,COLUMN(L$1),FALSE)+VLOOKUP($D16,素材!$1:$1016,COLUMN(I$1),FALSE))*100+IFERROR(VLOOKUP($CJ16,装強!$1:$999,COLUMN(P$1),FALSE),0),"")</f>
        <v>125</v>
      </c>
      <c r="Q16">
        <f>IFERROR(ROUNDUP(VLOOKUP($C16,武器!$1:$998,COLUMN(M$1),FALSE)*(VLOOKUP($D16,素材!$1:$1002,COLUMN(D$1),FALSE)/100),1),"")</f>
        <v>0</v>
      </c>
      <c r="R16">
        <f>IFERROR(ROUNDUP(VLOOKUP($C16,武器!$1:$998,COLUMN(N$1),FALSE)*(VLOOKUP($D16,素材!$1:$1002,COLUMN(D$1),FALSE)/100),1),"")</f>
        <v>-2</v>
      </c>
      <c r="S16">
        <f>IFERROR(VLOOKUP($C16,武器!$1:$998,COLUMN(P$1),FALSE),"")</f>
        <v>0</v>
      </c>
      <c r="T16">
        <f>IFERROR(VLOOKUP($C16,武器!$1:$998,COLUMN(Q$1),FALSE),"")</f>
        <v>0</v>
      </c>
      <c r="U16">
        <f>IFERROR(VLOOKUP($C16,武器!$1:$998,COLUMN(R$1),FALSE),"")</f>
        <v>0</v>
      </c>
      <c r="V16">
        <f>IFERROR(VLOOKUP($C16,武器!$1:$998,COLUMN(Q$1),FALSE),"")</f>
        <v>0</v>
      </c>
      <c r="W16" t="str">
        <f>IFERROR(VLOOKUP($C16,武器!$1:$998,COLUMN(T$1),FALSE),"")</f>
        <v>A</v>
      </c>
      <c r="Y16">
        <f>IFERROR(VLOOKUP($C16,武器!$1:$998,COLUMN(U$1),FALSE),"")</f>
        <v>0</v>
      </c>
      <c r="Z16">
        <f>IFERROR(ROUNDUP(VLOOKUP($C16,武器!$1:$998,COLUMN(O$1),FALSE)*VLOOKUP($D16,素材!$1:$1016,COLUMN(E$1),FALSE),1),"")</f>
        <v>0</v>
      </c>
      <c r="AA16">
        <f>IF(ISNUMBER(SEARCH(SUBSTITUTE(AA$1,RIGHT(AA$1,2),""),VLOOKUP($D16,素材!$1:$1016,COLUMN($F$1),FALSE))),VLOOKUP($C16,武器!$1:$998,COLUMN($O$1),FALSE)*VLOOKUP($D16,素材!$1:$1016,COLUMN($E$1),FALSE)/(LEN(VLOOKUP($D16,素材!$1:$1016,COLUMN($F$1),FALSE))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B16">
        <f>IF(ISNUMBER(SEARCH(SUBSTITUTE(AB$1,RIGHT(AB$1,2),""),VLOOKUP($D16,素材!$1:$1016,COLUMN($F$1),FALSE))),VLOOKUP($C16,武器!$1:$998,COLUMN($O$1),FALSE)*VLOOKUP($D16,素材!$1:$1016,COLUMN($E$1),FALSE)/(LEN(VLOOKUP($D16,素材!$1:$1016,COLUMN($F$1),FALSE))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C16">
        <f>IF(ISNUMBER(SEARCH(SUBSTITUTE(AC$1,RIGHT(AC$1,2),""),VLOOKUP($D16,素材!$1:$1016,COLUMN($F$1),FALSE))),VLOOKUP($C16,武器!$1:$998,COLUMN($O$1),FALSE)*VLOOKUP($D16,素材!$1:$1016,COLUMN($E$1),FALSE)/(LEN(VLOOKUP($D16,素材!$1:$1016,COLUMN($F$1),FALSE))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D16">
        <f>IF(ISNUMBER(SEARCH(SUBSTITUTE(AD$1,RIGHT(AD$1,2),""),VLOOKUP($D16,素材!$1:$1016,COLUMN($F$1),FALSE))),VLOOKUP($C16,武器!$1:$998,COLUMN($O$1),FALSE)*VLOOKUP($D16,素材!$1:$1016,COLUMN($E$1),FALSE)/(LEN(VLOOKUP($D16,素材!$1:$1016,COLUMN($F$1),FALSE))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E16">
        <f>IF(ISNUMBER(SEARCH(SUBSTITUTE(AE$1,RIGHT(AE$1,2),""),VLOOKUP($D16,素材!$1:$1016,COLUMN($F$1),FALSE))),VLOOKUP($C16,武器!$1:$998,COLUMN($O$1),FALSE)*VLOOKUP($D16,素材!$1:$1016,COLUMN($E$1),FALSE)/(LEN(VLOOKUP($D16,素材!$1:$1016,COLUMN($F$1),FALSE))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F16">
        <f>IF(ISNUMBER(SEARCH(SUBSTITUTE(AF$1,RIGHT(AF$1,2),""),VLOOKUP($D16,素材!$1:$1016,COLUMN($F$1),FALSE))),VLOOKUP($C16,武器!$1:$998,COLUMN($O$1),FALSE)*VLOOKUP($D16,素材!$1:$1016,COLUMN($E$1),FALSE)/(LEN(VLOOKUP($D16,素材!$1:$1016,COLUMN($F$1),FALSE))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G16">
        <f>IF(ISNUMBER(SEARCH(SUBSTITUTE(AG$1,RIGHT(AG$1,2),""),VLOOKUP($D16,素材!$1:$1016,COLUMN($F$1),FALSE))),VLOOKUP($C16,武器!$1:$998,COLUMN($O$1),FALSE)*VLOOKUP($D16,素材!$1:$1016,COLUMN($E$1),FALSE)/(LEN(VLOOKUP($D16,素材!$1:$1016,COLUMN($F$1),FALSE))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H16">
        <f>IF(ISNUMBER(SEARCH(SUBSTITUTE(AH$1,RIGHT(AH$1,2),""),VLOOKUP($D16,素材!$1:$1016,COLUMN($F$1),FALSE))),VLOOKUP($C16,武器!$1:$998,COLUMN($O$1),FALSE)*VLOOKUP($D16,素材!$1:$1016,COLUMN($E$1),FALSE)/(LEN(VLOOKUP($D16,素材!$1:$1016,COLUMN($F$1),FALSE))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I16">
        <f>IF(ISNUMBER(SEARCH(SUBSTITUTE(AI$1,RIGHT(AI$1,2),""),VLOOKUP($D16,素材!$1:$1016,COLUMN($F$1),FALSE))),VLOOKUP($C16,武器!$1:$998,COLUMN($O$1),FALSE)*VLOOKUP($D16,素材!$1:$1016,COLUMN($E$1),FALSE)/(LEN(VLOOKUP($D16,素材!$1:$1016,COLUMN($F$1),FALSE))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J16">
        <f>IF(ISNUMBER(SEARCH(SUBSTITUTE(AJ$1,RIGHT(AJ$1,2),""),VLOOKUP($D16,素材!$1:$1016,COLUMN($F$1),FALSE))),VLOOKUP($C16,武器!$1:$998,COLUMN($O$1),FALSE)*VLOOKUP($D16,素材!$1:$1016,COLUMN($E$1),FALSE)/(LEN(VLOOKUP($D16,素材!$1:$1016,COLUMN($F$1),FALSE))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K16">
        <f>IF(ISNUMBER(SEARCH(SUBSTITUTE(AK$1,RIGHT(AK$1,2),""),VLOOKUP($D16,素材!$1:$1016,COLUMN($F$1),FALSE))),VLOOKUP($C16,武器!$1:$998,COLUMN($O$1),FALSE)*VLOOKUP($D16,素材!$1:$1016,COLUMN($E$1),FALSE)/(LEN(VLOOKUP($D16,素材!$1:$1016,COLUMN($F$1),FALSE))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L16">
        <f>IF(ISNUMBER(SEARCH(SUBSTITUTE(AL$1,RIGHT(AL$1,2),""),VLOOKUP($D16,素材!$1:$1016,COLUMN($F$1),FALSE))),VLOOKUP($C16,武器!$1:$998,COLUMN($O$1),FALSE)*VLOOKUP($D16,素材!$1:$1016,COLUMN($E$1),FALSE)/(LEN(VLOOKUP($D16,素材!$1:$1016,COLUMN($F$1),FALSE))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M16">
        <f>IF(ISNUMBER(SEARCH(SUBSTITUTE(AM$1,RIGHT(AM$1,2),""),VLOOKUP($D16,素材!$1:$1016,COLUMN($F$1),FALSE))),VLOOKUP($C16,武器!$1:$998,COLUMN($O$1),FALSE)*VLOOKUP($D16,素材!$1:$1016,COLUMN($E$1),FALSE)/(LEN(VLOOKUP($D16,素材!$1:$1016,COLUMN($F$1),FALSE))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N16">
        <f>IF(ISNUMBER(SEARCH(SUBSTITUTE(AN$1,RIGHT(AN$1,2),""),VLOOKUP($D16,素材!$1:$1016,COLUMN($F$1),FALSE))),VLOOKUP($C16,武器!$1:$998,COLUMN($O$1),FALSE)*VLOOKUP($D16,素材!$1:$1016,COLUMN($E$1),FALSE)/(LEN(VLOOKUP($D16,素材!$1:$1016,COLUMN($F$1),FALSE))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O16">
        <f>IF(ISNUMBER(SEARCH(SUBSTITUTE(AO$1,RIGHT(AO$1,2),""),VLOOKUP($D16,素材!$1:$1016,COLUMN($F$1),FALSE))),VLOOKUP($C16,武器!$1:$998,COLUMN($O$1),FALSE)*VLOOKUP($D16,素材!$1:$1016,COLUMN($E$1),FALSE)/(LEN(VLOOKUP($D16,素材!$1:$1016,COLUMN($F$1),FALSE))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P16">
        <f>IF(ISNUMBER(SEARCH(SUBSTITUTE(AP$1,RIGHT(AP$1,2),""),VLOOKUP($D16,素材!$1:$1016,COLUMN($F$1),FALSE))),VLOOKUP($C16,武器!$1:$998,COLUMN($O$1),FALSE)*VLOOKUP($D16,素材!$1:$1016,COLUMN($E$1),FALSE)/(LEN(VLOOKUP($D16,素材!$1:$1016,COLUMN($F$1),FALSE))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Q16">
        <f>IF(ISNUMBER(SEARCH(SUBSTITUTE(AQ$1,RIGHT(AQ$1,2),""),VLOOKUP($D16,素材!$1:$1016,COLUMN($F$1),FALSE))),VLOOKUP($C16,武器!$1:$998,COLUMN($O$1),FALSE)*VLOOKUP($D16,素材!$1:$1016,COLUMN($E$1),FALSE)/(LEN(VLOOKUP($D16,素材!$1:$1016,COLUMN($F$1),FALSE))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R16">
        <f>IF(ISNUMBER(SEARCH(SUBSTITUTE(AR$1,RIGHT(AR$1,2),""),VLOOKUP($D16,素材!$1:$1016,COLUMN($F$1),FALSE))),VLOOKUP($C16,武器!$1:$998,COLUMN($O$1),FALSE)*VLOOKUP($D16,素材!$1:$1016,COLUMN($E$1),FALSE)/(LEN(VLOOKUP($D16,素材!$1:$1016,COLUMN($F$1),FALSE))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S16">
        <f>IF(ISNUMBER(SEARCH(SUBSTITUTE(AS$1,RIGHT(AS$1,2),""),VLOOKUP($D16,素材!$1:$1016,COLUMN($F$1),FALSE))),VLOOKUP($C16,武器!$1:$998,COLUMN($O$1),FALSE)*VLOOKUP($D16,素材!$1:$1016,COLUMN($E$1),FALSE)/(LEN(VLOOKUP($D16,素材!$1:$1016,COLUMN($F$1),FALSE))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T16">
        <f>IF(ISNUMBER(SEARCH(SUBSTITUTE(AT$1,RIGHT(AT$1,2),""),VLOOKUP($D16,素材!$1:$1016,COLUMN($F$1),FALSE))),VLOOKUP($C16,武器!$1:$998,COLUMN($O$1),FALSE)*VLOOKUP($D16,素材!$1:$1016,COLUMN($E$1),FALSE)/(LEN(VLOOKUP($D16,素材!$1:$1016,COLUMN($F$1),FALSE))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U16">
        <f>IF(ISNUMBER(SEARCH(SUBSTITUTE(AU$1,RIGHT(AU$1,2),""),VLOOKUP($D16,素材!$1:$1016,COLUMN($F$1),FALSE))),VLOOKUP($C16,武器!$1:$998,COLUMN($O$1),FALSE)*VLOOKUP($D16,素材!$1:$1016,COLUMN($E$1),FALSE)/(LEN(VLOOKUP($D16,素材!$1:$1016,COLUMN($F$1),FALSE))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V16">
        <f>IF(ISNUMBER(SEARCH(SUBSTITUTE(AV$1,RIGHT(AV$1,2),""),VLOOKUP($D16,素材!$1:$1016,COLUMN($F$1),FALSE))),VLOOKUP($C16,武器!$1:$998,COLUMN($O$1),FALSE)*VLOOKUP($D16,素材!$1:$1016,COLUMN($E$1),FALSE)/(LEN(VLOOKUP($D16,素材!$1:$1016,COLUMN($F$1),FALSE))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W16">
        <f>IF(ISNUMBER(SEARCH(SUBSTITUTE(AW$1,RIGHT(AW$1,2),""),VLOOKUP($D16,素材!$1:$1016,COLUMN($F$1),FALSE))),VLOOKUP($C16,武器!$1:$998,COLUMN($O$1),FALSE)*VLOOKUP($D16,素材!$1:$1016,COLUMN($E$1),FALSE)/(LEN(VLOOKUP($D16,素材!$1:$1016,COLUMN($F$1),FALSE))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X16">
        <f>IF(ISNUMBER(SEARCH(SUBSTITUTE(AX$1,RIGHT(AX$1,2),""),VLOOKUP($D16,素材!$1:$1016,COLUMN($F$1),FALSE))),VLOOKUP($C16,武器!$1:$998,COLUMN($O$1),FALSE)*VLOOKUP($D16,素材!$1:$1016,COLUMN($E$1),FALSE)/(LEN(VLOOKUP($D16,素材!$1:$1016,COLUMN($F$1),FALSE))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Y16">
        <f>IF(ISNUMBER(SEARCH(SUBSTITUTE(AY$1,RIGHT(AY$1,2),""),VLOOKUP($D16,素材!$1:$1016,COLUMN($F$1),FALSE))),VLOOKUP($C16,武器!$1:$998,COLUMN($O$1),FALSE)*VLOOKUP($D16,素材!$1:$1016,COLUMN($E$1),FALSE)/(LEN(VLOOKUP($D16,素材!$1:$1016,COLUMN($F$1),FALSE))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AZ16">
        <f>IF(ISNUMBER(SEARCH(SUBSTITUTE(AZ$1,RIGHT(AZ$1,2),""),VLOOKUP($D16,素材!$1:$1016,COLUMN($F$1),FALSE))),VLOOKUP($C16,武器!$1:$998,COLUMN($O$1),FALSE)*VLOOKUP($D16,素材!$1:$1016,COLUMN($E$1),FALSE)/(LEN(VLOOKUP($D16,素材!$1:$1016,COLUMN($F$1),FALSE))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BA16">
        <f>IF(ISNUMBER(SEARCH(SUBSTITUTE(BA$1,RIGHT(BA$1,2),""),VLOOKUP($D16,素材!$1:$1016,COLUMN($F$1),FALSE))),VLOOKUP($C16,武器!$1:$998,COLUMN($O$1),FALSE)*VLOOKUP($D16,素材!$1:$1016,COLUMN($E$1),FALSE)/(LEN(VLOOKUP($D16,素材!$1:$1016,COLUMN($F$1),FALSE))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BB16">
        <f>IF(ISNUMBER(SEARCH(SUBSTITUTE(BB$1,RIGHT(BB$1,2),""),VLOOKUP($D16,素材!$1:$1016,COLUMN($F$1),FALSE))),VLOOKUP($C16,武器!$1:$998,COLUMN($O$1),FALSE)*VLOOKUP($D16,素材!$1:$1016,COLUMN($E$1),FALSE)/(LEN(VLOOKUP($D16,素材!$1:$1016,COLUMN($F$1),FALSE))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BC16">
        <f>IF(ISNUMBER(SEARCH(SUBSTITUTE(BC$1,RIGHT(BC$1,2),""),VLOOKUP($D16,素材!$1:$1016,COLUMN($F$1),FALSE))),VLOOKUP($C16,武器!$1:$998,COLUMN($O$1),FALSE)*VLOOKUP($D16,素材!$1:$1016,COLUMN($E$1),FALSE)/(LEN(VLOOKUP($D16,素材!$1:$1016,COLUMN($F$1),FALSE))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BD16">
        <f>IF(ISNUMBER(SEARCH(SUBSTITUTE(BD$1,RIGHT(BD$1,2),""),VLOOKUP($D16,素材!$1:$1016,COLUMN($F$1),FALSE))),VLOOKUP($C16,武器!$1:$998,COLUMN($O$1),FALSE)*VLOOKUP($D16,素材!$1:$1016,COLUMN($E$1),FALSE)/(LEN(VLOOKUP($D16,素材!$1:$1016,COLUMN($F$1),FALSE))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BE16">
        <f>IF(ISNUMBER(SEARCH(SUBSTITUTE(BE$1,RIGHT(BE$1,2),""),VLOOKUP($D16,素材!$1:$1016,COLUMN($F$1),FALSE))),VLOOKUP($C16,武器!$1:$998,COLUMN($O$1),FALSE)*VLOOKUP($D16,素材!$1:$1016,COLUMN($E$1),FALSE)/(LEN(VLOOKUP($D16,素材!$1:$1016,COLUMN($F$1),FALSE))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BF16">
        <f>IF(ISNUMBER(SEARCH(SUBSTITUTE(BF$1,RIGHT(BF$1,2),""),VLOOKUP($D16,素材!$1:$1016,COLUMN($F$1),FALSE))),VLOOKUP($C16,武器!$1:$998,COLUMN($O$1),FALSE)*VLOOKUP($D16,素材!$1:$1016,COLUMN($E$1),FALSE)/(LEN(VLOOKUP($D16,素材!$1:$1016,COLUMN($F$1),FALSE)) - LEN(SUBSTITUTE(VLOOKUP($D16,素材!$1:$1016,COLUMN($F$1),FALSE), "・", 0)) + 1), 0)</f>
        <v>0</v>
      </c>
      <c r="CM16">
        <f t="shared" si="3"/>
        <v>23</v>
      </c>
      <c r="CN16" s="22" t="str">
        <f>IF(E16="武器",IF(J16-1&gt;SUM(G16:I16),"盾",IF(MAX(G16:I16)=G16,"切断",IF(MAX(G16:I16)=H16,"貫通",IF(MAX(G16:I16)=I16,"打撃","射撃")))),E16)&amp;".webp"</f>
        <v>打撃.webp</v>
      </c>
      <c r="CO16">
        <f>IFERROR(VLOOKUP($C16,武器!$1:$998,COLUMN(V$1),FALSE)*VLOOKUP($D16,素材!$1:$1016,COLUMN(N$1),FALSE)+IF(CJ16="",0,VLOOKUP($CJ16,装強!$1:$1008,COLUMN($CL$1),FALSE)),"")</f>
        <v>400</v>
      </c>
      <c r="CP16" t="str">
        <f>VLOOKUP(D16,素材!$A:$O,COLUMN(素材!O$1),FALSE)</f>
        <v>一般的な鉄。量産品を作るのに使用されることが多い</v>
      </c>
      <c r="CQ16" t="str">
        <f>VLOOKUP(C16,武器!$A:$W,COLUMN(武器!W$1),FALSE)</f>
        <v>戦棍。打撃に優れた武器。Cr率が高い</v>
      </c>
      <c r="CS16" t="str">
        <f t="shared" si="2"/>
        <v>e_16</v>
      </c>
      <c r="CT16">
        <f t="shared" si="4"/>
        <v>40000</v>
      </c>
    </row>
    <row r="17" spans="1:98" outlineLevel="1" x14ac:dyDescent="0.4">
      <c r="A17" t="str">
        <f t="shared" si="0"/>
        <v>鉄の棘棍</v>
      </c>
      <c r="B17" t="str">
        <f>IFERROR(VLOOKUP($D17,素材!$1:$1016,COLUMN($B$1),FALSE)&amp;"・"&amp;VLOOKUP($C17,武器!$1:$998,COLUMN(B$1),FALSE),"")</f>
        <v>アイアン・モーニングスター</v>
      </c>
      <c r="C17" t="s">
        <v>228</v>
      </c>
      <c r="D17" s="24" t="s">
        <v>257</v>
      </c>
      <c r="E17" t="str">
        <f>IFERROR(VLOOKUP(C17,武器!$1:$998,COLUMN(C$1),FALSE),"")</f>
        <v>武器</v>
      </c>
      <c r="F17">
        <f>IFERROR(ROUNDDOWN((VLOOKUP($C17,武器!$1:$998,COLUMN(D$1),FALSE)+IFERROR(VLOOKUP($CJ17,装強!$1:$999,COLUMN(F$1),FALSE),0))*VLOOKUP($D17,素材!$1:$1016,COLUMN(D$1),FALSE),0),"")</f>
        <v>105</v>
      </c>
      <c r="G17">
        <f>IFERROR(ROUNDDOWN((VLOOKUP($C17,武器!$1:$998,COLUMN(E$1),FALSE)+IFERROR(VLOOKUP($CJ17,装強!$1:$999,COLUMN(G$1),FALSE),0))*VLOOKUP($D17,素材!$1:$1016,COLUMN($E$1),FALSE),0),"")</f>
        <v>0</v>
      </c>
      <c r="H17">
        <f>IFERROR(ROUNDDOWN((VLOOKUP($C17,武器!$1:$998,COLUMN(F$1),FALSE)+IFERROR(VLOOKUP($CJ17,装強!$1:$999,COLUMN(H$1),FALSE),0))*VLOOKUP($D17,素材!$1:$1016,COLUMN($E$1),FALSE),0),"")</f>
        <v>12</v>
      </c>
      <c r="I17">
        <f>IFERROR(ROUNDDOWN((VLOOKUP($C17,武器!$1:$998,COLUMN(G$1),FALSE)+IFERROR(VLOOKUP($CJ17,装強!$1:$999,COLUMN(I$1),FALSE),0))*VLOOKUP($D17,素材!$1:$1016,COLUMN($E$1),FALSE),0),"")</f>
        <v>12</v>
      </c>
      <c r="J17">
        <f>IFERROR(ROUNDDOWN((VLOOKUP($C17,武器!$1:$998,COLUMN(H$1),FALSE)+IFERROR(VLOOKUP($CJ17,装強!$1:$999,COLUMN(J$1),FALSE),0))*VLOOKUP($D17,素材!$1:$1016,COLUMN($E$1),FALSE),0),"")</f>
        <v>19</v>
      </c>
      <c r="K17">
        <f>IFERROR(ROUNDDOWN((VLOOKUP($C17,武器!$1:$998,COLUMN(I$1),FALSE)+IFERROR(VLOOKUP($CJ17,装強!$1:$999,COLUMN(K$1),FALSE),0))*VLOOKUP($D17,素材!$1:$1016,COLUMN($E$1),FALSE),0),"")</f>
        <v>0</v>
      </c>
      <c r="L17">
        <f>IFERROR(VLOOKUP($D17,素材!$1:$1016,COLUMN($F$1),FALSE),"")</f>
        <v>0</v>
      </c>
      <c r="M17">
        <f>IFERROR(VLOOKUP($C17,武器!$1:$998,COLUMN(AA$1),FALSE)*VLOOKUP($D17,素材!$1:$1016,COLUMN($G$1),FALSE),"")</f>
        <v>0</v>
      </c>
      <c r="N17">
        <f>IFERROR(VLOOKUP($C17,武器!$1:$998,COLUMN(I$1),FALSE),"")</f>
        <v>0</v>
      </c>
      <c r="O17" s="23">
        <f>IFERROR((VLOOKUP($C17,武器!$1:$998,COLUMN(K$1),FALSE)+VLOOKUP($D17,素材!$1:$1016,COLUMN(H$1),FALSE))*100+IFERROR(VLOOKUP($CJ17,装強!$1:$999,COLUMN(O$1),FALSE),0),"")</f>
        <v>10</v>
      </c>
      <c r="P17" s="23">
        <f>IFERROR((VLOOKUP($C17,武器!$1:$998,COLUMN(L$1),FALSE)+VLOOKUP($D17,素材!$1:$1016,COLUMN(I$1),FALSE))*100+IFERROR(VLOOKUP($CJ17,装強!$1:$999,COLUMN(P$1),FALSE),0),"")</f>
        <v>125</v>
      </c>
      <c r="Q17">
        <f>IFERROR(ROUNDUP(VLOOKUP($C17,武器!$1:$998,COLUMN(M$1),FALSE)*(VLOOKUP($D17,素材!$1:$1002,COLUMN(D$1),FALSE)/100),1),"")</f>
        <v>-2.5</v>
      </c>
      <c r="R17">
        <f>IFERROR(ROUNDUP(VLOOKUP($C17,武器!$1:$998,COLUMN(N$1),FALSE)*(VLOOKUP($D17,素材!$1:$1002,COLUMN(D$1),FALSE)/100),1),"")</f>
        <v>-2.5</v>
      </c>
      <c r="S17">
        <f>IFERROR(VLOOKUP($C17,武器!$1:$998,COLUMN(P$1),FALSE),"")</f>
        <v>0</v>
      </c>
      <c r="T17">
        <f>IFERROR(VLOOKUP($C17,武器!$1:$998,COLUMN(Q$1),FALSE),"")</f>
        <v>0</v>
      </c>
      <c r="U17">
        <f>IFERROR(VLOOKUP($C17,武器!$1:$998,COLUMN(R$1),FALSE),"")</f>
        <v>0</v>
      </c>
      <c r="V17">
        <f>IFERROR(VLOOKUP($C17,武器!$1:$998,COLUMN(Q$1),FALSE),"")</f>
        <v>0</v>
      </c>
      <c r="W17" t="str">
        <f>IFERROR(VLOOKUP($C17,武器!$1:$998,COLUMN(T$1),FALSE),"")</f>
        <v>A</v>
      </c>
      <c r="Y17">
        <f>IFERROR(VLOOKUP($C17,武器!$1:$998,COLUMN(U$1),FALSE),"")</f>
        <v>0</v>
      </c>
      <c r="Z17">
        <f>IFERROR(ROUNDUP(VLOOKUP($C17,武器!$1:$998,COLUMN(O$1),FALSE)*VLOOKUP($D17,素材!$1:$1016,COLUMN(E$1),FALSE),1),"")</f>
        <v>0</v>
      </c>
      <c r="AA17">
        <f>IF(ISNUMBER(SEARCH(SUBSTITUTE(AA$1,RIGHT(AA$1,2),""),VLOOKUP($D17,素材!$1:$1016,COLUMN($F$1),FALSE))),VLOOKUP($C17,武器!$1:$998,COLUMN($O$1),FALSE)*VLOOKUP($D17,素材!$1:$1016,COLUMN($E$1),FALSE)/(LEN(VLOOKUP($D17,素材!$1:$1016,COLUMN($F$1),FALSE))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B17">
        <f>IF(ISNUMBER(SEARCH(SUBSTITUTE(AB$1,RIGHT(AB$1,2),""),VLOOKUP($D17,素材!$1:$1016,COLUMN($F$1),FALSE))),VLOOKUP($C17,武器!$1:$998,COLUMN($O$1),FALSE)*VLOOKUP($D17,素材!$1:$1016,COLUMN($E$1),FALSE)/(LEN(VLOOKUP($D17,素材!$1:$1016,COLUMN($F$1),FALSE))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C17">
        <f>IF(ISNUMBER(SEARCH(SUBSTITUTE(AC$1,RIGHT(AC$1,2),""),VLOOKUP($D17,素材!$1:$1016,COLUMN($F$1),FALSE))),VLOOKUP($C17,武器!$1:$998,COLUMN($O$1),FALSE)*VLOOKUP($D17,素材!$1:$1016,COLUMN($E$1),FALSE)/(LEN(VLOOKUP($D17,素材!$1:$1016,COLUMN($F$1),FALSE))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D17">
        <f>IF(ISNUMBER(SEARCH(SUBSTITUTE(AD$1,RIGHT(AD$1,2),""),VLOOKUP($D17,素材!$1:$1016,COLUMN($F$1),FALSE))),VLOOKUP($C17,武器!$1:$998,COLUMN($O$1),FALSE)*VLOOKUP($D17,素材!$1:$1016,COLUMN($E$1),FALSE)/(LEN(VLOOKUP($D17,素材!$1:$1016,COLUMN($F$1),FALSE))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E17">
        <f>IF(ISNUMBER(SEARCH(SUBSTITUTE(AE$1,RIGHT(AE$1,2),""),VLOOKUP($D17,素材!$1:$1016,COLUMN($F$1),FALSE))),VLOOKUP($C17,武器!$1:$998,COLUMN($O$1),FALSE)*VLOOKUP($D17,素材!$1:$1016,COLUMN($E$1),FALSE)/(LEN(VLOOKUP($D17,素材!$1:$1016,COLUMN($F$1),FALSE))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F17">
        <f>IF(ISNUMBER(SEARCH(SUBSTITUTE(AF$1,RIGHT(AF$1,2),""),VLOOKUP($D17,素材!$1:$1016,COLUMN($F$1),FALSE))),VLOOKUP($C17,武器!$1:$998,COLUMN($O$1),FALSE)*VLOOKUP($D17,素材!$1:$1016,COLUMN($E$1),FALSE)/(LEN(VLOOKUP($D17,素材!$1:$1016,COLUMN($F$1),FALSE))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G17">
        <f>IF(ISNUMBER(SEARCH(SUBSTITUTE(AG$1,RIGHT(AG$1,2),""),VLOOKUP($D17,素材!$1:$1016,COLUMN($F$1),FALSE))),VLOOKUP($C17,武器!$1:$998,COLUMN($O$1),FALSE)*VLOOKUP($D17,素材!$1:$1016,COLUMN($E$1),FALSE)/(LEN(VLOOKUP($D17,素材!$1:$1016,COLUMN($F$1),FALSE))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H17">
        <f>IF(ISNUMBER(SEARCH(SUBSTITUTE(AH$1,RIGHT(AH$1,2),""),VLOOKUP($D17,素材!$1:$1016,COLUMN($F$1),FALSE))),VLOOKUP($C17,武器!$1:$998,COLUMN($O$1),FALSE)*VLOOKUP($D17,素材!$1:$1016,COLUMN($E$1),FALSE)/(LEN(VLOOKUP($D17,素材!$1:$1016,COLUMN($F$1),FALSE))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I17">
        <f>IF(ISNUMBER(SEARCH(SUBSTITUTE(AI$1,RIGHT(AI$1,2),""),VLOOKUP($D17,素材!$1:$1016,COLUMN($F$1),FALSE))),VLOOKUP($C17,武器!$1:$998,COLUMN($O$1),FALSE)*VLOOKUP($D17,素材!$1:$1016,COLUMN($E$1),FALSE)/(LEN(VLOOKUP($D17,素材!$1:$1016,COLUMN($F$1),FALSE))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J17">
        <f>IF(ISNUMBER(SEARCH(SUBSTITUTE(AJ$1,RIGHT(AJ$1,2),""),VLOOKUP($D17,素材!$1:$1016,COLUMN($F$1),FALSE))),VLOOKUP($C17,武器!$1:$998,COLUMN($O$1),FALSE)*VLOOKUP($D17,素材!$1:$1016,COLUMN($E$1),FALSE)/(LEN(VLOOKUP($D17,素材!$1:$1016,COLUMN($F$1),FALSE))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K17">
        <f>IF(ISNUMBER(SEARCH(SUBSTITUTE(AK$1,RIGHT(AK$1,2),""),VLOOKUP($D17,素材!$1:$1016,COLUMN($F$1),FALSE))),VLOOKUP($C17,武器!$1:$998,COLUMN($O$1),FALSE)*VLOOKUP($D17,素材!$1:$1016,COLUMN($E$1),FALSE)/(LEN(VLOOKUP($D17,素材!$1:$1016,COLUMN($F$1),FALSE))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L17">
        <f>IF(ISNUMBER(SEARCH(SUBSTITUTE(AL$1,RIGHT(AL$1,2),""),VLOOKUP($D17,素材!$1:$1016,COLUMN($F$1),FALSE))),VLOOKUP($C17,武器!$1:$998,COLUMN($O$1),FALSE)*VLOOKUP($D17,素材!$1:$1016,COLUMN($E$1),FALSE)/(LEN(VLOOKUP($D17,素材!$1:$1016,COLUMN($F$1),FALSE))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M17">
        <f>IF(ISNUMBER(SEARCH(SUBSTITUTE(AM$1,RIGHT(AM$1,2),""),VLOOKUP($D17,素材!$1:$1016,COLUMN($F$1),FALSE))),VLOOKUP($C17,武器!$1:$998,COLUMN($O$1),FALSE)*VLOOKUP($D17,素材!$1:$1016,COLUMN($E$1),FALSE)/(LEN(VLOOKUP($D17,素材!$1:$1016,COLUMN($F$1),FALSE))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N17">
        <f>IF(ISNUMBER(SEARCH(SUBSTITUTE(AN$1,RIGHT(AN$1,2),""),VLOOKUP($D17,素材!$1:$1016,COLUMN($F$1),FALSE))),VLOOKUP($C17,武器!$1:$998,COLUMN($O$1),FALSE)*VLOOKUP($D17,素材!$1:$1016,COLUMN($E$1),FALSE)/(LEN(VLOOKUP($D17,素材!$1:$1016,COLUMN($F$1),FALSE))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O17">
        <f>IF(ISNUMBER(SEARCH(SUBSTITUTE(AO$1,RIGHT(AO$1,2),""),VLOOKUP($D17,素材!$1:$1016,COLUMN($F$1),FALSE))),VLOOKUP($C17,武器!$1:$998,COLUMN($O$1),FALSE)*VLOOKUP($D17,素材!$1:$1016,COLUMN($E$1),FALSE)/(LEN(VLOOKUP($D17,素材!$1:$1016,COLUMN($F$1),FALSE))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P17">
        <f>IF(ISNUMBER(SEARCH(SUBSTITUTE(AP$1,RIGHT(AP$1,2),""),VLOOKUP($D17,素材!$1:$1016,COLUMN($F$1),FALSE))),VLOOKUP($C17,武器!$1:$998,COLUMN($O$1),FALSE)*VLOOKUP($D17,素材!$1:$1016,COLUMN($E$1),FALSE)/(LEN(VLOOKUP($D17,素材!$1:$1016,COLUMN($F$1),FALSE))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Q17">
        <f>IF(ISNUMBER(SEARCH(SUBSTITUTE(AQ$1,RIGHT(AQ$1,2),""),VLOOKUP($D17,素材!$1:$1016,COLUMN($F$1),FALSE))),VLOOKUP($C17,武器!$1:$998,COLUMN($O$1),FALSE)*VLOOKUP($D17,素材!$1:$1016,COLUMN($E$1),FALSE)/(LEN(VLOOKUP($D17,素材!$1:$1016,COLUMN($F$1),FALSE))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R17">
        <f>IF(ISNUMBER(SEARCH(SUBSTITUTE(AR$1,RIGHT(AR$1,2),""),VLOOKUP($D17,素材!$1:$1016,COLUMN($F$1),FALSE))),VLOOKUP($C17,武器!$1:$998,COLUMN($O$1),FALSE)*VLOOKUP($D17,素材!$1:$1016,COLUMN($E$1),FALSE)/(LEN(VLOOKUP($D17,素材!$1:$1016,COLUMN($F$1),FALSE))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S17">
        <f>IF(ISNUMBER(SEARCH(SUBSTITUTE(AS$1,RIGHT(AS$1,2),""),VLOOKUP($D17,素材!$1:$1016,COLUMN($F$1),FALSE))),VLOOKUP($C17,武器!$1:$998,COLUMN($O$1),FALSE)*VLOOKUP($D17,素材!$1:$1016,COLUMN($E$1),FALSE)/(LEN(VLOOKUP($D17,素材!$1:$1016,COLUMN($F$1),FALSE))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T17">
        <f>IF(ISNUMBER(SEARCH(SUBSTITUTE(AT$1,RIGHT(AT$1,2),""),VLOOKUP($D17,素材!$1:$1016,COLUMN($F$1),FALSE))),VLOOKUP($C17,武器!$1:$998,COLUMN($O$1),FALSE)*VLOOKUP($D17,素材!$1:$1016,COLUMN($E$1),FALSE)/(LEN(VLOOKUP($D17,素材!$1:$1016,COLUMN($F$1),FALSE))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U17">
        <f>IF(ISNUMBER(SEARCH(SUBSTITUTE(AU$1,RIGHT(AU$1,2),""),VLOOKUP($D17,素材!$1:$1016,COLUMN($F$1),FALSE))),VLOOKUP($C17,武器!$1:$998,COLUMN($O$1),FALSE)*VLOOKUP($D17,素材!$1:$1016,COLUMN($E$1),FALSE)/(LEN(VLOOKUP($D17,素材!$1:$1016,COLUMN($F$1),FALSE))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V17">
        <f>IF(ISNUMBER(SEARCH(SUBSTITUTE(AV$1,RIGHT(AV$1,2),""),VLOOKUP($D17,素材!$1:$1016,COLUMN($F$1),FALSE))),VLOOKUP($C17,武器!$1:$998,COLUMN($O$1),FALSE)*VLOOKUP($D17,素材!$1:$1016,COLUMN($E$1),FALSE)/(LEN(VLOOKUP($D17,素材!$1:$1016,COLUMN($F$1),FALSE))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W17">
        <f>IF(ISNUMBER(SEARCH(SUBSTITUTE(AW$1,RIGHT(AW$1,2),""),VLOOKUP($D17,素材!$1:$1016,COLUMN($F$1),FALSE))),VLOOKUP($C17,武器!$1:$998,COLUMN($O$1),FALSE)*VLOOKUP($D17,素材!$1:$1016,COLUMN($E$1),FALSE)/(LEN(VLOOKUP($D17,素材!$1:$1016,COLUMN($F$1),FALSE))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X17">
        <f>IF(ISNUMBER(SEARCH(SUBSTITUTE(AX$1,RIGHT(AX$1,2),""),VLOOKUP($D17,素材!$1:$1016,COLUMN($F$1),FALSE))),VLOOKUP($C17,武器!$1:$998,COLUMN($O$1),FALSE)*VLOOKUP($D17,素材!$1:$1016,COLUMN($E$1),FALSE)/(LEN(VLOOKUP($D17,素材!$1:$1016,COLUMN($F$1),FALSE))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Y17">
        <f>IF(ISNUMBER(SEARCH(SUBSTITUTE(AY$1,RIGHT(AY$1,2),""),VLOOKUP($D17,素材!$1:$1016,COLUMN($F$1),FALSE))),VLOOKUP($C17,武器!$1:$998,COLUMN($O$1),FALSE)*VLOOKUP($D17,素材!$1:$1016,COLUMN($E$1),FALSE)/(LEN(VLOOKUP($D17,素材!$1:$1016,COLUMN($F$1),FALSE))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AZ17">
        <f>IF(ISNUMBER(SEARCH(SUBSTITUTE(AZ$1,RIGHT(AZ$1,2),""),VLOOKUP($D17,素材!$1:$1016,COLUMN($F$1),FALSE))),VLOOKUP($C17,武器!$1:$998,COLUMN($O$1),FALSE)*VLOOKUP($D17,素材!$1:$1016,COLUMN($E$1),FALSE)/(LEN(VLOOKUP($D17,素材!$1:$1016,COLUMN($F$1),FALSE))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BA17">
        <f>IF(ISNUMBER(SEARCH(SUBSTITUTE(BA$1,RIGHT(BA$1,2),""),VLOOKUP($D17,素材!$1:$1016,COLUMN($F$1),FALSE))),VLOOKUP($C17,武器!$1:$998,COLUMN($O$1),FALSE)*VLOOKUP($D17,素材!$1:$1016,COLUMN($E$1),FALSE)/(LEN(VLOOKUP($D17,素材!$1:$1016,COLUMN($F$1),FALSE))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BB17">
        <f>IF(ISNUMBER(SEARCH(SUBSTITUTE(BB$1,RIGHT(BB$1,2),""),VLOOKUP($D17,素材!$1:$1016,COLUMN($F$1),FALSE))),VLOOKUP($C17,武器!$1:$998,COLUMN($O$1),FALSE)*VLOOKUP($D17,素材!$1:$1016,COLUMN($E$1),FALSE)/(LEN(VLOOKUP($D17,素材!$1:$1016,COLUMN($F$1),FALSE))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BC17">
        <f>IF(ISNUMBER(SEARCH(SUBSTITUTE(BC$1,RIGHT(BC$1,2),""),VLOOKUP($D17,素材!$1:$1016,COLUMN($F$1),FALSE))),VLOOKUP($C17,武器!$1:$998,COLUMN($O$1),FALSE)*VLOOKUP($D17,素材!$1:$1016,COLUMN($E$1),FALSE)/(LEN(VLOOKUP($D17,素材!$1:$1016,COLUMN($F$1),FALSE))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BD17">
        <f>IF(ISNUMBER(SEARCH(SUBSTITUTE(BD$1,RIGHT(BD$1,2),""),VLOOKUP($D17,素材!$1:$1016,COLUMN($F$1),FALSE))),VLOOKUP($C17,武器!$1:$998,COLUMN($O$1),FALSE)*VLOOKUP($D17,素材!$1:$1016,COLUMN($E$1),FALSE)/(LEN(VLOOKUP($D17,素材!$1:$1016,COLUMN($F$1),FALSE))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BE17">
        <f>IF(ISNUMBER(SEARCH(SUBSTITUTE(BE$1,RIGHT(BE$1,2),""),VLOOKUP($D17,素材!$1:$1016,COLUMN($F$1),FALSE))),VLOOKUP($C17,武器!$1:$998,COLUMN($O$1),FALSE)*VLOOKUP($D17,素材!$1:$1016,COLUMN($E$1),FALSE)/(LEN(VLOOKUP($D17,素材!$1:$1016,COLUMN($F$1),FALSE))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BF17">
        <f>IF(ISNUMBER(SEARCH(SUBSTITUTE(BF$1,RIGHT(BF$1,2),""),VLOOKUP($D17,素材!$1:$1016,COLUMN($F$1),FALSE))),VLOOKUP($C17,武器!$1:$998,COLUMN($O$1),FALSE)*VLOOKUP($D17,素材!$1:$1016,COLUMN($E$1),FALSE)/(LEN(VLOOKUP($D17,素材!$1:$1016,COLUMN($F$1),FALSE)) - LEN(SUBSTITUTE(VLOOKUP($D17,素材!$1:$1016,COLUMN($F$1),FALSE), "・", 0)) + 1), 0)</f>
        <v>0</v>
      </c>
      <c r="CM17">
        <f t="shared" si="3"/>
        <v>24</v>
      </c>
      <c r="CN17" s="22" t="str">
        <f>IF(E17="武器",IF(J17-1&gt;SUM(G17:I17),"盾",IF(MAX(G17:I17)=G17,"切断",IF(MAX(G17:I17)=H17,"貫通",IF(MAX(G17:I17)=I17,"打撃","射撃")))),E17)&amp;".webp"</f>
        <v>貫通.webp</v>
      </c>
      <c r="CO17">
        <f>IFERROR(VLOOKUP($C17,武器!$1:$998,COLUMN(V$1),FALSE)*VLOOKUP($D17,素材!$1:$1016,COLUMN(N$1),FALSE)+IF(CJ17="",0,VLOOKUP($CJ17,装強!$1:$1008,COLUMN($CL$1),FALSE)),"")</f>
        <v>400</v>
      </c>
      <c r="CP17" t="str">
        <f>VLOOKUP(D17,素材!$A:$O,COLUMN(素材!O$1),FALSE)</f>
        <v>一般的な鉄。量産品を作るのに使用されることが多い</v>
      </c>
      <c r="CQ17" t="str">
        <f>VLOOKUP(C17,武器!$A:$W,COLUMN(武器!W$1),FALSE)</f>
        <v>棘棍。打撃と刺突を兼ね備えた武器。</v>
      </c>
      <c r="CS17" t="str">
        <f t="shared" si="2"/>
        <v>e_17</v>
      </c>
      <c r="CT17">
        <f t="shared" si="4"/>
        <v>40000</v>
      </c>
    </row>
    <row r="18" spans="1:98" outlineLevel="1" x14ac:dyDescent="0.4">
      <c r="A18" t="str">
        <f t="shared" si="0"/>
        <v>鉄の鎚</v>
      </c>
      <c r="B18" t="str">
        <f>IFERROR(VLOOKUP($D18,素材!$1:$1016,COLUMN($B$1),FALSE)&amp;"・"&amp;VLOOKUP($C18,武器!$1:$998,COLUMN(B$1),FALSE),"")</f>
        <v>アイアン・ハンマー</v>
      </c>
      <c r="C18" t="s">
        <v>227</v>
      </c>
      <c r="D18" s="24" t="s">
        <v>257</v>
      </c>
      <c r="E18" t="str">
        <f>IFERROR(VLOOKUP(C18,武器!$1:$998,COLUMN(C$1),FALSE),"")</f>
        <v>武器</v>
      </c>
      <c r="F18">
        <f>IFERROR(ROUNDDOWN((VLOOKUP($C18,武器!$1:$998,COLUMN(D$1),FALSE)+IFERROR(VLOOKUP($CJ18,装強!$1:$999,COLUMN(F$1),FALSE),0))*VLOOKUP($D18,素材!$1:$1016,COLUMN(D$1),FALSE),0),"")</f>
        <v>110</v>
      </c>
      <c r="G18">
        <f>IFERROR(ROUNDDOWN((VLOOKUP($C18,武器!$1:$998,COLUMN(E$1),FALSE)+IFERROR(VLOOKUP($CJ18,装強!$1:$999,COLUMN(G$1),FALSE),0))*VLOOKUP($D18,素材!$1:$1016,COLUMN($E$1),FALSE),0),"")</f>
        <v>0</v>
      </c>
      <c r="H18">
        <f>IFERROR(ROUNDDOWN((VLOOKUP($C18,武器!$1:$998,COLUMN(F$1),FALSE)+IFERROR(VLOOKUP($CJ18,装強!$1:$999,COLUMN(H$1),FALSE),0))*VLOOKUP($D18,素材!$1:$1016,COLUMN($E$1),FALSE),0),"")</f>
        <v>0</v>
      </c>
      <c r="I18">
        <f>IFERROR(ROUNDDOWN((VLOOKUP($C18,武器!$1:$998,COLUMN(G$1),FALSE)+IFERROR(VLOOKUP($CJ18,装強!$1:$999,COLUMN(I$1),FALSE),0))*VLOOKUP($D18,素材!$1:$1016,COLUMN($E$1),FALSE),0),"")</f>
        <v>22</v>
      </c>
      <c r="J18">
        <f>IFERROR(ROUNDDOWN((VLOOKUP($C18,武器!$1:$998,COLUMN(H$1),FALSE)+IFERROR(VLOOKUP($CJ18,装強!$1:$999,COLUMN(J$1),FALSE),0))*VLOOKUP($D18,素材!$1:$1016,COLUMN($E$1),FALSE),0),"")</f>
        <v>19</v>
      </c>
      <c r="K18">
        <f>IFERROR(ROUNDDOWN((VLOOKUP($C18,武器!$1:$998,COLUMN(I$1),FALSE)+IFERROR(VLOOKUP($CJ18,装強!$1:$999,COLUMN(K$1),FALSE),0))*VLOOKUP($D18,素材!$1:$1016,COLUMN($E$1),FALSE),0),"")</f>
        <v>0</v>
      </c>
      <c r="L18">
        <f>IFERROR(VLOOKUP($D18,素材!$1:$1016,COLUMN($F$1),FALSE),"")</f>
        <v>0</v>
      </c>
      <c r="M18">
        <f>IFERROR(VLOOKUP($C18,武器!$1:$998,COLUMN(AA$1),FALSE)*VLOOKUP($D18,素材!$1:$1016,COLUMN($G$1),FALSE),"")</f>
        <v>0</v>
      </c>
      <c r="N18">
        <f>IFERROR(VLOOKUP($C18,武器!$1:$998,COLUMN(I$1),FALSE),"")</f>
        <v>0</v>
      </c>
      <c r="O18" s="23">
        <f>IFERROR((VLOOKUP($C18,武器!$1:$998,COLUMN(K$1),FALSE)+VLOOKUP($D18,素材!$1:$1016,COLUMN(H$1),FALSE))*100+IFERROR(VLOOKUP($CJ18,装強!$1:$999,COLUMN(O$1),FALSE),0),"")</f>
        <v>10</v>
      </c>
      <c r="P18" s="23">
        <f>IFERROR((VLOOKUP($C18,武器!$1:$998,COLUMN(L$1),FALSE)+VLOOKUP($D18,素材!$1:$1016,COLUMN(I$1),FALSE))*100+IFERROR(VLOOKUP($CJ18,装強!$1:$999,COLUMN(P$1),FALSE),0),"")</f>
        <v>150</v>
      </c>
      <c r="Q18">
        <f>IFERROR(ROUNDUP(VLOOKUP($C18,武器!$1:$998,COLUMN(M$1),FALSE)*(VLOOKUP($D18,素材!$1:$1002,COLUMN(D$1),FALSE)/100),1),"")</f>
        <v>-2.5</v>
      </c>
      <c r="R18">
        <f>IFERROR(ROUNDUP(VLOOKUP($C18,武器!$1:$998,COLUMN(N$1),FALSE)*(VLOOKUP($D18,素材!$1:$1002,COLUMN(D$1),FALSE)/100),1),"")</f>
        <v>0</v>
      </c>
      <c r="S18">
        <f>IFERROR(VLOOKUP($C18,武器!$1:$998,COLUMN(P$1),FALSE),"")</f>
        <v>0</v>
      </c>
      <c r="T18">
        <f>IFERROR(VLOOKUP($C18,武器!$1:$998,COLUMN(Q$1),FALSE),"")</f>
        <v>0</v>
      </c>
      <c r="U18">
        <f>IFERROR(VLOOKUP($C18,武器!$1:$998,COLUMN(R$1),FALSE),"")</f>
        <v>0</v>
      </c>
      <c r="V18">
        <f>IFERROR(VLOOKUP($C18,武器!$1:$998,COLUMN(Q$1),FALSE),"")</f>
        <v>0</v>
      </c>
      <c r="W18" t="str">
        <f>IFERROR(VLOOKUP($C18,武器!$1:$998,COLUMN(T$1),FALSE),"")</f>
        <v>A</v>
      </c>
      <c r="Y18" t="str">
        <f>IFERROR(VLOOKUP($C18,武器!$1:$998,COLUMN(U$1),FALSE),"")</f>
        <v>投擲強化</v>
      </c>
      <c r="Z18">
        <f>IFERROR(ROUNDUP(VLOOKUP($C18,武器!$1:$998,COLUMN(O$1),FALSE)*VLOOKUP($D18,素材!$1:$1016,COLUMN(E$1),FALSE),1),"")</f>
        <v>0</v>
      </c>
      <c r="AA18">
        <f>IF(ISNUMBER(SEARCH(SUBSTITUTE(AA$1,RIGHT(AA$1,2),""),VLOOKUP($D18,素材!$1:$1016,COLUMN($F$1),FALSE))),VLOOKUP($C18,武器!$1:$998,COLUMN($O$1),FALSE)*VLOOKUP($D18,素材!$1:$1016,COLUMN($E$1),FALSE)/(LEN(VLOOKUP($D18,素材!$1:$1016,COLUMN($F$1),FALSE))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B18">
        <f>IF(ISNUMBER(SEARCH(SUBSTITUTE(AB$1,RIGHT(AB$1,2),""),VLOOKUP($D18,素材!$1:$1016,COLUMN($F$1),FALSE))),VLOOKUP($C18,武器!$1:$998,COLUMN($O$1),FALSE)*VLOOKUP($D18,素材!$1:$1016,COLUMN($E$1),FALSE)/(LEN(VLOOKUP($D18,素材!$1:$1016,COLUMN($F$1),FALSE))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C18">
        <f>IF(ISNUMBER(SEARCH(SUBSTITUTE(AC$1,RIGHT(AC$1,2),""),VLOOKUP($D18,素材!$1:$1016,COLUMN($F$1),FALSE))),VLOOKUP($C18,武器!$1:$998,COLUMN($O$1),FALSE)*VLOOKUP($D18,素材!$1:$1016,COLUMN($E$1),FALSE)/(LEN(VLOOKUP($D18,素材!$1:$1016,COLUMN($F$1),FALSE))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D18">
        <f>IF(ISNUMBER(SEARCH(SUBSTITUTE(AD$1,RIGHT(AD$1,2),""),VLOOKUP($D18,素材!$1:$1016,COLUMN($F$1),FALSE))),VLOOKUP($C18,武器!$1:$998,COLUMN($O$1),FALSE)*VLOOKUP($D18,素材!$1:$1016,COLUMN($E$1),FALSE)/(LEN(VLOOKUP($D18,素材!$1:$1016,COLUMN($F$1),FALSE))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E18">
        <f>IF(ISNUMBER(SEARCH(SUBSTITUTE(AE$1,RIGHT(AE$1,2),""),VLOOKUP($D18,素材!$1:$1016,COLUMN($F$1),FALSE))),VLOOKUP($C18,武器!$1:$998,COLUMN($O$1),FALSE)*VLOOKUP($D18,素材!$1:$1016,COLUMN($E$1),FALSE)/(LEN(VLOOKUP($D18,素材!$1:$1016,COLUMN($F$1),FALSE))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F18">
        <f>IF(ISNUMBER(SEARCH(SUBSTITUTE(AF$1,RIGHT(AF$1,2),""),VLOOKUP($D18,素材!$1:$1016,COLUMN($F$1),FALSE))),VLOOKUP($C18,武器!$1:$998,COLUMN($O$1),FALSE)*VLOOKUP($D18,素材!$1:$1016,COLUMN($E$1),FALSE)/(LEN(VLOOKUP($D18,素材!$1:$1016,COLUMN($F$1),FALSE))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G18">
        <f>IF(ISNUMBER(SEARCH(SUBSTITUTE(AG$1,RIGHT(AG$1,2),""),VLOOKUP($D18,素材!$1:$1016,COLUMN($F$1),FALSE))),VLOOKUP($C18,武器!$1:$998,COLUMN($O$1),FALSE)*VLOOKUP($D18,素材!$1:$1016,COLUMN($E$1),FALSE)/(LEN(VLOOKUP($D18,素材!$1:$1016,COLUMN($F$1),FALSE))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H18">
        <f>IF(ISNUMBER(SEARCH(SUBSTITUTE(AH$1,RIGHT(AH$1,2),""),VLOOKUP($D18,素材!$1:$1016,COLUMN($F$1),FALSE))),VLOOKUP($C18,武器!$1:$998,COLUMN($O$1),FALSE)*VLOOKUP($D18,素材!$1:$1016,COLUMN($E$1),FALSE)/(LEN(VLOOKUP($D18,素材!$1:$1016,COLUMN($F$1),FALSE))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I18">
        <f>IF(ISNUMBER(SEARCH(SUBSTITUTE(AI$1,RIGHT(AI$1,2),""),VLOOKUP($D18,素材!$1:$1016,COLUMN($F$1),FALSE))),VLOOKUP($C18,武器!$1:$998,COLUMN($O$1),FALSE)*VLOOKUP($D18,素材!$1:$1016,COLUMN($E$1),FALSE)/(LEN(VLOOKUP($D18,素材!$1:$1016,COLUMN($F$1),FALSE))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J18">
        <f>IF(ISNUMBER(SEARCH(SUBSTITUTE(AJ$1,RIGHT(AJ$1,2),""),VLOOKUP($D18,素材!$1:$1016,COLUMN($F$1),FALSE))),VLOOKUP($C18,武器!$1:$998,COLUMN($O$1),FALSE)*VLOOKUP($D18,素材!$1:$1016,COLUMN($E$1),FALSE)/(LEN(VLOOKUP($D18,素材!$1:$1016,COLUMN($F$1),FALSE))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K18">
        <f>IF(ISNUMBER(SEARCH(SUBSTITUTE(AK$1,RIGHT(AK$1,2),""),VLOOKUP($D18,素材!$1:$1016,COLUMN($F$1),FALSE))),VLOOKUP($C18,武器!$1:$998,COLUMN($O$1),FALSE)*VLOOKUP($D18,素材!$1:$1016,COLUMN($E$1),FALSE)/(LEN(VLOOKUP($D18,素材!$1:$1016,COLUMN($F$1),FALSE))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L18">
        <f>IF(ISNUMBER(SEARCH(SUBSTITUTE(AL$1,RIGHT(AL$1,2),""),VLOOKUP($D18,素材!$1:$1016,COLUMN($F$1),FALSE))),VLOOKUP($C18,武器!$1:$998,COLUMN($O$1),FALSE)*VLOOKUP($D18,素材!$1:$1016,COLUMN($E$1),FALSE)/(LEN(VLOOKUP($D18,素材!$1:$1016,COLUMN($F$1),FALSE))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M18">
        <f>IF(ISNUMBER(SEARCH(SUBSTITUTE(AM$1,RIGHT(AM$1,2),""),VLOOKUP($D18,素材!$1:$1016,COLUMN($F$1),FALSE))),VLOOKUP($C18,武器!$1:$998,COLUMN($O$1),FALSE)*VLOOKUP($D18,素材!$1:$1016,COLUMN($E$1),FALSE)/(LEN(VLOOKUP($D18,素材!$1:$1016,COLUMN($F$1),FALSE))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N18">
        <f>IF(ISNUMBER(SEARCH(SUBSTITUTE(AN$1,RIGHT(AN$1,2),""),VLOOKUP($D18,素材!$1:$1016,COLUMN($F$1),FALSE))),VLOOKUP($C18,武器!$1:$998,COLUMN($O$1),FALSE)*VLOOKUP($D18,素材!$1:$1016,COLUMN($E$1),FALSE)/(LEN(VLOOKUP($D18,素材!$1:$1016,COLUMN($F$1),FALSE))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O18">
        <f>IF(ISNUMBER(SEARCH(SUBSTITUTE(AO$1,RIGHT(AO$1,2),""),VLOOKUP($D18,素材!$1:$1016,COLUMN($F$1),FALSE))),VLOOKUP($C18,武器!$1:$998,COLUMN($O$1),FALSE)*VLOOKUP($D18,素材!$1:$1016,COLUMN($E$1),FALSE)/(LEN(VLOOKUP($D18,素材!$1:$1016,COLUMN($F$1),FALSE))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P18">
        <f>IF(ISNUMBER(SEARCH(SUBSTITUTE(AP$1,RIGHT(AP$1,2),""),VLOOKUP($D18,素材!$1:$1016,COLUMN($F$1),FALSE))),VLOOKUP($C18,武器!$1:$998,COLUMN($O$1),FALSE)*VLOOKUP($D18,素材!$1:$1016,COLUMN($E$1),FALSE)/(LEN(VLOOKUP($D18,素材!$1:$1016,COLUMN($F$1),FALSE))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Q18">
        <f>IF(ISNUMBER(SEARCH(SUBSTITUTE(AQ$1,RIGHT(AQ$1,2),""),VLOOKUP($D18,素材!$1:$1016,COLUMN($F$1),FALSE))),VLOOKUP($C18,武器!$1:$998,COLUMN($O$1),FALSE)*VLOOKUP($D18,素材!$1:$1016,COLUMN($E$1),FALSE)/(LEN(VLOOKUP($D18,素材!$1:$1016,COLUMN($F$1),FALSE))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R18">
        <f>IF(ISNUMBER(SEARCH(SUBSTITUTE(AR$1,RIGHT(AR$1,2),""),VLOOKUP($D18,素材!$1:$1016,COLUMN($F$1),FALSE))),VLOOKUP($C18,武器!$1:$998,COLUMN($O$1),FALSE)*VLOOKUP($D18,素材!$1:$1016,COLUMN($E$1),FALSE)/(LEN(VLOOKUP($D18,素材!$1:$1016,COLUMN($F$1),FALSE))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S18">
        <f>IF(ISNUMBER(SEARCH(SUBSTITUTE(AS$1,RIGHT(AS$1,2),""),VLOOKUP($D18,素材!$1:$1016,COLUMN($F$1),FALSE))),VLOOKUP($C18,武器!$1:$998,COLUMN($O$1),FALSE)*VLOOKUP($D18,素材!$1:$1016,COLUMN($E$1),FALSE)/(LEN(VLOOKUP($D18,素材!$1:$1016,COLUMN($F$1),FALSE))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T18">
        <f>IF(ISNUMBER(SEARCH(SUBSTITUTE(AT$1,RIGHT(AT$1,2),""),VLOOKUP($D18,素材!$1:$1016,COLUMN($F$1),FALSE))),VLOOKUP($C18,武器!$1:$998,COLUMN($O$1),FALSE)*VLOOKUP($D18,素材!$1:$1016,COLUMN($E$1),FALSE)/(LEN(VLOOKUP($D18,素材!$1:$1016,COLUMN($F$1),FALSE))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U18">
        <f>IF(ISNUMBER(SEARCH(SUBSTITUTE(AU$1,RIGHT(AU$1,2),""),VLOOKUP($D18,素材!$1:$1016,COLUMN($F$1),FALSE))),VLOOKUP($C18,武器!$1:$998,COLUMN($O$1),FALSE)*VLOOKUP($D18,素材!$1:$1016,COLUMN($E$1),FALSE)/(LEN(VLOOKUP($D18,素材!$1:$1016,COLUMN($F$1),FALSE))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V18">
        <f>IF(ISNUMBER(SEARCH(SUBSTITUTE(AV$1,RIGHT(AV$1,2),""),VLOOKUP($D18,素材!$1:$1016,COLUMN($F$1),FALSE))),VLOOKUP($C18,武器!$1:$998,COLUMN($O$1),FALSE)*VLOOKUP($D18,素材!$1:$1016,COLUMN($E$1),FALSE)/(LEN(VLOOKUP($D18,素材!$1:$1016,COLUMN($F$1),FALSE))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W18">
        <f>IF(ISNUMBER(SEARCH(SUBSTITUTE(AW$1,RIGHT(AW$1,2),""),VLOOKUP($D18,素材!$1:$1016,COLUMN($F$1),FALSE))),VLOOKUP($C18,武器!$1:$998,COLUMN($O$1),FALSE)*VLOOKUP($D18,素材!$1:$1016,COLUMN($E$1),FALSE)/(LEN(VLOOKUP($D18,素材!$1:$1016,COLUMN($F$1),FALSE))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X18">
        <f>IF(ISNUMBER(SEARCH(SUBSTITUTE(AX$1,RIGHT(AX$1,2),""),VLOOKUP($D18,素材!$1:$1016,COLUMN($F$1),FALSE))),VLOOKUP($C18,武器!$1:$998,COLUMN($O$1),FALSE)*VLOOKUP($D18,素材!$1:$1016,COLUMN($E$1),FALSE)/(LEN(VLOOKUP($D18,素材!$1:$1016,COLUMN($F$1),FALSE))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Y18">
        <f>IF(ISNUMBER(SEARCH(SUBSTITUTE(AY$1,RIGHT(AY$1,2),""),VLOOKUP($D18,素材!$1:$1016,COLUMN($F$1),FALSE))),VLOOKUP($C18,武器!$1:$998,COLUMN($O$1),FALSE)*VLOOKUP($D18,素材!$1:$1016,COLUMN($E$1),FALSE)/(LEN(VLOOKUP($D18,素材!$1:$1016,COLUMN($F$1),FALSE))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AZ18">
        <f>IF(ISNUMBER(SEARCH(SUBSTITUTE(AZ$1,RIGHT(AZ$1,2),""),VLOOKUP($D18,素材!$1:$1016,COLUMN($F$1),FALSE))),VLOOKUP($C18,武器!$1:$998,COLUMN($O$1),FALSE)*VLOOKUP($D18,素材!$1:$1016,COLUMN($E$1),FALSE)/(LEN(VLOOKUP($D18,素材!$1:$1016,COLUMN($F$1),FALSE))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BA18">
        <f>IF(ISNUMBER(SEARCH(SUBSTITUTE(BA$1,RIGHT(BA$1,2),""),VLOOKUP($D18,素材!$1:$1016,COLUMN($F$1),FALSE))),VLOOKUP($C18,武器!$1:$998,COLUMN($O$1),FALSE)*VLOOKUP($D18,素材!$1:$1016,COLUMN($E$1),FALSE)/(LEN(VLOOKUP($D18,素材!$1:$1016,COLUMN($F$1),FALSE))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BB18">
        <f>IF(ISNUMBER(SEARCH(SUBSTITUTE(BB$1,RIGHT(BB$1,2),""),VLOOKUP($D18,素材!$1:$1016,COLUMN($F$1),FALSE))),VLOOKUP($C18,武器!$1:$998,COLUMN($O$1),FALSE)*VLOOKUP($D18,素材!$1:$1016,COLUMN($E$1),FALSE)/(LEN(VLOOKUP($D18,素材!$1:$1016,COLUMN($F$1),FALSE))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BC18">
        <f>IF(ISNUMBER(SEARCH(SUBSTITUTE(BC$1,RIGHT(BC$1,2),""),VLOOKUP($D18,素材!$1:$1016,COLUMN($F$1),FALSE))),VLOOKUP($C18,武器!$1:$998,COLUMN($O$1),FALSE)*VLOOKUP($D18,素材!$1:$1016,COLUMN($E$1),FALSE)/(LEN(VLOOKUP($D18,素材!$1:$1016,COLUMN($F$1),FALSE))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BD18">
        <f>IF(ISNUMBER(SEARCH(SUBSTITUTE(BD$1,RIGHT(BD$1,2),""),VLOOKUP($D18,素材!$1:$1016,COLUMN($F$1),FALSE))),VLOOKUP($C18,武器!$1:$998,COLUMN($O$1),FALSE)*VLOOKUP($D18,素材!$1:$1016,COLUMN($E$1),FALSE)/(LEN(VLOOKUP($D18,素材!$1:$1016,COLUMN($F$1),FALSE))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BE18">
        <f>IF(ISNUMBER(SEARCH(SUBSTITUTE(BE$1,RIGHT(BE$1,2),""),VLOOKUP($D18,素材!$1:$1016,COLUMN($F$1),FALSE))),VLOOKUP($C18,武器!$1:$998,COLUMN($O$1),FALSE)*VLOOKUP($D18,素材!$1:$1016,COLUMN($E$1),FALSE)/(LEN(VLOOKUP($D18,素材!$1:$1016,COLUMN($F$1),FALSE))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BF18">
        <f>IF(ISNUMBER(SEARCH(SUBSTITUTE(BF$1,RIGHT(BF$1,2),""),VLOOKUP($D18,素材!$1:$1016,COLUMN($F$1),FALSE))),VLOOKUP($C18,武器!$1:$998,COLUMN($O$1),FALSE)*VLOOKUP($D18,素材!$1:$1016,COLUMN($E$1),FALSE)/(LEN(VLOOKUP($D18,素材!$1:$1016,COLUMN($F$1),FALSE)) - LEN(SUBSTITUTE(VLOOKUP($D18,素材!$1:$1016,COLUMN($F$1),FALSE), "・", 0)) + 1), 0)</f>
        <v>0</v>
      </c>
      <c r="CM18">
        <f t="shared" si="3"/>
        <v>22</v>
      </c>
      <c r="CN18" s="22" t="str">
        <f>IF(E18="武器",IF(J18-1&gt;SUM(G18:I18),"盾",IF(MAX(G18:I18)=G18,"切断",IF(MAX(G18:I18)=H18,"貫通",IF(MAX(G18:I18)=I18,"打撃","射撃")))),E18)&amp;".webp"</f>
        <v>打撃.webp</v>
      </c>
      <c r="CO18">
        <f>IFERROR(VLOOKUP($C18,武器!$1:$998,COLUMN(V$1),FALSE)*VLOOKUP($D18,素材!$1:$1016,COLUMN(N$1),FALSE)+IF(CJ18="",0,VLOOKUP($CJ18,装強!$1:$1008,COLUMN($CL$1),FALSE)),"")</f>
        <v>400</v>
      </c>
      <c r="CP18" t="str">
        <f>VLOOKUP(D18,素材!$A:$O,COLUMN(素材!O$1),FALSE)</f>
        <v>一般的な鉄。量産品を作るのに使用されることが多い</v>
      </c>
      <c r="CQ18" t="str">
        <f>VLOOKUP(C18,武器!$A:$W,COLUMN(武器!W$1),FALSE)</f>
        <v>鎚。打撃力に優れ、投擲にも対応。</v>
      </c>
      <c r="CS18" t="str">
        <f t="shared" si="2"/>
        <v>e_18</v>
      </c>
      <c r="CT18">
        <f t="shared" si="4"/>
        <v>40000</v>
      </c>
    </row>
    <row r="19" spans="1:98" outlineLevel="1" x14ac:dyDescent="0.4">
      <c r="A19" t="str">
        <f t="shared" si="0"/>
        <v>鉄の戦鎚</v>
      </c>
      <c r="B19" t="str">
        <f>IFERROR(VLOOKUP($D19,素材!$1:$1016,COLUMN($B$1),FALSE)&amp;"・"&amp;VLOOKUP($C19,武器!$1:$998,COLUMN(B$1),FALSE),"")</f>
        <v>アイアン・ウォーハンマー</v>
      </c>
      <c r="C19" t="s">
        <v>226</v>
      </c>
      <c r="D19" s="24" t="s">
        <v>257</v>
      </c>
      <c r="E19" t="str">
        <f>IFERROR(VLOOKUP(C19,武器!$1:$998,COLUMN(C$1),FALSE),"")</f>
        <v>武器</v>
      </c>
      <c r="F19">
        <f>IFERROR(ROUNDDOWN((VLOOKUP($C19,武器!$1:$998,COLUMN(D$1),FALSE)+IFERROR(VLOOKUP($CJ19,装強!$1:$999,COLUMN(F$1),FALSE),0))*VLOOKUP($D19,素材!$1:$1016,COLUMN(D$1),FALSE),0),"")</f>
        <v>125</v>
      </c>
      <c r="G19">
        <f>IFERROR(ROUNDDOWN((VLOOKUP($C19,武器!$1:$998,COLUMN(E$1),FALSE)+IFERROR(VLOOKUP($CJ19,装強!$1:$999,COLUMN(G$1),FALSE),0))*VLOOKUP($D19,素材!$1:$1016,COLUMN($E$1),FALSE),0),"")</f>
        <v>0</v>
      </c>
      <c r="H19">
        <f>IFERROR(ROUNDDOWN((VLOOKUP($C19,武器!$1:$998,COLUMN(F$1),FALSE)+IFERROR(VLOOKUP($CJ19,装強!$1:$999,COLUMN(H$1),FALSE),0))*VLOOKUP($D19,素材!$1:$1016,COLUMN($E$1),FALSE),0),"")</f>
        <v>0</v>
      </c>
      <c r="I19">
        <f>IFERROR(ROUNDDOWN((VLOOKUP($C19,武器!$1:$998,COLUMN(G$1),FALSE)+IFERROR(VLOOKUP($CJ19,装強!$1:$999,COLUMN(I$1),FALSE),0))*VLOOKUP($D19,素材!$1:$1016,COLUMN($E$1),FALSE),0),"")</f>
        <v>24</v>
      </c>
      <c r="J19">
        <f>IFERROR(ROUNDDOWN((VLOOKUP($C19,武器!$1:$998,COLUMN(H$1),FALSE)+IFERROR(VLOOKUP($CJ19,装強!$1:$999,COLUMN(J$1),FALSE),0))*VLOOKUP($D19,素材!$1:$1016,COLUMN($E$1),FALSE),0),"")</f>
        <v>21</v>
      </c>
      <c r="K19">
        <f>IFERROR(ROUNDDOWN((VLOOKUP($C19,武器!$1:$998,COLUMN(I$1),FALSE)+IFERROR(VLOOKUP($CJ19,装強!$1:$999,COLUMN(K$1),FALSE),0))*VLOOKUP($D19,素材!$1:$1016,COLUMN($E$1),FALSE),0),"")</f>
        <v>0</v>
      </c>
      <c r="L19">
        <f>IFERROR(VLOOKUP($D19,素材!$1:$1016,COLUMN($F$1),FALSE),"")</f>
        <v>0</v>
      </c>
      <c r="M19">
        <f>IFERROR(VLOOKUP($C19,武器!$1:$998,COLUMN(AA$1),FALSE)*VLOOKUP($D19,素材!$1:$1016,COLUMN($G$1),FALSE),"")</f>
        <v>0</v>
      </c>
      <c r="N19">
        <f>IFERROR(VLOOKUP($C19,武器!$1:$998,COLUMN(I$1),FALSE),"")</f>
        <v>0</v>
      </c>
      <c r="O19" s="23">
        <f>IFERROR((VLOOKUP($C19,武器!$1:$998,COLUMN(K$1),FALSE)+VLOOKUP($D19,素材!$1:$1016,COLUMN(H$1),FALSE))*100+IFERROR(VLOOKUP($CJ19,装強!$1:$999,COLUMN(O$1),FALSE),0),"")</f>
        <v>10</v>
      </c>
      <c r="P19" s="23">
        <f>IFERROR((VLOOKUP($C19,武器!$1:$998,COLUMN(L$1),FALSE)+VLOOKUP($D19,素材!$1:$1016,COLUMN(I$1),FALSE))*100+IFERROR(VLOOKUP($CJ19,装強!$1:$999,COLUMN(P$1),FALSE),0),"")</f>
        <v>150</v>
      </c>
      <c r="Q19">
        <f>IFERROR(ROUNDUP(VLOOKUP($C19,武器!$1:$998,COLUMN(M$1),FALSE)*(VLOOKUP($D19,素材!$1:$1002,COLUMN(D$1),FALSE)/100),1),"")</f>
        <v>-5</v>
      </c>
      <c r="R19">
        <f>IFERROR(ROUNDUP(VLOOKUP($C19,武器!$1:$998,COLUMN(N$1),FALSE)*(VLOOKUP($D19,素材!$1:$1002,COLUMN(D$1),FALSE)/100),1),"")</f>
        <v>-5</v>
      </c>
      <c r="S19">
        <f>IFERROR(VLOOKUP($C19,武器!$1:$998,COLUMN(P$1),FALSE),"")</f>
        <v>0</v>
      </c>
      <c r="T19">
        <f>IFERROR(VLOOKUP($C19,武器!$1:$998,COLUMN(Q$1),FALSE),"")</f>
        <v>0</v>
      </c>
      <c r="U19">
        <f>IFERROR(VLOOKUP($C19,武器!$1:$998,COLUMN(R$1),FALSE),"")</f>
        <v>0</v>
      </c>
      <c r="V19">
        <f>IFERROR(VLOOKUP($C19,武器!$1:$998,COLUMN(Q$1),FALSE),"")</f>
        <v>0</v>
      </c>
      <c r="W19" t="str">
        <f>IFERROR(VLOOKUP($C19,武器!$1:$998,COLUMN(T$1),FALSE),"")</f>
        <v>A</v>
      </c>
      <c r="Y19">
        <f>IFERROR(VLOOKUP($C19,武器!$1:$998,COLUMN(U$1),FALSE),"")</f>
        <v>0</v>
      </c>
      <c r="Z19">
        <f>IFERROR(ROUNDUP(VLOOKUP($C19,武器!$1:$998,COLUMN(O$1),FALSE)*VLOOKUP($D19,素材!$1:$1016,COLUMN(E$1),FALSE),1),"")</f>
        <v>0</v>
      </c>
      <c r="AA19">
        <f>IF(ISNUMBER(SEARCH(SUBSTITUTE(AA$1,RIGHT(AA$1,2),""),VLOOKUP($D19,素材!$1:$1016,COLUMN($F$1),FALSE))),VLOOKUP($C19,武器!$1:$998,COLUMN($O$1),FALSE)*VLOOKUP($D19,素材!$1:$1016,COLUMN($E$1),FALSE)/(LEN(VLOOKUP($D19,素材!$1:$1016,COLUMN($F$1),FALSE))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B19">
        <f>IF(ISNUMBER(SEARCH(SUBSTITUTE(AB$1,RIGHT(AB$1,2),""),VLOOKUP($D19,素材!$1:$1016,COLUMN($F$1),FALSE))),VLOOKUP($C19,武器!$1:$998,COLUMN($O$1),FALSE)*VLOOKUP($D19,素材!$1:$1016,COLUMN($E$1),FALSE)/(LEN(VLOOKUP($D19,素材!$1:$1016,COLUMN($F$1),FALSE))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C19">
        <f>IF(ISNUMBER(SEARCH(SUBSTITUTE(AC$1,RIGHT(AC$1,2),""),VLOOKUP($D19,素材!$1:$1016,COLUMN($F$1),FALSE))),VLOOKUP($C19,武器!$1:$998,COLUMN($O$1),FALSE)*VLOOKUP($D19,素材!$1:$1016,COLUMN($E$1),FALSE)/(LEN(VLOOKUP($D19,素材!$1:$1016,COLUMN($F$1),FALSE))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D19">
        <f>IF(ISNUMBER(SEARCH(SUBSTITUTE(AD$1,RIGHT(AD$1,2),""),VLOOKUP($D19,素材!$1:$1016,COLUMN($F$1),FALSE))),VLOOKUP($C19,武器!$1:$998,COLUMN($O$1),FALSE)*VLOOKUP($D19,素材!$1:$1016,COLUMN($E$1),FALSE)/(LEN(VLOOKUP($D19,素材!$1:$1016,COLUMN($F$1),FALSE))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E19">
        <f>IF(ISNUMBER(SEARCH(SUBSTITUTE(AE$1,RIGHT(AE$1,2),""),VLOOKUP($D19,素材!$1:$1016,COLUMN($F$1),FALSE))),VLOOKUP($C19,武器!$1:$998,COLUMN($O$1),FALSE)*VLOOKUP($D19,素材!$1:$1016,COLUMN($E$1),FALSE)/(LEN(VLOOKUP($D19,素材!$1:$1016,COLUMN($F$1),FALSE))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F19">
        <f>IF(ISNUMBER(SEARCH(SUBSTITUTE(AF$1,RIGHT(AF$1,2),""),VLOOKUP($D19,素材!$1:$1016,COLUMN($F$1),FALSE))),VLOOKUP($C19,武器!$1:$998,COLUMN($O$1),FALSE)*VLOOKUP($D19,素材!$1:$1016,COLUMN($E$1),FALSE)/(LEN(VLOOKUP($D19,素材!$1:$1016,COLUMN($F$1),FALSE))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G19">
        <f>IF(ISNUMBER(SEARCH(SUBSTITUTE(AG$1,RIGHT(AG$1,2),""),VLOOKUP($D19,素材!$1:$1016,COLUMN($F$1),FALSE))),VLOOKUP($C19,武器!$1:$998,COLUMN($O$1),FALSE)*VLOOKUP($D19,素材!$1:$1016,COLUMN($E$1),FALSE)/(LEN(VLOOKUP($D19,素材!$1:$1016,COLUMN($F$1),FALSE))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H19">
        <f>IF(ISNUMBER(SEARCH(SUBSTITUTE(AH$1,RIGHT(AH$1,2),""),VLOOKUP($D19,素材!$1:$1016,COLUMN($F$1),FALSE))),VLOOKUP($C19,武器!$1:$998,COLUMN($O$1),FALSE)*VLOOKUP($D19,素材!$1:$1016,COLUMN($E$1),FALSE)/(LEN(VLOOKUP($D19,素材!$1:$1016,COLUMN($F$1),FALSE))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I19">
        <f>IF(ISNUMBER(SEARCH(SUBSTITUTE(AI$1,RIGHT(AI$1,2),""),VLOOKUP($D19,素材!$1:$1016,COLUMN($F$1),FALSE))),VLOOKUP($C19,武器!$1:$998,COLUMN($O$1),FALSE)*VLOOKUP($D19,素材!$1:$1016,COLUMN($E$1),FALSE)/(LEN(VLOOKUP($D19,素材!$1:$1016,COLUMN($F$1),FALSE))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J19">
        <f>IF(ISNUMBER(SEARCH(SUBSTITUTE(AJ$1,RIGHT(AJ$1,2),""),VLOOKUP($D19,素材!$1:$1016,COLUMN($F$1),FALSE))),VLOOKUP($C19,武器!$1:$998,COLUMN($O$1),FALSE)*VLOOKUP($D19,素材!$1:$1016,COLUMN($E$1),FALSE)/(LEN(VLOOKUP($D19,素材!$1:$1016,COLUMN($F$1),FALSE))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K19">
        <f>IF(ISNUMBER(SEARCH(SUBSTITUTE(AK$1,RIGHT(AK$1,2),""),VLOOKUP($D19,素材!$1:$1016,COLUMN($F$1),FALSE))),VLOOKUP($C19,武器!$1:$998,COLUMN($O$1),FALSE)*VLOOKUP($D19,素材!$1:$1016,COLUMN($E$1),FALSE)/(LEN(VLOOKUP($D19,素材!$1:$1016,COLUMN($F$1),FALSE))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L19">
        <f>IF(ISNUMBER(SEARCH(SUBSTITUTE(AL$1,RIGHT(AL$1,2),""),VLOOKUP($D19,素材!$1:$1016,COLUMN($F$1),FALSE))),VLOOKUP($C19,武器!$1:$998,COLUMN($O$1),FALSE)*VLOOKUP($D19,素材!$1:$1016,COLUMN($E$1),FALSE)/(LEN(VLOOKUP($D19,素材!$1:$1016,COLUMN($F$1),FALSE))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M19">
        <f>IF(ISNUMBER(SEARCH(SUBSTITUTE(AM$1,RIGHT(AM$1,2),""),VLOOKUP($D19,素材!$1:$1016,COLUMN($F$1),FALSE))),VLOOKUP($C19,武器!$1:$998,COLUMN($O$1),FALSE)*VLOOKUP($D19,素材!$1:$1016,COLUMN($E$1),FALSE)/(LEN(VLOOKUP($D19,素材!$1:$1016,COLUMN($F$1),FALSE))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N19">
        <f>IF(ISNUMBER(SEARCH(SUBSTITUTE(AN$1,RIGHT(AN$1,2),""),VLOOKUP($D19,素材!$1:$1016,COLUMN($F$1),FALSE))),VLOOKUP($C19,武器!$1:$998,COLUMN($O$1),FALSE)*VLOOKUP($D19,素材!$1:$1016,COLUMN($E$1),FALSE)/(LEN(VLOOKUP($D19,素材!$1:$1016,COLUMN($F$1),FALSE))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O19">
        <f>IF(ISNUMBER(SEARCH(SUBSTITUTE(AO$1,RIGHT(AO$1,2),""),VLOOKUP($D19,素材!$1:$1016,COLUMN($F$1),FALSE))),VLOOKUP($C19,武器!$1:$998,COLUMN($O$1),FALSE)*VLOOKUP($D19,素材!$1:$1016,COLUMN($E$1),FALSE)/(LEN(VLOOKUP($D19,素材!$1:$1016,COLUMN($F$1),FALSE))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P19">
        <f>IF(ISNUMBER(SEARCH(SUBSTITUTE(AP$1,RIGHT(AP$1,2),""),VLOOKUP($D19,素材!$1:$1016,COLUMN($F$1),FALSE))),VLOOKUP($C19,武器!$1:$998,COLUMN($O$1),FALSE)*VLOOKUP($D19,素材!$1:$1016,COLUMN($E$1),FALSE)/(LEN(VLOOKUP($D19,素材!$1:$1016,COLUMN($F$1),FALSE))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Q19">
        <f>IF(ISNUMBER(SEARCH(SUBSTITUTE(AQ$1,RIGHT(AQ$1,2),""),VLOOKUP($D19,素材!$1:$1016,COLUMN($F$1),FALSE))),VLOOKUP($C19,武器!$1:$998,COLUMN($O$1),FALSE)*VLOOKUP($D19,素材!$1:$1016,COLUMN($E$1),FALSE)/(LEN(VLOOKUP($D19,素材!$1:$1016,COLUMN($F$1),FALSE))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R19">
        <f>IF(ISNUMBER(SEARCH(SUBSTITUTE(AR$1,RIGHT(AR$1,2),""),VLOOKUP($D19,素材!$1:$1016,COLUMN($F$1),FALSE))),VLOOKUP($C19,武器!$1:$998,COLUMN($O$1),FALSE)*VLOOKUP($D19,素材!$1:$1016,COLUMN($E$1),FALSE)/(LEN(VLOOKUP($D19,素材!$1:$1016,COLUMN($F$1),FALSE))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S19">
        <f>IF(ISNUMBER(SEARCH(SUBSTITUTE(AS$1,RIGHT(AS$1,2),""),VLOOKUP($D19,素材!$1:$1016,COLUMN($F$1),FALSE))),VLOOKUP($C19,武器!$1:$998,COLUMN($O$1),FALSE)*VLOOKUP($D19,素材!$1:$1016,COLUMN($E$1),FALSE)/(LEN(VLOOKUP($D19,素材!$1:$1016,COLUMN($F$1),FALSE))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T19">
        <f>IF(ISNUMBER(SEARCH(SUBSTITUTE(AT$1,RIGHT(AT$1,2),""),VLOOKUP($D19,素材!$1:$1016,COLUMN($F$1),FALSE))),VLOOKUP($C19,武器!$1:$998,COLUMN($O$1),FALSE)*VLOOKUP($D19,素材!$1:$1016,COLUMN($E$1),FALSE)/(LEN(VLOOKUP($D19,素材!$1:$1016,COLUMN($F$1),FALSE))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U19">
        <f>IF(ISNUMBER(SEARCH(SUBSTITUTE(AU$1,RIGHT(AU$1,2),""),VLOOKUP($D19,素材!$1:$1016,COLUMN($F$1),FALSE))),VLOOKUP($C19,武器!$1:$998,COLUMN($O$1),FALSE)*VLOOKUP($D19,素材!$1:$1016,COLUMN($E$1),FALSE)/(LEN(VLOOKUP($D19,素材!$1:$1016,COLUMN($F$1),FALSE))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V19">
        <f>IF(ISNUMBER(SEARCH(SUBSTITUTE(AV$1,RIGHT(AV$1,2),""),VLOOKUP($D19,素材!$1:$1016,COLUMN($F$1),FALSE))),VLOOKUP($C19,武器!$1:$998,COLUMN($O$1),FALSE)*VLOOKUP($D19,素材!$1:$1016,COLUMN($E$1),FALSE)/(LEN(VLOOKUP($D19,素材!$1:$1016,COLUMN($F$1),FALSE))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W19">
        <f>IF(ISNUMBER(SEARCH(SUBSTITUTE(AW$1,RIGHT(AW$1,2),""),VLOOKUP($D19,素材!$1:$1016,COLUMN($F$1),FALSE))),VLOOKUP($C19,武器!$1:$998,COLUMN($O$1),FALSE)*VLOOKUP($D19,素材!$1:$1016,COLUMN($E$1),FALSE)/(LEN(VLOOKUP($D19,素材!$1:$1016,COLUMN($F$1),FALSE))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X19">
        <f>IF(ISNUMBER(SEARCH(SUBSTITUTE(AX$1,RIGHT(AX$1,2),""),VLOOKUP($D19,素材!$1:$1016,COLUMN($F$1),FALSE))),VLOOKUP($C19,武器!$1:$998,COLUMN($O$1),FALSE)*VLOOKUP($D19,素材!$1:$1016,COLUMN($E$1),FALSE)/(LEN(VLOOKUP($D19,素材!$1:$1016,COLUMN($F$1),FALSE))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Y19">
        <f>IF(ISNUMBER(SEARCH(SUBSTITUTE(AY$1,RIGHT(AY$1,2),""),VLOOKUP($D19,素材!$1:$1016,COLUMN($F$1),FALSE))),VLOOKUP($C19,武器!$1:$998,COLUMN($O$1),FALSE)*VLOOKUP($D19,素材!$1:$1016,COLUMN($E$1),FALSE)/(LEN(VLOOKUP($D19,素材!$1:$1016,COLUMN($F$1),FALSE))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AZ19">
        <f>IF(ISNUMBER(SEARCH(SUBSTITUTE(AZ$1,RIGHT(AZ$1,2),""),VLOOKUP($D19,素材!$1:$1016,COLUMN($F$1),FALSE))),VLOOKUP($C19,武器!$1:$998,COLUMN($O$1),FALSE)*VLOOKUP($D19,素材!$1:$1016,COLUMN($E$1),FALSE)/(LEN(VLOOKUP($D19,素材!$1:$1016,COLUMN($F$1),FALSE))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BA19">
        <f>IF(ISNUMBER(SEARCH(SUBSTITUTE(BA$1,RIGHT(BA$1,2),""),VLOOKUP($D19,素材!$1:$1016,COLUMN($F$1),FALSE))),VLOOKUP($C19,武器!$1:$998,COLUMN($O$1),FALSE)*VLOOKUP($D19,素材!$1:$1016,COLUMN($E$1),FALSE)/(LEN(VLOOKUP($D19,素材!$1:$1016,COLUMN($F$1),FALSE))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BB19">
        <f>IF(ISNUMBER(SEARCH(SUBSTITUTE(BB$1,RIGHT(BB$1,2),""),VLOOKUP($D19,素材!$1:$1016,COLUMN($F$1),FALSE))),VLOOKUP($C19,武器!$1:$998,COLUMN($O$1),FALSE)*VLOOKUP($D19,素材!$1:$1016,COLUMN($E$1),FALSE)/(LEN(VLOOKUP($D19,素材!$1:$1016,COLUMN($F$1),FALSE))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BC19">
        <f>IF(ISNUMBER(SEARCH(SUBSTITUTE(BC$1,RIGHT(BC$1,2),""),VLOOKUP($D19,素材!$1:$1016,COLUMN($F$1),FALSE))),VLOOKUP($C19,武器!$1:$998,COLUMN($O$1),FALSE)*VLOOKUP($D19,素材!$1:$1016,COLUMN($E$1),FALSE)/(LEN(VLOOKUP($D19,素材!$1:$1016,COLUMN($F$1),FALSE))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BD19">
        <f>IF(ISNUMBER(SEARCH(SUBSTITUTE(BD$1,RIGHT(BD$1,2),""),VLOOKUP($D19,素材!$1:$1016,COLUMN($F$1),FALSE))),VLOOKUP($C19,武器!$1:$998,COLUMN($O$1),FALSE)*VLOOKUP($D19,素材!$1:$1016,COLUMN($E$1),FALSE)/(LEN(VLOOKUP($D19,素材!$1:$1016,COLUMN($F$1),FALSE))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BE19">
        <f>IF(ISNUMBER(SEARCH(SUBSTITUTE(BE$1,RIGHT(BE$1,2),""),VLOOKUP($D19,素材!$1:$1016,COLUMN($F$1),FALSE))),VLOOKUP($C19,武器!$1:$998,COLUMN($O$1),FALSE)*VLOOKUP($D19,素材!$1:$1016,COLUMN($E$1),FALSE)/(LEN(VLOOKUP($D19,素材!$1:$1016,COLUMN($F$1),FALSE))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BF19">
        <f>IF(ISNUMBER(SEARCH(SUBSTITUTE(BF$1,RIGHT(BF$1,2),""),VLOOKUP($D19,素材!$1:$1016,COLUMN($F$1),FALSE))),VLOOKUP($C19,武器!$1:$998,COLUMN($O$1),FALSE)*VLOOKUP($D19,素材!$1:$1016,COLUMN($E$1),FALSE)/(LEN(VLOOKUP($D19,素材!$1:$1016,COLUMN($F$1),FALSE)) - LEN(SUBSTITUTE(VLOOKUP($D19,素材!$1:$1016,COLUMN($F$1),FALSE), "・", 0)) + 1), 0)</f>
        <v>0</v>
      </c>
      <c r="CM19">
        <f t="shared" si="3"/>
        <v>24</v>
      </c>
      <c r="CN19" s="22" t="str">
        <f>IF(E19="武器",IF(J19-1&gt;SUM(G19:I19),"盾",IF(MAX(G19:I19)=G19,"切断",IF(MAX(G19:I19)=H19,"貫通",IF(MAX(G19:I19)=I19,"打撃","射撃")))),E19)&amp;".webp"</f>
        <v>打撃.webp</v>
      </c>
      <c r="CO19">
        <f>IFERROR(VLOOKUP($C19,武器!$1:$998,COLUMN(V$1),FALSE)*VLOOKUP($D19,素材!$1:$1016,COLUMN(N$1),FALSE)+IF(CJ19="",0,VLOOKUP($CJ19,装強!$1:$1008,COLUMN($CL$1),FALSE)),"")</f>
        <v>500</v>
      </c>
      <c r="CP19" t="str">
        <f>VLOOKUP(D19,素材!$A:$O,COLUMN(素材!O$1),FALSE)</f>
        <v>一般的な鉄。量産品を作るのに使用されることが多い</v>
      </c>
      <c r="CQ19" t="str">
        <f>VLOOKUP(C19,武器!$A:$W,COLUMN(武器!W$1),FALSE)</f>
        <v>戦鎚。重い打撃を与える強力な武器。</v>
      </c>
      <c r="CS19" t="str">
        <f t="shared" si="2"/>
        <v>e_19</v>
      </c>
      <c r="CT19">
        <f t="shared" si="4"/>
        <v>50000</v>
      </c>
    </row>
    <row r="20" spans="1:98" outlineLevel="1" x14ac:dyDescent="0.4">
      <c r="A20" t="str">
        <f t="shared" si="0"/>
        <v>鉄の鎌</v>
      </c>
      <c r="B20" t="str">
        <f>IFERROR(VLOOKUP($D20,素材!$1:$1016,COLUMN($B$1),FALSE)&amp;"・"&amp;VLOOKUP($C20,武器!$1:$998,COLUMN(B$1),FALSE),"")</f>
        <v>アイアン・シックル</v>
      </c>
      <c r="C20" t="s">
        <v>225</v>
      </c>
      <c r="D20" s="24" t="s">
        <v>257</v>
      </c>
      <c r="E20" t="str">
        <f>IFERROR(VLOOKUP(C20,武器!$1:$998,COLUMN(C$1),FALSE),"")</f>
        <v>武器</v>
      </c>
      <c r="F20">
        <f>IFERROR(ROUNDDOWN((VLOOKUP($C20,武器!$1:$998,COLUMN(D$1),FALSE)+IFERROR(VLOOKUP($CJ20,装強!$1:$999,COLUMN(F$1),FALSE),0))*VLOOKUP($D20,素材!$1:$1016,COLUMN(D$1),FALSE),0),"")</f>
        <v>125</v>
      </c>
      <c r="G20">
        <f>IFERROR(ROUNDDOWN((VLOOKUP($C20,武器!$1:$998,COLUMN(E$1),FALSE)+IFERROR(VLOOKUP($CJ20,装強!$1:$999,COLUMN(G$1),FALSE),0))*VLOOKUP($D20,素材!$1:$1016,COLUMN($E$1),FALSE),0),"")</f>
        <v>9</v>
      </c>
      <c r="H20">
        <f>IFERROR(ROUNDDOWN((VLOOKUP($C20,武器!$1:$998,COLUMN(F$1),FALSE)+IFERROR(VLOOKUP($CJ20,装強!$1:$999,COLUMN(H$1),FALSE),0))*VLOOKUP($D20,素材!$1:$1016,COLUMN($E$1),FALSE),0),"")</f>
        <v>11</v>
      </c>
      <c r="I20">
        <f>IFERROR(ROUNDDOWN((VLOOKUP($C20,武器!$1:$998,COLUMN(G$1),FALSE)+IFERROR(VLOOKUP($CJ20,装強!$1:$999,COLUMN(I$1),FALSE),0))*VLOOKUP($D20,素材!$1:$1016,COLUMN($E$1),FALSE),0),"")</f>
        <v>1</v>
      </c>
      <c r="J20">
        <f>IFERROR(ROUNDDOWN((VLOOKUP($C20,武器!$1:$998,COLUMN(H$1),FALSE)+IFERROR(VLOOKUP($CJ20,装強!$1:$999,COLUMN(J$1),FALSE),0))*VLOOKUP($D20,素材!$1:$1016,COLUMN($E$1),FALSE),0),"")</f>
        <v>17</v>
      </c>
      <c r="K20">
        <f>IFERROR(ROUNDDOWN((VLOOKUP($C20,武器!$1:$998,COLUMN(I$1),FALSE)+IFERROR(VLOOKUP($CJ20,装強!$1:$999,COLUMN(K$1),FALSE),0))*VLOOKUP($D20,素材!$1:$1016,COLUMN($E$1),FALSE),0),"")</f>
        <v>0</v>
      </c>
      <c r="L20">
        <f>IFERROR(VLOOKUP($D20,素材!$1:$1016,COLUMN($F$1),FALSE),"")</f>
        <v>0</v>
      </c>
      <c r="M20">
        <f>IFERROR(VLOOKUP($C20,武器!$1:$998,COLUMN(AA$1),FALSE)*VLOOKUP($D20,素材!$1:$1016,COLUMN($G$1),FALSE),"")</f>
        <v>0</v>
      </c>
      <c r="N20">
        <f>IFERROR(VLOOKUP($C20,武器!$1:$998,COLUMN(I$1),FALSE),"")</f>
        <v>0</v>
      </c>
      <c r="O20" s="23">
        <f>IFERROR((VLOOKUP($C20,武器!$1:$998,COLUMN(K$1),FALSE)+VLOOKUP($D20,素材!$1:$1016,COLUMN(H$1),FALSE))*100+IFERROR(VLOOKUP($CJ20,装強!$1:$999,COLUMN(O$1),FALSE),0),"")</f>
        <v>5</v>
      </c>
      <c r="P20" s="23">
        <f>IFERROR((VLOOKUP($C20,武器!$1:$998,COLUMN(L$1),FALSE)+VLOOKUP($D20,素材!$1:$1016,COLUMN(I$1),FALSE))*100+IFERROR(VLOOKUP($CJ20,装強!$1:$999,COLUMN(P$1),FALSE),0),"")</f>
        <v>200</v>
      </c>
      <c r="Q20">
        <f>IFERROR(ROUNDUP(VLOOKUP($C20,武器!$1:$998,COLUMN(M$1),FALSE)*(VLOOKUP($D20,素材!$1:$1002,COLUMN(D$1),FALSE)/100),1),"")</f>
        <v>0</v>
      </c>
      <c r="R20">
        <f>IFERROR(ROUNDUP(VLOOKUP($C20,武器!$1:$998,COLUMN(N$1),FALSE)*(VLOOKUP($D20,素材!$1:$1002,COLUMN(D$1),FALSE)/100),1),"")</f>
        <v>0</v>
      </c>
      <c r="S20">
        <f>IFERROR(VLOOKUP($C20,武器!$1:$998,COLUMN(P$1),FALSE),"")</f>
        <v>0</v>
      </c>
      <c r="T20">
        <f>IFERROR(VLOOKUP($C20,武器!$1:$998,COLUMN(Q$1),FALSE),"")</f>
        <v>0</v>
      </c>
      <c r="U20">
        <f>IFERROR(VLOOKUP($C20,武器!$1:$998,COLUMN(R$1),FALSE),"")</f>
        <v>0</v>
      </c>
      <c r="V20">
        <f>IFERROR(VLOOKUP($C20,武器!$1:$998,COLUMN(Q$1),FALSE),"")</f>
        <v>0</v>
      </c>
      <c r="W20" t="str">
        <f>IFERROR(VLOOKUP($C20,武器!$1:$998,COLUMN(T$1),FALSE),"")</f>
        <v>A</v>
      </c>
      <c r="Y20" t="str">
        <f>IFERROR(VLOOKUP($C20,武器!$1:$998,COLUMN(U$1),FALSE),"")</f>
        <v>投擲強化、片手適性Ⅰ</v>
      </c>
      <c r="Z20">
        <f>IFERROR(ROUNDUP(VLOOKUP($C20,武器!$1:$998,COLUMN(O$1),FALSE)*VLOOKUP($D20,素材!$1:$1016,COLUMN(E$1),FALSE),1),"")</f>
        <v>0</v>
      </c>
      <c r="AA20">
        <f>IF(ISNUMBER(SEARCH(SUBSTITUTE(AA$1,RIGHT(AA$1,2),""),VLOOKUP($D20,素材!$1:$1016,COLUMN($F$1),FALSE))),VLOOKUP($C20,武器!$1:$998,COLUMN($O$1),FALSE)*VLOOKUP($D20,素材!$1:$1016,COLUMN($E$1),FALSE)/(LEN(VLOOKUP($D20,素材!$1:$1016,COLUMN($F$1),FALSE))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B20">
        <f>IF(ISNUMBER(SEARCH(SUBSTITUTE(AB$1,RIGHT(AB$1,2),""),VLOOKUP($D20,素材!$1:$1016,COLUMN($F$1),FALSE))),VLOOKUP($C20,武器!$1:$998,COLUMN($O$1),FALSE)*VLOOKUP($D20,素材!$1:$1016,COLUMN($E$1),FALSE)/(LEN(VLOOKUP($D20,素材!$1:$1016,COLUMN($F$1),FALSE))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C20">
        <f>IF(ISNUMBER(SEARCH(SUBSTITUTE(AC$1,RIGHT(AC$1,2),""),VLOOKUP($D20,素材!$1:$1016,COLUMN($F$1),FALSE))),VLOOKUP($C20,武器!$1:$998,COLUMN($O$1),FALSE)*VLOOKUP($D20,素材!$1:$1016,COLUMN($E$1),FALSE)/(LEN(VLOOKUP($D20,素材!$1:$1016,COLUMN($F$1),FALSE))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D20">
        <f>IF(ISNUMBER(SEARCH(SUBSTITUTE(AD$1,RIGHT(AD$1,2),""),VLOOKUP($D20,素材!$1:$1016,COLUMN($F$1),FALSE))),VLOOKUP($C20,武器!$1:$998,COLUMN($O$1),FALSE)*VLOOKUP($D20,素材!$1:$1016,COLUMN($E$1),FALSE)/(LEN(VLOOKUP($D20,素材!$1:$1016,COLUMN($F$1),FALSE))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E20">
        <f>IF(ISNUMBER(SEARCH(SUBSTITUTE(AE$1,RIGHT(AE$1,2),""),VLOOKUP($D20,素材!$1:$1016,COLUMN($F$1),FALSE))),VLOOKUP($C20,武器!$1:$998,COLUMN($O$1),FALSE)*VLOOKUP($D20,素材!$1:$1016,COLUMN($E$1),FALSE)/(LEN(VLOOKUP($D20,素材!$1:$1016,COLUMN($F$1),FALSE))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F20">
        <f>IF(ISNUMBER(SEARCH(SUBSTITUTE(AF$1,RIGHT(AF$1,2),""),VLOOKUP($D20,素材!$1:$1016,COLUMN($F$1),FALSE))),VLOOKUP($C20,武器!$1:$998,COLUMN($O$1),FALSE)*VLOOKUP($D20,素材!$1:$1016,COLUMN($E$1),FALSE)/(LEN(VLOOKUP($D20,素材!$1:$1016,COLUMN($F$1),FALSE))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G20">
        <f>IF(ISNUMBER(SEARCH(SUBSTITUTE(AG$1,RIGHT(AG$1,2),""),VLOOKUP($D20,素材!$1:$1016,COLUMN($F$1),FALSE))),VLOOKUP($C20,武器!$1:$998,COLUMN($O$1),FALSE)*VLOOKUP($D20,素材!$1:$1016,COLUMN($E$1),FALSE)/(LEN(VLOOKUP($D20,素材!$1:$1016,COLUMN($F$1),FALSE))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H20">
        <f>IF(ISNUMBER(SEARCH(SUBSTITUTE(AH$1,RIGHT(AH$1,2),""),VLOOKUP($D20,素材!$1:$1016,COLUMN($F$1),FALSE))),VLOOKUP($C20,武器!$1:$998,COLUMN($O$1),FALSE)*VLOOKUP($D20,素材!$1:$1016,COLUMN($E$1),FALSE)/(LEN(VLOOKUP($D20,素材!$1:$1016,COLUMN($F$1),FALSE))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I20">
        <f>IF(ISNUMBER(SEARCH(SUBSTITUTE(AI$1,RIGHT(AI$1,2),""),VLOOKUP($D20,素材!$1:$1016,COLUMN($F$1),FALSE))),VLOOKUP($C20,武器!$1:$998,COLUMN($O$1),FALSE)*VLOOKUP($D20,素材!$1:$1016,COLUMN($E$1),FALSE)/(LEN(VLOOKUP($D20,素材!$1:$1016,COLUMN($F$1),FALSE))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J20">
        <f>IF(ISNUMBER(SEARCH(SUBSTITUTE(AJ$1,RIGHT(AJ$1,2),""),VLOOKUP($D20,素材!$1:$1016,COLUMN($F$1),FALSE))),VLOOKUP($C20,武器!$1:$998,COLUMN($O$1),FALSE)*VLOOKUP($D20,素材!$1:$1016,COLUMN($E$1),FALSE)/(LEN(VLOOKUP($D20,素材!$1:$1016,COLUMN($F$1),FALSE))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K20">
        <f>IF(ISNUMBER(SEARCH(SUBSTITUTE(AK$1,RIGHT(AK$1,2),""),VLOOKUP($D20,素材!$1:$1016,COLUMN($F$1),FALSE))),VLOOKUP($C20,武器!$1:$998,COLUMN($O$1),FALSE)*VLOOKUP($D20,素材!$1:$1016,COLUMN($E$1),FALSE)/(LEN(VLOOKUP($D20,素材!$1:$1016,COLUMN($F$1),FALSE))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L20">
        <f>IF(ISNUMBER(SEARCH(SUBSTITUTE(AL$1,RIGHT(AL$1,2),""),VLOOKUP($D20,素材!$1:$1016,COLUMN($F$1),FALSE))),VLOOKUP($C20,武器!$1:$998,COLUMN($O$1),FALSE)*VLOOKUP($D20,素材!$1:$1016,COLUMN($E$1),FALSE)/(LEN(VLOOKUP($D20,素材!$1:$1016,COLUMN($F$1),FALSE))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M20">
        <f>IF(ISNUMBER(SEARCH(SUBSTITUTE(AM$1,RIGHT(AM$1,2),""),VLOOKUP($D20,素材!$1:$1016,COLUMN($F$1),FALSE))),VLOOKUP($C20,武器!$1:$998,COLUMN($O$1),FALSE)*VLOOKUP($D20,素材!$1:$1016,COLUMN($E$1),FALSE)/(LEN(VLOOKUP($D20,素材!$1:$1016,COLUMN($F$1),FALSE))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N20">
        <f>IF(ISNUMBER(SEARCH(SUBSTITUTE(AN$1,RIGHT(AN$1,2),""),VLOOKUP($D20,素材!$1:$1016,COLUMN($F$1),FALSE))),VLOOKUP($C20,武器!$1:$998,COLUMN($O$1),FALSE)*VLOOKUP($D20,素材!$1:$1016,COLUMN($E$1),FALSE)/(LEN(VLOOKUP($D20,素材!$1:$1016,COLUMN($F$1),FALSE))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O20">
        <f>IF(ISNUMBER(SEARCH(SUBSTITUTE(AO$1,RIGHT(AO$1,2),""),VLOOKUP($D20,素材!$1:$1016,COLUMN($F$1),FALSE))),VLOOKUP($C20,武器!$1:$998,COLUMN($O$1),FALSE)*VLOOKUP($D20,素材!$1:$1016,COLUMN($E$1),FALSE)/(LEN(VLOOKUP($D20,素材!$1:$1016,COLUMN($F$1),FALSE))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P20">
        <f>IF(ISNUMBER(SEARCH(SUBSTITUTE(AP$1,RIGHT(AP$1,2),""),VLOOKUP($D20,素材!$1:$1016,COLUMN($F$1),FALSE))),VLOOKUP($C20,武器!$1:$998,COLUMN($O$1),FALSE)*VLOOKUP($D20,素材!$1:$1016,COLUMN($E$1),FALSE)/(LEN(VLOOKUP($D20,素材!$1:$1016,COLUMN($F$1),FALSE))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Q20">
        <f>IF(ISNUMBER(SEARCH(SUBSTITUTE(AQ$1,RIGHT(AQ$1,2),""),VLOOKUP($D20,素材!$1:$1016,COLUMN($F$1),FALSE))),VLOOKUP($C20,武器!$1:$998,COLUMN($O$1),FALSE)*VLOOKUP($D20,素材!$1:$1016,COLUMN($E$1),FALSE)/(LEN(VLOOKUP($D20,素材!$1:$1016,COLUMN($F$1),FALSE))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R20">
        <f>IF(ISNUMBER(SEARCH(SUBSTITUTE(AR$1,RIGHT(AR$1,2),""),VLOOKUP($D20,素材!$1:$1016,COLUMN($F$1),FALSE))),VLOOKUP($C20,武器!$1:$998,COLUMN($O$1),FALSE)*VLOOKUP($D20,素材!$1:$1016,COLUMN($E$1),FALSE)/(LEN(VLOOKUP($D20,素材!$1:$1016,COLUMN($F$1),FALSE))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S20">
        <f>IF(ISNUMBER(SEARCH(SUBSTITUTE(AS$1,RIGHT(AS$1,2),""),VLOOKUP($D20,素材!$1:$1016,COLUMN($F$1),FALSE))),VLOOKUP($C20,武器!$1:$998,COLUMN($O$1),FALSE)*VLOOKUP($D20,素材!$1:$1016,COLUMN($E$1),FALSE)/(LEN(VLOOKUP($D20,素材!$1:$1016,COLUMN($F$1),FALSE))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T20">
        <f>IF(ISNUMBER(SEARCH(SUBSTITUTE(AT$1,RIGHT(AT$1,2),""),VLOOKUP($D20,素材!$1:$1016,COLUMN($F$1),FALSE))),VLOOKUP($C20,武器!$1:$998,COLUMN($O$1),FALSE)*VLOOKUP($D20,素材!$1:$1016,COLUMN($E$1),FALSE)/(LEN(VLOOKUP($D20,素材!$1:$1016,COLUMN($F$1),FALSE))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U20">
        <f>IF(ISNUMBER(SEARCH(SUBSTITUTE(AU$1,RIGHT(AU$1,2),""),VLOOKUP($D20,素材!$1:$1016,COLUMN($F$1),FALSE))),VLOOKUP($C20,武器!$1:$998,COLUMN($O$1),FALSE)*VLOOKUP($D20,素材!$1:$1016,COLUMN($E$1),FALSE)/(LEN(VLOOKUP($D20,素材!$1:$1016,COLUMN($F$1),FALSE))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V20">
        <f>IF(ISNUMBER(SEARCH(SUBSTITUTE(AV$1,RIGHT(AV$1,2),""),VLOOKUP($D20,素材!$1:$1016,COLUMN($F$1),FALSE))),VLOOKUP($C20,武器!$1:$998,COLUMN($O$1),FALSE)*VLOOKUP($D20,素材!$1:$1016,COLUMN($E$1),FALSE)/(LEN(VLOOKUP($D20,素材!$1:$1016,COLUMN($F$1),FALSE))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W20">
        <f>IF(ISNUMBER(SEARCH(SUBSTITUTE(AW$1,RIGHT(AW$1,2),""),VLOOKUP($D20,素材!$1:$1016,COLUMN($F$1),FALSE))),VLOOKUP($C20,武器!$1:$998,COLUMN($O$1),FALSE)*VLOOKUP($D20,素材!$1:$1016,COLUMN($E$1),FALSE)/(LEN(VLOOKUP($D20,素材!$1:$1016,COLUMN($F$1),FALSE))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X20">
        <f>IF(ISNUMBER(SEARCH(SUBSTITUTE(AX$1,RIGHT(AX$1,2),""),VLOOKUP($D20,素材!$1:$1016,COLUMN($F$1),FALSE))),VLOOKUP($C20,武器!$1:$998,COLUMN($O$1),FALSE)*VLOOKUP($D20,素材!$1:$1016,COLUMN($E$1),FALSE)/(LEN(VLOOKUP($D20,素材!$1:$1016,COLUMN($F$1),FALSE))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Y20">
        <f>IF(ISNUMBER(SEARCH(SUBSTITUTE(AY$1,RIGHT(AY$1,2),""),VLOOKUP($D20,素材!$1:$1016,COLUMN($F$1),FALSE))),VLOOKUP($C20,武器!$1:$998,COLUMN($O$1),FALSE)*VLOOKUP($D20,素材!$1:$1016,COLUMN($E$1),FALSE)/(LEN(VLOOKUP($D20,素材!$1:$1016,COLUMN($F$1),FALSE))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AZ20">
        <f>IF(ISNUMBER(SEARCH(SUBSTITUTE(AZ$1,RIGHT(AZ$1,2),""),VLOOKUP($D20,素材!$1:$1016,COLUMN($F$1),FALSE))),VLOOKUP($C20,武器!$1:$998,COLUMN($O$1),FALSE)*VLOOKUP($D20,素材!$1:$1016,COLUMN($E$1),FALSE)/(LEN(VLOOKUP($D20,素材!$1:$1016,COLUMN($F$1),FALSE))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BA20">
        <f>IF(ISNUMBER(SEARCH(SUBSTITUTE(BA$1,RIGHT(BA$1,2),""),VLOOKUP($D20,素材!$1:$1016,COLUMN($F$1),FALSE))),VLOOKUP($C20,武器!$1:$998,COLUMN($O$1),FALSE)*VLOOKUP($D20,素材!$1:$1016,COLUMN($E$1),FALSE)/(LEN(VLOOKUP($D20,素材!$1:$1016,COLUMN($F$1),FALSE))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BB20">
        <f>IF(ISNUMBER(SEARCH(SUBSTITUTE(BB$1,RIGHT(BB$1,2),""),VLOOKUP($D20,素材!$1:$1016,COLUMN($F$1),FALSE))),VLOOKUP($C20,武器!$1:$998,COLUMN($O$1),FALSE)*VLOOKUP($D20,素材!$1:$1016,COLUMN($E$1),FALSE)/(LEN(VLOOKUP($D20,素材!$1:$1016,COLUMN($F$1),FALSE))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BC20">
        <f>IF(ISNUMBER(SEARCH(SUBSTITUTE(BC$1,RIGHT(BC$1,2),""),VLOOKUP($D20,素材!$1:$1016,COLUMN($F$1),FALSE))),VLOOKUP($C20,武器!$1:$998,COLUMN($O$1),FALSE)*VLOOKUP($D20,素材!$1:$1016,COLUMN($E$1),FALSE)/(LEN(VLOOKUP($D20,素材!$1:$1016,COLUMN($F$1),FALSE))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BD20">
        <f>IF(ISNUMBER(SEARCH(SUBSTITUTE(BD$1,RIGHT(BD$1,2),""),VLOOKUP($D20,素材!$1:$1016,COLUMN($F$1),FALSE))),VLOOKUP($C20,武器!$1:$998,COLUMN($O$1),FALSE)*VLOOKUP($D20,素材!$1:$1016,COLUMN($E$1),FALSE)/(LEN(VLOOKUP($D20,素材!$1:$1016,COLUMN($F$1),FALSE))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BE20">
        <f>IF(ISNUMBER(SEARCH(SUBSTITUTE(BE$1,RIGHT(BE$1,2),""),VLOOKUP($D20,素材!$1:$1016,COLUMN($F$1),FALSE))),VLOOKUP($C20,武器!$1:$998,COLUMN($O$1),FALSE)*VLOOKUP($D20,素材!$1:$1016,COLUMN($E$1),FALSE)/(LEN(VLOOKUP($D20,素材!$1:$1016,COLUMN($F$1),FALSE))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BF20">
        <f>IF(ISNUMBER(SEARCH(SUBSTITUTE(BF$1,RIGHT(BF$1,2),""),VLOOKUP($D20,素材!$1:$1016,COLUMN($F$1),FALSE))),VLOOKUP($C20,武器!$1:$998,COLUMN($O$1),FALSE)*VLOOKUP($D20,素材!$1:$1016,COLUMN($E$1),FALSE)/(LEN(VLOOKUP($D20,素材!$1:$1016,COLUMN($F$1),FALSE)) - LEN(SUBSTITUTE(VLOOKUP($D20,素材!$1:$1016,COLUMN($F$1),FALSE), "・", 0)) + 1), 0)</f>
        <v>0</v>
      </c>
      <c r="CM20">
        <f t="shared" si="3"/>
        <v>21</v>
      </c>
      <c r="CN20" s="22" t="str">
        <f>IF(E20="武器",IF(J20-1&gt;SUM(G20:I20),"盾",IF(MAX(G20:I20)=G20,"切断",IF(MAX(G20:I20)=H20,"貫通",IF(MAX(G20:I20)=I20,"打撃","射撃")))),E20)&amp;".webp"</f>
        <v>貫通.webp</v>
      </c>
      <c r="CO20">
        <f>IFERROR(VLOOKUP($C20,武器!$1:$998,COLUMN(V$1),FALSE)*VLOOKUP($D20,素材!$1:$1016,COLUMN(N$1),FALSE)+IF(CJ20="",0,VLOOKUP($CJ20,装強!$1:$1008,COLUMN($CL$1),FALSE)),"")</f>
        <v>400</v>
      </c>
      <c r="CP20" t="str">
        <f>VLOOKUP(D20,素材!$A:$O,COLUMN(素材!O$1),FALSE)</f>
        <v>一般的な鉄。量産品を作るのに使用されることが多い</v>
      </c>
      <c r="CQ20" t="str">
        <f>VLOOKUP(C20,武器!$A:$W,COLUMN(武器!W$1),FALSE)</f>
        <v>鎌。農具を転用した武器で、鋭い斬撃を与える。</v>
      </c>
      <c r="CS20" t="str">
        <f t="shared" si="2"/>
        <v>e_20</v>
      </c>
      <c r="CT20">
        <f t="shared" si="4"/>
        <v>40000</v>
      </c>
    </row>
    <row r="21" spans="1:98" outlineLevel="1" x14ac:dyDescent="0.4">
      <c r="A21" t="str">
        <f t="shared" si="0"/>
        <v>鉄の戦斧</v>
      </c>
      <c r="B21" t="str">
        <f>IFERROR(VLOOKUP($D21,素材!$1:$1016,COLUMN($B$1),FALSE)&amp;"・"&amp;VLOOKUP($C21,武器!$1:$998,COLUMN(B$1),FALSE),"")</f>
        <v>アイアン・バトルアックス</v>
      </c>
      <c r="C21" t="s">
        <v>224</v>
      </c>
      <c r="D21" s="24" t="s">
        <v>257</v>
      </c>
      <c r="E21" t="str">
        <f>IFERROR(VLOOKUP(C21,武器!$1:$998,COLUMN(C$1),FALSE),"")</f>
        <v>武器</v>
      </c>
      <c r="F21">
        <f>IFERROR(ROUNDDOWN((VLOOKUP($C21,武器!$1:$998,COLUMN(D$1),FALSE)+IFERROR(VLOOKUP($CJ21,装強!$1:$999,COLUMN(F$1),FALSE),0))*VLOOKUP($D21,素材!$1:$1016,COLUMN(D$1),FALSE),0),"")</f>
        <v>115</v>
      </c>
      <c r="G21">
        <f>IFERROR(ROUNDDOWN((VLOOKUP($C21,武器!$1:$998,COLUMN(E$1),FALSE)+IFERROR(VLOOKUP($CJ21,装強!$1:$999,COLUMN(G$1),FALSE),0))*VLOOKUP($D21,素材!$1:$1016,COLUMN($E$1),FALSE),0),"")</f>
        <v>19</v>
      </c>
      <c r="H21">
        <f>IFERROR(ROUNDDOWN((VLOOKUP($C21,武器!$1:$998,COLUMN(F$1),FALSE)+IFERROR(VLOOKUP($CJ21,装強!$1:$999,COLUMN(H$1),FALSE),0))*VLOOKUP($D21,素材!$1:$1016,COLUMN($E$1),FALSE),0),"")</f>
        <v>0</v>
      </c>
      <c r="I21">
        <f>IFERROR(ROUNDDOWN((VLOOKUP($C21,武器!$1:$998,COLUMN(G$1),FALSE)+IFERROR(VLOOKUP($CJ21,装強!$1:$999,COLUMN(I$1),FALSE),0))*VLOOKUP($D21,素材!$1:$1016,COLUMN($E$1),FALSE),0),"")</f>
        <v>6</v>
      </c>
      <c r="J21">
        <f>IFERROR(ROUNDDOWN((VLOOKUP($C21,武器!$1:$998,COLUMN(H$1),FALSE)+IFERROR(VLOOKUP($CJ21,装強!$1:$999,COLUMN(J$1),FALSE),0))*VLOOKUP($D21,素材!$1:$1016,COLUMN($E$1),FALSE),0),"")</f>
        <v>20</v>
      </c>
      <c r="K21">
        <f>IFERROR(ROUNDDOWN((VLOOKUP($C21,武器!$1:$998,COLUMN(I$1),FALSE)+IFERROR(VLOOKUP($CJ21,装強!$1:$999,COLUMN(K$1),FALSE),0))*VLOOKUP($D21,素材!$1:$1016,COLUMN($E$1),FALSE),0),"")</f>
        <v>0</v>
      </c>
      <c r="L21">
        <f>IFERROR(VLOOKUP($D21,素材!$1:$1016,COLUMN($F$1),FALSE),"")</f>
        <v>0</v>
      </c>
      <c r="M21">
        <f>IFERROR(VLOOKUP($C21,武器!$1:$998,COLUMN(AA$1),FALSE)*VLOOKUP($D21,素材!$1:$1016,COLUMN($G$1),FALSE),"")</f>
        <v>0</v>
      </c>
      <c r="N21">
        <f>IFERROR(VLOOKUP($C21,武器!$1:$998,COLUMN(I$1),FALSE),"")</f>
        <v>0</v>
      </c>
      <c r="O21" s="23">
        <f>IFERROR((VLOOKUP($C21,武器!$1:$998,COLUMN(K$1),FALSE)+VLOOKUP($D21,素材!$1:$1016,COLUMN(H$1),FALSE))*100+IFERROR(VLOOKUP($CJ21,装強!$1:$999,COLUMN(O$1),FALSE),0),"")</f>
        <v>5</v>
      </c>
      <c r="P21" s="23">
        <f>IFERROR((VLOOKUP($C21,武器!$1:$998,COLUMN(L$1),FALSE)+VLOOKUP($D21,素材!$1:$1016,COLUMN(I$1),FALSE))*100+IFERROR(VLOOKUP($CJ21,装強!$1:$999,COLUMN(P$1),FALSE),0),"")</f>
        <v>175</v>
      </c>
      <c r="Q21">
        <f>IFERROR(ROUNDUP(VLOOKUP($C21,武器!$1:$998,COLUMN(M$1),FALSE)*(VLOOKUP($D21,素材!$1:$1002,COLUMN(D$1),FALSE)/100),1),"")</f>
        <v>-2.5</v>
      </c>
      <c r="R21">
        <f>IFERROR(ROUNDUP(VLOOKUP($C21,武器!$1:$998,COLUMN(N$1),FALSE)*(VLOOKUP($D21,素材!$1:$1002,COLUMN(D$1),FALSE)/100),1),"")</f>
        <v>0</v>
      </c>
      <c r="S21">
        <f>IFERROR(VLOOKUP($C21,武器!$1:$998,COLUMN(P$1),FALSE),"")</f>
        <v>0</v>
      </c>
      <c r="T21">
        <f>IFERROR(VLOOKUP($C21,武器!$1:$998,COLUMN(Q$1),FALSE),"")</f>
        <v>0</v>
      </c>
      <c r="U21">
        <f>IFERROR(VLOOKUP($C21,武器!$1:$998,COLUMN(R$1),FALSE),"")</f>
        <v>0</v>
      </c>
      <c r="V21">
        <f>IFERROR(VLOOKUP($C21,武器!$1:$998,COLUMN(Q$1),FALSE),"")</f>
        <v>0</v>
      </c>
      <c r="W21" t="str">
        <f>IFERROR(VLOOKUP($C21,武器!$1:$998,COLUMN(T$1),FALSE),"")</f>
        <v>A</v>
      </c>
      <c r="Y21">
        <f>IFERROR(VLOOKUP($C21,武器!$1:$998,COLUMN(U$1),FALSE),"")</f>
        <v>0</v>
      </c>
      <c r="Z21">
        <f>IFERROR(ROUNDUP(VLOOKUP($C21,武器!$1:$998,COLUMN(O$1),FALSE)*VLOOKUP($D21,素材!$1:$1016,COLUMN(E$1),FALSE),1),"")</f>
        <v>0</v>
      </c>
      <c r="AA21">
        <f>IF(ISNUMBER(SEARCH(SUBSTITUTE(AA$1,RIGHT(AA$1,2),""),VLOOKUP($D21,素材!$1:$1016,COLUMN($F$1),FALSE))),VLOOKUP($C21,武器!$1:$998,COLUMN($O$1),FALSE)*VLOOKUP($D21,素材!$1:$1016,COLUMN($E$1),FALSE)/(LEN(VLOOKUP($D21,素材!$1:$1016,COLUMN($F$1),FALSE))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B21">
        <f>IF(ISNUMBER(SEARCH(SUBSTITUTE(AB$1,RIGHT(AB$1,2),""),VLOOKUP($D21,素材!$1:$1016,COLUMN($F$1),FALSE))),VLOOKUP($C21,武器!$1:$998,COLUMN($O$1),FALSE)*VLOOKUP($D21,素材!$1:$1016,COLUMN($E$1),FALSE)/(LEN(VLOOKUP($D21,素材!$1:$1016,COLUMN($F$1),FALSE))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C21">
        <f>IF(ISNUMBER(SEARCH(SUBSTITUTE(AC$1,RIGHT(AC$1,2),""),VLOOKUP($D21,素材!$1:$1016,COLUMN($F$1),FALSE))),VLOOKUP($C21,武器!$1:$998,COLUMN($O$1),FALSE)*VLOOKUP($D21,素材!$1:$1016,COLUMN($E$1),FALSE)/(LEN(VLOOKUP($D21,素材!$1:$1016,COLUMN($F$1),FALSE))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D21">
        <f>IF(ISNUMBER(SEARCH(SUBSTITUTE(AD$1,RIGHT(AD$1,2),""),VLOOKUP($D21,素材!$1:$1016,COLUMN($F$1),FALSE))),VLOOKUP($C21,武器!$1:$998,COLUMN($O$1),FALSE)*VLOOKUP($D21,素材!$1:$1016,COLUMN($E$1),FALSE)/(LEN(VLOOKUP($D21,素材!$1:$1016,COLUMN($F$1),FALSE))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E21">
        <f>IF(ISNUMBER(SEARCH(SUBSTITUTE(AE$1,RIGHT(AE$1,2),""),VLOOKUP($D21,素材!$1:$1016,COLUMN($F$1),FALSE))),VLOOKUP($C21,武器!$1:$998,COLUMN($O$1),FALSE)*VLOOKUP($D21,素材!$1:$1016,COLUMN($E$1),FALSE)/(LEN(VLOOKUP($D21,素材!$1:$1016,COLUMN($F$1),FALSE))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F21">
        <f>IF(ISNUMBER(SEARCH(SUBSTITUTE(AF$1,RIGHT(AF$1,2),""),VLOOKUP($D21,素材!$1:$1016,COLUMN($F$1),FALSE))),VLOOKUP($C21,武器!$1:$998,COLUMN($O$1),FALSE)*VLOOKUP($D21,素材!$1:$1016,COLUMN($E$1),FALSE)/(LEN(VLOOKUP($D21,素材!$1:$1016,COLUMN($F$1),FALSE))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G21">
        <f>IF(ISNUMBER(SEARCH(SUBSTITUTE(AG$1,RIGHT(AG$1,2),""),VLOOKUP($D21,素材!$1:$1016,COLUMN($F$1),FALSE))),VLOOKUP($C21,武器!$1:$998,COLUMN($O$1),FALSE)*VLOOKUP($D21,素材!$1:$1016,COLUMN($E$1),FALSE)/(LEN(VLOOKUP($D21,素材!$1:$1016,COLUMN($F$1),FALSE))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H21">
        <f>IF(ISNUMBER(SEARCH(SUBSTITUTE(AH$1,RIGHT(AH$1,2),""),VLOOKUP($D21,素材!$1:$1016,COLUMN($F$1),FALSE))),VLOOKUP($C21,武器!$1:$998,COLUMN($O$1),FALSE)*VLOOKUP($D21,素材!$1:$1016,COLUMN($E$1),FALSE)/(LEN(VLOOKUP($D21,素材!$1:$1016,COLUMN($F$1),FALSE))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I21">
        <f>IF(ISNUMBER(SEARCH(SUBSTITUTE(AI$1,RIGHT(AI$1,2),""),VLOOKUP($D21,素材!$1:$1016,COLUMN($F$1),FALSE))),VLOOKUP($C21,武器!$1:$998,COLUMN($O$1),FALSE)*VLOOKUP($D21,素材!$1:$1016,COLUMN($E$1),FALSE)/(LEN(VLOOKUP($D21,素材!$1:$1016,COLUMN($F$1),FALSE))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J21">
        <f>IF(ISNUMBER(SEARCH(SUBSTITUTE(AJ$1,RIGHT(AJ$1,2),""),VLOOKUP($D21,素材!$1:$1016,COLUMN($F$1),FALSE))),VLOOKUP($C21,武器!$1:$998,COLUMN($O$1),FALSE)*VLOOKUP($D21,素材!$1:$1016,COLUMN($E$1),FALSE)/(LEN(VLOOKUP($D21,素材!$1:$1016,COLUMN($F$1),FALSE))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K21">
        <f>IF(ISNUMBER(SEARCH(SUBSTITUTE(AK$1,RIGHT(AK$1,2),""),VLOOKUP($D21,素材!$1:$1016,COLUMN($F$1),FALSE))),VLOOKUP($C21,武器!$1:$998,COLUMN($O$1),FALSE)*VLOOKUP($D21,素材!$1:$1016,COLUMN($E$1),FALSE)/(LEN(VLOOKUP($D21,素材!$1:$1016,COLUMN($F$1),FALSE))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L21">
        <f>IF(ISNUMBER(SEARCH(SUBSTITUTE(AL$1,RIGHT(AL$1,2),""),VLOOKUP($D21,素材!$1:$1016,COLUMN($F$1),FALSE))),VLOOKUP($C21,武器!$1:$998,COLUMN($O$1),FALSE)*VLOOKUP($D21,素材!$1:$1016,COLUMN($E$1),FALSE)/(LEN(VLOOKUP($D21,素材!$1:$1016,COLUMN($F$1),FALSE))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M21">
        <f>IF(ISNUMBER(SEARCH(SUBSTITUTE(AM$1,RIGHT(AM$1,2),""),VLOOKUP($D21,素材!$1:$1016,COLUMN($F$1),FALSE))),VLOOKUP($C21,武器!$1:$998,COLUMN($O$1),FALSE)*VLOOKUP($D21,素材!$1:$1016,COLUMN($E$1),FALSE)/(LEN(VLOOKUP($D21,素材!$1:$1016,COLUMN($F$1),FALSE))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N21">
        <f>IF(ISNUMBER(SEARCH(SUBSTITUTE(AN$1,RIGHT(AN$1,2),""),VLOOKUP($D21,素材!$1:$1016,COLUMN($F$1),FALSE))),VLOOKUP($C21,武器!$1:$998,COLUMN($O$1),FALSE)*VLOOKUP($D21,素材!$1:$1016,COLUMN($E$1),FALSE)/(LEN(VLOOKUP($D21,素材!$1:$1016,COLUMN($F$1),FALSE))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O21">
        <f>IF(ISNUMBER(SEARCH(SUBSTITUTE(AO$1,RIGHT(AO$1,2),""),VLOOKUP($D21,素材!$1:$1016,COLUMN($F$1),FALSE))),VLOOKUP($C21,武器!$1:$998,COLUMN($O$1),FALSE)*VLOOKUP($D21,素材!$1:$1016,COLUMN($E$1),FALSE)/(LEN(VLOOKUP($D21,素材!$1:$1016,COLUMN($F$1),FALSE))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P21">
        <f>IF(ISNUMBER(SEARCH(SUBSTITUTE(AP$1,RIGHT(AP$1,2),""),VLOOKUP($D21,素材!$1:$1016,COLUMN($F$1),FALSE))),VLOOKUP($C21,武器!$1:$998,COLUMN($O$1),FALSE)*VLOOKUP($D21,素材!$1:$1016,COLUMN($E$1),FALSE)/(LEN(VLOOKUP($D21,素材!$1:$1016,COLUMN($F$1),FALSE))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Q21">
        <f>IF(ISNUMBER(SEARCH(SUBSTITUTE(AQ$1,RIGHT(AQ$1,2),""),VLOOKUP($D21,素材!$1:$1016,COLUMN($F$1),FALSE))),VLOOKUP($C21,武器!$1:$998,COLUMN($O$1),FALSE)*VLOOKUP($D21,素材!$1:$1016,COLUMN($E$1),FALSE)/(LEN(VLOOKUP($D21,素材!$1:$1016,COLUMN($F$1),FALSE))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R21">
        <f>IF(ISNUMBER(SEARCH(SUBSTITUTE(AR$1,RIGHT(AR$1,2),""),VLOOKUP($D21,素材!$1:$1016,COLUMN($F$1),FALSE))),VLOOKUP($C21,武器!$1:$998,COLUMN($O$1),FALSE)*VLOOKUP($D21,素材!$1:$1016,COLUMN($E$1),FALSE)/(LEN(VLOOKUP($D21,素材!$1:$1016,COLUMN($F$1),FALSE))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S21">
        <f>IF(ISNUMBER(SEARCH(SUBSTITUTE(AS$1,RIGHT(AS$1,2),""),VLOOKUP($D21,素材!$1:$1016,COLUMN($F$1),FALSE))),VLOOKUP($C21,武器!$1:$998,COLUMN($O$1),FALSE)*VLOOKUP($D21,素材!$1:$1016,COLUMN($E$1),FALSE)/(LEN(VLOOKUP($D21,素材!$1:$1016,COLUMN($F$1),FALSE))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T21">
        <f>IF(ISNUMBER(SEARCH(SUBSTITUTE(AT$1,RIGHT(AT$1,2),""),VLOOKUP($D21,素材!$1:$1016,COLUMN($F$1),FALSE))),VLOOKUP($C21,武器!$1:$998,COLUMN($O$1),FALSE)*VLOOKUP($D21,素材!$1:$1016,COLUMN($E$1),FALSE)/(LEN(VLOOKUP($D21,素材!$1:$1016,COLUMN($F$1),FALSE))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U21">
        <f>IF(ISNUMBER(SEARCH(SUBSTITUTE(AU$1,RIGHT(AU$1,2),""),VLOOKUP($D21,素材!$1:$1016,COLUMN($F$1),FALSE))),VLOOKUP($C21,武器!$1:$998,COLUMN($O$1),FALSE)*VLOOKUP($D21,素材!$1:$1016,COLUMN($E$1),FALSE)/(LEN(VLOOKUP($D21,素材!$1:$1016,COLUMN($F$1),FALSE))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V21">
        <f>IF(ISNUMBER(SEARCH(SUBSTITUTE(AV$1,RIGHT(AV$1,2),""),VLOOKUP($D21,素材!$1:$1016,COLUMN($F$1),FALSE))),VLOOKUP($C21,武器!$1:$998,COLUMN($O$1),FALSE)*VLOOKUP($D21,素材!$1:$1016,COLUMN($E$1),FALSE)/(LEN(VLOOKUP($D21,素材!$1:$1016,COLUMN($F$1),FALSE))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W21">
        <f>IF(ISNUMBER(SEARCH(SUBSTITUTE(AW$1,RIGHT(AW$1,2),""),VLOOKUP($D21,素材!$1:$1016,COLUMN($F$1),FALSE))),VLOOKUP($C21,武器!$1:$998,COLUMN($O$1),FALSE)*VLOOKUP($D21,素材!$1:$1016,COLUMN($E$1),FALSE)/(LEN(VLOOKUP($D21,素材!$1:$1016,COLUMN($F$1),FALSE))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X21">
        <f>IF(ISNUMBER(SEARCH(SUBSTITUTE(AX$1,RIGHT(AX$1,2),""),VLOOKUP($D21,素材!$1:$1016,COLUMN($F$1),FALSE))),VLOOKUP($C21,武器!$1:$998,COLUMN($O$1),FALSE)*VLOOKUP($D21,素材!$1:$1016,COLUMN($E$1),FALSE)/(LEN(VLOOKUP($D21,素材!$1:$1016,COLUMN($F$1),FALSE))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Y21">
        <f>IF(ISNUMBER(SEARCH(SUBSTITUTE(AY$1,RIGHT(AY$1,2),""),VLOOKUP($D21,素材!$1:$1016,COLUMN($F$1),FALSE))),VLOOKUP($C21,武器!$1:$998,COLUMN($O$1),FALSE)*VLOOKUP($D21,素材!$1:$1016,COLUMN($E$1),FALSE)/(LEN(VLOOKUP($D21,素材!$1:$1016,COLUMN($F$1),FALSE))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AZ21">
        <f>IF(ISNUMBER(SEARCH(SUBSTITUTE(AZ$1,RIGHT(AZ$1,2),""),VLOOKUP($D21,素材!$1:$1016,COLUMN($F$1),FALSE))),VLOOKUP($C21,武器!$1:$998,COLUMN($O$1),FALSE)*VLOOKUP($D21,素材!$1:$1016,COLUMN($E$1),FALSE)/(LEN(VLOOKUP($D21,素材!$1:$1016,COLUMN($F$1),FALSE))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BA21">
        <f>IF(ISNUMBER(SEARCH(SUBSTITUTE(BA$1,RIGHT(BA$1,2),""),VLOOKUP($D21,素材!$1:$1016,COLUMN($F$1),FALSE))),VLOOKUP($C21,武器!$1:$998,COLUMN($O$1),FALSE)*VLOOKUP($D21,素材!$1:$1016,COLUMN($E$1),FALSE)/(LEN(VLOOKUP($D21,素材!$1:$1016,COLUMN($F$1),FALSE))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BB21">
        <f>IF(ISNUMBER(SEARCH(SUBSTITUTE(BB$1,RIGHT(BB$1,2),""),VLOOKUP($D21,素材!$1:$1016,COLUMN($F$1),FALSE))),VLOOKUP($C21,武器!$1:$998,COLUMN($O$1),FALSE)*VLOOKUP($D21,素材!$1:$1016,COLUMN($E$1),FALSE)/(LEN(VLOOKUP($D21,素材!$1:$1016,COLUMN($F$1),FALSE))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BC21">
        <f>IF(ISNUMBER(SEARCH(SUBSTITUTE(BC$1,RIGHT(BC$1,2),""),VLOOKUP($D21,素材!$1:$1016,COLUMN($F$1),FALSE))),VLOOKUP($C21,武器!$1:$998,COLUMN($O$1),FALSE)*VLOOKUP($D21,素材!$1:$1016,COLUMN($E$1),FALSE)/(LEN(VLOOKUP($D21,素材!$1:$1016,COLUMN($F$1),FALSE))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BD21">
        <f>IF(ISNUMBER(SEARCH(SUBSTITUTE(BD$1,RIGHT(BD$1,2),""),VLOOKUP($D21,素材!$1:$1016,COLUMN($F$1),FALSE))),VLOOKUP($C21,武器!$1:$998,COLUMN($O$1),FALSE)*VLOOKUP($D21,素材!$1:$1016,COLUMN($E$1),FALSE)/(LEN(VLOOKUP($D21,素材!$1:$1016,COLUMN($F$1),FALSE))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BE21">
        <f>IF(ISNUMBER(SEARCH(SUBSTITUTE(BE$1,RIGHT(BE$1,2),""),VLOOKUP($D21,素材!$1:$1016,COLUMN($F$1),FALSE))),VLOOKUP($C21,武器!$1:$998,COLUMN($O$1),FALSE)*VLOOKUP($D21,素材!$1:$1016,COLUMN($E$1),FALSE)/(LEN(VLOOKUP($D21,素材!$1:$1016,COLUMN($F$1),FALSE))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BF21">
        <f>IF(ISNUMBER(SEARCH(SUBSTITUTE(BF$1,RIGHT(BF$1,2),""),VLOOKUP($D21,素材!$1:$1016,COLUMN($F$1),FALSE))),VLOOKUP($C21,武器!$1:$998,COLUMN($O$1),FALSE)*VLOOKUP($D21,素材!$1:$1016,COLUMN($E$1),FALSE)/(LEN(VLOOKUP($D21,素材!$1:$1016,COLUMN($F$1),FALSE)) - LEN(SUBSTITUTE(VLOOKUP($D21,素材!$1:$1016,COLUMN($F$1),FALSE), "・", 0)) + 1), 0)</f>
        <v>0</v>
      </c>
      <c r="CM21">
        <f t="shared" si="3"/>
        <v>25</v>
      </c>
      <c r="CN21" s="22" t="str">
        <f>IF(E21="武器",IF(J21-1&gt;SUM(G21:I21),"盾",IF(MAX(G21:I21)=G21,"切断",IF(MAX(G21:I21)=H21,"貫通",IF(MAX(G21:I21)=I21,"打撃","射撃")))),E21)&amp;".webp"</f>
        <v>切断.webp</v>
      </c>
      <c r="CO21">
        <f>IFERROR(VLOOKUP($C21,武器!$1:$998,COLUMN(V$1),FALSE)*VLOOKUP($D21,素材!$1:$1016,COLUMN(N$1),FALSE)+IF(CJ21="",0,VLOOKUP($CJ21,装強!$1:$1008,COLUMN($CL$1),FALSE)),"")</f>
        <v>400</v>
      </c>
      <c r="CP21" t="str">
        <f>VLOOKUP(D21,素材!$A:$O,COLUMN(素材!O$1),FALSE)</f>
        <v>一般的な鉄。量産品を作るのに使用されることが多い</v>
      </c>
      <c r="CQ21" t="str">
        <f>VLOOKUP(C21,武器!$A:$W,COLUMN(武器!W$1),FALSE)</f>
        <v>戦斧。攻撃力が高く、重いが信頼性がある武器。</v>
      </c>
      <c r="CS21" t="str">
        <f t="shared" si="2"/>
        <v>e_21</v>
      </c>
      <c r="CT21">
        <f t="shared" si="4"/>
        <v>40000</v>
      </c>
    </row>
    <row r="22" spans="1:98" outlineLevel="1" x14ac:dyDescent="0.4">
      <c r="A22" t="str">
        <f t="shared" si="0"/>
        <v>鉄の鞭</v>
      </c>
      <c r="B22" t="str">
        <f>IFERROR(VLOOKUP($D22,素材!$1:$1016,COLUMN($B$1),FALSE)&amp;"・"&amp;VLOOKUP($C22,武器!$1:$998,COLUMN(B$1),FALSE),"")</f>
        <v>アイアン・ウィップ</v>
      </c>
      <c r="C22" t="s">
        <v>223</v>
      </c>
      <c r="D22" s="24" t="s">
        <v>257</v>
      </c>
      <c r="E22" t="str">
        <f>IFERROR(VLOOKUP(C22,武器!$1:$998,COLUMN(C$1),FALSE),"")</f>
        <v>武器</v>
      </c>
      <c r="F22">
        <f>IFERROR(ROUNDDOWN((VLOOKUP($C22,武器!$1:$998,COLUMN(D$1),FALSE)+IFERROR(VLOOKUP($CJ22,装強!$1:$999,COLUMN(F$1),FALSE),0))*VLOOKUP($D22,素材!$1:$1016,COLUMN(D$1),FALSE),0),"")</f>
        <v>105</v>
      </c>
      <c r="G22">
        <f>IFERROR(ROUNDDOWN((VLOOKUP($C22,武器!$1:$998,COLUMN(E$1),FALSE)+IFERROR(VLOOKUP($CJ22,装強!$1:$999,COLUMN(G$1),FALSE),0))*VLOOKUP($D22,素材!$1:$1016,COLUMN($E$1),FALSE),0),"")</f>
        <v>18</v>
      </c>
      <c r="H22">
        <f>IFERROR(ROUNDDOWN((VLOOKUP($C22,武器!$1:$998,COLUMN(F$1),FALSE)+IFERROR(VLOOKUP($CJ22,装強!$1:$999,COLUMN(H$1),FALSE),0))*VLOOKUP($D22,素材!$1:$1016,COLUMN($E$1),FALSE),0),"")</f>
        <v>0</v>
      </c>
      <c r="I22">
        <f>IFERROR(ROUNDDOWN((VLOOKUP($C22,武器!$1:$998,COLUMN(G$1),FALSE)+IFERROR(VLOOKUP($CJ22,装強!$1:$999,COLUMN(I$1),FALSE),0))*VLOOKUP($D22,素材!$1:$1016,COLUMN($E$1),FALSE),0),"")</f>
        <v>4</v>
      </c>
      <c r="J22">
        <f>IFERROR(ROUNDDOWN((VLOOKUP($C22,武器!$1:$998,COLUMN(H$1),FALSE)+IFERROR(VLOOKUP($CJ22,装強!$1:$999,COLUMN(J$1),FALSE),0))*VLOOKUP($D22,素材!$1:$1016,COLUMN($E$1),FALSE),0),"")</f>
        <v>11</v>
      </c>
      <c r="K22">
        <f>IFERROR(ROUNDDOWN((VLOOKUP($C22,武器!$1:$998,COLUMN(I$1),FALSE)+IFERROR(VLOOKUP($CJ22,装強!$1:$999,COLUMN(K$1),FALSE),0))*VLOOKUP($D22,素材!$1:$1016,COLUMN($E$1),FALSE),0),"")</f>
        <v>0</v>
      </c>
      <c r="L22">
        <f>IFERROR(VLOOKUP($D22,素材!$1:$1016,COLUMN($F$1),FALSE),"")</f>
        <v>0</v>
      </c>
      <c r="M22">
        <f>IFERROR(VLOOKUP($C22,武器!$1:$998,COLUMN(AA$1),FALSE)*VLOOKUP($D22,素材!$1:$1016,COLUMN($G$1),FALSE),"")</f>
        <v>0</v>
      </c>
      <c r="N22">
        <f>IFERROR(VLOOKUP($C22,武器!$1:$998,COLUMN(I$1),FALSE),"")</f>
        <v>0</v>
      </c>
      <c r="O22" s="23">
        <f>IFERROR((VLOOKUP($C22,武器!$1:$998,COLUMN(K$1),FALSE)+VLOOKUP($D22,素材!$1:$1016,COLUMN(H$1),FALSE))*100+IFERROR(VLOOKUP($CJ22,装強!$1:$999,COLUMN(O$1),FALSE),0),"")</f>
        <v>10</v>
      </c>
      <c r="P22" s="23">
        <f>IFERROR((VLOOKUP($C22,武器!$1:$998,COLUMN(L$1),FALSE)+VLOOKUP($D22,素材!$1:$1016,COLUMN(I$1),FALSE))*100+IFERROR(VLOOKUP($CJ22,装強!$1:$999,COLUMN(P$1),FALSE),0),"")</f>
        <v>150</v>
      </c>
      <c r="Q22">
        <f>IFERROR(ROUNDUP(VLOOKUP($C22,武器!$1:$998,COLUMN(M$1),FALSE)*(VLOOKUP($D22,素材!$1:$1002,COLUMN(D$1),FALSE)/100),1),"")</f>
        <v>0</v>
      </c>
      <c r="R22">
        <f>IFERROR(ROUNDUP(VLOOKUP($C22,武器!$1:$998,COLUMN(N$1),FALSE)*(VLOOKUP($D22,素材!$1:$1002,COLUMN(D$1),FALSE)/100),1),"")</f>
        <v>0</v>
      </c>
      <c r="S22">
        <f>IFERROR(VLOOKUP($C22,武器!$1:$998,COLUMN(P$1),FALSE),"")</f>
        <v>1</v>
      </c>
      <c r="T22">
        <f>IFERROR(VLOOKUP($C22,武器!$1:$998,COLUMN(Q$1),FALSE),"")</f>
        <v>0</v>
      </c>
      <c r="U22">
        <f>IFERROR(VLOOKUP($C22,武器!$1:$998,COLUMN(R$1),FALSE),"")</f>
        <v>0</v>
      </c>
      <c r="V22">
        <f>IFERROR(VLOOKUP($C22,武器!$1:$998,COLUMN(Q$1),FALSE),"")</f>
        <v>0</v>
      </c>
      <c r="W22" t="str">
        <f>IFERROR(VLOOKUP($C22,武器!$1:$998,COLUMN(T$1),FALSE),"")</f>
        <v>A</v>
      </c>
      <c r="Y22">
        <f>IFERROR(VLOOKUP($C22,武器!$1:$998,COLUMN(U$1),FALSE),"")</f>
        <v>0</v>
      </c>
      <c r="Z22">
        <f>IFERROR(ROUNDUP(VLOOKUP($C22,武器!$1:$998,COLUMN(O$1),FALSE)*VLOOKUP($D22,素材!$1:$1016,COLUMN(E$1),FALSE),1),"")</f>
        <v>0</v>
      </c>
      <c r="AA22">
        <f>IF(ISNUMBER(SEARCH(SUBSTITUTE(AA$1,RIGHT(AA$1,2),""),VLOOKUP($D22,素材!$1:$1016,COLUMN($F$1),FALSE))),VLOOKUP($C22,武器!$1:$998,COLUMN($O$1),FALSE)*VLOOKUP($D22,素材!$1:$1016,COLUMN($E$1),FALSE)/(LEN(VLOOKUP($D22,素材!$1:$1016,COLUMN($F$1),FALSE))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B22">
        <f>IF(ISNUMBER(SEARCH(SUBSTITUTE(AB$1,RIGHT(AB$1,2),""),VLOOKUP($D22,素材!$1:$1016,COLUMN($F$1),FALSE))),VLOOKUP($C22,武器!$1:$998,COLUMN($O$1),FALSE)*VLOOKUP($D22,素材!$1:$1016,COLUMN($E$1),FALSE)/(LEN(VLOOKUP($D22,素材!$1:$1016,COLUMN($F$1),FALSE))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C22">
        <f>IF(ISNUMBER(SEARCH(SUBSTITUTE(AC$1,RIGHT(AC$1,2),""),VLOOKUP($D22,素材!$1:$1016,COLUMN($F$1),FALSE))),VLOOKUP($C22,武器!$1:$998,COLUMN($O$1),FALSE)*VLOOKUP($D22,素材!$1:$1016,COLUMN($E$1),FALSE)/(LEN(VLOOKUP($D22,素材!$1:$1016,COLUMN($F$1),FALSE))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D22">
        <f>IF(ISNUMBER(SEARCH(SUBSTITUTE(AD$1,RIGHT(AD$1,2),""),VLOOKUP($D22,素材!$1:$1016,COLUMN($F$1),FALSE))),VLOOKUP($C22,武器!$1:$998,COLUMN($O$1),FALSE)*VLOOKUP($D22,素材!$1:$1016,COLUMN($E$1),FALSE)/(LEN(VLOOKUP($D22,素材!$1:$1016,COLUMN($F$1),FALSE))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E22">
        <f>IF(ISNUMBER(SEARCH(SUBSTITUTE(AE$1,RIGHT(AE$1,2),""),VLOOKUP($D22,素材!$1:$1016,COLUMN($F$1),FALSE))),VLOOKUP($C22,武器!$1:$998,COLUMN($O$1),FALSE)*VLOOKUP($D22,素材!$1:$1016,COLUMN($E$1),FALSE)/(LEN(VLOOKUP($D22,素材!$1:$1016,COLUMN($F$1),FALSE))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F22">
        <f>IF(ISNUMBER(SEARCH(SUBSTITUTE(AF$1,RIGHT(AF$1,2),""),VLOOKUP($D22,素材!$1:$1016,COLUMN($F$1),FALSE))),VLOOKUP($C22,武器!$1:$998,COLUMN($O$1),FALSE)*VLOOKUP($D22,素材!$1:$1016,COLUMN($E$1),FALSE)/(LEN(VLOOKUP($D22,素材!$1:$1016,COLUMN($F$1),FALSE))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G22">
        <f>IF(ISNUMBER(SEARCH(SUBSTITUTE(AG$1,RIGHT(AG$1,2),""),VLOOKUP($D22,素材!$1:$1016,COLUMN($F$1),FALSE))),VLOOKUP($C22,武器!$1:$998,COLUMN($O$1),FALSE)*VLOOKUP($D22,素材!$1:$1016,COLUMN($E$1),FALSE)/(LEN(VLOOKUP($D22,素材!$1:$1016,COLUMN($F$1),FALSE))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H22">
        <f>IF(ISNUMBER(SEARCH(SUBSTITUTE(AH$1,RIGHT(AH$1,2),""),VLOOKUP($D22,素材!$1:$1016,COLUMN($F$1),FALSE))),VLOOKUP($C22,武器!$1:$998,COLUMN($O$1),FALSE)*VLOOKUP($D22,素材!$1:$1016,COLUMN($E$1),FALSE)/(LEN(VLOOKUP($D22,素材!$1:$1016,COLUMN($F$1),FALSE))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I22">
        <f>IF(ISNUMBER(SEARCH(SUBSTITUTE(AI$1,RIGHT(AI$1,2),""),VLOOKUP($D22,素材!$1:$1016,COLUMN($F$1),FALSE))),VLOOKUP($C22,武器!$1:$998,COLUMN($O$1),FALSE)*VLOOKUP($D22,素材!$1:$1016,COLUMN($E$1),FALSE)/(LEN(VLOOKUP($D22,素材!$1:$1016,COLUMN($F$1),FALSE))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J22">
        <f>IF(ISNUMBER(SEARCH(SUBSTITUTE(AJ$1,RIGHT(AJ$1,2),""),VLOOKUP($D22,素材!$1:$1016,COLUMN($F$1),FALSE))),VLOOKUP($C22,武器!$1:$998,COLUMN($O$1),FALSE)*VLOOKUP($D22,素材!$1:$1016,COLUMN($E$1),FALSE)/(LEN(VLOOKUP($D22,素材!$1:$1016,COLUMN($F$1),FALSE))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K22">
        <f>IF(ISNUMBER(SEARCH(SUBSTITUTE(AK$1,RIGHT(AK$1,2),""),VLOOKUP($D22,素材!$1:$1016,COLUMN($F$1),FALSE))),VLOOKUP($C22,武器!$1:$998,COLUMN($O$1),FALSE)*VLOOKUP($D22,素材!$1:$1016,COLUMN($E$1),FALSE)/(LEN(VLOOKUP($D22,素材!$1:$1016,COLUMN($F$1),FALSE))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L22">
        <f>IF(ISNUMBER(SEARCH(SUBSTITUTE(AL$1,RIGHT(AL$1,2),""),VLOOKUP($D22,素材!$1:$1016,COLUMN($F$1),FALSE))),VLOOKUP($C22,武器!$1:$998,COLUMN($O$1),FALSE)*VLOOKUP($D22,素材!$1:$1016,COLUMN($E$1),FALSE)/(LEN(VLOOKUP($D22,素材!$1:$1016,COLUMN($F$1),FALSE))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M22">
        <f>IF(ISNUMBER(SEARCH(SUBSTITUTE(AM$1,RIGHT(AM$1,2),""),VLOOKUP($D22,素材!$1:$1016,COLUMN($F$1),FALSE))),VLOOKUP($C22,武器!$1:$998,COLUMN($O$1),FALSE)*VLOOKUP($D22,素材!$1:$1016,COLUMN($E$1),FALSE)/(LEN(VLOOKUP($D22,素材!$1:$1016,COLUMN($F$1),FALSE))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N22">
        <f>IF(ISNUMBER(SEARCH(SUBSTITUTE(AN$1,RIGHT(AN$1,2),""),VLOOKUP($D22,素材!$1:$1016,COLUMN($F$1),FALSE))),VLOOKUP($C22,武器!$1:$998,COLUMN($O$1),FALSE)*VLOOKUP($D22,素材!$1:$1016,COLUMN($E$1),FALSE)/(LEN(VLOOKUP($D22,素材!$1:$1016,COLUMN($F$1),FALSE))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O22">
        <f>IF(ISNUMBER(SEARCH(SUBSTITUTE(AO$1,RIGHT(AO$1,2),""),VLOOKUP($D22,素材!$1:$1016,COLUMN($F$1),FALSE))),VLOOKUP($C22,武器!$1:$998,COLUMN($O$1),FALSE)*VLOOKUP($D22,素材!$1:$1016,COLUMN($E$1),FALSE)/(LEN(VLOOKUP($D22,素材!$1:$1016,COLUMN($F$1),FALSE))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P22">
        <f>IF(ISNUMBER(SEARCH(SUBSTITUTE(AP$1,RIGHT(AP$1,2),""),VLOOKUP($D22,素材!$1:$1016,COLUMN($F$1),FALSE))),VLOOKUP($C22,武器!$1:$998,COLUMN($O$1),FALSE)*VLOOKUP($D22,素材!$1:$1016,COLUMN($E$1),FALSE)/(LEN(VLOOKUP($D22,素材!$1:$1016,COLUMN($F$1),FALSE))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Q22">
        <f>IF(ISNUMBER(SEARCH(SUBSTITUTE(AQ$1,RIGHT(AQ$1,2),""),VLOOKUP($D22,素材!$1:$1016,COLUMN($F$1),FALSE))),VLOOKUP($C22,武器!$1:$998,COLUMN($O$1),FALSE)*VLOOKUP($D22,素材!$1:$1016,COLUMN($E$1),FALSE)/(LEN(VLOOKUP($D22,素材!$1:$1016,COLUMN($F$1),FALSE))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R22">
        <f>IF(ISNUMBER(SEARCH(SUBSTITUTE(AR$1,RIGHT(AR$1,2),""),VLOOKUP($D22,素材!$1:$1016,COLUMN($F$1),FALSE))),VLOOKUP($C22,武器!$1:$998,COLUMN($O$1),FALSE)*VLOOKUP($D22,素材!$1:$1016,COLUMN($E$1),FALSE)/(LEN(VLOOKUP($D22,素材!$1:$1016,COLUMN($F$1),FALSE))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S22">
        <f>IF(ISNUMBER(SEARCH(SUBSTITUTE(AS$1,RIGHT(AS$1,2),""),VLOOKUP($D22,素材!$1:$1016,COLUMN($F$1),FALSE))),VLOOKUP($C22,武器!$1:$998,COLUMN($O$1),FALSE)*VLOOKUP($D22,素材!$1:$1016,COLUMN($E$1),FALSE)/(LEN(VLOOKUP($D22,素材!$1:$1016,COLUMN($F$1),FALSE))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T22">
        <f>IF(ISNUMBER(SEARCH(SUBSTITUTE(AT$1,RIGHT(AT$1,2),""),VLOOKUP($D22,素材!$1:$1016,COLUMN($F$1),FALSE))),VLOOKUP($C22,武器!$1:$998,COLUMN($O$1),FALSE)*VLOOKUP($D22,素材!$1:$1016,COLUMN($E$1),FALSE)/(LEN(VLOOKUP($D22,素材!$1:$1016,COLUMN($F$1),FALSE))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U22">
        <f>IF(ISNUMBER(SEARCH(SUBSTITUTE(AU$1,RIGHT(AU$1,2),""),VLOOKUP($D22,素材!$1:$1016,COLUMN($F$1),FALSE))),VLOOKUP($C22,武器!$1:$998,COLUMN($O$1),FALSE)*VLOOKUP($D22,素材!$1:$1016,COLUMN($E$1),FALSE)/(LEN(VLOOKUP($D22,素材!$1:$1016,COLUMN($F$1),FALSE))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V22">
        <f>IF(ISNUMBER(SEARCH(SUBSTITUTE(AV$1,RIGHT(AV$1,2),""),VLOOKUP($D22,素材!$1:$1016,COLUMN($F$1),FALSE))),VLOOKUP($C22,武器!$1:$998,COLUMN($O$1),FALSE)*VLOOKUP($D22,素材!$1:$1016,COLUMN($E$1),FALSE)/(LEN(VLOOKUP($D22,素材!$1:$1016,COLUMN($F$1),FALSE))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W22">
        <f>IF(ISNUMBER(SEARCH(SUBSTITUTE(AW$1,RIGHT(AW$1,2),""),VLOOKUP($D22,素材!$1:$1016,COLUMN($F$1),FALSE))),VLOOKUP($C22,武器!$1:$998,COLUMN($O$1),FALSE)*VLOOKUP($D22,素材!$1:$1016,COLUMN($E$1),FALSE)/(LEN(VLOOKUP($D22,素材!$1:$1016,COLUMN($F$1),FALSE))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X22">
        <f>IF(ISNUMBER(SEARCH(SUBSTITUTE(AX$1,RIGHT(AX$1,2),""),VLOOKUP($D22,素材!$1:$1016,COLUMN($F$1),FALSE))),VLOOKUP($C22,武器!$1:$998,COLUMN($O$1),FALSE)*VLOOKUP($D22,素材!$1:$1016,COLUMN($E$1),FALSE)/(LEN(VLOOKUP($D22,素材!$1:$1016,COLUMN($F$1),FALSE))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Y22">
        <f>IF(ISNUMBER(SEARCH(SUBSTITUTE(AY$1,RIGHT(AY$1,2),""),VLOOKUP($D22,素材!$1:$1016,COLUMN($F$1),FALSE))),VLOOKUP($C22,武器!$1:$998,COLUMN($O$1),FALSE)*VLOOKUP($D22,素材!$1:$1016,COLUMN($E$1),FALSE)/(LEN(VLOOKUP($D22,素材!$1:$1016,COLUMN($F$1),FALSE))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AZ22">
        <f>IF(ISNUMBER(SEARCH(SUBSTITUTE(AZ$1,RIGHT(AZ$1,2),""),VLOOKUP($D22,素材!$1:$1016,COLUMN($F$1),FALSE))),VLOOKUP($C22,武器!$1:$998,COLUMN($O$1),FALSE)*VLOOKUP($D22,素材!$1:$1016,COLUMN($E$1),FALSE)/(LEN(VLOOKUP($D22,素材!$1:$1016,COLUMN($F$1),FALSE))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BA22">
        <f>IF(ISNUMBER(SEARCH(SUBSTITUTE(BA$1,RIGHT(BA$1,2),""),VLOOKUP($D22,素材!$1:$1016,COLUMN($F$1),FALSE))),VLOOKUP($C22,武器!$1:$998,COLUMN($O$1),FALSE)*VLOOKUP($D22,素材!$1:$1016,COLUMN($E$1),FALSE)/(LEN(VLOOKUP($D22,素材!$1:$1016,COLUMN($F$1),FALSE))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BB22">
        <f>IF(ISNUMBER(SEARCH(SUBSTITUTE(BB$1,RIGHT(BB$1,2),""),VLOOKUP($D22,素材!$1:$1016,COLUMN($F$1),FALSE))),VLOOKUP($C22,武器!$1:$998,COLUMN($O$1),FALSE)*VLOOKUP($D22,素材!$1:$1016,COLUMN($E$1),FALSE)/(LEN(VLOOKUP($D22,素材!$1:$1016,COLUMN($F$1),FALSE))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BC22">
        <f>IF(ISNUMBER(SEARCH(SUBSTITUTE(BC$1,RIGHT(BC$1,2),""),VLOOKUP($D22,素材!$1:$1016,COLUMN($F$1),FALSE))),VLOOKUP($C22,武器!$1:$998,COLUMN($O$1),FALSE)*VLOOKUP($D22,素材!$1:$1016,COLUMN($E$1),FALSE)/(LEN(VLOOKUP($D22,素材!$1:$1016,COLUMN($F$1),FALSE))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BD22">
        <f>IF(ISNUMBER(SEARCH(SUBSTITUTE(BD$1,RIGHT(BD$1,2),""),VLOOKUP($D22,素材!$1:$1016,COLUMN($F$1),FALSE))),VLOOKUP($C22,武器!$1:$998,COLUMN($O$1),FALSE)*VLOOKUP($D22,素材!$1:$1016,COLUMN($E$1),FALSE)/(LEN(VLOOKUP($D22,素材!$1:$1016,COLUMN($F$1),FALSE))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BE22">
        <f>IF(ISNUMBER(SEARCH(SUBSTITUTE(BE$1,RIGHT(BE$1,2),""),VLOOKUP($D22,素材!$1:$1016,COLUMN($F$1),FALSE))),VLOOKUP($C22,武器!$1:$998,COLUMN($O$1),FALSE)*VLOOKUP($D22,素材!$1:$1016,COLUMN($E$1),FALSE)/(LEN(VLOOKUP($D22,素材!$1:$1016,COLUMN($F$1),FALSE))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BF22">
        <f>IF(ISNUMBER(SEARCH(SUBSTITUTE(BF$1,RIGHT(BF$1,2),""),VLOOKUP($D22,素材!$1:$1016,COLUMN($F$1),FALSE))),VLOOKUP($C22,武器!$1:$998,COLUMN($O$1),FALSE)*VLOOKUP($D22,素材!$1:$1016,COLUMN($E$1),FALSE)/(LEN(VLOOKUP($D22,素材!$1:$1016,COLUMN($F$1),FALSE)) - LEN(SUBSTITUTE(VLOOKUP($D22,素材!$1:$1016,COLUMN($F$1),FALSE), "・", 0)) + 1), 0)</f>
        <v>0</v>
      </c>
      <c r="CM22">
        <f t="shared" si="3"/>
        <v>22</v>
      </c>
      <c r="CN22" s="22" t="str">
        <f>IF(E22="武器",IF(J22-1&gt;SUM(G22:I22),"盾",IF(MAX(G22:I22)=G22,"切断",IF(MAX(G22:I22)=H22,"貫通",IF(MAX(G22:I22)=I22,"打撃","射撃")))),E22)&amp;".webp"</f>
        <v>切断.webp</v>
      </c>
      <c r="CO22">
        <f>IFERROR(VLOOKUP($C22,武器!$1:$998,COLUMN(V$1),FALSE)*VLOOKUP($D22,素材!$1:$1016,COLUMN(N$1),FALSE)+IF(CJ22="",0,VLOOKUP($CJ22,装強!$1:$1008,COLUMN($CL$1),FALSE)),"")</f>
        <v>500</v>
      </c>
      <c r="CP22" t="str">
        <f>VLOOKUP(D22,素材!$A:$O,COLUMN(素材!O$1),FALSE)</f>
        <v>一般的な鉄。量産品を作るのに使用されることが多い</v>
      </c>
      <c r="CQ22" t="str">
        <f>VLOOKUP(C22,武器!$A:$W,COLUMN(武器!W$1),FALSE)</f>
        <v>鞭。リーチが長く、敵を絡め取る戦闘に適する。</v>
      </c>
      <c r="CS22" t="str">
        <f t="shared" si="2"/>
        <v>e_22</v>
      </c>
      <c r="CT22">
        <f t="shared" si="4"/>
        <v>50000</v>
      </c>
    </row>
    <row r="23" spans="1:98" outlineLevel="1" x14ac:dyDescent="0.4">
      <c r="A23" t="str">
        <f t="shared" si="0"/>
        <v>鉄の丸盾</v>
      </c>
      <c r="B23" t="str">
        <f>IFERROR(VLOOKUP($D23,素材!$1:$1016,COLUMN($B$1),FALSE)&amp;"・"&amp;VLOOKUP($C23,武器!$1:$998,COLUMN(B$1),FALSE),"")</f>
        <v>アイアン・バックラー</v>
      </c>
      <c r="C23" t="s">
        <v>222</v>
      </c>
      <c r="D23" s="24" t="s">
        <v>257</v>
      </c>
      <c r="E23" t="str">
        <f>IFERROR(VLOOKUP(C23,武器!$1:$998,COLUMN(C$1),FALSE),"")</f>
        <v>盾</v>
      </c>
      <c r="F23">
        <f>IFERROR(ROUNDDOWN((VLOOKUP($C23,武器!$1:$998,COLUMN(D$1),FALSE)+IFERROR(VLOOKUP($CJ23,装強!$1:$999,COLUMN(F$1),FALSE),0))*VLOOKUP($D23,素材!$1:$1016,COLUMN(D$1),FALSE),0),"")</f>
        <v>100</v>
      </c>
      <c r="G23">
        <f>IFERROR(ROUNDDOWN((VLOOKUP($C23,武器!$1:$998,COLUMN(E$1),FALSE)+IFERROR(VLOOKUP($CJ23,装強!$1:$999,COLUMN(G$1),FALSE),0))*VLOOKUP($D23,素材!$1:$1016,COLUMN($E$1),FALSE),0),"")</f>
        <v>8</v>
      </c>
      <c r="H23">
        <f>IFERROR(ROUNDDOWN((VLOOKUP($C23,武器!$1:$998,COLUMN(F$1),FALSE)+IFERROR(VLOOKUP($CJ23,装強!$1:$999,COLUMN(H$1),FALSE),0))*VLOOKUP($D23,素材!$1:$1016,COLUMN($E$1),FALSE),0),"")</f>
        <v>0</v>
      </c>
      <c r="I23">
        <f>IFERROR(ROUNDDOWN((VLOOKUP($C23,武器!$1:$998,COLUMN(G$1),FALSE)+IFERROR(VLOOKUP($CJ23,装強!$1:$999,COLUMN(I$1),FALSE),0))*VLOOKUP($D23,素材!$1:$1016,COLUMN($E$1),FALSE),0),"")</f>
        <v>8</v>
      </c>
      <c r="J23">
        <f>IFERROR(ROUNDDOWN((VLOOKUP($C23,武器!$1:$998,COLUMN(H$1),FALSE)+IFERROR(VLOOKUP($CJ23,装強!$1:$999,COLUMN(J$1),FALSE),0))*VLOOKUP($D23,素材!$1:$1016,COLUMN($E$1),FALSE),0),"")</f>
        <v>23</v>
      </c>
      <c r="K23">
        <f>IFERROR(ROUNDDOWN((VLOOKUP($C23,武器!$1:$998,COLUMN(I$1),FALSE)+IFERROR(VLOOKUP($CJ23,装強!$1:$999,COLUMN(K$1),FALSE),0))*VLOOKUP($D23,素材!$1:$1016,COLUMN($E$1),FALSE),0),"")</f>
        <v>0</v>
      </c>
      <c r="L23">
        <f>IFERROR(VLOOKUP($D23,素材!$1:$1016,COLUMN($F$1),FALSE),"")</f>
        <v>0</v>
      </c>
      <c r="M23">
        <f>IFERROR(VLOOKUP($C23,武器!$1:$998,COLUMN(AA$1),FALSE)*VLOOKUP($D23,素材!$1:$1016,COLUMN($G$1),FALSE),"")</f>
        <v>0</v>
      </c>
      <c r="N23">
        <f>IFERROR(VLOOKUP($C23,武器!$1:$998,COLUMN(I$1),FALSE),"")</f>
        <v>0</v>
      </c>
      <c r="O23" s="23">
        <f>IFERROR((VLOOKUP($C23,武器!$1:$998,COLUMN(K$1),FALSE)+VLOOKUP($D23,素材!$1:$1016,COLUMN(H$1),FALSE))*100+IFERROR(VLOOKUP($CJ23,装強!$1:$999,COLUMN(O$1),FALSE),0),"")</f>
        <v>5</v>
      </c>
      <c r="P23" s="23">
        <f>IFERROR((VLOOKUP($C23,武器!$1:$998,COLUMN(L$1),FALSE)+VLOOKUP($D23,素材!$1:$1016,COLUMN(I$1),FALSE))*100+IFERROR(VLOOKUP($CJ23,装強!$1:$999,COLUMN(P$1),FALSE),0),"")</f>
        <v>125</v>
      </c>
      <c r="Q23">
        <f>IFERROR(ROUNDUP(VLOOKUP($C23,武器!$1:$998,COLUMN(M$1),FALSE)*(VLOOKUP($D23,素材!$1:$1002,COLUMN(D$1),FALSE)/100),1),"")</f>
        <v>0</v>
      </c>
      <c r="R23">
        <f>IFERROR(ROUNDUP(VLOOKUP($C23,武器!$1:$998,COLUMN(N$1),FALSE)*(VLOOKUP($D23,素材!$1:$1002,COLUMN(D$1),FALSE)/100),1),"")</f>
        <v>0</v>
      </c>
      <c r="S23">
        <f>IFERROR(VLOOKUP($C23,武器!$1:$998,COLUMN(P$1),FALSE),"")</f>
        <v>0</v>
      </c>
      <c r="T23">
        <f>IFERROR(VLOOKUP($C23,武器!$1:$998,COLUMN(Q$1),FALSE),"")</f>
        <v>0</v>
      </c>
      <c r="U23">
        <f>IFERROR(VLOOKUP($C23,武器!$1:$998,COLUMN(R$1),FALSE),"")</f>
        <v>0</v>
      </c>
      <c r="V23">
        <f>IFERROR(VLOOKUP($C23,武器!$1:$998,COLUMN(Q$1),FALSE),"")</f>
        <v>0</v>
      </c>
      <c r="W23" t="str">
        <f>IFERROR(VLOOKUP($C23,武器!$1:$998,COLUMN(T$1),FALSE),"")</f>
        <v>A</v>
      </c>
      <c r="Y23" t="str">
        <f>IFERROR(VLOOKUP($C23,武器!$1:$998,COLUMN(U$1),FALSE),"")</f>
        <v>投擲強化,片手適性Ⅱ</v>
      </c>
      <c r="Z23">
        <f>IFERROR(ROUNDUP(VLOOKUP($C23,武器!$1:$998,COLUMN(O$1),FALSE)*VLOOKUP($D23,素材!$1:$1016,COLUMN(E$1),FALSE),1),"")</f>
        <v>0</v>
      </c>
      <c r="AA23">
        <f>IF(ISNUMBER(SEARCH(SUBSTITUTE(AA$1,RIGHT(AA$1,2),""),VLOOKUP($D23,素材!$1:$1016,COLUMN($F$1),FALSE))),VLOOKUP($C23,武器!$1:$998,COLUMN($O$1),FALSE)*VLOOKUP($D23,素材!$1:$1016,COLUMN($E$1),FALSE)/(LEN(VLOOKUP($D23,素材!$1:$1016,COLUMN($F$1),FALSE))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B23">
        <f>IF(ISNUMBER(SEARCH(SUBSTITUTE(AB$1,RIGHT(AB$1,2),""),VLOOKUP($D23,素材!$1:$1016,COLUMN($F$1),FALSE))),VLOOKUP($C23,武器!$1:$998,COLUMN($O$1),FALSE)*VLOOKUP($D23,素材!$1:$1016,COLUMN($E$1),FALSE)/(LEN(VLOOKUP($D23,素材!$1:$1016,COLUMN($F$1),FALSE))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C23">
        <f>IF(ISNUMBER(SEARCH(SUBSTITUTE(AC$1,RIGHT(AC$1,2),""),VLOOKUP($D23,素材!$1:$1016,COLUMN($F$1),FALSE))),VLOOKUP($C23,武器!$1:$998,COLUMN($O$1),FALSE)*VLOOKUP($D23,素材!$1:$1016,COLUMN($E$1),FALSE)/(LEN(VLOOKUP($D23,素材!$1:$1016,COLUMN($F$1),FALSE))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D23">
        <f>IF(ISNUMBER(SEARCH(SUBSTITUTE(AD$1,RIGHT(AD$1,2),""),VLOOKUP($D23,素材!$1:$1016,COLUMN($F$1),FALSE))),VLOOKUP($C23,武器!$1:$998,COLUMN($O$1),FALSE)*VLOOKUP($D23,素材!$1:$1016,COLUMN($E$1),FALSE)/(LEN(VLOOKUP($D23,素材!$1:$1016,COLUMN($F$1),FALSE))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E23">
        <f>IF(ISNUMBER(SEARCH(SUBSTITUTE(AE$1,RIGHT(AE$1,2),""),VLOOKUP($D23,素材!$1:$1016,COLUMN($F$1),FALSE))),VLOOKUP($C23,武器!$1:$998,COLUMN($O$1),FALSE)*VLOOKUP($D23,素材!$1:$1016,COLUMN($E$1),FALSE)/(LEN(VLOOKUP($D23,素材!$1:$1016,COLUMN($F$1),FALSE))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F23">
        <f>IF(ISNUMBER(SEARCH(SUBSTITUTE(AF$1,RIGHT(AF$1,2),""),VLOOKUP($D23,素材!$1:$1016,COLUMN($F$1),FALSE))),VLOOKUP($C23,武器!$1:$998,COLUMN($O$1),FALSE)*VLOOKUP($D23,素材!$1:$1016,COLUMN($E$1),FALSE)/(LEN(VLOOKUP($D23,素材!$1:$1016,COLUMN($F$1),FALSE))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G23">
        <f>IF(ISNUMBER(SEARCH(SUBSTITUTE(AG$1,RIGHT(AG$1,2),""),VLOOKUP($D23,素材!$1:$1016,COLUMN($F$1),FALSE))),VLOOKUP($C23,武器!$1:$998,COLUMN($O$1),FALSE)*VLOOKUP($D23,素材!$1:$1016,COLUMN($E$1),FALSE)/(LEN(VLOOKUP($D23,素材!$1:$1016,COLUMN($F$1),FALSE))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H23">
        <f>IF(ISNUMBER(SEARCH(SUBSTITUTE(AH$1,RIGHT(AH$1,2),""),VLOOKUP($D23,素材!$1:$1016,COLUMN($F$1),FALSE))),VLOOKUP($C23,武器!$1:$998,COLUMN($O$1),FALSE)*VLOOKUP($D23,素材!$1:$1016,COLUMN($E$1),FALSE)/(LEN(VLOOKUP($D23,素材!$1:$1016,COLUMN($F$1),FALSE))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I23">
        <f>IF(ISNUMBER(SEARCH(SUBSTITUTE(AI$1,RIGHT(AI$1,2),""),VLOOKUP($D23,素材!$1:$1016,COLUMN($F$1),FALSE))),VLOOKUP($C23,武器!$1:$998,COLUMN($O$1),FALSE)*VLOOKUP($D23,素材!$1:$1016,COLUMN($E$1),FALSE)/(LEN(VLOOKUP($D23,素材!$1:$1016,COLUMN($F$1),FALSE))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J23">
        <f>IF(ISNUMBER(SEARCH(SUBSTITUTE(AJ$1,RIGHT(AJ$1,2),""),VLOOKUP($D23,素材!$1:$1016,COLUMN($F$1),FALSE))),VLOOKUP($C23,武器!$1:$998,COLUMN($O$1),FALSE)*VLOOKUP($D23,素材!$1:$1016,COLUMN($E$1),FALSE)/(LEN(VLOOKUP($D23,素材!$1:$1016,COLUMN($F$1),FALSE))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K23">
        <f>IF(ISNUMBER(SEARCH(SUBSTITUTE(AK$1,RIGHT(AK$1,2),""),VLOOKUP($D23,素材!$1:$1016,COLUMN($F$1),FALSE))),VLOOKUP($C23,武器!$1:$998,COLUMN($O$1),FALSE)*VLOOKUP($D23,素材!$1:$1016,COLUMN($E$1),FALSE)/(LEN(VLOOKUP($D23,素材!$1:$1016,COLUMN($F$1),FALSE))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L23">
        <f>IF(ISNUMBER(SEARCH(SUBSTITUTE(AL$1,RIGHT(AL$1,2),""),VLOOKUP($D23,素材!$1:$1016,COLUMN($F$1),FALSE))),VLOOKUP($C23,武器!$1:$998,COLUMN($O$1),FALSE)*VLOOKUP($D23,素材!$1:$1016,COLUMN($E$1),FALSE)/(LEN(VLOOKUP($D23,素材!$1:$1016,COLUMN($F$1),FALSE))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M23">
        <f>IF(ISNUMBER(SEARCH(SUBSTITUTE(AM$1,RIGHT(AM$1,2),""),VLOOKUP($D23,素材!$1:$1016,COLUMN($F$1),FALSE))),VLOOKUP($C23,武器!$1:$998,COLUMN($O$1),FALSE)*VLOOKUP($D23,素材!$1:$1016,COLUMN($E$1),FALSE)/(LEN(VLOOKUP($D23,素材!$1:$1016,COLUMN($F$1),FALSE))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N23">
        <f>IF(ISNUMBER(SEARCH(SUBSTITUTE(AN$1,RIGHT(AN$1,2),""),VLOOKUP($D23,素材!$1:$1016,COLUMN($F$1),FALSE))),VLOOKUP($C23,武器!$1:$998,COLUMN($O$1),FALSE)*VLOOKUP($D23,素材!$1:$1016,COLUMN($E$1),FALSE)/(LEN(VLOOKUP($D23,素材!$1:$1016,COLUMN($F$1),FALSE))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O23">
        <f>IF(ISNUMBER(SEARCH(SUBSTITUTE(AO$1,RIGHT(AO$1,2),""),VLOOKUP($D23,素材!$1:$1016,COLUMN($F$1),FALSE))),VLOOKUP($C23,武器!$1:$998,COLUMN($O$1),FALSE)*VLOOKUP($D23,素材!$1:$1016,COLUMN($E$1),FALSE)/(LEN(VLOOKUP($D23,素材!$1:$1016,COLUMN($F$1),FALSE))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P23">
        <f>IF(ISNUMBER(SEARCH(SUBSTITUTE(AP$1,RIGHT(AP$1,2),""),VLOOKUP($D23,素材!$1:$1016,COLUMN($F$1),FALSE))),VLOOKUP($C23,武器!$1:$998,COLUMN($O$1),FALSE)*VLOOKUP($D23,素材!$1:$1016,COLUMN($E$1),FALSE)/(LEN(VLOOKUP($D23,素材!$1:$1016,COLUMN($F$1),FALSE))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Q23">
        <f>IF(ISNUMBER(SEARCH(SUBSTITUTE(AQ$1,RIGHT(AQ$1,2),""),VLOOKUP($D23,素材!$1:$1016,COLUMN($F$1),FALSE))),VLOOKUP($C23,武器!$1:$998,COLUMN($O$1),FALSE)*VLOOKUP($D23,素材!$1:$1016,COLUMN($E$1),FALSE)/(LEN(VLOOKUP($D23,素材!$1:$1016,COLUMN($F$1),FALSE))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R23">
        <f>IF(ISNUMBER(SEARCH(SUBSTITUTE(AR$1,RIGHT(AR$1,2),""),VLOOKUP($D23,素材!$1:$1016,COLUMN($F$1),FALSE))),VLOOKUP($C23,武器!$1:$998,COLUMN($O$1),FALSE)*VLOOKUP($D23,素材!$1:$1016,COLUMN($E$1),FALSE)/(LEN(VLOOKUP($D23,素材!$1:$1016,COLUMN($F$1),FALSE))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S23">
        <f>IF(ISNUMBER(SEARCH(SUBSTITUTE(AS$1,RIGHT(AS$1,2),""),VLOOKUP($D23,素材!$1:$1016,COLUMN($F$1),FALSE))),VLOOKUP($C23,武器!$1:$998,COLUMN($O$1),FALSE)*VLOOKUP($D23,素材!$1:$1016,COLUMN($E$1),FALSE)/(LEN(VLOOKUP($D23,素材!$1:$1016,COLUMN($F$1),FALSE))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T23">
        <f>IF(ISNUMBER(SEARCH(SUBSTITUTE(AT$1,RIGHT(AT$1,2),""),VLOOKUP($D23,素材!$1:$1016,COLUMN($F$1),FALSE))),VLOOKUP($C23,武器!$1:$998,COLUMN($O$1),FALSE)*VLOOKUP($D23,素材!$1:$1016,COLUMN($E$1),FALSE)/(LEN(VLOOKUP($D23,素材!$1:$1016,COLUMN($F$1),FALSE))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U23">
        <f>IF(ISNUMBER(SEARCH(SUBSTITUTE(AU$1,RIGHT(AU$1,2),""),VLOOKUP($D23,素材!$1:$1016,COLUMN($F$1),FALSE))),VLOOKUP($C23,武器!$1:$998,COLUMN($O$1),FALSE)*VLOOKUP($D23,素材!$1:$1016,COLUMN($E$1),FALSE)/(LEN(VLOOKUP($D23,素材!$1:$1016,COLUMN($F$1),FALSE))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V23">
        <f>IF(ISNUMBER(SEARCH(SUBSTITUTE(AV$1,RIGHT(AV$1,2),""),VLOOKUP($D23,素材!$1:$1016,COLUMN($F$1),FALSE))),VLOOKUP($C23,武器!$1:$998,COLUMN($O$1),FALSE)*VLOOKUP($D23,素材!$1:$1016,COLUMN($E$1),FALSE)/(LEN(VLOOKUP($D23,素材!$1:$1016,COLUMN($F$1),FALSE))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W23">
        <f>IF(ISNUMBER(SEARCH(SUBSTITUTE(AW$1,RIGHT(AW$1,2),""),VLOOKUP($D23,素材!$1:$1016,COLUMN($F$1),FALSE))),VLOOKUP($C23,武器!$1:$998,COLUMN($O$1),FALSE)*VLOOKUP($D23,素材!$1:$1016,COLUMN($E$1),FALSE)/(LEN(VLOOKUP($D23,素材!$1:$1016,COLUMN($F$1),FALSE))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X23">
        <f>IF(ISNUMBER(SEARCH(SUBSTITUTE(AX$1,RIGHT(AX$1,2),""),VLOOKUP($D23,素材!$1:$1016,COLUMN($F$1),FALSE))),VLOOKUP($C23,武器!$1:$998,COLUMN($O$1),FALSE)*VLOOKUP($D23,素材!$1:$1016,COLUMN($E$1),FALSE)/(LEN(VLOOKUP($D23,素材!$1:$1016,COLUMN($F$1),FALSE))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Y23">
        <f>IF(ISNUMBER(SEARCH(SUBSTITUTE(AY$1,RIGHT(AY$1,2),""),VLOOKUP($D23,素材!$1:$1016,COLUMN($F$1),FALSE))),VLOOKUP($C23,武器!$1:$998,COLUMN($O$1),FALSE)*VLOOKUP($D23,素材!$1:$1016,COLUMN($E$1),FALSE)/(LEN(VLOOKUP($D23,素材!$1:$1016,COLUMN($F$1),FALSE))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AZ23">
        <f>IF(ISNUMBER(SEARCH(SUBSTITUTE(AZ$1,RIGHT(AZ$1,2),""),VLOOKUP($D23,素材!$1:$1016,COLUMN($F$1),FALSE))),VLOOKUP($C23,武器!$1:$998,COLUMN($O$1),FALSE)*VLOOKUP($D23,素材!$1:$1016,COLUMN($E$1),FALSE)/(LEN(VLOOKUP($D23,素材!$1:$1016,COLUMN($F$1),FALSE))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BA23">
        <f>IF(ISNUMBER(SEARCH(SUBSTITUTE(BA$1,RIGHT(BA$1,2),""),VLOOKUP($D23,素材!$1:$1016,COLUMN($F$1),FALSE))),VLOOKUP($C23,武器!$1:$998,COLUMN($O$1),FALSE)*VLOOKUP($D23,素材!$1:$1016,COLUMN($E$1),FALSE)/(LEN(VLOOKUP($D23,素材!$1:$1016,COLUMN($F$1),FALSE))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BB23">
        <f>IF(ISNUMBER(SEARCH(SUBSTITUTE(BB$1,RIGHT(BB$1,2),""),VLOOKUP($D23,素材!$1:$1016,COLUMN($F$1),FALSE))),VLOOKUP($C23,武器!$1:$998,COLUMN($O$1),FALSE)*VLOOKUP($D23,素材!$1:$1016,COLUMN($E$1),FALSE)/(LEN(VLOOKUP($D23,素材!$1:$1016,COLUMN($F$1),FALSE))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BC23">
        <f>IF(ISNUMBER(SEARCH(SUBSTITUTE(BC$1,RIGHT(BC$1,2),""),VLOOKUP($D23,素材!$1:$1016,COLUMN($F$1),FALSE))),VLOOKUP($C23,武器!$1:$998,COLUMN($O$1),FALSE)*VLOOKUP($D23,素材!$1:$1016,COLUMN($E$1),FALSE)/(LEN(VLOOKUP($D23,素材!$1:$1016,COLUMN($F$1),FALSE))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BD23">
        <f>IF(ISNUMBER(SEARCH(SUBSTITUTE(BD$1,RIGHT(BD$1,2),""),VLOOKUP($D23,素材!$1:$1016,COLUMN($F$1),FALSE))),VLOOKUP($C23,武器!$1:$998,COLUMN($O$1),FALSE)*VLOOKUP($D23,素材!$1:$1016,COLUMN($E$1),FALSE)/(LEN(VLOOKUP($D23,素材!$1:$1016,COLUMN($F$1),FALSE))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BE23">
        <f>IF(ISNUMBER(SEARCH(SUBSTITUTE(BE$1,RIGHT(BE$1,2),""),VLOOKUP($D23,素材!$1:$1016,COLUMN($F$1),FALSE))),VLOOKUP($C23,武器!$1:$998,COLUMN($O$1),FALSE)*VLOOKUP($D23,素材!$1:$1016,COLUMN($E$1),FALSE)/(LEN(VLOOKUP($D23,素材!$1:$1016,COLUMN($F$1),FALSE))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BF23">
        <f>IF(ISNUMBER(SEARCH(SUBSTITUTE(BF$1,RIGHT(BF$1,2),""),VLOOKUP($D23,素材!$1:$1016,COLUMN($F$1),FALSE))),VLOOKUP($C23,武器!$1:$998,COLUMN($O$1),FALSE)*VLOOKUP($D23,素材!$1:$1016,COLUMN($E$1),FALSE)/(LEN(VLOOKUP($D23,素材!$1:$1016,COLUMN($F$1),FALSE)) - LEN(SUBSTITUTE(VLOOKUP($D23,素材!$1:$1016,COLUMN($F$1),FALSE), "・", 0)) + 1), 0)</f>
        <v>0</v>
      </c>
      <c r="CM23">
        <f t="shared" si="3"/>
        <v>16</v>
      </c>
      <c r="CN23" s="22" t="str">
        <f>IF(E23="武器",IF(J23-1&gt;SUM(G23:I23),"盾",IF(MAX(G23:I23)=G23,"切断",IF(MAX(G23:I23)=H23,"貫通",IF(MAX(G23:I23)=I23,"打撃","射撃")))),E23)&amp;".webp"</f>
        <v>盾.webp</v>
      </c>
      <c r="CO23">
        <f>IFERROR(VLOOKUP($C23,武器!$1:$998,COLUMN(V$1),FALSE)*VLOOKUP($D23,素材!$1:$1016,COLUMN(N$1),FALSE)+IF(CJ23="",0,VLOOKUP($CJ23,装強!$1:$1008,COLUMN($CL$1),FALSE)),"")</f>
        <v>300</v>
      </c>
      <c r="CP23" t="str">
        <f>VLOOKUP(D23,素材!$A:$O,COLUMN(素材!O$1),FALSE)</f>
        <v>一般的な鉄。量産品を作るのに使用されることが多い</v>
      </c>
      <c r="CQ23" t="str">
        <f>VLOOKUP(C23,武器!$A:$W,COLUMN(武器!W$1),FALSE)</f>
        <v>丸盾。軽量で投擲にも使える盾。</v>
      </c>
      <c r="CS23" t="str">
        <f t="shared" si="2"/>
        <v>e_23</v>
      </c>
      <c r="CT23">
        <f t="shared" si="4"/>
        <v>30000</v>
      </c>
    </row>
    <row r="24" spans="1:98" outlineLevel="1" x14ac:dyDescent="0.4">
      <c r="A24" t="str">
        <f t="shared" si="0"/>
        <v>鉄の盾</v>
      </c>
      <c r="B24" t="str">
        <f>IFERROR(VLOOKUP($D24,素材!$1:$1016,COLUMN($B$1),FALSE)&amp;"・"&amp;VLOOKUP($C24,武器!$1:$998,COLUMN(B$1),FALSE),"")</f>
        <v>アイアン・シールド</v>
      </c>
      <c r="C24" t="s">
        <v>221</v>
      </c>
      <c r="D24" s="24" t="s">
        <v>257</v>
      </c>
      <c r="E24" t="str">
        <f>IFERROR(VLOOKUP(C24,武器!$1:$998,COLUMN(C$1),FALSE),"")</f>
        <v>盾</v>
      </c>
      <c r="F24">
        <f>IFERROR(ROUNDDOWN((VLOOKUP($C24,武器!$1:$998,COLUMN(D$1),FALSE)+IFERROR(VLOOKUP($CJ24,装強!$1:$999,COLUMN(F$1),FALSE),0))*VLOOKUP($D24,素材!$1:$1016,COLUMN(D$1),FALSE),0),"")</f>
        <v>100</v>
      </c>
      <c r="G24">
        <f>IFERROR(ROUNDDOWN((VLOOKUP($C24,武器!$1:$998,COLUMN(E$1),FALSE)+IFERROR(VLOOKUP($CJ24,装強!$1:$999,COLUMN(G$1),FALSE),0))*VLOOKUP($D24,素材!$1:$1016,COLUMN($E$1),FALSE),0),"")</f>
        <v>0</v>
      </c>
      <c r="H24">
        <f>IFERROR(ROUNDDOWN((VLOOKUP($C24,武器!$1:$998,COLUMN(F$1),FALSE)+IFERROR(VLOOKUP($CJ24,装強!$1:$999,COLUMN(H$1),FALSE),0))*VLOOKUP($D24,素材!$1:$1016,COLUMN($E$1),FALSE),0),"")</f>
        <v>0</v>
      </c>
      <c r="I24">
        <f>IFERROR(ROUNDDOWN((VLOOKUP($C24,武器!$1:$998,COLUMN(G$1),FALSE)+IFERROR(VLOOKUP($CJ24,装強!$1:$999,COLUMN(I$1),FALSE),0))*VLOOKUP($D24,素材!$1:$1016,COLUMN($E$1),FALSE),0),"")</f>
        <v>16</v>
      </c>
      <c r="J24">
        <f>IFERROR(ROUNDDOWN((VLOOKUP($C24,武器!$1:$998,COLUMN(H$1),FALSE)+IFERROR(VLOOKUP($CJ24,装強!$1:$999,COLUMN(J$1),FALSE),0))*VLOOKUP($D24,素材!$1:$1016,COLUMN($E$1),FALSE),0),"")</f>
        <v>25</v>
      </c>
      <c r="K24">
        <f>IFERROR(ROUNDDOWN((VLOOKUP($C24,武器!$1:$998,COLUMN(I$1),FALSE)+IFERROR(VLOOKUP($CJ24,装強!$1:$999,COLUMN(K$1),FALSE),0))*VLOOKUP($D24,素材!$1:$1016,COLUMN($E$1),FALSE),0),"")</f>
        <v>0</v>
      </c>
      <c r="L24">
        <f>IFERROR(VLOOKUP($D24,素材!$1:$1016,COLUMN($F$1),FALSE),"")</f>
        <v>0</v>
      </c>
      <c r="M24">
        <f>IFERROR(VLOOKUP($C24,武器!$1:$998,COLUMN(AA$1),FALSE)*VLOOKUP($D24,素材!$1:$1016,COLUMN($G$1),FALSE),"")</f>
        <v>0</v>
      </c>
      <c r="N24">
        <f>IFERROR(VLOOKUP($C24,武器!$1:$998,COLUMN(I$1),FALSE),"")</f>
        <v>0</v>
      </c>
      <c r="O24" s="23">
        <f>IFERROR((VLOOKUP($C24,武器!$1:$998,COLUMN(K$1),FALSE)+VLOOKUP($D24,素材!$1:$1016,COLUMN(H$1),FALSE))*100+IFERROR(VLOOKUP($CJ24,装強!$1:$999,COLUMN(O$1),FALSE),0),"")</f>
        <v>5</v>
      </c>
      <c r="P24" s="23">
        <f>IFERROR((VLOOKUP($C24,武器!$1:$998,COLUMN(L$1),FALSE)+VLOOKUP($D24,素材!$1:$1016,COLUMN(I$1),FALSE))*100+IFERROR(VLOOKUP($CJ24,装強!$1:$999,COLUMN(P$1),FALSE),0),"")</f>
        <v>125</v>
      </c>
      <c r="Q24">
        <f>IFERROR(ROUNDUP(VLOOKUP($C24,武器!$1:$998,COLUMN(M$1),FALSE)*(VLOOKUP($D24,素材!$1:$1002,COLUMN(D$1),FALSE)/100),1),"")</f>
        <v>0</v>
      </c>
      <c r="R24">
        <f>IFERROR(ROUNDUP(VLOOKUP($C24,武器!$1:$998,COLUMN(N$1),FALSE)*(VLOOKUP($D24,素材!$1:$1002,COLUMN(D$1),FALSE)/100),1),"")</f>
        <v>0</v>
      </c>
      <c r="S24">
        <f>IFERROR(VLOOKUP($C24,武器!$1:$998,COLUMN(P$1),FALSE),"")</f>
        <v>0</v>
      </c>
      <c r="T24">
        <f>IFERROR(VLOOKUP($C24,武器!$1:$998,COLUMN(Q$1),FALSE),"")</f>
        <v>0</v>
      </c>
      <c r="U24">
        <f>IFERROR(VLOOKUP($C24,武器!$1:$998,COLUMN(R$1),FALSE),"")</f>
        <v>0</v>
      </c>
      <c r="V24">
        <f>IFERROR(VLOOKUP($C24,武器!$1:$998,COLUMN(Q$1),FALSE),"")</f>
        <v>0</v>
      </c>
      <c r="W24" t="str">
        <f>IFERROR(VLOOKUP($C24,武器!$1:$998,COLUMN(T$1),FALSE),"")</f>
        <v>A</v>
      </c>
      <c r="Y24" t="str">
        <f>IFERROR(VLOOKUP($C24,武器!$1:$998,COLUMN(U$1),FALSE),"")</f>
        <v>片手適性Ⅱ</v>
      </c>
      <c r="Z24">
        <f>IFERROR(ROUNDUP(VLOOKUP($C24,武器!$1:$998,COLUMN(O$1),FALSE)*VLOOKUP($D24,素材!$1:$1016,COLUMN(E$1),FALSE),1),"")</f>
        <v>0</v>
      </c>
      <c r="AA24">
        <f>IF(ISNUMBER(SEARCH(SUBSTITUTE(AA$1,RIGHT(AA$1,2),""),VLOOKUP($D24,素材!$1:$1016,COLUMN($F$1),FALSE))),VLOOKUP($C24,武器!$1:$998,COLUMN($O$1),FALSE)*VLOOKUP($D24,素材!$1:$1016,COLUMN($E$1),FALSE)/(LEN(VLOOKUP($D24,素材!$1:$1016,COLUMN($F$1),FALSE))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B24">
        <f>IF(ISNUMBER(SEARCH(SUBSTITUTE(AB$1,RIGHT(AB$1,2),""),VLOOKUP($D24,素材!$1:$1016,COLUMN($F$1),FALSE))),VLOOKUP($C24,武器!$1:$998,COLUMN($O$1),FALSE)*VLOOKUP($D24,素材!$1:$1016,COLUMN($E$1),FALSE)/(LEN(VLOOKUP($D24,素材!$1:$1016,COLUMN($F$1),FALSE))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C24">
        <f>IF(ISNUMBER(SEARCH(SUBSTITUTE(AC$1,RIGHT(AC$1,2),""),VLOOKUP($D24,素材!$1:$1016,COLUMN($F$1),FALSE))),VLOOKUP($C24,武器!$1:$998,COLUMN($O$1),FALSE)*VLOOKUP($D24,素材!$1:$1016,COLUMN($E$1),FALSE)/(LEN(VLOOKUP($D24,素材!$1:$1016,COLUMN($F$1),FALSE))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D24">
        <f>IF(ISNUMBER(SEARCH(SUBSTITUTE(AD$1,RIGHT(AD$1,2),""),VLOOKUP($D24,素材!$1:$1016,COLUMN($F$1),FALSE))),VLOOKUP($C24,武器!$1:$998,COLUMN($O$1),FALSE)*VLOOKUP($D24,素材!$1:$1016,COLUMN($E$1),FALSE)/(LEN(VLOOKUP($D24,素材!$1:$1016,COLUMN($F$1),FALSE))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E24">
        <f>IF(ISNUMBER(SEARCH(SUBSTITUTE(AE$1,RIGHT(AE$1,2),""),VLOOKUP($D24,素材!$1:$1016,COLUMN($F$1),FALSE))),VLOOKUP($C24,武器!$1:$998,COLUMN($O$1),FALSE)*VLOOKUP($D24,素材!$1:$1016,COLUMN($E$1),FALSE)/(LEN(VLOOKUP($D24,素材!$1:$1016,COLUMN($F$1),FALSE))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F24">
        <f>IF(ISNUMBER(SEARCH(SUBSTITUTE(AF$1,RIGHT(AF$1,2),""),VLOOKUP($D24,素材!$1:$1016,COLUMN($F$1),FALSE))),VLOOKUP($C24,武器!$1:$998,COLUMN($O$1),FALSE)*VLOOKUP($D24,素材!$1:$1016,COLUMN($E$1),FALSE)/(LEN(VLOOKUP($D24,素材!$1:$1016,COLUMN($F$1),FALSE))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G24">
        <f>IF(ISNUMBER(SEARCH(SUBSTITUTE(AG$1,RIGHT(AG$1,2),""),VLOOKUP($D24,素材!$1:$1016,COLUMN($F$1),FALSE))),VLOOKUP($C24,武器!$1:$998,COLUMN($O$1),FALSE)*VLOOKUP($D24,素材!$1:$1016,COLUMN($E$1),FALSE)/(LEN(VLOOKUP($D24,素材!$1:$1016,COLUMN($F$1),FALSE))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H24">
        <f>IF(ISNUMBER(SEARCH(SUBSTITUTE(AH$1,RIGHT(AH$1,2),""),VLOOKUP($D24,素材!$1:$1016,COLUMN($F$1),FALSE))),VLOOKUP($C24,武器!$1:$998,COLUMN($O$1),FALSE)*VLOOKUP($D24,素材!$1:$1016,COLUMN($E$1),FALSE)/(LEN(VLOOKUP($D24,素材!$1:$1016,COLUMN($F$1),FALSE))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I24">
        <f>IF(ISNUMBER(SEARCH(SUBSTITUTE(AI$1,RIGHT(AI$1,2),""),VLOOKUP($D24,素材!$1:$1016,COLUMN($F$1),FALSE))),VLOOKUP($C24,武器!$1:$998,COLUMN($O$1),FALSE)*VLOOKUP($D24,素材!$1:$1016,COLUMN($E$1),FALSE)/(LEN(VLOOKUP($D24,素材!$1:$1016,COLUMN($F$1),FALSE))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J24">
        <f>IF(ISNUMBER(SEARCH(SUBSTITUTE(AJ$1,RIGHT(AJ$1,2),""),VLOOKUP($D24,素材!$1:$1016,COLUMN($F$1),FALSE))),VLOOKUP($C24,武器!$1:$998,COLUMN($O$1),FALSE)*VLOOKUP($D24,素材!$1:$1016,COLUMN($E$1),FALSE)/(LEN(VLOOKUP($D24,素材!$1:$1016,COLUMN($F$1),FALSE))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K24">
        <f>IF(ISNUMBER(SEARCH(SUBSTITUTE(AK$1,RIGHT(AK$1,2),""),VLOOKUP($D24,素材!$1:$1016,COLUMN($F$1),FALSE))),VLOOKUP($C24,武器!$1:$998,COLUMN($O$1),FALSE)*VLOOKUP($D24,素材!$1:$1016,COLUMN($E$1),FALSE)/(LEN(VLOOKUP($D24,素材!$1:$1016,COLUMN($F$1),FALSE))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L24">
        <f>IF(ISNUMBER(SEARCH(SUBSTITUTE(AL$1,RIGHT(AL$1,2),""),VLOOKUP($D24,素材!$1:$1016,COLUMN($F$1),FALSE))),VLOOKUP($C24,武器!$1:$998,COLUMN($O$1),FALSE)*VLOOKUP($D24,素材!$1:$1016,COLUMN($E$1),FALSE)/(LEN(VLOOKUP($D24,素材!$1:$1016,COLUMN($F$1),FALSE))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M24">
        <f>IF(ISNUMBER(SEARCH(SUBSTITUTE(AM$1,RIGHT(AM$1,2),""),VLOOKUP($D24,素材!$1:$1016,COLUMN($F$1),FALSE))),VLOOKUP($C24,武器!$1:$998,COLUMN($O$1),FALSE)*VLOOKUP($D24,素材!$1:$1016,COLUMN($E$1),FALSE)/(LEN(VLOOKUP($D24,素材!$1:$1016,COLUMN($F$1),FALSE))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N24">
        <f>IF(ISNUMBER(SEARCH(SUBSTITUTE(AN$1,RIGHT(AN$1,2),""),VLOOKUP($D24,素材!$1:$1016,COLUMN($F$1),FALSE))),VLOOKUP($C24,武器!$1:$998,COLUMN($O$1),FALSE)*VLOOKUP($D24,素材!$1:$1016,COLUMN($E$1),FALSE)/(LEN(VLOOKUP($D24,素材!$1:$1016,COLUMN($F$1),FALSE))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O24">
        <f>IF(ISNUMBER(SEARCH(SUBSTITUTE(AO$1,RIGHT(AO$1,2),""),VLOOKUP($D24,素材!$1:$1016,COLUMN($F$1),FALSE))),VLOOKUP($C24,武器!$1:$998,COLUMN($O$1),FALSE)*VLOOKUP($D24,素材!$1:$1016,COLUMN($E$1),FALSE)/(LEN(VLOOKUP($D24,素材!$1:$1016,COLUMN($F$1),FALSE))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P24">
        <f>IF(ISNUMBER(SEARCH(SUBSTITUTE(AP$1,RIGHT(AP$1,2),""),VLOOKUP($D24,素材!$1:$1016,COLUMN($F$1),FALSE))),VLOOKUP($C24,武器!$1:$998,COLUMN($O$1),FALSE)*VLOOKUP($D24,素材!$1:$1016,COLUMN($E$1),FALSE)/(LEN(VLOOKUP($D24,素材!$1:$1016,COLUMN($F$1),FALSE))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Q24">
        <f>IF(ISNUMBER(SEARCH(SUBSTITUTE(AQ$1,RIGHT(AQ$1,2),""),VLOOKUP($D24,素材!$1:$1016,COLUMN($F$1),FALSE))),VLOOKUP($C24,武器!$1:$998,COLUMN($O$1),FALSE)*VLOOKUP($D24,素材!$1:$1016,COLUMN($E$1),FALSE)/(LEN(VLOOKUP($D24,素材!$1:$1016,COLUMN($F$1),FALSE))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R24">
        <f>IF(ISNUMBER(SEARCH(SUBSTITUTE(AR$1,RIGHT(AR$1,2),""),VLOOKUP($D24,素材!$1:$1016,COLUMN($F$1),FALSE))),VLOOKUP($C24,武器!$1:$998,COLUMN($O$1),FALSE)*VLOOKUP($D24,素材!$1:$1016,COLUMN($E$1),FALSE)/(LEN(VLOOKUP($D24,素材!$1:$1016,COLUMN($F$1),FALSE))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S24">
        <f>IF(ISNUMBER(SEARCH(SUBSTITUTE(AS$1,RIGHT(AS$1,2),""),VLOOKUP($D24,素材!$1:$1016,COLUMN($F$1),FALSE))),VLOOKUP($C24,武器!$1:$998,COLUMN($O$1),FALSE)*VLOOKUP($D24,素材!$1:$1016,COLUMN($E$1),FALSE)/(LEN(VLOOKUP($D24,素材!$1:$1016,COLUMN($F$1),FALSE))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T24">
        <f>IF(ISNUMBER(SEARCH(SUBSTITUTE(AT$1,RIGHT(AT$1,2),""),VLOOKUP($D24,素材!$1:$1016,COLUMN($F$1),FALSE))),VLOOKUP($C24,武器!$1:$998,COLUMN($O$1),FALSE)*VLOOKUP($D24,素材!$1:$1016,COLUMN($E$1),FALSE)/(LEN(VLOOKUP($D24,素材!$1:$1016,COLUMN($F$1),FALSE))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U24">
        <f>IF(ISNUMBER(SEARCH(SUBSTITUTE(AU$1,RIGHT(AU$1,2),""),VLOOKUP($D24,素材!$1:$1016,COLUMN($F$1),FALSE))),VLOOKUP($C24,武器!$1:$998,COLUMN($O$1),FALSE)*VLOOKUP($D24,素材!$1:$1016,COLUMN($E$1),FALSE)/(LEN(VLOOKUP($D24,素材!$1:$1016,COLUMN($F$1),FALSE))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V24">
        <f>IF(ISNUMBER(SEARCH(SUBSTITUTE(AV$1,RIGHT(AV$1,2),""),VLOOKUP($D24,素材!$1:$1016,COLUMN($F$1),FALSE))),VLOOKUP($C24,武器!$1:$998,COLUMN($O$1),FALSE)*VLOOKUP($D24,素材!$1:$1016,COLUMN($E$1),FALSE)/(LEN(VLOOKUP($D24,素材!$1:$1016,COLUMN($F$1),FALSE))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W24">
        <f>IF(ISNUMBER(SEARCH(SUBSTITUTE(AW$1,RIGHT(AW$1,2),""),VLOOKUP($D24,素材!$1:$1016,COLUMN($F$1),FALSE))),VLOOKUP($C24,武器!$1:$998,COLUMN($O$1),FALSE)*VLOOKUP($D24,素材!$1:$1016,COLUMN($E$1),FALSE)/(LEN(VLOOKUP($D24,素材!$1:$1016,COLUMN($F$1),FALSE))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X24">
        <f>IF(ISNUMBER(SEARCH(SUBSTITUTE(AX$1,RIGHT(AX$1,2),""),VLOOKUP($D24,素材!$1:$1016,COLUMN($F$1),FALSE))),VLOOKUP($C24,武器!$1:$998,COLUMN($O$1),FALSE)*VLOOKUP($D24,素材!$1:$1016,COLUMN($E$1),FALSE)/(LEN(VLOOKUP($D24,素材!$1:$1016,COLUMN($F$1),FALSE))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Y24">
        <f>IF(ISNUMBER(SEARCH(SUBSTITUTE(AY$1,RIGHT(AY$1,2),""),VLOOKUP($D24,素材!$1:$1016,COLUMN($F$1),FALSE))),VLOOKUP($C24,武器!$1:$998,COLUMN($O$1),FALSE)*VLOOKUP($D24,素材!$1:$1016,COLUMN($E$1),FALSE)/(LEN(VLOOKUP($D24,素材!$1:$1016,COLUMN($F$1),FALSE))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AZ24">
        <f>IF(ISNUMBER(SEARCH(SUBSTITUTE(AZ$1,RIGHT(AZ$1,2),""),VLOOKUP($D24,素材!$1:$1016,COLUMN($F$1),FALSE))),VLOOKUP($C24,武器!$1:$998,COLUMN($O$1),FALSE)*VLOOKUP($D24,素材!$1:$1016,COLUMN($E$1),FALSE)/(LEN(VLOOKUP($D24,素材!$1:$1016,COLUMN($F$1),FALSE))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BA24">
        <f>IF(ISNUMBER(SEARCH(SUBSTITUTE(BA$1,RIGHT(BA$1,2),""),VLOOKUP($D24,素材!$1:$1016,COLUMN($F$1),FALSE))),VLOOKUP($C24,武器!$1:$998,COLUMN($O$1),FALSE)*VLOOKUP($D24,素材!$1:$1016,COLUMN($E$1),FALSE)/(LEN(VLOOKUP($D24,素材!$1:$1016,COLUMN($F$1),FALSE))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BB24">
        <f>IF(ISNUMBER(SEARCH(SUBSTITUTE(BB$1,RIGHT(BB$1,2),""),VLOOKUP($D24,素材!$1:$1016,COLUMN($F$1),FALSE))),VLOOKUP($C24,武器!$1:$998,COLUMN($O$1),FALSE)*VLOOKUP($D24,素材!$1:$1016,COLUMN($E$1),FALSE)/(LEN(VLOOKUP($D24,素材!$1:$1016,COLUMN($F$1),FALSE))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BC24">
        <f>IF(ISNUMBER(SEARCH(SUBSTITUTE(BC$1,RIGHT(BC$1,2),""),VLOOKUP($D24,素材!$1:$1016,COLUMN($F$1),FALSE))),VLOOKUP($C24,武器!$1:$998,COLUMN($O$1),FALSE)*VLOOKUP($D24,素材!$1:$1016,COLUMN($E$1),FALSE)/(LEN(VLOOKUP($D24,素材!$1:$1016,COLUMN($F$1),FALSE))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BD24">
        <f>IF(ISNUMBER(SEARCH(SUBSTITUTE(BD$1,RIGHT(BD$1,2),""),VLOOKUP($D24,素材!$1:$1016,COLUMN($F$1),FALSE))),VLOOKUP($C24,武器!$1:$998,COLUMN($O$1),FALSE)*VLOOKUP($D24,素材!$1:$1016,COLUMN($E$1),FALSE)/(LEN(VLOOKUP($D24,素材!$1:$1016,COLUMN($F$1),FALSE))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BE24">
        <f>IF(ISNUMBER(SEARCH(SUBSTITUTE(BE$1,RIGHT(BE$1,2),""),VLOOKUP($D24,素材!$1:$1016,COLUMN($F$1),FALSE))),VLOOKUP($C24,武器!$1:$998,COLUMN($O$1),FALSE)*VLOOKUP($D24,素材!$1:$1016,COLUMN($E$1),FALSE)/(LEN(VLOOKUP($D24,素材!$1:$1016,COLUMN($F$1),FALSE))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BF24">
        <f>IF(ISNUMBER(SEARCH(SUBSTITUTE(BF$1,RIGHT(BF$1,2),""),VLOOKUP($D24,素材!$1:$1016,COLUMN($F$1),FALSE))),VLOOKUP($C24,武器!$1:$998,COLUMN($O$1),FALSE)*VLOOKUP($D24,素材!$1:$1016,COLUMN($E$1),FALSE)/(LEN(VLOOKUP($D24,素材!$1:$1016,COLUMN($F$1),FALSE)) - LEN(SUBSTITUTE(VLOOKUP($D24,素材!$1:$1016,COLUMN($F$1),FALSE), "・", 0)) + 1), 0)</f>
        <v>0</v>
      </c>
      <c r="CM24">
        <f t="shared" si="3"/>
        <v>16</v>
      </c>
      <c r="CN24" s="22" t="str">
        <f>IF(E24="武器",IF(J24-1&gt;SUM(G24:I24),"盾",IF(MAX(G24:I24)=G24,"切断",IF(MAX(G24:I24)=H24,"貫通",IF(MAX(G24:I24)=I24,"打撃","射撃")))),E24)&amp;".webp"</f>
        <v>盾.webp</v>
      </c>
      <c r="CO24">
        <f>IFERROR(VLOOKUP($C24,武器!$1:$998,COLUMN(V$1),FALSE)*VLOOKUP($D24,素材!$1:$1016,COLUMN(N$1),FALSE)+IF(CJ24="",0,VLOOKUP($CJ24,装強!$1:$1008,COLUMN($CL$1),FALSE)),"")</f>
        <v>300</v>
      </c>
      <c r="CP24" t="str">
        <f>VLOOKUP(D24,素材!$A:$O,COLUMN(素材!O$1),FALSE)</f>
        <v>一般的な鉄。量産品を作るのに使用されることが多い</v>
      </c>
      <c r="CQ24" t="str">
        <f>VLOOKUP(C24,武器!$A:$W,COLUMN(武器!W$1),FALSE)</f>
        <v>盾。防御力が高く、汎用性がある防具。</v>
      </c>
      <c r="CS24" t="str">
        <f t="shared" si="2"/>
        <v>e_24</v>
      </c>
      <c r="CT24">
        <f t="shared" si="4"/>
        <v>30000</v>
      </c>
    </row>
    <row r="25" spans="1:98" outlineLevel="1" x14ac:dyDescent="0.4">
      <c r="A25" t="str">
        <f t="shared" si="0"/>
        <v>鉄の丸大盾</v>
      </c>
      <c r="B25" t="str">
        <f>IFERROR(VLOOKUP($D25,素材!$1:$1016,COLUMN($B$1),FALSE)&amp;"・"&amp;VLOOKUP($C25,武器!$1:$998,COLUMN(B$1),FALSE),"")</f>
        <v>アイアン・ラウンドシールド</v>
      </c>
      <c r="C25" t="s">
        <v>220</v>
      </c>
      <c r="D25" s="24" t="s">
        <v>257</v>
      </c>
      <c r="E25" t="str">
        <f>IFERROR(VLOOKUP(C25,武器!$1:$998,COLUMN(C$1),FALSE),"")</f>
        <v>盾</v>
      </c>
      <c r="F25">
        <f>IFERROR(ROUNDDOWN((VLOOKUP($C25,武器!$1:$998,COLUMN(D$1),FALSE)+IFERROR(VLOOKUP($CJ25,装強!$1:$999,COLUMN(F$1),FALSE),0))*VLOOKUP($D25,素材!$1:$1016,COLUMN(D$1),FALSE),0),"")</f>
        <v>110</v>
      </c>
      <c r="G25">
        <f>IFERROR(ROUNDDOWN((VLOOKUP($C25,武器!$1:$998,COLUMN(E$1),FALSE)+IFERROR(VLOOKUP($CJ25,装強!$1:$999,COLUMN(G$1),FALSE),0))*VLOOKUP($D25,素材!$1:$1016,COLUMN($E$1),FALSE),0),"")</f>
        <v>9</v>
      </c>
      <c r="H25">
        <f>IFERROR(ROUNDDOWN((VLOOKUP($C25,武器!$1:$998,COLUMN(F$1),FALSE)+IFERROR(VLOOKUP($CJ25,装強!$1:$999,COLUMN(H$1),FALSE),0))*VLOOKUP($D25,素材!$1:$1016,COLUMN($E$1),FALSE),0),"")</f>
        <v>0</v>
      </c>
      <c r="I25">
        <f>IFERROR(ROUNDDOWN((VLOOKUP($C25,武器!$1:$998,COLUMN(G$1),FALSE)+IFERROR(VLOOKUP($CJ25,装強!$1:$999,COLUMN(I$1),FALSE),0))*VLOOKUP($D25,素材!$1:$1016,COLUMN($E$1),FALSE),0),"")</f>
        <v>9</v>
      </c>
      <c r="J25">
        <f>IFERROR(ROUNDDOWN((VLOOKUP($C25,武器!$1:$998,COLUMN(H$1),FALSE)+IFERROR(VLOOKUP($CJ25,装強!$1:$999,COLUMN(J$1),FALSE),0))*VLOOKUP($D25,素材!$1:$1016,COLUMN($E$1),FALSE),0),"")</f>
        <v>25</v>
      </c>
      <c r="K25">
        <f>IFERROR(ROUNDDOWN((VLOOKUP($C25,武器!$1:$998,COLUMN(I$1),FALSE)+IFERROR(VLOOKUP($CJ25,装強!$1:$999,COLUMN(K$1),FALSE),0))*VLOOKUP($D25,素材!$1:$1016,COLUMN($E$1),FALSE),0),"")</f>
        <v>0</v>
      </c>
      <c r="L25">
        <f>IFERROR(VLOOKUP($D25,素材!$1:$1016,COLUMN($F$1),FALSE),"")</f>
        <v>0</v>
      </c>
      <c r="M25">
        <f>IFERROR(VLOOKUP($C25,武器!$1:$998,COLUMN(AA$1),FALSE)*VLOOKUP($D25,素材!$1:$1016,COLUMN($G$1),FALSE),"")</f>
        <v>0</v>
      </c>
      <c r="N25">
        <f>IFERROR(VLOOKUP($C25,武器!$1:$998,COLUMN(I$1),FALSE),"")</f>
        <v>0</v>
      </c>
      <c r="O25" s="23">
        <f>IFERROR((VLOOKUP($C25,武器!$1:$998,COLUMN(K$1),FALSE)+VLOOKUP($D25,素材!$1:$1016,COLUMN(H$1),FALSE))*100+IFERROR(VLOOKUP($CJ25,装強!$1:$999,COLUMN(O$1),FALSE),0),"")</f>
        <v>5</v>
      </c>
      <c r="P25" s="23">
        <f>IFERROR((VLOOKUP($C25,武器!$1:$998,COLUMN(L$1),FALSE)+VLOOKUP($D25,素材!$1:$1016,COLUMN(I$1),FALSE))*100+IFERROR(VLOOKUP($CJ25,装強!$1:$999,COLUMN(P$1),FALSE),0),"")</f>
        <v>125</v>
      </c>
      <c r="Q25">
        <f>IFERROR(ROUNDUP(VLOOKUP($C25,武器!$1:$998,COLUMN(M$1),FALSE)*(VLOOKUP($D25,素材!$1:$1002,COLUMN(D$1),FALSE)/100),1),"")</f>
        <v>-5</v>
      </c>
      <c r="R25">
        <f>IFERROR(ROUNDUP(VLOOKUP($C25,武器!$1:$998,COLUMN(N$1),FALSE)*(VLOOKUP($D25,素材!$1:$1002,COLUMN(D$1),FALSE)/100),1),"")</f>
        <v>0</v>
      </c>
      <c r="S25">
        <f>IFERROR(VLOOKUP($C25,武器!$1:$998,COLUMN(P$1),FALSE),"")</f>
        <v>0</v>
      </c>
      <c r="T25">
        <f>IFERROR(VLOOKUP($C25,武器!$1:$998,COLUMN(Q$1),FALSE),"")</f>
        <v>0</v>
      </c>
      <c r="U25">
        <f>IFERROR(VLOOKUP($C25,武器!$1:$998,COLUMN(R$1),FALSE),"")</f>
        <v>0</v>
      </c>
      <c r="V25">
        <f>IFERROR(VLOOKUP($C25,武器!$1:$998,COLUMN(Q$1),FALSE),"")</f>
        <v>0</v>
      </c>
      <c r="W25" t="str">
        <f>IFERROR(VLOOKUP($C25,武器!$1:$998,COLUMN(T$1),FALSE),"")</f>
        <v>A</v>
      </c>
      <c r="Y25" t="str">
        <f>IFERROR(VLOOKUP($C25,武器!$1:$998,COLUMN(U$1),FALSE),"")</f>
        <v>投擲強化,片手適正Ⅰ</v>
      </c>
      <c r="Z25">
        <f>IFERROR(ROUNDUP(VLOOKUP($C25,武器!$1:$998,COLUMN(O$1),FALSE)*VLOOKUP($D25,素材!$1:$1016,COLUMN(E$1),FALSE),1),"")</f>
        <v>0</v>
      </c>
      <c r="AA25">
        <f>IF(ISNUMBER(SEARCH(SUBSTITUTE(AA$1,RIGHT(AA$1,2),""),VLOOKUP($D25,素材!$1:$1016,COLUMN($F$1),FALSE))),VLOOKUP($C25,武器!$1:$998,COLUMN($O$1),FALSE)*VLOOKUP($D25,素材!$1:$1016,COLUMN($E$1),FALSE)/(LEN(VLOOKUP($D25,素材!$1:$1016,COLUMN($F$1),FALSE))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B25">
        <f>IF(ISNUMBER(SEARCH(SUBSTITUTE(AB$1,RIGHT(AB$1,2),""),VLOOKUP($D25,素材!$1:$1016,COLUMN($F$1),FALSE))),VLOOKUP($C25,武器!$1:$998,COLUMN($O$1),FALSE)*VLOOKUP($D25,素材!$1:$1016,COLUMN($E$1),FALSE)/(LEN(VLOOKUP($D25,素材!$1:$1016,COLUMN($F$1),FALSE))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C25">
        <f>IF(ISNUMBER(SEARCH(SUBSTITUTE(AC$1,RIGHT(AC$1,2),""),VLOOKUP($D25,素材!$1:$1016,COLUMN($F$1),FALSE))),VLOOKUP($C25,武器!$1:$998,COLUMN($O$1),FALSE)*VLOOKUP($D25,素材!$1:$1016,COLUMN($E$1),FALSE)/(LEN(VLOOKUP($D25,素材!$1:$1016,COLUMN($F$1),FALSE))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D25">
        <f>IF(ISNUMBER(SEARCH(SUBSTITUTE(AD$1,RIGHT(AD$1,2),""),VLOOKUP($D25,素材!$1:$1016,COLUMN($F$1),FALSE))),VLOOKUP($C25,武器!$1:$998,COLUMN($O$1),FALSE)*VLOOKUP($D25,素材!$1:$1016,COLUMN($E$1),FALSE)/(LEN(VLOOKUP($D25,素材!$1:$1016,COLUMN($F$1),FALSE))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E25">
        <f>IF(ISNUMBER(SEARCH(SUBSTITUTE(AE$1,RIGHT(AE$1,2),""),VLOOKUP($D25,素材!$1:$1016,COLUMN($F$1),FALSE))),VLOOKUP($C25,武器!$1:$998,COLUMN($O$1),FALSE)*VLOOKUP($D25,素材!$1:$1016,COLUMN($E$1),FALSE)/(LEN(VLOOKUP($D25,素材!$1:$1016,COLUMN($F$1),FALSE))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F25">
        <f>IF(ISNUMBER(SEARCH(SUBSTITUTE(AF$1,RIGHT(AF$1,2),""),VLOOKUP($D25,素材!$1:$1016,COLUMN($F$1),FALSE))),VLOOKUP($C25,武器!$1:$998,COLUMN($O$1),FALSE)*VLOOKUP($D25,素材!$1:$1016,COLUMN($E$1),FALSE)/(LEN(VLOOKUP($D25,素材!$1:$1016,COLUMN($F$1),FALSE))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G25">
        <f>IF(ISNUMBER(SEARCH(SUBSTITUTE(AG$1,RIGHT(AG$1,2),""),VLOOKUP($D25,素材!$1:$1016,COLUMN($F$1),FALSE))),VLOOKUP($C25,武器!$1:$998,COLUMN($O$1),FALSE)*VLOOKUP($D25,素材!$1:$1016,COLUMN($E$1),FALSE)/(LEN(VLOOKUP($D25,素材!$1:$1016,COLUMN($F$1),FALSE))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H25">
        <f>IF(ISNUMBER(SEARCH(SUBSTITUTE(AH$1,RIGHT(AH$1,2),""),VLOOKUP($D25,素材!$1:$1016,COLUMN($F$1),FALSE))),VLOOKUP($C25,武器!$1:$998,COLUMN($O$1),FALSE)*VLOOKUP($D25,素材!$1:$1016,COLUMN($E$1),FALSE)/(LEN(VLOOKUP($D25,素材!$1:$1016,COLUMN($F$1),FALSE))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I25">
        <f>IF(ISNUMBER(SEARCH(SUBSTITUTE(AI$1,RIGHT(AI$1,2),""),VLOOKUP($D25,素材!$1:$1016,COLUMN($F$1),FALSE))),VLOOKUP($C25,武器!$1:$998,COLUMN($O$1),FALSE)*VLOOKUP($D25,素材!$1:$1016,COLUMN($E$1),FALSE)/(LEN(VLOOKUP($D25,素材!$1:$1016,COLUMN($F$1),FALSE))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J25">
        <f>IF(ISNUMBER(SEARCH(SUBSTITUTE(AJ$1,RIGHT(AJ$1,2),""),VLOOKUP($D25,素材!$1:$1016,COLUMN($F$1),FALSE))),VLOOKUP($C25,武器!$1:$998,COLUMN($O$1),FALSE)*VLOOKUP($D25,素材!$1:$1016,COLUMN($E$1),FALSE)/(LEN(VLOOKUP($D25,素材!$1:$1016,COLUMN($F$1),FALSE))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K25">
        <f>IF(ISNUMBER(SEARCH(SUBSTITUTE(AK$1,RIGHT(AK$1,2),""),VLOOKUP($D25,素材!$1:$1016,COLUMN($F$1),FALSE))),VLOOKUP($C25,武器!$1:$998,COLUMN($O$1),FALSE)*VLOOKUP($D25,素材!$1:$1016,COLUMN($E$1),FALSE)/(LEN(VLOOKUP($D25,素材!$1:$1016,COLUMN($F$1),FALSE))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L25">
        <f>IF(ISNUMBER(SEARCH(SUBSTITUTE(AL$1,RIGHT(AL$1,2),""),VLOOKUP($D25,素材!$1:$1016,COLUMN($F$1),FALSE))),VLOOKUP($C25,武器!$1:$998,COLUMN($O$1),FALSE)*VLOOKUP($D25,素材!$1:$1016,COLUMN($E$1),FALSE)/(LEN(VLOOKUP($D25,素材!$1:$1016,COLUMN($F$1),FALSE))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M25">
        <f>IF(ISNUMBER(SEARCH(SUBSTITUTE(AM$1,RIGHT(AM$1,2),""),VLOOKUP($D25,素材!$1:$1016,COLUMN($F$1),FALSE))),VLOOKUP($C25,武器!$1:$998,COLUMN($O$1),FALSE)*VLOOKUP($D25,素材!$1:$1016,COLUMN($E$1),FALSE)/(LEN(VLOOKUP($D25,素材!$1:$1016,COLUMN($F$1),FALSE))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N25">
        <f>IF(ISNUMBER(SEARCH(SUBSTITUTE(AN$1,RIGHT(AN$1,2),""),VLOOKUP($D25,素材!$1:$1016,COLUMN($F$1),FALSE))),VLOOKUP($C25,武器!$1:$998,COLUMN($O$1),FALSE)*VLOOKUP($D25,素材!$1:$1016,COLUMN($E$1),FALSE)/(LEN(VLOOKUP($D25,素材!$1:$1016,COLUMN($F$1),FALSE))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O25">
        <f>IF(ISNUMBER(SEARCH(SUBSTITUTE(AO$1,RIGHT(AO$1,2),""),VLOOKUP($D25,素材!$1:$1016,COLUMN($F$1),FALSE))),VLOOKUP($C25,武器!$1:$998,COLUMN($O$1),FALSE)*VLOOKUP($D25,素材!$1:$1016,COLUMN($E$1),FALSE)/(LEN(VLOOKUP($D25,素材!$1:$1016,COLUMN($F$1),FALSE))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P25">
        <f>IF(ISNUMBER(SEARCH(SUBSTITUTE(AP$1,RIGHT(AP$1,2),""),VLOOKUP($D25,素材!$1:$1016,COLUMN($F$1),FALSE))),VLOOKUP($C25,武器!$1:$998,COLUMN($O$1),FALSE)*VLOOKUP($D25,素材!$1:$1016,COLUMN($E$1),FALSE)/(LEN(VLOOKUP($D25,素材!$1:$1016,COLUMN($F$1),FALSE))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Q25">
        <f>IF(ISNUMBER(SEARCH(SUBSTITUTE(AQ$1,RIGHT(AQ$1,2),""),VLOOKUP($D25,素材!$1:$1016,COLUMN($F$1),FALSE))),VLOOKUP($C25,武器!$1:$998,COLUMN($O$1),FALSE)*VLOOKUP($D25,素材!$1:$1016,COLUMN($E$1),FALSE)/(LEN(VLOOKUP($D25,素材!$1:$1016,COLUMN($F$1),FALSE))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R25">
        <f>IF(ISNUMBER(SEARCH(SUBSTITUTE(AR$1,RIGHT(AR$1,2),""),VLOOKUP($D25,素材!$1:$1016,COLUMN($F$1),FALSE))),VLOOKUP($C25,武器!$1:$998,COLUMN($O$1),FALSE)*VLOOKUP($D25,素材!$1:$1016,COLUMN($E$1),FALSE)/(LEN(VLOOKUP($D25,素材!$1:$1016,COLUMN($F$1),FALSE))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S25">
        <f>IF(ISNUMBER(SEARCH(SUBSTITUTE(AS$1,RIGHT(AS$1,2),""),VLOOKUP($D25,素材!$1:$1016,COLUMN($F$1),FALSE))),VLOOKUP($C25,武器!$1:$998,COLUMN($O$1),FALSE)*VLOOKUP($D25,素材!$1:$1016,COLUMN($E$1),FALSE)/(LEN(VLOOKUP($D25,素材!$1:$1016,COLUMN($F$1),FALSE))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T25">
        <f>IF(ISNUMBER(SEARCH(SUBSTITUTE(AT$1,RIGHT(AT$1,2),""),VLOOKUP($D25,素材!$1:$1016,COLUMN($F$1),FALSE))),VLOOKUP($C25,武器!$1:$998,COLUMN($O$1),FALSE)*VLOOKUP($D25,素材!$1:$1016,COLUMN($E$1),FALSE)/(LEN(VLOOKUP($D25,素材!$1:$1016,COLUMN($F$1),FALSE))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U25">
        <f>IF(ISNUMBER(SEARCH(SUBSTITUTE(AU$1,RIGHT(AU$1,2),""),VLOOKUP($D25,素材!$1:$1016,COLUMN($F$1),FALSE))),VLOOKUP($C25,武器!$1:$998,COLUMN($O$1),FALSE)*VLOOKUP($D25,素材!$1:$1016,COLUMN($E$1),FALSE)/(LEN(VLOOKUP($D25,素材!$1:$1016,COLUMN($F$1),FALSE))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V25">
        <f>IF(ISNUMBER(SEARCH(SUBSTITUTE(AV$1,RIGHT(AV$1,2),""),VLOOKUP($D25,素材!$1:$1016,COLUMN($F$1),FALSE))),VLOOKUP($C25,武器!$1:$998,COLUMN($O$1),FALSE)*VLOOKUP($D25,素材!$1:$1016,COLUMN($E$1),FALSE)/(LEN(VLOOKUP($D25,素材!$1:$1016,COLUMN($F$1),FALSE))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W25">
        <f>IF(ISNUMBER(SEARCH(SUBSTITUTE(AW$1,RIGHT(AW$1,2),""),VLOOKUP($D25,素材!$1:$1016,COLUMN($F$1),FALSE))),VLOOKUP($C25,武器!$1:$998,COLUMN($O$1),FALSE)*VLOOKUP($D25,素材!$1:$1016,COLUMN($E$1),FALSE)/(LEN(VLOOKUP($D25,素材!$1:$1016,COLUMN($F$1),FALSE))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X25">
        <f>IF(ISNUMBER(SEARCH(SUBSTITUTE(AX$1,RIGHT(AX$1,2),""),VLOOKUP($D25,素材!$1:$1016,COLUMN($F$1),FALSE))),VLOOKUP($C25,武器!$1:$998,COLUMN($O$1),FALSE)*VLOOKUP($D25,素材!$1:$1016,COLUMN($E$1),FALSE)/(LEN(VLOOKUP($D25,素材!$1:$1016,COLUMN($F$1),FALSE))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Y25">
        <f>IF(ISNUMBER(SEARCH(SUBSTITUTE(AY$1,RIGHT(AY$1,2),""),VLOOKUP($D25,素材!$1:$1016,COLUMN($F$1),FALSE))),VLOOKUP($C25,武器!$1:$998,COLUMN($O$1),FALSE)*VLOOKUP($D25,素材!$1:$1016,COLUMN($E$1),FALSE)/(LEN(VLOOKUP($D25,素材!$1:$1016,COLUMN($F$1),FALSE))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AZ25">
        <f>IF(ISNUMBER(SEARCH(SUBSTITUTE(AZ$1,RIGHT(AZ$1,2),""),VLOOKUP($D25,素材!$1:$1016,COLUMN($F$1),FALSE))),VLOOKUP($C25,武器!$1:$998,COLUMN($O$1),FALSE)*VLOOKUP($D25,素材!$1:$1016,COLUMN($E$1),FALSE)/(LEN(VLOOKUP($D25,素材!$1:$1016,COLUMN($F$1),FALSE))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BA25">
        <f>IF(ISNUMBER(SEARCH(SUBSTITUTE(BA$1,RIGHT(BA$1,2),""),VLOOKUP($D25,素材!$1:$1016,COLUMN($F$1),FALSE))),VLOOKUP($C25,武器!$1:$998,COLUMN($O$1),FALSE)*VLOOKUP($D25,素材!$1:$1016,COLUMN($E$1),FALSE)/(LEN(VLOOKUP($D25,素材!$1:$1016,COLUMN($F$1),FALSE))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BB25">
        <f>IF(ISNUMBER(SEARCH(SUBSTITUTE(BB$1,RIGHT(BB$1,2),""),VLOOKUP($D25,素材!$1:$1016,COLUMN($F$1),FALSE))),VLOOKUP($C25,武器!$1:$998,COLUMN($O$1),FALSE)*VLOOKUP($D25,素材!$1:$1016,COLUMN($E$1),FALSE)/(LEN(VLOOKUP($D25,素材!$1:$1016,COLUMN($F$1),FALSE))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BC25">
        <f>IF(ISNUMBER(SEARCH(SUBSTITUTE(BC$1,RIGHT(BC$1,2),""),VLOOKUP($D25,素材!$1:$1016,COLUMN($F$1),FALSE))),VLOOKUP($C25,武器!$1:$998,COLUMN($O$1),FALSE)*VLOOKUP($D25,素材!$1:$1016,COLUMN($E$1),FALSE)/(LEN(VLOOKUP($D25,素材!$1:$1016,COLUMN($F$1),FALSE))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BD25">
        <f>IF(ISNUMBER(SEARCH(SUBSTITUTE(BD$1,RIGHT(BD$1,2),""),VLOOKUP($D25,素材!$1:$1016,COLUMN($F$1),FALSE))),VLOOKUP($C25,武器!$1:$998,COLUMN($O$1),FALSE)*VLOOKUP($D25,素材!$1:$1016,COLUMN($E$1),FALSE)/(LEN(VLOOKUP($D25,素材!$1:$1016,COLUMN($F$1),FALSE))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BE25">
        <f>IF(ISNUMBER(SEARCH(SUBSTITUTE(BE$1,RIGHT(BE$1,2),""),VLOOKUP($D25,素材!$1:$1016,COLUMN($F$1),FALSE))),VLOOKUP($C25,武器!$1:$998,COLUMN($O$1),FALSE)*VLOOKUP($D25,素材!$1:$1016,COLUMN($E$1),FALSE)/(LEN(VLOOKUP($D25,素材!$1:$1016,COLUMN($F$1),FALSE))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BF25">
        <f>IF(ISNUMBER(SEARCH(SUBSTITUTE(BF$1,RIGHT(BF$1,2),""),VLOOKUP($D25,素材!$1:$1016,COLUMN($F$1),FALSE))),VLOOKUP($C25,武器!$1:$998,COLUMN($O$1),FALSE)*VLOOKUP($D25,素材!$1:$1016,COLUMN($E$1),FALSE)/(LEN(VLOOKUP($D25,素材!$1:$1016,COLUMN($F$1),FALSE)) - LEN(SUBSTITUTE(VLOOKUP($D25,素材!$1:$1016,COLUMN($F$1),FALSE), "・", 0)) + 1), 0)</f>
        <v>0</v>
      </c>
      <c r="CM25">
        <f t="shared" si="3"/>
        <v>18</v>
      </c>
      <c r="CN25" s="22" t="str">
        <f>IF(E25="武器",IF(J25-1&gt;SUM(G25:I25),"盾",IF(MAX(G25:I25)=G25,"切断",IF(MAX(G25:I25)=H25,"貫通",IF(MAX(G25:I25)=I25,"打撃","射撃")))),E25)&amp;".webp"</f>
        <v>盾.webp</v>
      </c>
      <c r="CO25">
        <f>IFERROR(VLOOKUP($C25,武器!$1:$998,COLUMN(V$1),FALSE)*VLOOKUP($D25,素材!$1:$1016,COLUMN(N$1),FALSE)+IF(CJ25="",0,VLOOKUP($CJ25,装強!$1:$1008,COLUMN($CL$1),FALSE)),"")</f>
        <v>400</v>
      </c>
      <c r="CP25" t="str">
        <f>VLOOKUP(D25,素材!$A:$O,COLUMN(素材!O$1),FALSE)</f>
        <v>一般的な鉄。量産品を作るのに使用されることが多い</v>
      </c>
      <c r="CQ25" t="str">
        <f>VLOOKUP(C25,武器!$A:$W,COLUMN(武器!W$1),FALSE)</f>
        <v>丸大盾。防御範囲が広く、投擲も可能。</v>
      </c>
      <c r="CS25" t="str">
        <f t="shared" si="2"/>
        <v>e_25</v>
      </c>
      <c r="CT25">
        <f t="shared" si="4"/>
        <v>40000</v>
      </c>
    </row>
    <row r="26" spans="1:98" outlineLevel="1" x14ac:dyDescent="0.4">
      <c r="A26" t="str">
        <f t="shared" si="0"/>
        <v>鉄の大盾</v>
      </c>
      <c r="B26" t="str">
        <f>IFERROR(VLOOKUP($D26,素材!$1:$1016,COLUMN($B$1),FALSE)&amp;"・"&amp;VLOOKUP($C26,武器!$1:$998,COLUMN(B$1),FALSE),"")</f>
        <v>アイアン・ラージシールド</v>
      </c>
      <c r="C26" t="s">
        <v>219</v>
      </c>
      <c r="D26" s="24" t="s">
        <v>257</v>
      </c>
      <c r="E26" t="str">
        <f>IFERROR(VLOOKUP(C26,武器!$1:$998,COLUMN(C$1),FALSE),"")</f>
        <v>盾</v>
      </c>
      <c r="F26">
        <f>IFERROR(ROUNDDOWN((VLOOKUP($C26,武器!$1:$998,COLUMN(D$1),FALSE)+IFERROR(VLOOKUP($CJ26,装強!$1:$999,COLUMN(F$1),FALSE),0))*VLOOKUP($D26,素材!$1:$1016,COLUMN(D$1),FALSE),0),"")</f>
        <v>115</v>
      </c>
      <c r="G26">
        <f>IFERROR(ROUNDDOWN((VLOOKUP($C26,武器!$1:$998,COLUMN(E$1),FALSE)+IFERROR(VLOOKUP($CJ26,装強!$1:$999,COLUMN(G$1),FALSE),0))*VLOOKUP($D26,素材!$1:$1016,COLUMN($E$1),FALSE),0),"")</f>
        <v>0</v>
      </c>
      <c r="H26">
        <f>IFERROR(ROUNDDOWN((VLOOKUP($C26,武器!$1:$998,COLUMN(F$1),FALSE)+IFERROR(VLOOKUP($CJ26,装強!$1:$999,COLUMN(H$1),FALSE),0))*VLOOKUP($D26,素材!$1:$1016,COLUMN($E$1),FALSE),0),"")</f>
        <v>0</v>
      </c>
      <c r="I26">
        <f>IFERROR(ROUNDDOWN((VLOOKUP($C26,武器!$1:$998,COLUMN(G$1),FALSE)+IFERROR(VLOOKUP($CJ26,装強!$1:$999,COLUMN(I$1),FALSE),0))*VLOOKUP($D26,素材!$1:$1016,COLUMN($E$1),FALSE),0),"")</f>
        <v>17</v>
      </c>
      <c r="J26">
        <f>IFERROR(ROUNDDOWN((VLOOKUP($C26,武器!$1:$998,COLUMN(H$1),FALSE)+IFERROR(VLOOKUP($CJ26,装強!$1:$999,COLUMN(J$1),FALSE),0))*VLOOKUP($D26,素材!$1:$1016,COLUMN($E$1),FALSE),0),"")</f>
        <v>27</v>
      </c>
      <c r="K26">
        <f>IFERROR(ROUNDDOWN((VLOOKUP($C26,武器!$1:$998,COLUMN(I$1),FALSE)+IFERROR(VLOOKUP($CJ26,装強!$1:$999,COLUMN(K$1),FALSE),0))*VLOOKUP($D26,素材!$1:$1016,COLUMN($E$1),FALSE),0),"")</f>
        <v>0</v>
      </c>
      <c r="L26">
        <f>IFERROR(VLOOKUP($D26,素材!$1:$1016,COLUMN($F$1),FALSE),"")</f>
        <v>0</v>
      </c>
      <c r="M26">
        <f>IFERROR(VLOOKUP($C26,武器!$1:$998,COLUMN(AA$1),FALSE)*VLOOKUP($D26,素材!$1:$1016,COLUMN($G$1),FALSE),"")</f>
        <v>0</v>
      </c>
      <c r="N26">
        <f>IFERROR(VLOOKUP($C26,武器!$1:$998,COLUMN(I$1),FALSE),"")</f>
        <v>0</v>
      </c>
      <c r="O26" s="23">
        <f>IFERROR((VLOOKUP($C26,武器!$1:$998,COLUMN(K$1),FALSE)+VLOOKUP($D26,素材!$1:$1016,COLUMN(H$1),FALSE))*100+IFERROR(VLOOKUP($CJ26,装強!$1:$999,COLUMN(O$1),FALSE),0),"")</f>
        <v>5</v>
      </c>
      <c r="P26" s="23">
        <f>IFERROR((VLOOKUP($C26,武器!$1:$998,COLUMN(L$1),FALSE)+VLOOKUP($D26,素材!$1:$1016,COLUMN(I$1),FALSE))*100+IFERROR(VLOOKUP($CJ26,装強!$1:$999,COLUMN(P$1),FALSE),0),"")</f>
        <v>125</v>
      </c>
      <c r="Q26">
        <f>IFERROR(ROUNDUP(VLOOKUP($C26,武器!$1:$998,COLUMN(M$1),FALSE)*(VLOOKUP($D26,素材!$1:$1002,COLUMN(D$1),FALSE)/100),1),"")</f>
        <v>-5</v>
      </c>
      <c r="R26">
        <f>IFERROR(ROUNDUP(VLOOKUP($C26,武器!$1:$998,COLUMN(N$1),FALSE)*(VLOOKUP($D26,素材!$1:$1002,COLUMN(D$1),FALSE)/100),1),"")</f>
        <v>0</v>
      </c>
      <c r="S26">
        <f>IFERROR(VLOOKUP($C26,武器!$1:$998,COLUMN(P$1),FALSE),"")</f>
        <v>0</v>
      </c>
      <c r="T26">
        <f>IFERROR(VLOOKUP($C26,武器!$1:$998,COLUMN(Q$1),FALSE),"")</f>
        <v>0</v>
      </c>
      <c r="U26">
        <f>IFERROR(VLOOKUP($C26,武器!$1:$998,COLUMN(R$1),FALSE),"")</f>
        <v>0</v>
      </c>
      <c r="V26">
        <f>IFERROR(VLOOKUP($C26,武器!$1:$998,COLUMN(Q$1),FALSE),"")</f>
        <v>0</v>
      </c>
      <c r="W26" t="str">
        <f>IFERROR(VLOOKUP($C26,武器!$1:$998,COLUMN(T$1),FALSE),"")</f>
        <v>A</v>
      </c>
      <c r="Y26" t="str">
        <f>IFERROR(VLOOKUP($C26,武器!$1:$998,COLUMN(U$1),FALSE),"")</f>
        <v>片手適正Ⅰ</v>
      </c>
      <c r="Z26">
        <f>IFERROR(ROUNDUP(VLOOKUP($C26,武器!$1:$998,COLUMN(O$1),FALSE)*VLOOKUP($D26,素材!$1:$1016,COLUMN(E$1),FALSE),1),"")</f>
        <v>0</v>
      </c>
      <c r="AA26">
        <f>IF(ISNUMBER(SEARCH(SUBSTITUTE(AA$1,RIGHT(AA$1,2),""),VLOOKUP($D26,素材!$1:$1016,COLUMN($F$1),FALSE))),VLOOKUP($C26,武器!$1:$998,COLUMN($O$1),FALSE)*VLOOKUP($D26,素材!$1:$1016,COLUMN($E$1),FALSE)/(LEN(VLOOKUP($D26,素材!$1:$1016,COLUMN($F$1),FALSE))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B26">
        <f>IF(ISNUMBER(SEARCH(SUBSTITUTE(AB$1,RIGHT(AB$1,2),""),VLOOKUP($D26,素材!$1:$1016,COLUMN($F$1),FALSE))),VLOOKUP($C26,武器!$1:$998,COLUMN($O$1),FALSE)*VLOOKUP($D26,素材!$1:$1016,COLUMN($E$1),FALSE)/(LEN(VLOOKUP($D26,素材!$1:$1016,COLUMN($F$1),FALSE))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C26">
        <f>IF(ISNUMBER(SEARCH(SUBSTITUTE(AC$1,RIGHT(AC$1,2),""),VLOOKUP($D26,素材!$1:$1016,COLUMN($F$1),FALSE))),VLOOKUP($C26,武器!$1:$998,COLUMN($O$1),FALSE)*VLOOKUP($D26,素材!$1:$1016,COLUMN($E$1),FALSE)/(LEN(VLOOKUP($D26,素材!$1:$1016,COLUMN($F$1),FALSE))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D26">
        <f>IF(ISNUMBER(SEARCH(SUBSTITUTE(AD$1,RIGHT(AD$1,2),""),VLOOKUP($D26,素材!$1:$1016,COLUMN($F$1),FALSE))),VLOOKUP($C26,武器!$1:$998,COLUMN($O$1),FALSE)*VLOOKUP($D26,素材!$1:$1016,COLUMN($E$1),FALSE)/(LEN(VLOOKUP($D26,素材!$1:$1016,COLUMN($F$1),FALSE))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E26">
        <f>IF(ISNUMBER(SEARCH(SUBSTITUTE(AE$1,RIGHT(AE$1,2),""),VLOOKUP($D26,素材!$1:$1016,COLUMN($F$1),FALSE))),VLOOKUP($C26,武器!$1:$998,COLUMN($O$1),FALSE)*VLOOKUP($D26,素材!$1:$1016,COLUMN($E$1),FALSE)/(LEN(VLOOKUP($D26,素材!$1:$1016,COLUMN($F$1),FALSE))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F26">
        <f>IF(ISNUMBER(SEARCH(SUBSTITUTE(AF$1,RIGHT(AF$1,2),""),VLOOKUP($D26,素材!$1:$1016,COLUMN($F$1),FALSE))),VLOOKUP($C26,武器!$1:$998,COLUMN($O$1),FALSE)*VLOOKUP($D26,素材!$1:$1016,COLUMN($E$1),FALSE)/(LEN(VLOOKUP($D26,素材!$1:$1016,COLUMN($F$1),FALSE))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G26">
        <f>IF(ISNUMBER(SEARCH(SUBSTITUTE(AG$1,RIGHT(AG$1,2),""),VLOOKUP($D26,素材!$1:$1016,COLUMN($F$1),FALSE))),VLOOKUP($C26,武器!$1:$998,COLUMN($O$1),FALSE)*VLOOKUP($D26,素材!$1:$1016,COLUMN($E$1),FALSE)/(LEN(VLOOKUP($D26,素材!$1:$1016,COLUMN($F$1),FALSE))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H26">
        <f>IF(ISNUMBER(SEARCH(SUBSTITUTE(AH$1,RIGHT(AH$1,2),""),VLOOKUP($D26,素材!$1:$1016,COLUMN($F$1),FALSE))),VLOOKUP($C26,武器!$1:$998,COLUMN($O$1),FALSE)*VLOOKUP($D26,素材!$1:$1016,COLUMN($E$1),FALSE)/(LEN(VLOOKUP($D26,素材!$1:$1016,COLUMN($F$1),FALSE))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I26">
        <f>IF(ISNUMBER(SEARCH(SUBSTITUTE(AI$1,RIGHT(AI$1,2),""),VLOOKUP($D26,素材!$1:$1016,COLUMN($F$1),FALSE))),VLOOKUP($C26,武器!$1:$998,COLUMN($O$1),FALSE)*VLOOKUP($D26,素材!$1:$1016,COLUMN($E$1),FALSE)/(LEN(VLOOKUP($D26,素材!$1:$1016,COLUMN($F$1),FALSE))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J26">
        <f>IF(ISNUMBER(SEARCH(SUBSTITUTE(AJ$1,RIGHT(AJ$1,2),""),VLOOKUP($D26,素材!$1:$1016,COLUMN($F$1),FALSE))),VLOOKUP($C26,武器!$1:$998,COLUMN($O$1),FALSE)*VLOOKUP($D26,素材!$1:$1016,COLUMN($E$1),FALSE)/(LEN(VLOOKUP($D26,素材!$1:$1016,COLUMN($F$1),FALSE))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K26">
        <f>IF(ISNUMBER(SEARCH(SUBSTITUTE(AK$1,RIGHT(AK$1,2),""),VLOOKUP($D26,素材!$1:$1016,COLUMN($F$1),FALSE))),VLOOKUP($C26,武器!$1:$998,COLUMN($O$1),FALSE)*VLOOKUP($D26,素材!$1:$1016,COLUMN($E$1),FALSE)/(LEN(VLOOKUP($D26,素材!$1:$1016,COLUMN($F$1),FALSE))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L26">
        <f>IF(ISNUMBER(SEARCH(SUBSTITUTE(AL$1,RIGHT(AL$1,2),""),VLOOKUP($D26,素材!$1:$1016,COLUMN($F$1),FALSE))),VLOOKUP($C26,武器!$1:$998,COLUMN($O$1),FALSE)*VLOOKUP($D26,素材!$1:$1016,COLUMN($E$1),FALSE)/(LEN(VLOOKUP($D26,素材!$1:$1016,COLUMN($F$1),FALSE))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M26">
        <f>IF(ISNUMBER(SEARCH(SUBSTITUTE(AM$1,RIGHT(AM$1,2),""),VLOOKUP($D26,素材!$1:$1016,COLUMN($F$1),FALSE))),VLOOKUP($C26,武器!$1:$998,COLUMN($O$1),FALSE)*VLOOKUP($D26,素材!$1:$1016,COLUMN($E$1),FALSE)/(LEN(VLOOKUP($D26,素材!$1:$1016,COLUMN($F$1),FALSE))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N26">
        <f>IF(ISNUMBER(SEARCH(SUBSTITUTE(AN$1,RIGHT(AN$1,2),""),VLOOKUP($D26,素材!$1:$1016,COLUMN($F$1),FALSE))),VLOOKUP($C26,武器!$1:$998,COLUMN($O$1),FALSE)*VLOOKUP($D26,素材!$1:$1016,COLUMN($E$1),FALSE)/(LEN(VLOOKUP($D26,素材!$1:$1016,COLUMN($F$1),FALSE))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O26">
        <f>IF(ISNUMBER(SEARCH(SUBSTITUTE(AO$1,RIGHT(AO$1,2),""),VLOOKUP($D26,素材!$1:$1016,COLUMN($F$1),FALSE))),VLOOKUP($C26,武器!$1:$998,COLUMN($O$1),FALSE)*VLOOKUP($D26,素材!$1:$1016,COLUMN($E$1),FALSE)/(LEN(VLOOKUP($D26,素材!$1:$1016,COLUMN($F$1),FALSE))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P26">
        <f>IF(ISNUMBER(SEARCH(SUBSTITUTE(AP$1,RIGHT(AP$1,2),""),VLOOKUP($D26,素材!$1:$1016,COLUMN($F$1),FALSE))),VLOOKUP($C26,武器!$1:$998,COLUMN($O$1),FALSE)*VLOOKUP($D26,素材!$1:$1016,COLUMN($E$1),FALSE)/(LEN(VLOOKUP($D26,素材!$1:$1016,COLUMN($F$1),FALSE))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Q26">
        <f>IF(ISNUMBER(SEARCH(SUBSTITUTE(AQ$1,RIGHT(AQ$1,2),""),VLOOKUP($D26,素材!$1:$1016,COLUMN($F$1),FALSE))),VLOOKUP($C26,武器!$1:$998,COLUMN($O$1),FALSE)*VLOOKUP($D26,素材!$1:$1016,COLUMN($E$1),FALSE)/(LEN(VLOOKUP($D26,素材!$1:$1016,COLUMN($F$1),FALSE))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R26">
        <f>IF(ISNUMBER(SEARCH(SUBSTITUTE(AR$1,RIGHT(AR$1,2),""),VLOOKUP($D26,素材!$1:$1016,COLUMN($F$1),FALSE))),VLOOKUP($C26,武器!$1:$998,COLUMN($O$1),FALSE)*VLOOKUP($D26,素材!$1:$1016,COLUMN($E$1),FALSE)/(LEN(VLOOKUP($D26,素材!$1:$1016,COLUMN($F$1),FALSE))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S26">
        <f>IF(ISNUMBER(SEARCH(SUBSTITUTE(AS$1,RIGHT(AS$1,2),""),VLOOKUP($D26,素材!$1:$1016,COLUMN($F$1),FALSE))),VLOOKUP($C26,武器!$1:$998,COLUMN($O$1),FALSE)*VLOOKUP($D26,素材!$1:$1016,COLUMN($E$1),FALSE)/(LEN(VLOOKUP($D26,素材!$1:$1016,COLUMN($F$1),FALSE))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T26">
        <f>IF(ISNUMBER(SEARCH(SUBSTITUTE(AT$1,RIGHT(AT$1,2),""),VLOOKUP($D26,素材!$1:$1016,COLUMN($F$1),FALSE))),VLOOKUP($C26,武器!$1:$998,COLUMN($O$1),FALSE)*VLOOKUP($D26,素材!$1:$1016,COLUMN($E$1),FALSE)/(LEN(VLOOKUP($D26,素材!$1:$1016,COLUMN($F$1),FALSE))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U26">
        <f>IF(ISNUMBER(SEARCH(SUBSTITUTE(AU$1,RIGHT(AU$1,2),""),VLOOKUP($D26,素材!$1:$1016,COLUMN($F$1),FALSE))),VLOOKUP($C26,武器!$1:$998,COLUMN($O$1),FALSE)*VLOOKUP($D26,素材!$1:$1016,COLUMN($E$1),FALSE)/(LEN(VLOOKUP($D26,素材!$1:$1016,COLUMN($F$1),FALSE))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V26">
        <f>IF(ISNUMBER(SEARCH(SUBSTITUTE(AV$1,RIGHT(AV$1,2),""),VLOOKUP($D26,素材!$1:$1016,COLUMN($F$1),FALSE))),VLOOKUP($C26,武器!$1:$998,COLUMN($O$1),FALSE)*VLOOKUP($D26,素材!$1:$1016,COLUMN($E$1),FALSE)/(LEN(VLOOKUP($D26,素材!$1:$1016,COLUMN($F$1),FALSE))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W26">
        <f>IF(ISNUMBER(SEARCH(SUBSTITUTE(AW$1,RIGHT(AW$1,2),""),VLOOKUP($D26,素材!$1:$1016,COLUMN($F$1),FALSE))),VLOOKUP($C26,武器!$1:$998,COLUMN($O$1),FALSE)*VLOOKUP($D26,素材!$1:$1016,COLUMN($E$1),FALSE)/(LEN(VLOOKUP($D26,素材!$1:$1016,COLUMN($F$1),FALSE))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X26">
        <f>IF(ISNUMBER(SEARCH(SUBSTITUTE(AX$1,RIGHT(AX$1,2),""),VLOOKUP($D26,素材!$1:$1016,COLUMN($F$1),FALSE))),VLOOKUP($C26,武器!$1:$998,COLUMN($O$1),FALSE)*VLOOKUP($D26,素材!$1:$1016,COLUMN($E$1),FALSE)/(LEN(VLOOKUP($D26,素材!$1:$1016,COLUMN($F$1),FALSE))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Y26">
        <f>IF(ISNUMBER(SEARCH(SUBSTITUTE(AY$1,RIGHT(AY$1,2),""),VLOOKUP($D26,素材!$1:$1016,COLUMN($F$1),FALSE))),VLOOKUP($C26,武器!$1:$998,COLUMN($O$1),FALSE)*VLOOKUP($D26,素材!$1:$1016,COLUMN($E$1),FALSE)/(LEN(VLOOKUP($D26,素材!$1:$1016,COLUMN($F$1),FALSE))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AZ26">
        <f>IF(ISNUMBER(SEARCH(SUBSTITUTE(AZ$1,RIGHT(AZ$1,2),""),VLOOKUP($D26,素材!$1:$1016,COLUMN($F$1),FALSE))),VLOOKUP($C26,武器!$1:$998,COLUMN($O$1),FALSE)*VLOOKUP($D26,素材!$1:$1016,COLUMN($E$1),FALSE)/(LEN(VLOOKUP($D26,素材!$1:$1016,COLUMN($F$1),FALSE))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BA26">
        <f>IF(ISNUMBER(SEARCH(SUBSTITUTE(BA$1,RIGHT(BA$1,2),""),VLOOKUP($D26,素材!$1:$1016,COLUMN($F$1),FALSE))),VLOOKUP($C26,武器!$1:$998,COLUMN($O$1),FALSE)*VLOOKUP($D26,素材!$1:$1016,COLUMN($E$1),FALSE)/(LEN(VLOOKUP($D26,素材!$1:$1016,COLUMN($F$1),FALSE))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BB26">
        <f>IF(ISNUMBER(SEARCH(SUBSTITUTE(BB$1,RIGHT(BB$1,2),""),VLOOKUP($D26,素材!$1:$1016,COLUMN($F$1),FALSE))),VLOOKUP($C26,武器!$1:$998,COLUMN($O$1),FALSE)*VLOOKUP($D26,素材!$1:$1016,COLUMN($E$1),FALSE)/(LEN(VLOOKUP($D26,素材!$1:$1016,COLUMN($F$1),FALSE))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BC26">
        <f>IF(ISNUMBER(SEARCH(SUBSTITUTE(BC$1,RIGHT(BC$1,2),""),VLOOKUP($D26,素材!$1:$1016,COLUMN($F$1),FALSE))),VLOOKUP($C26,武器!$1:$998,COLUMN($O$1),FALSE)*VLOOKUP($D26,素材!$1:$1016,COLUMN($E$1),FALSE)/(LEN(VLOOKUP($D26,素材!$1:$1016,COLUMN($F$1),FALSE))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BD26">
        <f>IF(ISNUMBER(SEARCH(SUBSTITUTE(BD$1,RIGHT(BD$1,2),""),VLOOKUP($D26,素材!$1:$1016,COLUMN($F$1),FALSE))),VLOOKUP($C26,武器!$1:$998,COLUMN($O$1),FALSE)*VLOOKUP($D26,素材!$1:$1016,COLUMN($E$1),FALSE)/(LEN(VLOOKUP($D26,素材!$1:$1016,COLUMN($F$1),FALSE))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BE26">
        <f>IF(ISNUMBER(SEARCH(SUBSTITUTE(BE$1,RIGHT(BE$1,2),""),VLOOKUP($D26,素材!$1:$1016,COLUMN($F$1),FALSE))),VLOOKUP($C26,武器!$1:$998,COLUMN($O$1),FALSE)*VLOOKUP($D26,素材!$1:$1016,COLUMN($E$1),FALSE)/(LEN(VLOOKUP($D26,素材!$1:$1016,COLUMN($F$1),FALSE))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BF26">
        <f>IF(ISNUMBER(SEARCH(SUBSTITUTE(BF$1,RIGHT(BF$1,2),""),VLOOKUP($D26,素材!$1:$1016,COLUMN($F$1),FALSE))),VLOOKUP($C26,武器!$1:$998,COLUMN($O$1),FALSE)*VLOOKUP($D26,素材!$1:$1016,COLUMN($E$1),FALSE)/(LEN(VLOOKUP($D26,素材!$1:$1016,COLUMN($F$1),FALSE)) - LEN(SUBSTITUTE(VLOOKUP($D26,素材!$1:$1016,COLUMN($F$1),FALSE), "・", 0)) + 1), 0)</f>
        <v>0</v>
      </c>
      <c r="CM26">
        <f t="shared" si="3"/>
        <v>17</v>
      </c>
      <c r="CN26" s="22" t="str">
        <f>IF(E26="武器",IF(J26-1&gt;SUM(G26:I26),"盾",IF(MAX(G26:I26)=G26,"切断",IF(MAX(G26:I26)=H26,"貫通",IF(MAX(G26:I26)=I26,"打撃","射撃")))),E26)&amp;".webp"</f>
        <v>盾.webp</v>
      </c>
      <c r="CO26">
        <f>IFERROR(VLOOKUP($C26,武器!$1:$998,COLUMN(V$1),FALSE)*VLOOKUP($D26,素材!$1:$1016,COLUMN(N$1),FALSE)+IF(CJ26="",0,VLOOKUP($CJ26,装強!$1:$1008,COLUMN($CL$1),FALSE)),"")</f>
        <v>400</v>
      </c>
      <c r="CP26" t="str">
        <f>VLOOKUP(D26,素材!$A:$O,COLUMN(素材!O$1),FALSE)</f>
        <v>一般的な鉄。量産品を作るのに使用されることが多い</v>
      </c>
      <c r="CQ26" t="str">
        <f>VLOOKUP(C26,武器!$A:$W,COLUMN(武器!W$1),FALSE)</f>
        <v>大盾。さらに大きな盾で、高い防御力を持つ。</v>
      </c>
      <c r="CS26" t="str">
        <f t="shared" si="2"/>
        <v>e_26</v>
      </c>
      <c r="CT26">
        <f t="shared" si="4"/>
        <v>40000</v>
      </c>
    </row>
    <row r="27" spans="1:98" outlineLevel="1" x14ac:dyDescent="0.4">
      <c r="A27" t="str">
        <f t="shared" si="0"/>
        <v>鉄の短弓</v>
      </c>
      <c r="B27" t="str">
        <f>IFERROR(VLOOKUP($D27,素材!$1:$1016,COLUMN($B$1),FALSE)&amp;"・"&amp;VLOOKUP($C27,武器!$1:$998,COLUMN(B$1),FALSE),"")</f>
        <v>アイアン・ボウ</v>
      </c>
      <c r="C27" t="s">
        <v>218</v>
      </c>
      <c r="D27" s="24" t="s">
        <v>257</v>
      </c>
      <c r="E27" t="str">
        <f>IFERROR(VLOOKUP(C27,武器!$1:$998,COLUMN(C$1),FALSE),"")</f>
        <v>武器</v>
      </c>
      <c r="F27">
        <f>IFERROR(ROUNDDOWN((VLOOKUP($C27,武器!$1:$998,COLUMN(D$1),FALSE)+IFERROR(VLOOKUP($CJ27,装強!$1:$999,COLUMN(F$1),FALSE),0))*VLOOKUP($D27,素材!$1:$1016,COLUMN(D$1),FALSE),0),"")</f>
        <v>110</v>
      </c>
      <c r="G27">
        <f>IFERROR(ROUNDDOWN((VLOOKUP($C27,武器!$1:$998,COLUMN(E$1),FALSE)+IFERROR(VLOOKUP($CJ27,装強!$1:$999,COLUMN(G$1),FALSE),0))*VLOOKUP($D27,素材!$1:$1016,COLUMN($E$1),FALSE),0),"")</f>
        <v>5</v>
      </c>
      <c r="H27">
        <f>IFERROR(ROUNDDOWN((VLOOKUP($C27,武器!$1:$998,COLUMN(F$1),FALSE)+IFERROR(VLOOKUP($CJ27,装強!$1:$999,COLUMN(H$1),FALSE),0))*VLOOKUP($D27,素材!$1:$1016,COLUMN($E$1),FALSE),0),"")</f>
        <v>5</v>
      </c>
      <c r="I27">
        <f>IFERROR(ROUNDDOWN((VLOOKUP($C27,武器!$1:$998,COLUMN(G$1),FALSE)+IFERROR(VLOOKUP($CJ27,装強!$1:$999,COLUMN(I$1),FALSE),0))*VLOOKUP($D27,素材!$1:$1016,COLUMN($E$1),FALSE),0),"")</f>
        <v>0</v>
      </c>
      <c r="J27">
        <f>IFERROR(ROUNDDOWN((VLOOKUP($C27,武器!$1:$998,COLUMN(H$1),FALSE)+IFERROR(VLOOKUP($CJ27,装強!$1:$999,COLUMN(J$1),FALSE),0))*VLOOKUP($D27,素材!$1:$1016,COLUMN($E$1),FALSE),0),"")</f>
        <v>0</v>
      </c>
      <c r="K27">
        <f>IFERROR(ROUNDDOWN((VLOOKUP($C27,武器!$1:$998,COLUMN(I$1),FALSE)+IFERROR(VLOOKUP($CJ27,装強!$1:$999,COLUMN(K$1),FALSE),0))*VLOOKUP($D27,素材!$1:$1016,COLUMN($E$1),FALSE),0),"")</f>
        <v>20</v>
      </c>
      <c r="L27">
        <f>IFERROR(VLOOKUP($D27,素材!$1:$1016,COLUMN($F$1),FALSE),"")</f>
        <v>0</v>
      </c>
      <c r="M27">
        <f>IFERROR(VLOOKUP($C27,武器!$1:$998,COLUMN(AA$1),FALSE)*VLOOKUP($D27,素材!$1:$1016,COLUMN($G$1),FALSE),"")</f>
        <v>0</v>
      </c>
      <c r="N27">
        <f>IFERROR(VLOOKUP($C27,武器!$1:$998,COLUMN(I$1),FALSE),"")</f>
        <v>1</v>
      </c>
      <c r="O27" s="23">
        <f>IFERROR((VLOOKUP($C27,武器!$1:$998,COLUMN(K$1),FALSE)+VLOOKUP($D27,素材!$1:$1016,COLUMN(H$1),FALSE))*100+IFERROR(VLOOKUP($CJ27,装強!$1:$999,COLUMN(O$1),FALSE),0),"")</f>
        <v>10</v>
      </c>
      <c r="P27" s="23">
        <f>IFERROR((VLOOKUP($C27,武器!$1:$998,COLUMN(L$1),FALSE)+VLOOKUP($D27,素材!$1:$1016,COLUMN(I$1),FALSE))*100+IFERROR(VLOOKUP($CJ27,装強!$1:$999,COLUMN(P$1),FALSE),0),"")</f>
        <v>130</v>
      </c>
      <c r="Q27">
        <f>IFERROR(ROUNDUP(VLOOKUP($C27,武器!$1:$998,COLUMN(M$1),FALSE)*(VLOOKUP($D27,素材!$1:$1002,COLUMN(D$1),FALSE)/100),1),"")</f>
        <v>-2.5</v>
      </c>
      <c r="R27">
        <f>IFERROR(ROUNDUP(VLOOKUP($C27,武器!$1:$998,COLUMN(N$1),FALSE)*(VLOOKUP($D27,素材!$1:$1002,COLUMN(D$1),FALSE)/100),1),"")</f>
        <v>0</v>
      </c>
      <c r="S27">
        <f>IFERROR(VLOOKUP($C27,武器!$1:$998,COLUMN(P$1),FALSE),"")</f>
        <v>2</v>
      </c>
      <c r="T27">
        <f>IFERROR(VLOOKUP($C27,武器!$1:$998,COLUMN(Q$1),FALSE),"")</f>
        <v>0</v>
      </c>
      <c r="U27">
        <f>IFERROR(VLOOKUP($C27,武器!$1:$998,COLUMN(R$1),FALSE),"")</f>
        <v>0</v>
      </c>
      <c r="V27">
        <f>IFERROR(VLOOKUP($C27,武器!$1:$998,COLUMN(Q$1),FALSE),"")</f>
        <v>0</v>
      </c>
      <c r="W27" t="str">
        <f>IFERROR(VLOOKUP($C27,武器!$1:$998,COLUMN(T$1),FALSE),"")</f>
        <v>A</v>
      </c>
      <c r="Y27">
        <f>IFERROR(VLOOKUP($C27,武器!$1:$998,COLUMN(U$1),FALSE),"")</f>
        <v>0</v>
      </c>
      <c r="Z27">
        <f>IFERROR(ROUNDUP(VLOOKUP($C27,武器!$1:$998,COLUMN(O$1),FALSE)*VLOOKUP($D27,素材!$1:$1016,COLUMN(E$1),FALSE),1),"")</f>
        <v>0</v>
      </c>
      <c r="AA27">
        <f>IF(ISNUMBER(SEARCH(SUBSTITUTE(AA$1,RIGHT(AA$1,2),""),VLOOKUP($D27,素材!$1:$1016,COLUMN($F$1),FALSE))),VLOOKUP($C27,武器!$1:$998,COLUMN($O$1),FALSE)*VLOOKUP($D27,素材!$1:$1016,COLUMN($E$1),FALSE)/(LEN(VLOOKUP($D27,素材!$1:$1016,COLUMN($F$1),FALSE))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B27">
        <f>IF(ISNUMBER(SEARCH(SUBSTITUTE(AB$1,RIGHT(AB$1,2),""),VLOOKUP($D27,素材!$1:$1016,COLUMN($F$1),FALSE))),VLOOKUP($C27,武器!$1:$998,COLUMN($O$1),FALSE)*VLOOKUP($D27,素材!$1:$1016,COLUMN($E$1),FALSE)/(LEN(VLOOKUP($D27,素材!$1:$1016,COLUMN($F$1),FALSE))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C27">
        <f>IF(ISNUMBER(SEARCH(SUBSTITUTE(AC$1,RIGHT(AC$1,2),""),VLOOKUP($D27,素材!$1:$1016,COLUMN($F$1),FALSE))),VLOOKUP($C27,武器!$1:$998,COLUMN($O$1),FALSE)*VLOOKUP($D27,素材!$1:$1016,COLUMN($E$1),FALSE)/(LEN(VLOOKUP($D27,素材!$1:$1016,COLUMN($F$1),FALSE))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D27">
        <f>IF(ISNUMBER(SEARCH(SUBSTITUTE(AD$1,RIGHT(AD$1,2),""),VLOOKUP($D27,素材!$1:$1016,COLUMN($F$1),FALSE))),VLOOKUP($C27,武器!$1:$998,COLUMN($O$1),FALSE)*VLOOKUP($D27,素材!$1:$1016,COLUMN($E$1),FALSE)/(LEN(VLOOKUP($D27,素材!$1:$1016,COLUMN($F$1),FALSE))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E27">
        <f>IF(ISNUMBER(SEARCH(SUBSTITUTE(AE$1,RIGHT(AE$1,2),""),VLOOKUP($D27,素材!$1:$1016,COLUMN($F$1),FALSE))),VLOOKUP($C27,武器!$1:$998,COLUMN($O$1),FALSE)*VLOOKUP($D27,素材!$1:$1016,COLUMN($E$1),FALSE)/(LEN(VLOOKUP($D27,素材!$1:$1016,COLUMN($F$1),FALSE))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F27">
        <f>IF(ISNUMBER(SEARCH(SUBSTITUTE(AF$1,RIGHT(AF$1,2),""),VLOOKUP($D27,素材!$1:$1016,COLUMN($F$1),FALSE))),VLOOKUP($C27,武器!$1:$998,COLUMN($O$1),FALSE)*VLOOKUP($D27,素材!$1:$1016,COLUMN($E$1),FALSE)/(LEN(VLOOKUP($D27,素材!$1:$1016,COLUMN($F$1),FALSE))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G27">
        <f>IF(ISNUMBER(SEARCH(SUBSTITUTE(AG$1,RIGHT(AG$1,2),""),VLOOKUP($D27,素材!$1:$1016,COLUMN($F$1),FALSE))),VLOOKUP($C27,武器!$1:$998,COLUMN($O$1),FALSE)*VLOOKUP($D27,素材!$1:$1016,COLUMN($E$1),FALSE)/(LEN(VLOOKUP($D27,素材!$1:$1016,COLUMN($F$1),FALSE))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H27">
        <f>IF(ISNUMBER(SEARCH(SUBSTITUTE(AH$1,RIGHT(AH$1,2),""),VLOOKUP($D27,素材!$1:$1016,COLUMN($F$1),FALSE))),VLOOKUP($C27,武器!$1:$998,COLUMN($O$1),FALSE)*VLOOKUP($D27,素材!$1:$1016,COLUMN($E$1),FALSE)/(LEN(VLOOKUP($D27,素材!$1:$1016,COLUMN($F$1),FALSE))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I27">
        <f>IF(ISNUMBER(SEARCH(SUBSTITUTE(AI$1,RIGHT(AI$1,2),""),VLOOKUP($D27,素材!$1:$1016,COLUMN($F$1),FALSE))),VLOOKUP($C27,武器!$1:$998,COLUMN($O$1),FALSE)*VLOOKUP($D27,素材!$1:$1016,COLUMN($E$1),FALSE)/(LEN(VLOOKUP($D27,素材!$1:$1016,COLUMN($F$1),FALSE))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J27">
        <f>IF(ISNUMBER(SEARCH(SUBSTITUTE(AJ$1,RIGHT(AJ$1,2),""),VLOOKUP($D27,素材!$1:$1016,COLUMN($F$1),FALSE))),VLOOKUP($C27,武器!$1:$998,COLUMN($O$1),FALSE)*VLOOKUP($D27,素材!$1:$1016,COLUMN($E$1),FALSE)/(LEN(VLOOKUP($D27,素材!$1:$1016,COLUMN($F$1),FALSE))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K27">
        <f>IF(ISNUMBER(SEARCH(SUBSTITUTE(AK$1,RIGHT(AK$1,2),""),VLOOKUP($D27,素材!$1:$1016,COLUMN($F$1),FALSE))),VLOOKUP($C27,武器!$1:$998,COLUMN($O$1),FALSE)*VLOOKUP($D27,素材!$1:$1016,COLUMN($E$1),FALSE)/(LEN(VLOOKUP($D27,素材!$1:$1016,COLUMN($F$1),FALSE))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L27">
        <f>IF(ISNUMBER(SEARCH(SUBSTITUTE(AL$1,RIGHT(AL$1,2),""),VLOOKUP($D27,素材!$1:$1016,COLUMN($F$1),FALSE))),VLOOKUP($C27,武器!$1:$998,COLUMN($O$1),FALSE)*VLOOKUP($D27,素材!$1:$1016,COLUMN($E$1),FALSE)/(LEN(VLOOKUP($D27,素材!$1:$1016,COLUMN($F$1),FALSE))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M27">
        <f>IF(ISNUMBER(SEARCH(SUBSTITUTE(AM$1,RIGHT(AM$1,2),""),VLOOKUP($D27,素材!$1:$1016,COLUMN($F$1),FALSE))),VLOOKUP($C27,武器!$1:$998,COLUMN($O$1),FALSE)*VLOOKUP($D27,素材!$1:$1016,COLUMN($E$1),FALSE)/(LEN(VLOOKUP($D27,素材!$1:$1016,COLUMN($F$1),FALSE))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N27">
        <f>IF(ISNUMBER(SEARCH(SUBSTITUTE(AN$1,RIGHT(AN$1,2),""),VLOOKUP($D27,素材!$1:$1016,COLUMN($F$1),FALSE))),VLOOKUP($C27,武器!$1:$998,COLUMN($O$1),FALSE)*VLOOKUP($D27,素材!$1:$1016,COLUMN($E$1),FALSE)/(LEN(VLOOKUP($D27,素材!$1:$1016,COLUMN($F$1),FALSE))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O27">
        <f>IF(ISNUMBER(SEARCH(SUBSTITUTE(AO$1,RIGHT(AO$1,2),""),VLOOKUP($D27,素材!$1:$1016,COLUMN($F$1),FALSE))),VLOOKUP($C27,武器!$1:$998,COLUMN($O$1),FALSE)*VLOOKUP($D27,素材!$1:$1016,COLUMN($E$1),FALSE)/(LEN(VLOOKUP($D27,素材!$1:$1016,COLUMN($F$1),FALSE))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P27">
        <f>IF(ISNUMBER(SEARCH(SUBSTITUTE(AP$1,RIGHT(AP$1,2),""),VLOOKUP($D27,素材!$1:$1016,COLUMN($F$1),FALSE))),VLOOKUP($C27,武器!$1:$998,COLUMN($O$1),FALSE)*VLOOKUP($D27,素材!$1:$1016,COLUMN($E$1),FALSE)/(LEN(VLOOKUP($D27,素材!$1:$1016,COLUMN($F$1),FALSE))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Q27">
        <f>IF(ISNUMBER(SEARCH(SUBSTITUTE(AQ$1,RIGHT(AQ$1,2),""),VLOOKUP($D27,素材!$1:$1016,COLUMN($F$1),FALSE))),VLOOKUP($C27,武器!$1:$998,COLUMN($O$1),FALSE)*VLOOKUP($D27,素材!$1:$1016,COLUMN($E$1),FALSE)/(LEN(VLOOKUP($D27,素材!$1:$1016,COLUMN($F$1),FALSE))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R27">
        <f>IF(ISNUMBER(SEARCH(SUBSTITUTE(AR$1,RIGHT(AR$1,2),""),VLOOKUP($D27,素材!$1:$1016,COLUMN($F$1),FALSE))),VLOOKUP($C27,武器!$1:$998,COLUMN($O$1),FALSE)*VLOOKUP($D27,素材!$1:$1016,COLUMN($E$1),FALSE)/(LEN(VLOOKUP($D27,素材!$1:$1016,COLUMN($F$1),FALSE))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S27">
        <f>IF(ISNUMBER(SEARCH(SUBSTITUTE(AS$1,RIGHT(AS$1,2),""),VLOOKUP($D27,素材!$1:$1016,COLUMN($F$1),FALSE))),VLOOKUP($C27,武器!$1:$998,COLUMN($O$1),FALSE)*VLOOKUP($D27,素材!$1:$1016,COLUMN($E$1),FALSE)/(LEN(VLOOKUP($D27,素材!$1:$1016,COLUMN($F$1),FALSE))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T27">
        <f>IF(ISNUMBER(SEARCH(SUBSTITUTE(AT$1,RIGHT(AT$1,2),""),VLOOKUP($D27,素材!$1:$1016,COLUMN($F$1),FALSE))),VLOOKUP($C27,武器!$1:$998,COLUMN($O$1),FALSE)*VLOOKUP($D27,素材!$1:$1016,COLUMN($E$1),FALSE)/(LEN(VLOOKUP($D27,素材!$1:$1016,COLUMN($F$1),FALSE))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U27">
        <f>IF(ISNUMBER(SEARCH(SUBSTITUTE(AU$1,RIGHT(AU$1,2),""),VLOOKUP($D27,素材!$1:$1016,COLUMN($F$1),FALSE))),VLOOKUP($C27,武器!$1:$998,COLUMN($O$1),FALSE)*VLOOKUP($D27,素材!$1:$1016,COLUMN($E$1),FALSE)/(LEN(VLOOKUP($D27,素材!$1:$1016,COLUMN($F$1),FALSE))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V27">
        <f>IF(ISNUMBER(SEARCH(SUBSTITUTE(AV$1,RIGHT(AV$1,2),""),VLOOKUP($D27,素材!$1:$1016,COLUMN($F$1),FALSE))),VLOOKUP($C27,武器!$1:$998,COLUMN($O$1),FALSE)*VLOOKUP($D27,素材!$1:$1016,COLUMN($E$1),FALSE)/(LEN(VLOOKUP($D27,素材!$1:$1016,COLUMN($F$1),FALSE))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W27">
        <f>IF(ISNUMBER(SEARCH(SUBSTITUTE(AW$1,RIGHT(AW$1,2),""),VLOOKUP($D27,素材!$1:$1016,COLUMN($F$1),FALSE))),VLOOKUP($C27,武器!$1:$998,COLUMN($O$1),FALSE)*VLOOKUP($D27,素材!$1:$1016,COLUMN($E$1),FALSE)/(LEN(VLOOKUP($D27,素材!$1:$1016,COLUMN($F$1),FALSE))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X27">
        <f>IF(ISNUMBER(SEARCH(SUBSTITUTE(AX$1,RIGHT(AX$1,2),""),VLOOKUP($D27,素材!$1:$1016,COLUMN($F$1),FALSE))),VLOOKUP($C27,武器!$1:$998,COLUMN($O$1),FALSE)*VLOOKUP($D27,素材!$1:$1016,COLUMN($E$1),FALSE)/(LEN(VLOOKUP($D27,素材!$1:$1016,COLUMN($F$1),FALSE))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Y27">
        <f>IF(ISNUMBER(SEARCH(SUBSTITUTE(AY$1,RIGHT(AY$1,2),""),VLOOKUP($D27,素材!$1:$1016,COLUMN($F$1),FALSE))),VLOOKUP($C27,武器!$1:$998,COLUMN($O$1),FALSE)*VLOOKUP($D27,素材!$1:$1016,COLUMN($E$1),FALSE)/(LEN(VLOOKUP($D27,素材!$1:$1016,COLUMN($F$1),FALSE))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AZ27">
        <f>IF(ISNUMBER(SEARCH(SUBSTITUTE(AZ$1,RIGHT(AZ$1,2),""),VLOOKUP($D27,素材!$1:$1016,COLUMN($F$1),FALSE))),VLOOKUP($C27,武器!$1:$998,COLUMN($O$1),FALSE)*VLOOKUP($D27,素材!$1:$1016,COLUMN($E$1),FALSE)/(LEN(VLOOKUP($D27,素材!$1:$1016,COLUMN($F$1),FALSE))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BA27">
        <f>IF(ISNUMBER(SEARCH(SUBSTITUTE(BA$1,RIGHT(BA$1,2),""),VLOOKUP($D27,素材!$1:$1016,COLUMN($F$1),FALSE))),VLOOKUP($C27,武器!$1:$998,COLUMN($O$1),FALSE)*VLOOKUP($D27,素材!$1:$1016,COLUMN($E$1),FALSE)/(LEN(VLOOKUP($D27,素材!$1:$1016,COLUMN($F$1),FALSE))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BB27">
        <f>IF(ISNUMBER(SEARCH(SUBSTITUTE(BB$1,RIGHT(BB$1,2),""),VLOOKUP($D27,素材!$1:$1016,COLUMN($F$1),FALSE))),VLOOKUP($C27,武器!$1:$998,COLUMN($O$1),FALSE)*VLOOKUP($D27,素材!$1:$1016,COLUMN($E$1),FALSE)/(LEN(VLOOKUP($D27,素材!$1:$1016,COLUMN($F$1),FALSE))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BC27">
        <f>IF(ISNUMBER(SEARCH(SUBSTITUTE(BC$1,RIGHT(BC$1,2),""),VLOOKUP($D27,素材!$1:$1016,COLUMN($F$1),FALSE))),VLOOKUP($C27,武器!$1:$998,COLUMN($O$1),FALSE)*VLOOKUP($D27,素材!$1:$1016,COLUMN($E$1),FALSE)/(LEN(VLOOKUP($D27,素材!$1:$1016,COLUMN($F$1),FALSE))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BD27">
        <f>IF(ISNUMBER(SEARCH(SUBSTITUTE(BD$1,RIGHT(BD$1,2),""),VLOOKUP($D27,素材!$1:$1016,COLUMN($F$1),FALSE))),VLOOKUP($C27,武器!$1:$998,COLUMN($O$1),FALSE)*VLOOKUP($D27,素材!$1:$1016,COLUMN($E$1),FALSE)/(LEN(VLOOKUP($D27,素材!$1:$1016,COLUMN($F$1),FALSE))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BE27">
        <f>IF(ISNUMBER(SEARCH(SUBSTITUTE(BE$1,RIGHT(BE$1,2),""),VLOOKUP($D27,素材!$1:$1016,COLUMN($F$1),FALSE))),VLOOKUP($C27,武器!$1:$998,COLUMN($O$1),FALSE)*VLOOKUP($D27,素材!$1:$1016,COLUMN($E$1),FALSE)/(LEN(VLOOKUP($D27,素材!$1:$1016,COLUMN($F$1),FALSE))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BF27">
        <f>IF(ISNUMBER(SEARCH(SUBSTITUTE(BF$1,RIGHT(BF$1,2),""),VLOOKUP($D27,素材!$1:$1016,COLUMN($F$1),FALSE))),VLOOKUP($C27,武器!$1:$998,COLUMN($O$1),FALSE)*VLOOKUP($D27,素材!$1:$1016,COLUMN($E$1),FALSE)/(LEN(VLOOKUP($D27,素材!$1:$1016,COLUMN($F$1),FALSE)) - LEN(SUBSTITUTE(VLOOKUP($D27,素材!$1:$1016,COLUMN($F$1),FALSE), "・", 0)) + 1), 0)</f>
        <v>0</v>
      </c>
      <c r="CM27">
        <f t="shared" si="3"/>
        <v>10</v>
      </c>
      <c r="CN27" s="22" t="str">
        <f>IF(E27="武器",IF(J27-1&gt;SUM(G27:I27),"盾",IF(MAX(G27:I27)=G27,"切断",IF(MAX(G27:I27)=H27,"貫通",IF(MAX(G27:I27)=I27,"打撃","射撃")))),E27)&amp;".webp"</f>
        <v>切断.webp</v>
      </c>
      <c r="CO27">
        <f>IFERROR(VLOOKUP($C27,武器!$1:$998,COLUMN(V$1),FALSE)*VLOOKUP($D27,素材!$1:$1016,COLUMN(N$1),FALSE)+IF(CJ27="",0,VLOOKUP($CJ27,装強!$1:$1008,COLUMN($CL$1),FALSE)),"")</f>
        <v>300</v>
      </c>
      <c r="CP27" t="str">
        <f>VLOOKUP(D27,素材!$A:$O,COLUMN(素材!O$1),FALSE)</f>
        <v>一般的な鉄。量産品を作るのに使用されることが多い</v>
      </c>
      <c r="CQ27" t="str">
        <f>VLOOKUP(C27,武器!$A:$W,COLUMN(武器!W$1),FALSE)</f>
        <v>短弓。軽量で扱いやすい遠距離武器。</v>
      </c>
      <c r="CS27" t="str">
        <f t="shared" si="2"/>
        <v>e_27</v>
      </c>
      <c r="CT27">
        <f t="shared" si="4"/>
        <v>30000</v>
      </c>
    </row>
    <row r="28" spans="1:98" outlineLevel="1" x14ac:dyDescent="0.4">
      <c r="A28" t="str">
        <f t="shared" si="0"/>
        <v>鉄の長弓</v>
      </c>
      <c r="B28" t="str">
        <f>IFERROR(VLOOKUP($D28,素材!$1:$1016,COLUMN($B$1),FALSE)&amp;"・"&amp;VLOOKUP($C28,武器!$1:$998,COLUMN(B$1),FALSE),"")</f>
        <v>アイアン・ロングボウ</v>
      </c>
      <c r="C28" t="s">
        <v>217</v>
      </c>
      <c r="D28" s="24" t="s">
        <v>257</v>
      </c>
      <c r="E28" t="str">
        <f>IFERROR(VLOOKUP(C28,武器!$1:$998,COLUMN(C$1),FALSE),"")</f>
        <v>武器</v>
      </c>
      <c r="F28">
        <f>IFERROR(ROUNDDOWN((VLOOKUP($C28,武器!$1:$998,COLUMN(D$1),FALSE)+IFERROR(VLOOKUP($CJ28,装強!$1:$999,COLUMN(F$1),FALSE),0))*VLOOKUP($D28,素材!$1:$1016,COLUMN(D$1),FALSE),0),"")</f>
        <v>120</v>
      </c>
      <c r="G28">
        <f>IFERROR(ROUNDDOWN((VLOOKUP($C28,武器!$1:$998,COLUMN(E$1),FALSE)+IFERROR(VLOOKUP($CJ28,装強!$1:$999,COLUMN(G$1),FALSE),0))*VLOOKUP($D28,素材!$1:$1016,COLUMN($E$1),FALSE),0),"")</f>
        <v>5</v>
      </c>
      <c r="H28">
        <f>IFERROR(ROUNDDOWN((VLOOKUP($C28,武器!$1:$998,COLUMN(F$1),FALSE)+IFERROR(VLOOKUP($CJ28,装強!$1:$999,COLUMN(H$1),FALSE),0))*VLOOKUP($D28,素材!$1:$1016,COLUMN($E$1),FALSE),0),"")</f>
        <v>5</v>
      </c>
      <c r="I28">
        <f>IFERROR(ROUNDDOWN((VLOOKUP($C28,武器!$1:$998,COLUMN(G$1),FALSE)+IFERROR(VLOOKUP($CJ28,装強!$1:$999,COLUMN(I$1),FALSE),0))*VLOOKUP($D28,素材!$1:$1016,COLUMN($E$1),FALSE),0),"")</f>
        <v>0</v>
      </c>
      <c r="J28">
        <f>IFERROR(ROUNDDOWN((VLOOKUP($C28,武器!$1:$998,COLUMN(H$1),FALSE)+IFERROR(VLOOKUP($CJ28,装強!$1:$999,COLUMN(J$1),FALSE),0))*VLOOKUP($D28,素材!$1:$1016,COLUMN($E$1),FALSE),0),"")</f>
        <v>0</v>
      </c>
      <c r="K28">
        <f>IFERROR(ROUNDDOWN((VLOOKUP($C28,武器!$1:$998,COLUMN(I$1),FALSE)+IFERROR(VLOOKUP($CJ28,装強!$1:$999,COLUMN(K$1),FALSE),0))*VLOOKUP($D28,素材!$1:$1016,COLUMN($E$1),FALSE),0),"")</f>
        <v>23</v>
      </c>
      <c r="L28">
        <f>IFERROR(VLOOKUP($D28,素材!$1:$1016,COLUMN($F$1),FALSE),"")</f>
        <v>0</v>
      </c>
      <c r="M28">
        <f>IFERROR(VLOOKUP($C28,武器!$1:$998,COLUMN(AA$1),FALSE)*VLOOKUP($D28,素材!$1:$1016,COLUMN($G$1),FALSE),"")</f>
        <v>0</v>
      </c>
      <c r="N28">
        <f>IFERROR(VLOOKUP($C28,武器!$1:$998,COLUMN(I$1),FALSE),"")</f>
        <v>1.1499999999999999</v>
      </c>
      <c r="O28" s="23">
        <f>IFERROR((VLOOKUP($C28,武器!$1:$998,COLUMN(K$1),FALSE)+VLOOKUP($D28,素材!$1:$1016,COLUMN(H$1),FALSE))*100+IFERROR(VLOOKUP($CJ28,装強!$1:$999,COLUMN(O$1),FALSE),0),"")</f>
        <v>10</v>
      </c>
      <c r="P28" s="23">
        <f>IFERROR((VLOOKUP($C28,武器!$1:$998,COLUMN(L$1),FALSE)+VLOOKUP($D28,素材!$1:$1016,COLUMN(I$1),FALSE))*100+IFERROR(VLOOKUP($CJ28,装強!$1:$999,COLUMN(P$1),FALSE),0),"")</f>
        <v>130</v>
      </c>
      <c r="Q28">
        <f>IFERROR(ROUNDUP(VLOOKUP($C28,武器!$1:$998,COLUMN(M$1),FALSE)*(VLOOKUP($D28,素材!$1:$1002,COLUMN(D$1),FALSE)/100),1),"")</f>
        <v>-5</v>
      </c>
      <c r="R28">
        <f>IFERROR(ROUNDUP(VLOOKUP($C28,武器!$1:$998,COLUMN(N$1),FALSE)*(VLOOKUP($D28,素材!$1:$1002,COLUMN(D$1),FALSE)/100),1),"")</f>
        <v>-2.5</v>
      </c>
      <c r="S28">
        <f>IFERROR(VLOOKUP($C28,武器!$1:$998,COLUMN(P$1),FALSE),"")</f>
        <v>2</v>
      </c>
      <c r="T28">
        <f>IFERROR(VLOOKUP($C28,武器!$1:$998,COLUMN(Q$1),FALSE),"")</f>
        <v>0</v>
      </c>
      <c r="U28">
        <f>IFERROR(VLOOKUP($C28,武器!$1:$998,COLUMN(R$1),FALSE),"")</f>
        <v>0</v>
      </c>
      <c r="V28">
        <f>IFERROR(VLOOKUP($C28,武器!$1:$998,COLUMN(Q$1),FALSE),"")</f>
        <v>0</v>
      </c>
      <c r="W28" t="str">
        <f>IFERROR(VLOOKUP($C28,武器!$1:$998,COLUMN(T$1),FALSE),"")</f>
        <v>A</v>
      </c>
      <c r="Y28">
        <f>IFERROR(VLOOKUP($C28,武器!$1:$998,COLUMN(U$1),FALSE),"")</f>
        <v>0</v>
      </c>
      <c r="Z28">
        <f>IFERROR(ROUNDUP(VLOOKUP($C28,武器!$1:$998,COLUMN(O$1),FALSE)*VLOOKUP($D28,素材!$1:$1016,COLUMN(E$1),FALSE),1),"")</f>
        <v>0</v>
      </c>
      <c r="AA28">
        <f>IF(ISNUMBER(SEARCH(SUBSTITUTE(AA$1,RIGHT(AA$1,2),""),VLOOKUP($D28,素材!$1:$1016,COLUMN($F$1),FALSE))),VLOOKUP($C28,武器!$1:$998,COLUMN($O$1),FALSE)*VLOOKUP($D28,素材!$1:$1016,COLUMN($E$1),FALSE)/(LEN(VLOOKUP($D28,素材!$1:$1016,COLUMN($F$1),FALSE))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B28">
        <f>IF(ISNUMBER(SEARCH(SUBSTITUTE(AB$1,RIGHT(AB$1,2),""),VLOOKUP($D28,素材!$1:$1016,COLUMN($F$1),FALSE))),VLOOKUP($C28,武器!$1:$998,COLUMN($O$1),FALSE)*VLOOKUP($D28,素材!$1:$1016,COLUMN($E$1),FALSE)/(LEN(VLOOKUP($D28,素材!$1:$1016,COLUMN($F$1),FALSE))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C28">
        <f>IF(ISNUMBER(SEARCH(SUBSTITUTE(AC$1,RIGHT(AC$1,2),""),VLOOKUP($D28,素材!$1:$1016,COLUMN($F$1),FALSE))),VLOOKUP($C28,武器!$1:$998,COLUMN($O$1),FALSE)*VLOOKUP($D28,素材!$1:$1016,COLUMN($E$1),FALSE)/(LEN(VLOOKUP($D28,素材!$1:$1016,COLUMN($F$1),FALSE))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D28">
        <f>IF(ISNUMBER(SEARCH(SUBSTITUTE(AD$1,RIGHT(AD$1,2),""),VLOOKUP($D28,素材!$1:$1016,COLUMN($F$1),FALSE))),VLOOKUP($C28,武器!$1:$998,COLUMN($O$1),FALSE)*VLOOKUP($D28,素材!$1:$1016,COLUMN($E$1),FALSE)/(LEN(VLOOKUP($D28,素材!$1:$1016,COLUMN($F$1),FALSE))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E28">
        <f>IF(ISNUMBER(SEARCH(SUBSTITUTE(AE$1,RIGHT(AE$1,2),""),VLOOKUP($D28,素材!$1:$1016,COLUMN($F$1),FALSE))),VLOOKUP($C28,武器!$1:$998,COLUMN($O$1),FALSE)*VLOOKUP($D28,素材!$1:$1016,COLUMN($E$1),FALSE)/(LEN(VLOOKUP($D28,素材!$1:$1016,COLUMN($F$1),FALSE))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F28">
        <f>IF(ISNUMBER(SEARCH(SUBSTITUTE(AF$1,RIGHT(AF$1,2),""),VLOOKUP($D28,素材!$1:$1016,COLUMN($F$1),FALSE))),VLOOKUP($C28,武器!$1:$998,COLUMN($O$1),FALSE)*VLOOKUP($D28,素材!$1:$1016,COLUMN($E$1),FALSE)/(LEN(VLOOKUP($D28,素材!$1:$1016,COLUMN($F$1),FALSE))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G28">
        <f>IF(ISNUMBER(SEARCH(SUBSTITUTE(AG$1,RIGHT(AG$1,2),""),VLOOKUP($D28,素材!$1:$1016,COLUMN($F$1),FALSE))),VLOOKUP($C28,武器!$1:$998,COLUMN($O$1),FALSE)*VLOOKUP($D28,素材!$1:$1016,COLUMN($E$1),FALSE)/(LEN(VLOOKUP($D28,素材!$1:$1016,COLUMN($F$1),FALSE))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H28">
        <f>IF(ISNUMBER(SEARCH(SUBSTITUTE(AH$1,RIGHT(AH$1,2),""),VLOOKUP($D28,素材!$1:$1016,COLUMN($F$1),FALSE))),VLOOKUP($C28,武器!$1:$998,COLUMN($O$1),FALSE)*VLOOKUP($D28,素材!$1:$1016,COLUMN($E$1),FALSE)/(LEN(VLOOKUP($D28,素材!$1:$1016,COLUMN($F$1),FALSE))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I28">
        <f>IF(ISNUMBER(SEARCH(SUBSTITUTE(AI$1,RIGHT(AI$1,2),""),VLOOKUP($D28,素材!$1:$1016,COLUMN($F$1),FALSE))),VLOOKUP($C28,武器!$1:$998,COLUMN($O$1),FALSE)*VLOOKUP($D28,素材!$1:$1016,COLUMN($E$1),FALSE)/(LEN(VLOOKUP($D28,素材!$1:$1016,COLUMN($F$1),FALSE))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J28">
        <f>IF(ISNUMBER(SEARCH(SUBSTITUTE(AJ$1,RIGHT(AJ$1,2),""),VLOOKUP($D28,素材!$1:$1016,COLUMN($F$1),FALSE))),VLOOKUP($C28,武器!$1:$998,COLUMN($O$1),FALSE)*VLOOKUP($D28,素材!$1:$1016,COLUMN($E$1),FALSE)/(LEN(VLOOKUP($D28,素材!$1:$1016,COLUMN($F$1),FALSE))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K28">
        <f>IF(ISNUMBER(SEARCH(SUBSTITUTE(AK$1,RIGHT(AK$1,2),""),VLOOKUP($D28,素材!$1:$1016,COLUMN($F$1),FALSE))),VLOOKUP($C28,武器!$1:$998,COLUMN($O$1),FALSE)*VLOOKUP($D28,素材!$1:$1016,COLUMN($E$1),FALSE)/(LEN(VLOOKUP($D28,素材!$1:$1016,COLUMN($F$1),FALSE))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L28">
        <f>IF(ISNUMBER(SEARCH(SUBSTITUTE(AL$1,RIGHT(AL$1,2),""),VLOOKUP($D28,素材!$1:$1016,COLUMN($F$1),FALSE))),VLOOKUP($C28,武器!$1:$998,COLUMN($O$1),FALSE)*VLOOKUP($D28,素材!$1:$1016,COLUMN($E$1),FALSE)/(LEN(VLOOKUP($D28,素材!$1:$1016,COLUMN($F$1),FALSE))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M28">
        <f>IF(ISNUMBER(SEARCH(SUBSTITUTE(AM$1,RIGHT(AM$1,2),""),VLOOKUP($D28,素材!$1:$1016,COLUMN($F$1),FALSE))),VLOOKUP($C28,武器!$1:$998,COLUMN($O$1),FALSE)*VLOOKUP($D28,素材!$1:$1016,COLUMN($E$1),FALSE)/(LEN(VLOOKUP($D28,素材!$1:$1016,COLUMN($F$1),FALSE))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N28">
        <f>IF(ISNUMBER(SEARCH(SUBSTITUTE(AN$1,RIGHT(AN$1,2),""),VLOOKUP($D28,素材!$1:$1016,COLUMN($F$1),FALSE))),VLOOKUP($C28,武器!$1:$998,COLUMN($O$1),FALSE)*VLOOKUP($D28,素材!$1:$1016,COLUMN($E$1),FALSE)/(LEN(VLOOKUP($D28,素材!$1:$1016,COLUMN($F$1),FALSE))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O28">
        <f>IF(ISNUMBER(SEARCH(SUBSTITUTE(AO$1,RIGHT(AO$1,2),""),VLOOKUP($D28,素材!$1:$1016,COLUMN($F$1),FALSE))),VLOOKUP($C28,武器!$1:$998,COLUMN($O$1),FALSE)*VLOOKUP($D28,素材!$1:$1016,COLUMN($E$1),FALSE)/(LEN(VLOOKUP($D28,素材!$1:$1016,COLUMN($F$1),FALSE))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P28">
        <f>IF(ISNUMBER(SEARCH(SUBSTITUTE(AP$1,RIGHT(AP$1,2),""),VLOOKUP($D28,素材!$1:$1016,COLUMN($F$1),FALSE))),VLOOKUP($C28,武器!$1:$998,COLUMN($O$1),FALSE)*VLOOKUP($D28,素材!$1:$1016,COLUMN($E$1),FALSE)/(LEN(VLOOKUP($D28,素材!$1:$1016,COLUMN($F$1),FALSE))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Q28">
        <f>IF(ISNUMBER(SEARCH(SUBSTITUTE(AQ$1,RIGHT(AQ$1,2),""),VLOOKUP($D28,素材!$1:$1016,COLUMN($F$1),FALSE))),VLOOKUP($C28,武器!$1:$998,COLUMN($O$1),FALSE)*VLOOKUP($D28,素材!$1:$1016,COLUMN($E$1),FALSE)/(LEN(VLOOKUP($D28,素材!$1:$1016,COLUMN($F$1),FALSE))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R28">
        <f>IF(ISNUMBER(SEARCH(SUBSTITUTE(AR$1,RIGHT(AR$1,2),""),VLOOKUP($D28,素材!$1:$1016,COLUMN($F$1),FALSE))),VLOOKUP($C28,武器!$1:$998,COLUMN($O$1),FALSE)*VLOOKUP($D28,素材!$1:$1016,COLUMN($E$1),FALSE)/(LEN(VLOOKUP($D28,素材!$1:$1016,COLUMN($F$1),FALSE))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S28">
        <f>IF(ISNUMBER(SEARCH(SUBSTITUTE(AS$1,RIGHT(AS$1,2),""),VLOOKUP($D28,素材!$1:$1016,COLUMN($F$1),FALSE))),VLOOKUP($C28,武器!$1:$998,COLUMN($O$1),FALSE)*VLOOKUP($D28,素材!$1:$1016,COLUMN($E$1),FALSE)/(LEN(VLOOKUP($D28,素材!$1:$1016,COLUMN($F$1),FALSE))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T28">
        <f>IF(ISNUMBER(SEARCH(SUBSTITUTE(AT$1,RIGHT(AT$1,2),""),VLOOKUP($D28,素材!$1:$1016,COLUMN($F$1),FALSE))),VLOOKUP($C28,武器!$1:$998,COLUMN($O$1),FALSE)*VLOOKUP($D28,素材!$1:$1016,COLUMN($E$1),FALSE)/(LEN(VLOOKUP($D28,素材!$1:$1016,COLUMN($F$1),FALSE))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U28">
        <f>IF(ISNUMBER(SEARCH(SUBSTITUTE(AU$1,RIGHT(AU$1,2),""),VLOOKUP($D28,素材!$1:$1016,COLUMN($F$1),FALSE))),VLOOKUP($C28,武器!$1:$998,COLUMN($O$1),FALSE)*VLOOKUP($D28,素材!$1:$1016,COLUMN($E$1),FALSE)/(LEN(VLOOKUP($D28,素材!$1:$1016,COLUMN($F$1),FALSE))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V28">
        <f>IF(ISNUMBER(SEARCH(SUBSTITUTE(AV$1,RIGHT(AV$1,2),""),VLOOKUP($D28,素材!$1:$1016,COLUMN($F$1),FALSE))),VLOOKUP($C28,武器!$1:$998,COLUMN($O$1),FALSE)*VLOOKUP($D28,素材!$1:$1016,COLUMN($E$1),FALSE)/(LEN(VLOOKUP($D28,素材!$1:$1016,COLUMN($F$1),FALSE))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W28">
        <f>IF(ISNUMBER(SEARCH(SUBSTITUTE(AW$1,RIGHT(AW$1,2),""),VLOOKUP($D28,素材!$1:$1016,COLUMN($F$1),FALSE))),VLOOKUP($C28,武器!$1:$998,COLUMN($O$1),FALSE)*VLOOKUP($D28,素材!$1:$1016,COLUMN($E$1),FALSE)/(LEN(VLOOKUP($D28,素材!$1:$1016,COLUMN($F$1),FALSE))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X28">
        <f>IF(ISNUMBER(SEARCH(SUBSTITUTE(AX$1,RIGHT(AX$1,2),""),VLOOKUP($D28,素材!$1:$1016,COLUMN($F$1),FALSE))),VLOOKUP($C28,武器!$1:$998,COLUMN($O$1),FALSE)*VLOOKUP($D28,素材!$1:$1016,COLUMN($E$1),FALSE)/(LEN(VLOOKUP($D28,素材!$1:$1016,COLUMN($F$1),FALSE))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Y28">
        <f>IF(ISNUMBER(SEARCH(SUBSTITUTE(AY$1,RIGHT(AY$1,2),""),VLOOKUP($D28,素材!$1:$1016,COLUMN($F$1),FALSE))),VLOOKUP($C28,武器!$1:$998,COLUMN($O$1),FALSE)*VLOOKUP($D28,素材!$1:$1016,COLUMN($E$1),FALSE)/(LEN(VLOOKUP($D28,素材!$1:$1016,COLUMN($F$1),FALSE))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AZ28">
        <f>IF(ISNUMBER(SEARCH(SUBSTITUTE(AZ$1,RIGHT(AZ$1,2),""),VLOOKUP($D28,素材!$1:$1016,COLUMN($F$1),FALSE))),VLOOKUP($C28,武器!$1:$998,COLUMN($O$1),FALSE)*VLOOKUP($D28,素材!$1:$1016,COLUMN($E$1),FALSE)/(LEN(VLOOKUP($D28,素材!$1:$1016,COLUMN($F$1),FALSE))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BA28">
        <f>IF(ISNUMBER(SEARCH(SUBSTITUTE(BA$1,RIGHT(BA$1,2),""),VLOOKUP($D28,素材!$1:$1016,COLUMN($F$1),FALSE))),VLOOKUP($C28,武器!$1:$998,COLUMN($O$1),FALSE)*VLOOKUP($D28,素材!$1:$1016,COLUMN($E$1),FALSE)/(LEN(VLOOKUP($D28,素材!$1:$1016,COLUMN($F$1),FALSE))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BB28">
        <f>IF(ISNUMBER(SEARCH(SUBSTITUTE(BB$1,RIGHT(BB$1,2),""),VLOOKUP($D28,素材!$1:$1016,COLUMN($F$1),FALSE))),VLOOKUP($C28,武器!$1:$998,COLUMN($O$1),FALSE)*VLOOKUP($D28,素材!$1:$1016,COLUMN($E$1),FALSE)/(LEN(VLOOKUP($D28,素材!$1:$1016,COLUMN($F$1),FALSE))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BC28">
        <f>IF(ISNUMBER(SEARCH(SUBSTITUTE(BC$1,RIGHT(BC$1,2),""),VLOOKUP($D28,素材!$1:$1016,COLUMN($F$1),FALSE))),VLOOKUP($C28,武器!$1:$998,COLUMN($O$1),FALSE)*VLOOKUP($D28,素材!$1:$1016,COLUMN($E$1),FALSE)/(LEN(VLOOKUP($D28,素材!$1:$1016,COLUMN($F$1),FALSE))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BD28">
        <f>IF(ISNUMBER(SEARCH(SUBSTITUTE(BD$1,RIGHT(BD$1,2),""),VLOOKUP($D28,素材!$1:$1016,COLUMN($F$1),FALSE))),VLOOKUP($C28,武器!$1:$998,COLUMN($O$1),FALSE)*VLOOKUP($D28,素材!$1:$1016,COLUMN($E$1),FALSE)/(LEN(VLOOKUP($D28,素材!$1:$1016,COLUMN($F$1),FALSE))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BE28">
        <f>IF(ISNUMBER(SEARCH(SUBSTITUTE(BE$1,RIGHT(BE$1,2),""),VLOOKUP($D28,素材!$1:$1016,COLUMN($F$1),FALSE))),VLOOKUP($C28,武器!$1:$998,COLUMN($O$1),FALSE)*VLOOKUP($D28,素材!$1:$1016,COLUMN($E$1),FALSE)/(LEN(VLOOKUP($D28,素材!$1:$1016,COLUMN($F$1),FALSE))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BF28">
        <f>IF(ISNUMBER(SEARCH(SUBSTITUTE(BF$1,RIGHT(BF$1,2),""),VLOOKUP($D28,素材!$1:$1016,COLUMN($F$1),FALSE))),VLOOKUP($C28,武器!$1:$998,COLUMN($O$1),FALSE)*VLOOKUP($D28,素材!$1:$1016,COLUMN($E$1),FALSE)/(LEN(VLOOKUP($D28,素材!$1:$1016,COLUMN($F$1),FALSE)) - LEN(SUBSTITUTE(VLOOKUP($D28,素材!$1:$1016,COLUMN($F$1),FALSE), "・", 0)) + 1), 0)</f>
        <v>0</v>
      </c>
      <c r="CM28">
        <f t="shared" si="3"/>
        <v>10</v>
      </c>
      <c r="CN28" s="22" t="str">
        <f>IF(E28="武器",IF(J28-1&gt;SUM(G28:I28),"盾",IF(MAX(G28:I28)=G28,"切断",IF(MAX(G28:I28)=H28,"貫通",IF(MAX(G28:I28)=I28,"打撃","射撃")))),E28)&amp;".webp"</f>
        <v>切断.webp</v>
      </c>
      <c r="CO28">
        <f>IFERROR(VLOOKUP($C28,武器!$1:$998,COLUMN(V$1),FALSE)*VLOOKUP($D28,素材!$1:$1016,COLUMN(N$1),FALSE)+IF(CJ28="",0,VLOOKUP($CJ28,装強!$1:$1008,COLUMN($CL$1),FALSE)),"")</f>
        <v>400</v>
      </c>
      <c r="CP28" t="str">
        <f>VLOOKUP(D28,素材!$A:$O,COLUMN(素材!O$1),FALSE)</f>
        <v>一般的な鉄。量産品を作るのに使用されることが多い</v>
      </c>
      <c r="CQ28" t="str">
        <f>VLOOKUP(C28,武器!$A:$W,COLUMN(武器!W$1),FALSE)</f>
        <v>長弓。射程が長く、高い威力を持つ。</v>
      </c>
      <c r="CS28" t="str">
        <f t="shared" si="2"/>
        <v>e_28</v>
      </c>
      <c r="CT28">
        <f t="shared" si="4"/>
        <v>40000</v>
      </c>
    </row>
    <row r="29" spans="1:98" outlineLevel="1" x14ac:dyDescent="0.4">
      <c r="A29" t="str">
        <f t="shared" si="0"/>
        <v>鉄の杖</v>
      </c>
      <c r="B29" t="str">
        <f>IFERROR(VLOOKUP($D29,素材!$1:$1016,COLUMN($B$1),FALSE)&amp;"・"&amp;VLOOKUP($C29,武器!$1:$998,COLUMN(B$1),FALSE),"")</f>
        <v>アイアン・ロッド</v>
      </c>
      <c r="C29" t="s">
        <v>216</v>
      </c>
      <c r="D29" s="24" t="s">
        <v>257</v>
      </c>
      <c r="E29" t="str">
        <f>IFERROR(VLOOKUP(C29,武器!$1:$998,COLUMN(C$1),FALSE),"")</f>
        <v>杖</v>
      </c>
      <c r="F29">
        <f>IFERROR(ROUNDDOWN((VLOOKUP($C29,武器!$1:$998,COLUMN(D$1),FALSE)+IFERROR(VLOOKUP($CJ29,装強!$1:$999,COLUMN(F$1),FALSE),0))*VLOOKUP($D29,素材!$1:$1016,COLUMN(D$1),FALSE),0),"")</f>
        <v>110</v>
      </c>
      <c r="G29">
        <f>IFERROR(ROUNDDOWN((VLOOKUP($C29,武器!$1:$998,COLUMN(E$1),FALSE)+IFERROR(VLOOKUP($CJ29,装強!$1:$999,COLUMN(G$1),FALSE),0))*VLOOKUP($D29,素材!$1:$1016,COLUMN($E$1),FALSE),0),"")</f>
        <v>0</v>
      </c>
      <c r="H29">
        <f>IFERROR(ROUNDDOWN((VLOOKUP($C29,武器!$1:$998,COLUMN(F$1),FALSE)+IFERROR(VLOOKUP($CJ29,装強!$1:$999,COLUMN(H$1),FALSE),0))*VLOOKUP($D29,素材!$1:$1016,COLUMN($E$1),FALSE),0),"")</f>
        <v>5</v>
      </c>
      <c r="I29">
        <f>IFERROR(ROUNDDOWN((VLOOKUP($C29,武器!$1:$998,COLUMN(G$1),FALSE)+IFERROR(VLOOKUP($CJ29,装強!$1:$999,COLUMN(I$1),FALSE),0))*VLOOKUP($D29,素材!$1:$1016,COLUMN($E$1),FALSE),0),"")</f>
        <v>14</v>
      </c>
      <c r="J29">
        <f>IFERROR(ROUNDDOWN((VLOOKUP($C29,武器!$1:$998,COLUMN(H$1),FALSE)+IFERROR(VLOOKUP($CJ29,装強!$1:$999,COLUMN(J$1),FALSE),0))*VLOOKUP($D29,素材!$1:$1016,COLUMN($E$1),FALSE),0),"")</f>
        <v>18</v>
      </c>
      <c r="K29">
        <f>IFERROR(ROUNDDOWN((VLOOKUP($C29,武器!$1:$998,COLUMN(I$1),FALSE)+IFERROR(VLOOKUP($CJ29,装強!$1:$999,COLUMN(K$1),FALSE),0))*VLOOKUP($D29,素材!$1:$1016,COLUMN($E$1),FALSE),0),"")</f>
        <v>0</v>
      </c>
      <c r="L29">
        <f>IFERROR(VLOOKUP($D29,素材!$1:$1016,COLUMN($F$1),FALSE),"")</f>
        <v>0</v>
      </c>
      <c r="M29">
        <f>IFERROR(VLOOKUP($C29,武器!$1:$998,COLUMN(AA$1),FALSE)*VLOOKUP($D29,素材!$1:$1016,COLUMN($G$1),FALSE),"")</f>
        <v>0</v>
      </c>
      <c r="N29">
        <f>IFERROR(VLOOKUP($C29,武器!$1:$998,COLUMN(I$1),FALSE),"")</f>
        <v>0</v>
      </c>
      <c r="O29" s="23">
        <f>IFERROR((VLOOKUP($C29,武器!$1:$998,COLUMN(K$1),FALSE)+VLOOKUP($D29,素材!$1:$1016,COLUMN(H$1),FALSE))*100+IFERROR(VLOOKUP($CJ29,装強!$1:$999,COLUMN(O$1),FALSE),0),"")</f>
        <v>5</v>
      </c>
      <c r="P29" s="23">
        <f>IFERROR((VLOOKUP($C29,武器!$1:$998,COLUMN(L$1),FALSE)+VLOOKUP($D29,素材!$1:$1016,COLUMN(I$1),FALSE))*100+IFERROR(VLOOKUP($CJ29,装強!$1:$999,COLUMN(P$1),FALSE),0),"")</f>
        <v>150</v>
      </c>
      <c r="Q29">
        <f>IFERROR(ROUNDUP(VLOOKUP($C29,武器!$1:$998,COLUMN(M$1),FALSE)*(VLOOKUP($D29,素材!$1:$1002,COLUMN(D$1),FALSE)/100),1),"")</f>
        <v>0</v>
      </c>
      <c r="R29">
        <f>IFERROR(ROUNDUP(VLOOKUP($C29,武器!$1:$998,COLUMN(N$1),FALSE)*(VLOOKUP($D29,素材!$1:$1002,COLUMN(D$1),FALSE)/100),1),"")</f>
        <v>0</v>
      </c>
      <c r="S29">
        <f>IFERROR(VLOOKUP($C29,武器!$1:$998,COLUMN(P$1),FALSE),"")</f>
        <v>0</v>
      </c>
      <c r="T29">
        <f>IFERROR(VLOOKUP($C29,武器!$1:$998,COLUMN(Q$1),FALSE),"")</f>
        <v>0</v>
      </c>
      <c r="U29">
        <f>IFERROR(VLOOKUP($C29,武器!$1:$998,COLUMN(R$1),FALSE),"")</f>
        <v>0</v>
      </c>
      <c r="V29">
        <f>IFERROR(VLOOKUP($C29,武器!$1:$998,COLUMN(Q$1),FALSE),"")</f>
        <v>0</v>
      </c>
      <c r="W29" t="str">
        <f>IFERROR(VLOOKUP($C29,武器!$1:$998,COLUMN(T$1),FALSE),"")</f>
        <v>A</v>
      </c>
      <c r="Y29" t="str">
        <f>IFERROR(VLOOKUP($C29,武器!$1:$998,COLUMN(U$1),FALSE),"")</f>
        <v>魔法無詠唱Ⅱ</v>
      </c>
      <c r="Z29">
        <f>IFERROR(ROUNDUP(VLOOKUP($C29,武器!$1:$998,COLUMN(O$1),FALSE)*VLOOKUP($D29,素材!$1:$1016,COLUMN(E$1),FALSE),1),"")</f>
        <v>0</v>
      </c>
      <c r="AA29">
        <f>IF(ISNUMBER(SEARCH(SUBSTITUTE(AA$1,RIGHT(AA$1,2),""),VLOOKUP($D29,素材!$1:$1016,COLUMN($F$1),FALSE))),VLOOKUP($C29,武器!$1:$998,COLUMN($O$1),FALSE)*VLOOKUP($D29,素材!$1:$1016,COLUMN($E$1),FALSE)/(LEN(VLOOKUP($D29,素材!$1:$1016,COLUMN($F$1),FALSE))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B29">
        <f>IF(ISNUMBER(SEARCH(SUBSTITUTE(AB$1,RIGHT(AB$1,2),""),VLOOKUP($D29,素材!$1:$1016,COLUMN($F$1),FALSE))),VLOOKUP($C29,武器!$1:$998,COLUMN($O$1),FALSE)*VLOOKUP($D29,素材!$1:$1016,COLUMN($E$1),FALSE)/(LEN(VLOOKUP($D29,素材!$1:$1016,COLUMN($F$1),FALSE))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C29">
        <f>IF(ISNUMBER(SEARCH(SUBSTITUTE(AC$1,RIGHT(AC$1,2),""),VLOOKUP($D29,素材!$1:$1016,COLUMN($F$1),FALSE))),VLOOKUP($C29,武器!$1:$998,COLUMN($O$1),FALSE)*VLOOKUP($D29,素材!$1:$1016,COLUMN($E$1),FALSE)/(LEN(VLOOKUP($D29,素材!$1:$1016,COLUMN($F$1),FALSE))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D29">
        <f>IF(ISNUMBER(SEARCH(SUBSTITUTE(AD$1,RIGHT(AD$1,2),""),VLOOKUP($D29,素材!$1:$1016,COLUMN($F$1),FALSE))),VLOOKUP($C29,武器!$1:$998,COLUMN($O$1),FALSE)*VLOOKUP($D29,素材!$1:$1016,COLUMN($E$1),FALSE)/(LEN(VLOOKUP($D29,素材!$1:$1016,COLUMN($F$1),FALSE))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E29">
        <f>IF(ISNUMBER(SEARCH(SUBSTITUTE(AE$1,RIGHT(AE$1,2),""),VLOOKUP($D29,素材!$1:$1016,COLUMN($F$1),FALSE))),VLOOKUP($C29,武器!$1:$998,COLUMN($O$1),FALSE)*VLOOKUP($D29,素材!$1:$1016,COLUMN($E$1),FALSE)/(LEN(VLOOKUP($D29,素材!$1:$1016,COLUMN($F$1),FALSE))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F29">
        <f>IF(ISNUMBER(SEARCH(SUBSTITUTE(AF$1,RIGHT(AF$1,2),""),VLOOKUP($D29,素材!$1:$1016,COLUMN($F$1),FALSE))),VLOOKUP($C29,武器!$1:$998,COLUMN($O$1),FALSE)*VLOOKUP($D29,素材!$1:$1016,COLUMN($E$1),FALSE)/(LEN(VLOOKUP($D29,素材!$1:$1016,COLUMN($F$1),FALSE))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G29">
        <f>IF(ISNUMBER(SEARCH(SUBSTITUTE(AG$1,RIGHT(AG$1,2),""),VLOOKUP($D29,素材!$1:$1016,COLUMN($F$1),FALSE))),VLOOKUP($C29,武器!$1:$998,COLUMN($O$1),FALSE)*VLOOKUP($D29,素材!$1:$1016,COLUMN($E$1),FALSE)/(LEN(VLOOKUP($D29,素材!$1:$1016,COLUMN($F$1),FALSE))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H29">
        <f>IF(ISNUMBER(SEARCH(SUBSTITUTE(AH$1,RIGHT(AH$1,2),""),VLOOKUP($D29,素材!$1:$1016,COLUMN($F$1),FALSE))),VLOOKUP($C29,武器!$1:$998,COLUMN($O$1),FALSE)*VLOOKUP($D29,素材!$1:$1016,COLUMN($E$1),FALSE)/(LEN(VLOOKUP($D29,素材!$1:$1016,COLUMN($F$1),FALSE))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I29">
        <f>IF(ISNUMBER(SEARCH(SUBSTITUTE(AI$1,RIGHT(AI$1,2),""),VLOOKUP($D29,素材!$1:$1016,COLUMN($F$1),FALSE))),VLOOKUP($C29,武器!$1:$998,COLUMN($O$1),FALSE)*VLOOKUP($D29,素材!$1:$1016,COLUMN($E$1),FALSE)/(LEN(VLOOKUP($D29,素材!$1:$1016,COLUMN($F$1),FALSE))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J29">
        <f>IF(ISNUMBER(SEARCH(SUBSTITUTE(AJ$1,RIGHT(AJ$1,2),""),VLOOKUP($D29,素材!$1:$1016,COLUMN($F$1),FALSE))),VLOOKUP($C29,武器!$1:$998,COLUMN($O$1),FALSE)*VLOOKUP($D29,素材!$1:$1016,COLUMN($E$1),FALSE)/(LEN(VLOOKUP($D29,素材!$1:$1016,COLUMN($F$1),FALSE))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K29">
        <f>IF(ISNUMBER(SEARCH(SUBSTITUTE(AK$1,RIGHT(AK$1,2),""),VLOOKUP($D29,素材!$1:$1016,COLUMN($F$1),FALSE))),VLOOKUP($C29,武器!$1:$998,COLUMN($O$1),FALSE)*VLOOKUP($D29,素材!$1:$1016,COLUMN($E$1),FALSE)/(LEN(VLOOKUP($D29,素材!$1:$1016,COLUMN($F$1),FALSE))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L29">
        <f>IF(ISNUMBER(SEARCH(SUBSTITUTE(AL$1,RIGHT(AL$1,2),""),VLOOKUP($D29,素材!$1:$1016,COLUMN($F$1),FALSE))),VLOOKUP($C29,武器!$1:$998,COLUMN($O$1),FALSE)*VLOOKUP($D29,素材!$1:$1016,COLUMN($E$1),FALSE)/(LEN(VLOOKUP($D29,素材!$1:$1016,COLUMN($F$1),FALSE))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M29">
        <f>IF(ISNUMBER(SEARCH(SUBSTITUTE(AM$1,RIGHT(AM$1,2),""),VLOOKUP($D29,素材!$1:$1016,COLUMN($F$1),FALSE))),VLOOKUP($C29,武器!$1:$998,COLUMN($O$1),FALSE)*VLOOKUP($D29,素材!$1:$1016,COLUMN($E$1),FALSE)/(LEN(VLOOKUP($D29,素材!$1:$1016,COLUMN($F$1),FALSE))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N29">
        <f>IF(ISNUMBER(SEARCH(SUBSTITUTE(AN$1,RIGHT(AN$1,2),""),VLOOKUP($D29,素材!$1:$1016,COLUMN($F$1),FALSE))),VLOOKUP($C29,武器!$1:$998,COLUMN($O$1),FALSE)*VLOOKUP($D29,素材!$1:$1016,COLUMN($E$1),FALSE)/(LEN(VLOOKUP($D29,素材!$1:$1016,COLUMN($F$1),FALSE))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O29">
        <f>IF(ISNUMBER(SEARCH(SUBSTITUTE(AO$1,RIGHT(AO$1,2),""),VLOOKUP($D29,素材!$1:$1016,COLUMN($F$1),FALSE))),VLOOKUP($C29,武器!$1:$998,COLUMN($O$1),FALSE)*VLOOKUP($D29,素材!$1:$1016,COLUMN($E$1),FALSE)/(LEN(VLOOKUP($D29,素材!$1:$1016,COLUMN($F$1),FALSE))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P29">
        <f>IF(ISNUMBER(SEARCH(SUBSTITUTE(AP$1,RIGHT(AP$1,2),""),VLOOKUP($D29,素材!$1:$1016,COLUMN($F$1),FALSE))),VLOOKUP($C29,武器!$1:$998,COLUMN($O$1),FALSE)*VLOOKUP($D29,素材!$1:$1016,COLUMN($E$1),FALSE)/(LEN(VLOOKUP($D29,素材!$1:$1016,COLUMN($F$1),FALSE))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Q29">
        <f>IF(ISNUMBER(SEARCH(SUBSTITUTE(AQ$1,RIGHT(AQ$1,2),""),VLOOKUP($D29,素材!$1:$1016,COLUMN($F$1),FALSE))),VLOOKUP($C29,武器!$1:$998,COLUMN($O$1),FALSE)*VLOOKUP($D29,素材!$1:$1016,COLUMN($E$1),FALSE)/(LEN(VLOOKUP($D29,素材!$1:$1016,COLUMN($F$1),FALSE))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R29">
        <f>IF(ISNUMBER(SEARCH(SUBSTITUTE(AR$1,RIGHT(AR$1,2),""),VLOOKUP($D29,素材!$1:$1016,COLUMN($F$1),FALSE))),VLOOKUP($C29,武器!$1:$998,COLUMN($O$1),FALSE)*VLOOKUP($D29,素材!$1:$1016,COLUMN($E$1),FALSE)/(LEN(VLOOKUP($D29,素材!$1:$1016,COLUMN($F$1),FALSE))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S29">
        <f>IF(ISNUMBER(SEARCH(SUBSTITUTE(AS$1,RIGHT(AS$1,2),""),VLOOKUP($D29,素材!$1:$1016,COLUMN($F$1),FALSE))),VLOOKUP($C29,武器!$1:$998,COLUMN($O$1),FALSE)*VLOOKUP($D29,素材!$1:$1016,COLUMN($E$1),FALSE)/(LEN(VLOOKUP($D29,素材!$1:$1016,COLUMN($F$1),FALSE))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T29">
        <f>IF(ISNUMBER(SEARCH(SUBSTITUTE(AT$1,RIGHT(AT$1,2),""),VLOOKUP($D29,素材!$1:$1016,COLUMN($F$1),FALSE))),VLOOKUP($C29,武器!$1:$998,COLUMN($O$1),FALSE)*VLOOKUP($D29,素材!$1:$1016,COLUMN($E$1),FALSE)/(LEN(VLOOKUP($D29,素材!$1:$1016,COLUMN($F$1),FALSE))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U29">
        <f>IF(ISNUMBER(SEARCH(SUBSTITUTE(AU$1,RIGHT(AU$1,2),""),VLOOKUP($D29,素材!$1:$1016,COLUMN($F$1),FALSE))),VLOOKUP($C29,武器!$1:$998,COLUMN($O$1),FALSE)*VLOOKUP($D29,素材!$1:$1016,COLUMN($E$1),FALSE)/(LEN(VLOOKUP($D29,素材!$1:$1016,COLUMN($F$1),FALSE))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V29">
        <f>IF(ISNUMBER(SEARCH(SUBSTITUTE(AV$1,RIGHT(AV$1,2),""),VLOOKUP($D29,素材!$1:$1016,COLUMN($F$1),FALSE))),VLOOKUP($C29,武器!$1:$998,COLUMN($O$1),FALSE)*VLOOKUP($D29,素材!$1:$1016,COLUMN($E$1),FALSE)/(LEN(VLOOKUP($D29,素材!$1:$1016,COLUMN($F$1),FALSE))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W29">
        <f>IF(ISNUMBER(SEARCH(SUBSTITUTE(AW$1,RIGHT(AW$1,2),""),VLOOKUP($D29,素材!$1:$1016,COLUMN($F$1),FALSE))),VLOOKUP($C29,武器!$1:$998,COLUMN($O$1),FALSE)*VLOOKUP($D29,素材!$1:$1016,COLUMN($E$1),FALSE)/(LEN(VLOOKUP($D29,素材!$1:$1016,COLUMN($F$1),FALSE))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X29">
        <f>IF(ISNUMBER(SEARCH(SUBSTITUTE(AX$1,RIGHT(AX$1,2),""),VLOOKUP($D29,素材!$1:$1016,COLUMN($F$1),FALSE))),VLOOKUP($C29,武器!$1:$998,COLUMN($O$1),FALSE)*VLOOKUP($D29,素材!$1:$1016,COLUMN($E$1),FALSE)/(LEN(VLOOKUP($D29,素材!$1:$1016,COLUMN($F$1),FALSE))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Y29">
        <f>IF(ISNUMBER(SEARCH(SUBSTITUTE(AY$1,RIGHT(AY$1,2),""),VLOOKUP($D29,素材!$1:$1016,COLUMN($F$1),FALSE))),VLOOKUP($C29,武器!$1:$998,COLUMN($O$1),FALSE)*VLOOKUP($D29,素材!$1:$1016,COLUMN($E$1),FALSE)/(LEN(VLOOKUP($D29,素材!$1:$1016,COLUMN($F$1),FALSE))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AZ29">
        <f>IF(ISNUMBER(SEARCH(SUBSTITUTE(AZ$1,RIGHT(AZ$1,2),""),VLOOKUP($D29,素材!$1:$1016,COLUMN($F$1),FALSE))),VLOOKUP($C29,武器!$1:$998,COLUMN($O$1),FALSE)*VLOOKUP($D29,素材!$1:$1016,COLUMN($E$1),FALSE)/(LEN(VLOOKUP($D29,素材!$1:$1016,COLUMN($F$1),FALSE))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BA29">
        <f>IF(ISNUMBER(SEARCH(SUBSTITUTE(BA$1,RIGHT(BA$1,2),""),VLOOKUP($D29,素材!$1:$1016,COLUMN($F$1),FALSE))),VLOOKUP($C29,武器!$1:$998,COLUMN($O$1),FALSE)*VLOOKUP($D29,素材!$1:$1016,COLUMN($E$1),FALSE)/(LEN(VLOOKUP($D29,素材!$1:$1016,COLUMN($F$1),FALSE))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BB29">
        <f>IF(ISNUMBER(SEARCH(SUBSTITUTE(BB$1,RIGHT(BB$1,2),""),VLOOKUP($D29,素材!$1:$1016,COLUMN($F$1),FALSE))),VLOOKUP($C29,武器!$1:$998,COLUMN($O$1),FALSE)*VLOOKUP($D29,素材!$1:$1016,COLUMN($E$1),FALSE)/(LEN(VLOOKUP($D29,素材!$1:$1016,COLUMN($F$1),FALSE))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BC29">
        <f>IF(ISNUMBER(SEARCH(SUBSTITUTE(BC$1,RIGHT(BC$1,2),""),VLOOKUP($D29,素材!$1:$1016,COLUMN($F$1),FALSE))),VLOOKUP($C29,武器!$1:$998,COLUMN($O$1),FALSE)*VLOOKUP($D29,素材!$1:$1016,COLUMN($E$1),FALSE)/(LEN(VLOOKUP($D29,素材!$1:$1016,COLUMN($F$1),FALSE))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BD29">
        <f>IF(ISNUMBER(SEARCH(SUBSTITUTE(BD$1,RIGHT(BD$1,2),""),VLOOKUP($D29,素材!$1:$1016,COLUMN($F$1),FALSE))),VLOOKUP($C29,武器!$1:$998,COLUMN($O$1),FALSE)*VLOOKUP($D29,素材!$1:$1016,COLUMN($E$1),FALSE)/(LEN(VLOOKUP($D29,素材!$1:$1016,COLUMN($F$1),FALSE))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BE29">
        <f>IF(ISNUMBER(SEARCH(SUBSTITUTE(BE$1,RIGHT(BE$1,2),""),VLOOKUP($D29,素材!$1:$1016,COLUMN($F$1),FALSE))),VLOOKUP($C29,武器!$1:$998,COLUMN($O$1),FALSE)*VLOOKUP($D29,素材!$1:$1016,COLUMN($E$1),FALSE)/(LEN(VLOOKUP($D29,素材!$1:$1016,COLUMN($F$1),FALSE))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BF29">
        <f>IF(ISNUMBER(SEARCH(SUBSTITUTE(BF$1,RIGHT(BF$1,2),""),VLOOKUP($D29,素材!$1:$1016,COLUMN($F$1),FALSE))),VLOOKUP($C29,武器!$1:$998,COLUMN($O$1),FALSE)*VLOOKUP($D29,素材!$1:$1016,COLUMN($E$1),FALSE)/(LEN(VLOOKUP($D29,素材!$1:$1016,COLUMN($F$1),FALSE)) - LEN(SUBSTITUTE(VLOOKUP($D29,素材!$1:$1016,COLUMN($F$1),FALSE), "・", 0)) + 1), 0)</f>
        <v>0</v>
      </c>
      <c r="CM29">
        <f t="shared" si="3"/>
        <v>19</v>
      </c>
      <c r="CN29" s="22" t="str">
        <f>IF(E29="武器",IF(J29-1&gt;SUM(G29:I29),"盾",IF(MAX(G29:I29)=G29,"切断",IF(MAX(G29:I29)=H29,"貫通",IF(MAX(G29:I29)=I29,"打撃","射撃")))),E29)&amp;".webp"</f>
        <v>杖.webp</v>
      </c>
      <c r="CO29">
        <f>IFERROR(VLOOKUP($C29,武器!$1:$998,COLUMN(V$1),FALSE)*VLOOKUP($D29,素材!$1:$1016,COLUMN(N$1),FALSE)+IF(CJ29="",0,VLOOKUP($CJ29,装強!$1:$1008,COLUMN($CL$1),FALSE)),"")</f>
        <v>400</v>
      </c>
      <c r="CP29" t="str">
        <f>VLOOKUP(D29,素材!$A:$O,COLUMN(素材!O$1),FALSE)</f>
        <v>一般的な鉄。量産品を作るのに使用されることが多い</v>
      </c>
      <c r="CQ29" t="str">
        <f>VLOOKUP(C29,武器!$A:$W,COLUMN(武器!W$1),FALSE)</f>
        <v>杖。バランスの取れた魔法武器。</v>
      </c>
      <c r="CS29" t="str">
        <f t="shared" si="2"/>
        <v>e_29</v>
      </c>
      <c r="CT29">
        <f t="shared" si="4"/>
        <v>40000</v>
      </c>
    </row>
    <row r="30" spans="1:98" outlineLevel="1" x14ac:dyDescent="0.4">
      <c r="A30" t="str">
        <f t="shared" si="0"/>
        <v>鉄の長杖</v>
      </c>
      <c r="B30" t="str">
        <f>IFERROR(VLOOKUP($D30,素材!$1:$1016,COLUMN($B$1),FALSE)&amp;"・"&amp;VLOOKUP($C30,武器!$1:$998,COLUMN(B$1),FALSE),"")</f>
        <v>アイアン・スタッフ</v>
      </c>
      <c r="C30" t="s">
        <v>215</v>
      </c>
      <c r="D30" s="24" t="s">
        <v>257</v>
      </c>
      <c r="E30" t="str">
        <f>IFERROR(VLOOKUP(C30,武器!$1:$998,COLUMN(C$1),FALSE),"")</f>
        <v>杖</v>
      </c>
      <c r="F30">
        <f>IFERROR(ROUNDDOWN((VLOOKUP($C30,武器!$1:$998,COLUMN(D$1),FALSE)+IFERROR(VLOOKUP($CJ30,装強!$1:$999,COLUMN(F$1),FALSE),0))*VLOOKUP($D30,素材!$1:$1016,COLUMN(D$1),FALSE),0),"")</f>
        <v>115</v>
      </c>
      <c r="G30">
        <f>IFERROR(ROUNDDOWN((VLOOKUP($C30,武器!$1:$998,COLUMN(E$1),FALSE)+IFERROR(VLOOKUP($CJ30,装強!$1:$999,COLUMN(G$1),FALSE),0))*VLOOKUP($D30,素材!$1:$1016,COLUMN($E$1),FALSE),0),"")</f>
        <v>0</v>
      </c>
      <c r="H30">
        <f>IFERROR(ROUNDDOWN((VLOOKUP($C30,武器!$1:$998,COLUMN(F$1),FALSE)+IFERROR(VLOOKUP($CJ30,装強!$1:$999,COLUMN(H$1),FALSE),0))*VLOOKUP($D30,素材!$1:$1016,COLUMN($E$1),FALSE),0),"")</f>
        <v>6</v>
      </c>
      <c r="I30">
        <f>IFERROR(ROUNDDOWN((VLOOKUP($C30,武器!$1:$998,COLUMN(G$1),FALSE)+IFERROR(VLOOKUP($CJ30,装強!$1:$999,COLUMN(I$1),FALSE),0))*VLOOKUP($D30,素材!$1:$1016,COLUMN($E$1),FALSE),0),"")</f>
        <v>16</v>
      </c>
      <c r="J30">
        <f>IFERROR(ROUNDDOWN((VLOOKUP($C30,武器!$1:$998,COLUMN(H$1),FALSE)+IFERROR(VLOOKUP($CJ30,装強!$1:$999,COLUMN(J$1),FALSE),0))*VLOOKUP($D30,素材!$1:$1016,COLUMN($E$1),FALSE),0),"")</f>
        <v>19</v>
      </c>
      <c r="K30">
        <f>IFERROR(ROUNDDOWN((VLOOKUP($C30,武器!$1:$998,COLUMN(I$1),FALSE)+IFERROR(VLOOKUP($CJ30,装強!$1:$999,COLUMN(K$1),FALSE),0))*VLOOKUP($D30,素材!$1:$1016,COLUMN($E$1),FALSE),0),"")</f>
        <v>0</v>
      </c>
      <c r="L30">
        <f>IFERROR(VLOOKUP($D30,素材!$1:$1016,COLUMN($F$1),FALSE),"")</f>
        <v>0</v>
      </c>
      <c r="M30">
        <f>IFERROR(VLOOKUP($C30,武器!$1:$998,COLUMN(AA$1),FALSE)*VLOOKUP($D30,素材!$1:$1016,COLUMN($G$1),FALSE),"")</f>
        <v>0</v>
      </c>
      <c r="N30">
        <f>IFERROR(VLOOKUP($C30,武器!$1:$998,COLUMN(I$1),FALSE),"")</f>
        <v>0</v>
      </c>
      <c r="O30" s="23">
        <f>IFERROR((VLOOKUP($C30,武器!$1:$998,COLUMN(K$1),FALSE)+VLOOKUP($D30,素材!$1:$1016,COLUMN(H$1),FALSE))*100+IFERROR(VLOOKUP($CJ30,装強!$1:$999,COLUMN(O$1),FALSE),0),"")</f>
        <v>5</v>
      </c>
      <c r="P30" s="23">
        <f>IFERROR((VLOOKUP($C30,武器!$1:$998,COLUMN(L$1),FALSE)+VLOOKUP($D30,素材!$1:$1016,COLUMN(I$1),FALSE))*100+IFERROR(VLOOKUP($CJ30,装強!$1:$999,COLUMN(P$1),FALSE),0),"")</f>
        <v>150</v>
      </c>
      <c r="Q30">
        <f>IFERROR(ROUNDUP(VLOOKUP($C30,武器!$1:$998,COLUMN(M$1),FALSE)*(VLOOKUP($D30,素材!$1:$1002,COLUMN(D$1),FALSE)/100),1),"")</f>
        <v>-4</v>
      </c>
      <c r="R30">
        <f>IFERROR(ROUNDUP(VLOOKUP($C30,武器!$1:$998,COLUMN(N$1),FALSE)*(VLOOKUP($D30,素材!$1:$1002,COLUMN(D$1),FALSE)/100),1),"")</f>
        <v>-4</v>
      </c>
      <c r="S30">
        <f>IFERROR(VLOOKUP($C30,武器!$1:$998,COLUMN(P$1),FALSE),"")</f>
        <v>0</v>
      </c>
      <c r="T30">
        <f>IFERROR(VLOOKUP($C30,武器!$1:$998,COLUMN(Q$1),FALSE),"")</f>
        <v>0</v>
      </c>
      <c r="U30">
        <f>IFERROR(VLOOKUP($C30,武器!$1:$998,COLUMN(R$1),FALSE),"")</f>
        <v>0</v>
      </c>
      <c r="V30">
        <f>IFERROR(VLOOKUP($C30,武器!$1:$998,COLUMN(Q$1),FALSE),"")</f>
        <v>0</v>
      </c>
      <c r="W30" t="str">
        <f>IFERROR(VLOOKUP($C30,武器!$1:$998,COLUMN(T$1),FALSE),"")</f>
        <v>A</v>
      </c>
      <c r="Y30" t="str">
        <f>IFERROR(VLOOKUP($C30,武器!$1:$998,COLUMN(U$1),FALSE),"")</f>
        <v>魔法無詠唱Ⅲ</v>
      </c>
      <c r="Z30">
        <f>IFERROR(ROUNDUP(VLOOKUP($C30,武器!$1:$998,COLUMN(O$1),FALSE)*VLOOKUP($D30,素材!$1:$1016,COLUMN(E$1),FALSE),1),"")</f>
        <v>0</v>
      </c>
      <c r="AA30">
        <f>IF(ISNUMBER(SEARCH(SUBSTITUTE(AA$1,RIGHT(AA$1,2),""),VLOOKUP($D30,素材!$1:$1016,COLUMN($F$1),FALSE))),VLOOKUP($C30,武器!$1:$998,COLUMN($O$1),FALSE)*VLOOKUP($D30,素材!$1:$1016,COLUMN($E$1),FALSE)/(LEN(VLOOKUP($D30,素材!$1:$1016,COLUMN($F$1),FALSE))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B30">
        <f>IF(ISNUMBER(SEARCH(SUBSTITUTE(AB$1,RIGHT(AB$1,2),""),VLOOKUP($D30,素材!$1:$1016,COLUMN($F$1),FALSE))),VLOOKUP($C30,武器!$1:$998,COLUMN($O$1),FALSE)*VLOOKUP($D30,素材!$1:$1016,COLUMN($E$1),FALSE)/(LEN(VLOOKUP($D30,素材!$1:$1016,COLUMN($F$1),FALSE))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C30">
        <f>IF(ISNUMBER(SEARCH(SUBSTITUTE(AC$1,RIGHT(AC$1,2),""),VLOOKUP($D30,素材!$1:$1016,COLUMN($F$1),FALSE))),VLOOKUP($C30,武器!$1:$998,COLUMN($O$1),FALSE)*VLOOKUP($D30,素材!$1:$1016,COLUMN($E$1),FALSE)/(LEN(VLOOKUP($D30,素材!$1:$1016,COLUMN($F$1),FALSE))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D30">
        <f>IF(ISNUMBER(SEARCH(SUBSTITUTE(AD$1,RIGHT(AD$1,2),""),VLOOKUP($D30,素材!$1:$1016,COLUMN($F$1),FALSE))),VLOOKUP($C30,武器!$1:$998,COLUMN($O$1),FALSE)*VLOOKUP($D30,素材!$1:$1016,COLUMN($E$1),FALSE)/(LEN(VLOOKUP($D30,素材!$1:$1016,COLUMN($F$1),FALSE))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E30">
        <f>IF(ISNUMBER(SEARCH(SUBSTITUTE(AE$1,RIGHT(AE$1,2),""),VLOOKUP($D30,素材!$1:$1016,COLUMN($F$1),FALSE))),VLOOKUP($C30,武器!$1:$998,COLUMN($O$1),FALSE)*VLOOKUP($D30,素材!$1:$1016,COLUMN($E$1),FALSE)/(LEN(VLOOKUP($D30,素材!$1:$1016,COLUMN($F$1),FALSE))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F30">
        <f>IF(ISNUMBER(SEARCH(SUBSTITUTE(AF$1,RIGHT(AF$1,2),""),VLOOKUP($D30,素材!$1:$1016,COLUMN($F$1),FALSE))),VLOOKUP($C30,武器!$1:$998,COLUMN($O$1),FALSE)*VLOOKUP($D30,素材!$1:$1016,COLUMN($E$1),FALSE)/(LEN(VLOOKUP($D30,素材!$1:$1016,COLUMN($F$1),FALSE))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G30">
        <f>IF(ISNUMBER(SEARCH(SUBSTITUTE(AG$1,RIGHT(AG$1,2),""),VLOOKUP($D30,素材!$1:$1016,COLUMN($F$1),FALSE))),VLOOKUP($C30,武器!$1:$998,COLUMN($O$1),FALSE)*VLOOKUP($D30,素材!$1:$1016,COLUMN($E$1),FALSE)/(LEN(VLOOKUP($D30,素材!$1:$1016,COLUMN($F$1),FALSE))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H30">
        <f>IF(ISNUMBER(SEARCH(SUBSTITUTE(AH$1,RIGHT(AH$1,2),""),VLOOKUP($D30,素材!$1:$1016,COLUMN($F$1),FALSE))),VLOOKUP($C30,武器!$1:$998,COLUMN($O$1),FALSE)*VLOOKUP($D30,素材!$1:$1016,COLUMN($E$1),FALSE)/(LEN(VLOOKUP($D30,素材!$1:$1016,COLUMN($F$1),FALSE))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I30">
        <f>IF(ISNUMBER(SEARCH(SUBSTITUTE(AI$1,RIGHT(AI$1,2),""),VLOOKUP($D30,素材!$1:$1016,COLUMN($F$1),FALSE))),VLOOKUP($C30,武器!$1:$998,COLUMN($O$1),FALSE)*VLOOKUP($D30,素材!$1:$1016,COLUMN($E$1),FALSE)/(LEN(VLOOKUP($D30,素材!$1:$1016,COLUMN($F$1),FALSE))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J30">
        <f>IF(ISNUMBER(SEARCH(SUBSTITUTE(AJ$1,RIGHT(AJ$1,2),""),VLOOKUP($D30,素材!$1:$1016,COLUMN($F$1),FALSE))),VLOOKUP($C30,武器!$1:$998,COLUMN($O$1),FALSE)*VLOOKUP($D30,素材!$1:$1016,COLUMN($E$1),FALSE)/(LEN(VLOOKUP($D30,素材!$1:$1016,COLUMN($F$1),FALSE))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K30">
        <f>IF(ISNUMBER(SEARCH(SUBSTITUTE(AK$1,RIGHT(AK$1,2),""),VLOOKUP($D30,素材!$1:$1016,COLUMN($F$1),FALSE))),VLOOKUP($C30,武器!$1:$998,COLUMN($O$1),FALSE)*VLOOKUP($D30,素材!$1:$1016,COLUMN($E$1),FALSE)/(LEN(VLOOKUP($D30,素材!$1:$1016,COLUMN($F$1),FALSE))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L30">
        <f>IF(ISNUMBER(SEARCH(SUBSTITUTE(AL$1,RIGHT(AL$1,2),""),VLOOKUP($D30,素材!$1:$1016,COLUMN($F$1),FALSE))),VLOOKUP($C30,武器!$1:$998,COLUMN($O$1),FALSE)*VLOOKUP($D30,素材!$1:$1016,COLUMN($E$1),FALSE)/(LEN(VLOOKUP($D30,素材!$1:$1016,COLUMN($F$1),FALSE))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M30">
        <f>IF(ISNUMBER(SEARCH(SUBSTITUTE(AM$1,RIGHT(AM$1,2),""),VLOOKUP($D30,素材!$1:$1016,COLUMN($F$1),FALSE))),VLOOKUP($C30,武器!$1:$998,COLUMN($O$1),FALSE)*VLOOKUP($D30,素材!$1:$1016,COLUMN($E$1),FALSE)/(LEN(VLOOKUP($D30,素材!$1:$1016,COLUMN($F$1),FALSE))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N30">
        <f>IF(ISNUMBER(SEARCH(SUBSTITUTE(AN$1,RIGHT(AN$1,2),""),VLOOKUP($D30,素材!$1:$1016,COLUMN($F$1),FALSE))),VLOOKUP($C30,武器!$1:$998,COLUMN($O$1),FALSE)*VLOOKUP($D30,素材!$1:$1016,COLUMN($E$1),FALSE)/(LEN(VLOOKUP($D30,素材!$1:$1016,COLUMN($F$1),FALSE))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O30">
        <f>IF(ISNUMBER(SEARCH(SUBSTITUTE(AO$1,RIGHT(AO$1,2),""),VLOOKUP($D30,素材!$1:$1016,COLUMN($F$1),FALSE))),VLOOKUP($C30,武器!$1:$998,COLUMN($O$1),FALSE)*VLOOKUP($D30,素材!$1:$1016,COLUMN($E$1),FALSE)/(LEN(VLOOKUP($D30,素材!$1:$1016,COLUMN($F$1),FALSE))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P30">
        <f>IF(ISNUMBER(SEARCH(SUBSTITUTE(AP$1,RIGHT(AP$1,2),""),VLOOKUP($D30,素材!$1:$1016,COLUMN($F$1),FALSE))),VLOOKUP($C30,武器!$1:$998,COLUMN($O$1),FALSE)*VLOOKUP($D30,素材!$1:$1016,COLUMN($E$1),FALSE)/(LEN(VLOOKUP($D30,素材!$1:$1016,COLUMN($F$1),FALSE))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Q30">
        <f>IF(ISNUMBER(SEARCH(SUBSTITUTE(AQ$1,RIGHT(AQ$1,2),""),VLOOKUP($D30,素材!$1:$1016,COLUMN($F$1),FALSE))),VLOOKUP($C30,武器!$1:$998,COLUMN($O$1),FALSE)*VLOOKUP($D30,素材!$1:$1016,COLUMN($E$1),FALSE)/(LEN(VLOOKUP($D30,素材!$1:$1016,COLUMN($F$1),FALSE))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R30">
        <f>IF(ISNUMBER(SEARCH(SUBSTITUTE(AR$1,RIGHT(AR$1,2),""),VLOOKUP($D30,素材!$1:$1016,COLUMN($F$1),FALSE))),VLOOKUP($C30,武器!$1:$998,COLUMN($O$1),FALSE)*VLOOKUP($D30,素材!$1:$1016,COLUMN($E$1),FALSE)/(LEN(VLOOKUP($D30,素材!$1:$1016,COLUMN($F$1),FALSE))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S30">
        <f>IF(ISNUMBER(SEARCH(SUBSTITUTE(AS$1,RIGHT(AS$1,2),""),VLOOKUP($D30,素材!$1:$1016,COLUMN($F$1),FALSE))),VLOOKUP($C30,武器!$1:$998,COLUMN($O$1),FALSE)*VLOOKUP($D30,素材!$1:$1016,COLUMN($E$1),FALSE)/(LEN(VLOOKUP($D30,素材!$1:$1016,COLUMN($F$1),FALSE))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T30">
        <f>IF(ISNUMBER(SEARCH(SUBSTITUTE(AT$1,RIGHT(AT$1,2),""),VLOOKUP($D30,素材!$1:$1016,COLUMN($F$1),FALSE))),VLOOKUP($C30,武器!$1:$998,COLUMN($O$1),FALSE)*VLOOKUP($D30,素材!$1:$1016,COLUMN($E$1),FALSE)/(LEN(VLOOKUP($D30,素材!$1:$1016,COLUMN($F$1),FALSE))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U30">
        <f>IF(ISNUMBER(SEARCH(SUBSTITUTE(AU$1,RIGHT(AU$1,2),""),VLOOKUP($D30,素材!$1:$1016,COLUMN($F$1),FALSE))),VLOOKUP($C30,武器!$1:$998,COLUMN($O$1),FALSE)*VLOOKUP($D30,素材!$1:$1016,COLUMN($E$1),FALSE)/(LEN(VLOOKUP($D30,素材!$1:$1016,COLUMN($F$1),FALSE))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V30">
        <f>IF(ISNUMBER(SEARCH(SUBSTITUTE(AV$1,RIGHT(AV$1,2),""),VLOOKUP($D30,素材!$1:$1016,COLUMN($F$1),FALSE))),VLOOKUP($C30,武器!$1:$998,COLUMN($O$1),FALSE)*VLOOKUP($D30,素材!$1:$1016,COLUMN($E$1),FALSE)/(LEN(VLOOKUP($D30,素材!$1:$1016,COLUMN($F$1),FALSE))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W30">
        <f>IF(ISNUMBER(SEARCH(SUBSTITUTE(AW$1,RIGHT(AW$1,2),""),VLOOKUP($D30,素材!$1:$1016,COLUMN($F$1),FALSE))),VLOOKUP($C30,武器!$1:$998,COLUMN($O$1),FALSE)*VLOOKUP($D30,素材!$1:$1016,COLUMN($E$1),FALSE)/(LEN(VLOOKUP($D30,素材!$1:$1016,COLUMN($F$1),FALSE))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X30">
        <f>IF(ISNUMBER(SEARCH(SUBSTITUTE(AX$1,RIGHT(AX$1,2),""),VLOOKUP($D30,素材!$1:$1016,COLUMN($F$1),FALSE))),VLOOKUP($C30,武器!$1:$998,COLUMN($O$1),FALSE)*VLOOKUP($D30,素材!$1:$1016,COLUMN($E$1),FALSE)/(LEN(VLOOKUP($D30,素材!$1:$1016,COLUMN($F$1),FALSE))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Y30">
        <f>IF(ISNUMBER(SEARCH(SUBSTITUTE(AY$1,RIGHT(AY$1,2),""),VLOOKUP($D30,素材!$1:$1016,COLUMN($F$1),FALSE))),VLOOKUP($C30,武器!$1:$998,COLUMN($O$1),FALSE)*VLOOKUP($D30,素材!$1:$1016,COLUMN($E$1),FALSE)/(LEN(VLOOKUP($D30,素材!$1:$1016,COLUMN($F$1),FALSE))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AZ30">
        <f>IF(ISNUMBER(SEARCH(SUBSTITUTE(AZ$1,RIGHT(AZ$1,2),""),VLOOKUP($D30,素材!$1:$1016,COLUMN($F$1),FALSE))),VLOOKUP($C30,武器!$1:$998,COLUMN($O$1),FALSE)*VLOOKUP($D30,素材!$1:$1016,COLUMN($E$1),FALSE)/(LEN(VLOOKUP($D30,素材!$1:$1016,COLUMN($F$1),FALSE))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BA30">
        <f>IF(ISNUMBER(SEARCH(SUBSTITUTE(BA$1,RIGHT(BA$1,2),""),VLOOKUP($D30,素材!$1:$1016,COLUMN($F$1),FALSE))),VLOOKUP($C30,武器!$1:$998,COLUMN($O$1),FALSE)*VLOOKUP($D30,素材!$1:$1016,COLUMN($E$1),FALSE)/(LEN(VLOOKUP($D30,素材!$1:$1016,COLUMN($F$1),FALSE))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BB30">
        <f>IF(ISNUMBER(SEARCH(SUBSTITUTE(BB$1,RIGHT(BB$1,2),""),VLOOKUP($D30,素材!$1:$1016,COLUMN($F$1),FALSE))),VLOOKUP($C30,武器!$1:$998,COLUMN($O$1),FALSE)*VLOOKUP($D30,素材!$1:$1016,COLUMN($E$1),FALSE)/(LEN(VLOOKUP($D30,素材!$1:$1016,COLUMN($F$1),FALSE))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BC30">
        <f>IF(ISNUMBER(SEARCH(SUBSTITUTE(BC$1,RIGHT(BC$1,2),""),VLOOKUP($D30,素材!$1:$1016,COLUMN($F$1),FALSE))),VLOOKUP($C30,武器!$1:$998,COLUMN($O$1),FALSE)*VLOOKUP($D30,素材!$1:$1016,COLUMN($E$1),FALSE)/(LEN(VLOOKUP($D30,素材!$1:$1016,COLUMN($F$1),FALSE))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BD30">
        <f>IF(ISNUMBER(SEARCH(SUBSTITUTE(BD$1,RIGHT(BD$1,2),""),VLOOKUP($D30,素材!$1:$1016,COLUMN($F$1),FALSE))),VLOOKUP($C30,武器!$1:$998,COLUMN($O$1),FALSE)*VLOOKUP($D30,素材!$1:$1016,COLUMN($E$1),FALSE)/(LEN(VLOOKUP($D30,素材!$1:$1016,COLUMN($F$1),FALSE))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BE30">
        <f>IF(ISNUMBER(SEARCH(SUBSTITUTE(BE$1,RIGHT(BE$1,2),""),VLOOKUP($D30,素材!$1:$1016,COLUMN($F$1),FALSE))),VLOOKUP($C30,武器!$1:$998,COLUMN($O$1),FALSE)*VLOOKUP($D30,素材!$1:$1016,COLUMN($E$1),FALSE)/(LEN(VLOOKUP($D30,素材!$1:$1016,COLUMN($F$1),FALSE))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BF30">
        <f>IF(ISNUMBER(SEARCH(SUBSTITUTE(BF$1,RIGHT(BF$1,2),""),VLOOKUP($D30,素材!$1:$1016,COLUMN($F$1),FALSE))),VLOOKUP($C30,武器!$1:$998,COLUMN($O$1),FALSE)*VLOOKUP($D30,素材!$1:$1016,COLUMN($E$1),FALSE)/(LEN(VLOOKUP($D30,素材!$1:$1016,COLUMN($F$1),FALSE)) - LEN(SUBSTITUTE(VLOOKUP($D30,素材!$1:$1016,COLUMN($F$1),FALSE), "・", 0)) + 1), 0)</f>
        <v>0</v>
      </c>
      <c r="CM30">
        <f t="shared" si="3"/>
        <v>22</v>
      </c>
      <c r="CN30" s="22" t="str">
        <f>IF(E30="武器",IF(J30-1&gt;SUM(G30:I30),"盾",IF(MAX(G30:I30)=G30,"切断",IF(MAX(G30:I30)=H30,"貫通",IF(MAX(G30:I30)=I30,"打撃","射撃")))),E30)&amp;".webp"</f>
        <v>杖.webp</v>
      </c>
      <c r="CO30">
        <f>IFERROR(VLOOKUP($C30,武器!$1:$998,COLUMN(V$1),FALSE)*VLOOKUP($D30,素材!$1:$1016,COLUMN(N$1),FALSE)+IF(CJ30="",0,VLOOKUP($CJ30,装強!$1:$1008,COLUMN($CL$1),FALSE)),"")</f>
        <v>600</v>
      </c>
      <c r="CP30" t="str">
        <f>VLOOKUP(D30,素材!$A:$O,COLUMN(素材!O$1),FALSE)</f>
        <v>一般的な鉄。量産品を作るのに使用されることが多い</v>
      </c>
      <c r="CQ30" t="str">
        <f>VLOOKUP(C30,武器!$A:$W,COLUMN(武器!W$1),FALSE)</f>
        <v>長杖。強力な魔法を扱える杖だが、重い。</v>
      </c>
      <c r="CS30" t="str">
        <f t="shared" si="2"/>
        <v>e_30</v>
      </c>
      <c r="CT30">
        <f t="shared" si="4"/>
        <v>60000</v>
      </c>
    </row>
    <row r="31" spans="1:98" outlineLevel="1" x14ac:dyDescent="0.4">
      <c r="A31" t="str">
        <f t="shared" si="0"/>
        <v>鉄の軽射出弓</v>
      </c>
      <c r="B31" t="str">
        <f>IFERROR(VLOOKUP($D31,素材!$1:$1016,COLUMN($B$1),FALSE)&amp;"・"&amp;VLOOKUP($C31,武器!$1:$998,COLUMN(B$1),FALSE),"")</f>
        <v>アイアン・ライトクロスボウ</v>
      </c>
      <c r="C31" t="s">
        <v>214</v>
      </c>
      <c r="D31" s="24" t="s">
        <v>257</v>
      </c>
      <c r="E31" t="str">
        <f>IFERROR(VLOOKUP(C31,武器!$1:$998,COLUMN(C$1),FALSE),"")</f>
        <v>銃</v>
      </c>
      <c r="F31">
        <f>IFERROR(ROUNDDOWN((VLOOKUP($C31,武器!$1:$998,COLUMN(D$1),FALSE)+IFERROR(VLOOKUP($CJ31,装強!$1:$999,COLUMN(F$1),FALSE),0))*VLOOKUP($D31,素材!$1:$1016,COLUMN(D$1),FALSE),0),"")</f>
        <v>0</v>
      </c>
      <c r="G31">
        <f>IFERROR(ROUNDDOWN((VLOOKUP($C31,武器!$1:$998,COLUMN(E$1),FALSE)+IFERROR(VLOOKUP($CJ31,装強!$1:$999,COLUMN(G$1),FALSE),0))*VLOOKUP($D31,素材!$1:$1016,COLUMN($E$1),FALSE),0),"")</f>
        <v>0</v>
      </c>
      <c r="H31">
        <f>IFERROR(ROUNDDOWN((VLOOKUP($C31,武器!$1:$998,COLUMN(F$1),FALSE)+IFERROR(VLOOKUP($CJ31,装強!$1:$999,COLUMN(H$1),FALSE),0))*VLOOKUP($D31,素材!$1:$1016,COLUMN($E$1),FALSE),0),"")</f>
        <v>0</v>
      </c>
      <c r="I31">
        <f>IFERROR(ROUNDDOWN((VLOOKUP($C31,武器!$1:$998,COLUMN(G$1),FALSE)+IFERROR(VLOOKUP($CJ31,装強!$1:$999,COLUMN(I$1),FALSE),0))*VLOOKUP($D31,素材!$1:$1016,COLUMN($E$1),FALSE),0),"")</f>
        <v>0</v>
      </c>
      <c r="J31">
        <f>IFERROR(ROUNDDOWN((VLOOKUP($C31,武器!$1:$998,COLUMN(H$1),FALSE)+IFERROR(VLOOKUP($CJ31,装強!$1:$999,COLUMN(J$1),FALSE),0))*VLOOKUP($D31,素材!$1:$1016,COLUMN($E$1),FALSE),0),"")</f>
        <v>0</v>
      </c>
      <c r="K31">
        <f>IFERROR(ROUNDDOWN((VLOOKUP($C31,武器!$1:$998,COLUMN(I$1),FALSE)+IFERROR(VLOOKUP($CJ31,装強!$1:$999,COLUMN(K$1),FALSE),0))*VLOOKUP($D31,素材!$1:$1016,COLUMN($E$1),FALSE),0),"")</f>
        <v>54</v>
      </c>
      <c r="L31">
        <f>IFERROR(VLOOKUP($D31,素材!$1:$1016,COLUMN($F$1),FALSE),"")</f>
        <v>0</v>
      </c>
      <c r="M31">
        <f>IFERROR(VLOOKUP($C31,武器!$1:$998,COLUMN(AA$1),FALSE)*VLOOKUP($D31,素材!$1:$1016,COLUMN($G$1),FALSE),"")</f>
        <v>0</v>
      </c>
      <c r="N31">
        <f>IFERROR(VLOOKUP($C31,武器!$1:$998,COLUMN(I$1),FALSE),"")</f>
        <v>2.7</v>
      </c>
      <c r="O31" s="23">
        <f>IFERROR((VLOOKUP($C31,武器!$1:$998,COLUMN(K$1),FALSE)+VLOOKUP($D31,素材!$1:$1016,COLUMN(H$1),FALSE))*100+IFERROR(VLOOKUP($CJ31,装強!$1:$999,COLUMN(O$1),FALSE),0),"")</f>
        <v>10</v>
      </c>
      <c r="P31" s="23">
        <f>IFERROR((VLOOKUP($C31,武器!$1:$998,COLUMN(L$1),FALSE)+VLOOKUP($D31,素材!$1:$1016,COLUMN(I$1),FALSE))*100+IFERROR(VLOOKUP($CJ31,装強!$1:$999,COLUMN(P$1),FALSE),0),"")</f>
        <v>150</v>
      </c>
      <c r="Q31">
        <f>IFERROR(ROUNDUP(VLOOKUP($C31,武器!$1:$998,COLUMN(M$1),FALSE)*(VLOOKUP($D31,素材!$1:$1002,COLUMN(D$1),FALSE)/100),1),"")</f>
        <v>0</v>
      </c>
      <c r="R31">
        <f>IFERROR(ROUNDUP(VLOOKUP($C31,武器!$1:$998,COLUMN(N$1),FALSE)*(VLOOKUP($D31,素材!$1:$1002,COLUMN(D$1),FALSE)/100),1),"")</f>
        <v>0</v>
      </c>
      <c r="S31">
        <f>IFERROR(VLOOKUP($C31,武器!$1:$998,COLUMN(P$1),FALSE),"")</f>
        <v>0</v>
      </c>
      <c r="T31">
        <f>IFERROR(VLOOKUP($C31,武器!$1:$998,COLUMN(Q$1),FALSE),"")</f>
        <v>1</v>
      </c>
      <c r="U31">
        <f>IFERROR(VLOOKUP($C31,武器!$1:$998,COLUMN(R$1),FALSE),"")</f>
        <v>1</v>
      </c>
      <c r="V31">
        <f>IFERROR(VLOOKUP($C31,武器!$1:$998,COLUMN(Q$1),FALSE),"")</f>
        <v>1</v>
      </c>
      <c r="W31" t="str">
        <f>IFERROR(VLOOKUP($C31,武器!$1:$998,COLUMN(T$1),FALSE),"")</f>
        <v>Q</v>
      </c>
      <c r="Y31">
        <f>IFERROR(VLOOKUP($C31,武器!$1:$998,COLUMN(U$1),FALSE),"")</f>
        <v>0</v>
      </c>
      <c r="Z31">
        <f>IFERROR(ROUNDUP(VLOOKUP($C31,武器!$1:$998,COLUMN(O$1),FALSE)*VLOOKUP($D31,素材!$1:$1016,COLUMN(E$1),FALSE),1),"")</f>
        <v>0</v>
      </c>
      <c r="AA31">
        <f>IF(ISNUMBER(SEARCH(SUBSTITUTE(AA$1,RIGHT(AA$1,2),""),VLOOKUP($D31,素材!$1:$1016,COLUMN($F$1),FALSE))),VLOOKUP($C31,武器!$1:$998,COLUMN($O$1),FALSE)*VLOOKUP($D31,素材!$1:$1016,COLUMN($E$1),FALSE)/(LEN(VLOOKUP($D31,素材!$1:$1016,COLUMN($F$1),FALSE))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B31">
        <f>IF(ISNUMBER(SEARCH(SUBSTITUTE(AB$1,RIGHT(AB$1,2),""),VLOOKUP($D31,素材!$1:$1016,COLUMN($F$1),FALSE))),VLOOKUP($C31,武器!$1:$998,COLUMN($O$1),FALSE)*VLOOKUP($D31,素材!$1:$1016,COLUMN($E$1),FALSE)/(LEN(VLOOKUP($D31,素材!$1:$1016,COLUMN($F$1),FALSE))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C31">
        <f>IF(ISNUMBER(SEARCH(SUBSTITUTE(AC$1,RIGHT(AC$1,2),""),VLOOKUP($D31,素材!$1:$1016,COLUMN($F$1),FALSE))),VLOOKUP($C31,武器!$1:$998,COLUMN($O$1),FALSE)*VLOOKUP($D31,素材!$1:$1016,COLUMN($E$1),FALSE)/(LEN(VLOOKUP($D31,素材!$1:$1016,COLUMN($F$1),FALSE))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D31">
        <f>IF(ISNUMBER(SEARCH(SUBSTITUTE(AD$1,RIGHT(AD$1,2),""),VLOOKUP($D31,素材!$1:$1016,COLUMN($F$1),FALSE))),VLOOKUP($C31,武器!$1:$998,COLUMN($O$1),FALSE)*VLOOKUP($D31,素材!$1:$1016,COLUMN($E$1),FALSE)/(LEN(VLOOKUP($D31,素材!$1:$1016,COLUMN($F$1),FALSE))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E31">
        <f>IF(ISNUMBER(SEARCH(SUBSTITUTE(AE$1,RIGHT(AE$1,2),""),VLOOKUP($D31,素材!$1:$1016,COLUMN($F$1),FALSE))),VLOOKUP($C31,武器!$1:$998,COLUMN($O$1),FALSE)*VLOOKUP($D31,素材!$1:$1016,COLUMN($E$1),FALSE)/(LEN(VLOOKUP($D31,素材!$1:$1016,COLUMN($F$1),FALSE))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F31">
        <f>IF(ISNUMBER(SEARCH(SUBSTITUTE(AF$1,RIGHT(AF$1,2),""),VLOOKUP($D31,素材!$1:$1016,COLUMN($F$1),FALSE))),VLOOKUP($C31,武器!$1:$998,COLUMN($O$1),FALSE)*VLOOKUP($D31,素材!$1:$1016,COLUMN($E$1),FALSE)/(LEN(VLOOKUP($D31,素材!$1:$1016,COLUMN($F$1),FALSE))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G31">
        <f>IF(ISNUMBER(SEARCH(SUBSTITUTE(AG$1,RIGHT(AG$1,2),""),VLOOKUP($D31,素材!$1:$1016,COLUMN($F$1),FALSE))),VLOOKUP($C31,武器!$1:$998,COLUMN($O$1),FALSE)*VLOOKUP($D31,素材!$1:$1016,COLUMN($E$1),FALSE)/(LEN(VLOOKUP($D31,素材!$1:$1016,COLUMN($F$1),FALSE))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H31">
        <f>IF(ISNUMBER(SEARCH(SUBSTITUTE(AH$1,RIGHT(AH$1,2),""),VLOOKUP($D31,素材!$1:$1016,COLUMN($F$1),FALSE))),VLOOKUP($C31,武器!$1:$998,COLUMN($O$1),FALSE)*VLOOKUP($D31,素材!$1:$1016,COLUMN($E$1),FALSE)/(LEN(VLOOKUP($D31,素材!$1:$1016,COLUMN($F$1),FALSE))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I31">
        <f>IF(ISNUMBER(SEARCH(SUBSTITUTE(AI$1,RIGHT(AI$1,2),""),VLOOKUP($D31,素材!$1:$1016,COLUMN($F$1),FALSE))),VLOOKUP($C31,武器!$1:$998,COLUMN($O$1),FALSE)*VLOOKUP($D31,素材!$1:$1016,COLUMN($E$1),FALSE)/(LEN(VLOOKUP($D31,素材!$1:$1016,COLUMN($F$1),FALSE))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J31">
        <f>IF(ISNUMBER(SEARCH(SUBSTITUTE(AJ$1,RIGHT(AJ$1,2),""),VLOOKUP($D31,素材!$1:$1016,COLUMN($F$1),FALSE))),VLOOKUP($C31,武器!$1:$998,COLUMN($O$1),FALSE)*VLOOKUP($D31,素材!$1:$1016,COLUMN($E$1),FALSE)/(LEN(VLOOKUP($D31,素材!$1:$1016,COLUMN($F$1),FALSE))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K31">
        <f>IF(ISNUMBER(SEARCH(SUBSTITUTE(AK$1,RIGHT(AK$1,2),""),VLOOKUP($D31,素材!$1:$1016,COLUMN($F$1),FALSE))),VLOOKUP($C31,武器!$1:$998,COLUMN($O$1),FALSE)*VLOOKUP($D31,素材!$1:$1016,COLUMN($E$1),FALSE)/(LEN(VLOOKUP($D31,素材!$1:$1016,COLUMN($F$1),FALSE))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L31">
        <f>IF(ISNUMBER(SEARCH(SUBSTITUTE(AL$1,RIGHT(AL$1,2),""),VLOOKUP($D31,素材!$1:$1016,COLUMN($F$1),FALSE))),VLOOKUP($C31,武器!$1:$998,COLUMN($O$1),FALSE)*VLOOKUP($D31,素材!$1:$1016,COLUMN($E$1),FALSE)/(LEN(VLOOKUP($D31,素材!$1:$1016,COLUMN($F$1),FALSE))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M31">
        <f>IF(ISNUMBER(SEARCH(SUBSTITUTE(AM$1,RIGHT(AM$1,2),""),VLOOKUP($D31,素材!$1:$1016,COLUMN($F$1),FALSE))),VLOOKUP($C31,武器!$1:$998,COLUMN($O$1),FALSE)*VLOOKUP($D31,素材!$1:$1016,COLUMN($E$1),FALSE)/(LEN(VLOOKUP($D31,素材!$1:$1016,COLUMN($F$1),FALSE))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N31">
        <f>IF(ISNUMBER(SEARCH(SUBSTITUTE(AN$1,RIGHT(AN$1,2),""),VLOOKUP($D31,素材!$1:$1016,COLUMN($F$1),FALSE))),VLOOKUP($C31,武器!$1:$998,COLUMN($O$1),FALSE)*VLOOKUP($D31,素材!$1:$1016,COLUMN($E$1),FALSE)/(LEN(VLOOKUP($D31,素材!$1:$1016,COLUMN($F$1),FALSE))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O31">
        <f>IF(ISNUMBER(SEARCH(SUBSTITUTE(AO$1,RIGHT(AO$1,2),""),VLOOKUP($D31,素材!$1:$1016,COLUMN($F$1),FALSE))),VLOOKUP($C31,武器!$1:$998,COLUMN($O$1),FALSE)*VLOOKUP($D31,素材!$1:$1016,COLUMN($E$1),FALSE)/(LEN(VLOOKUP($D31,素材!$1:$1016,COLUMN($F$1),FALSE))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P31">
        <f>IF(ISNUMBER(SEARCH(SUBSTITUTE(AP$1,RIGHT(AP$1,2),""),VLOOKUP($D31,素材!$1:$1016,COLUMN($F$1),FALSE))),VLOOKUP($C31,武器!$1:$998,COLUMN($O$1),FALSE)*VLOOKUP($D31,素材!$1:$1016,COLUMN($E$1),FALSE)/(LEN(VLOOKUP($D31,素材!$1:$1016,COLUMN($F$1),FALSE))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Q31">
        <f>IF(ISNUMBER(SEARCH(SUBSTITUTE(AQ$1,RIGHT(AQ$1,2),""),VLOOKUP($D31,素材!$1:$1016,COLUMN($F$1),FALSE))),VLOOKUP($C31,武器!$1:$998,COLUMN($O$1),FALSE)*VLOOKUP($D31,素材!$1:$1016,COLUMN($E$1),FALSE)/(LEN(VLOOKUP($D31,素材!$1:$1016,COLUMN($F$1),FALSE))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R31">
        <f>IF(ISNUMBER(SEARCH(SUBSTITUTE(AR$1,RIGHT(AR$1,2),""),VLOOKUP($D31,素材!$1:$1016,COLUMN($F$1),FALSE))),VLOOKUP($C31,武器!$1:$998,COLUMN($O$1),FALSE)*VLOOKUP($D31,素材!$1:$1016,COLUMN($E$1),FALSE)/(LEN(VLOOKUP($D31,素材!$1:$1016,COLUMN($F$1),FALSE))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S31">
        <f>IF(ISNUMBER(SEARCH(SUBSTITUTE(AS$1,RIGHT(AS$1,2),""),VLOOKUP($D31,素材!$1:$1016,COLUMN($F$1),FALSE))),VLOOKUP($C31,武器!$1:$998,COLUMN($O$1),FALSE)*VLOOKUP($D31,素材!$1:$1016,COLUMN($E$1),FALSE)/(LEN(VLOOKUP($D31,素材!$1:$1016,COLUMN($F$1),FALSE))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T31">
        <f>IF(ISNUMBER(SEARCH(SUBSTITUTE(AT$1,RIGHT(AT$1,2),""),VLOOKUP($D31,素材!$1:$1016,COLUMN($F$1),FALSE))),VLOOKUP($C31,武器!$1:$998,COLUMN($O$1),FALSE)*VLOOKUP($D31,素材!$1:$1016,COLUMN($E$1),FALSE)/(LEN(VLOOKUP($D31,素材!$1:$1016,COLUMN($F$1),FALSE))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U31">
        <f>IF(ISNUMBER(SEARCH(SUBSTITUTE(AU$1,RIGHT(AU$1,2),""),VLOOKUP($D31,素材!$1:$1016,COLUMN($F$1),FALSE))),VLOOKUP($C31,武器!$1:$998,COLUMN($O$1),FALSE)*VLOOKUP($D31,素材!$1:$1016,COLUMN($E$1),FALSE)/(LEN(VLOOKUP($D31,素材!$1:$1016,COLUMN($F$1),FALSE))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V31">
        <f>IF(ISNUMBER(SEARCH(SUBSTITUTE(AV$1,RIGHT(AV$1,2),""),VLOOKUP($D31,素材!$1:$1016,COLUMN($F$1),FALSE))),VLOOKUP($C31,武器!$1:$998,COLUMN($O$1),FALSE)*VLOOKUP($D31,素材!$1:$1016,COLUMN($E$1),FALSE)/(LEN(VLOOKUP($D31,素材!$1:$1016,COLUMN($F$1),FALSE))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W31">
        <f>IF(ISNUMBER(SEARCH(SUBSTITUTE(AW$1,RIGHT(AW$1,2),""),VLOOKUP($D31,素材!$1:$1016,COLUMN($F$1),FALSE))),VLOOKUP($C31,武器!$1:$998,COLUMN($O$1),FALSE)*VLOOKUP($D31,素材!$1:$1016,COLUMN($E$1),FALSE)/(LEN(VLOOKUP($D31,素材!$1:$1016,COLUMN($F$1),FALSE))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X31">
        <f>IF(ISNUMBER(SEARCH(SUBSTITUTE(AX$1,RIGHT(AX$1,2),""),VLOOKUP($D31,素材!$1:$1016,COLUMN($F$1),FALSE))),VLOOKUP($C31,武器!$1:$998,COLUMN($O$1),FALSE)*VLOOKUP($D31,素材!$1:$1016,COLUMN($E$1),FALSE)/(LEN(VLOOKUP($D31,素材!$1:$1016,COLUMN($F$1),FALSE))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Y31">
        <f>IF(ISNUMBER(SEARCH(SUBSTITUTE(AY$1,RIGHT(AY$1,2),""),VLOOKUP($D31,素材!$1:$1016,COLUMN($F$1),FALSE))),VLOOKUP($C31,武器!$1:$998,COLUMN($O$1),FALSE)*VLOOKUP($D31,素材!$1:$1016,COLUMN($E$1),FALSE)/(LEN(VLOOKUP($D31,素材!$1:$1016,COLUMN($F$1),FALSE))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AZ31">
        <f>IF(ISNUMBER(SEARCH(SUBSTITUTE(AZ$1,RIGHT(AZ$1,2),""),VLOOKUP($D31,素材!$1:$1016,COLUMN($F$1),FALSE))),VLOOKUP($C31,武器!$1:$998,COLUMN($O$1),FALSE)*VLOOKUP($D31,素材!$1:$1016,COLUMN($E$1),FALSE)/(LEN(VLOOKUP($D31,素材!$1:$1016,COLUMN($F$1),FALSE))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BA31">
        <f>IF(ISNUMBER(SEARCH(SUBSTITUTE(BA$1,RIGHT(BA$1,2),""),VLOOKUP($D31,素材!$1:$1016,COLUMN($F$1),FALSE))),VLOOKUP($C31,武器!$1:$998,COLUMN($O$1),FALSE)*VLOOKUP($D31,素材!$1:$1016,COLUMN($E$1),FALSE)/(LEN(VLOOKUP($D31,素材!$1:$1016,COLUMN($F$1),FALSE))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BB31">
        <f>IF(ISNUMBER(SEARCH(SUBSTITUTE(BB$1,RIGHT(BB$1,2),""),VLOOKUP($D31,素材!$1:$1016,COLUMN($F$1),FALSE))),VLOOKUP($C31,武器!$1:$998,COLUMN($O$1),FALSE)*VLOOKUP($D31,素材!$1:$1016,COLUMN($E$1),FALSE)/(LEN(VLOOKUP($D31,素材!$1:$1016,COLUMN($F$1),FALSE))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BC31">
        <f>IF(ISNUMBER(SEARCH(SUBSTITUTE(BC$1,RIGHT(BC$1,2),""),VLOOKUP($D31,素材!$1:$1016,COLUMN($F$1),FALSE))),VLOOKUP($C31,武器!$1:$998,COLUMN($O$1),FALSE)*VLOOKUP($D31,素材!$1:$1016,COLUMN($E$1),FALSE)/(LEN(VLOOKUP($D31,素材!$1:$1016,COLUMN($F$1),FALSE))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BD31">
        <f>IF(ISNUMBER(SEARCH(SUBSTITUTE(BD$1,RIGHT(BD$1,2),""),VLOOKUP($D31,素材!$1:$1016,COLUMN($F$1),FALSE))),VLOOKUP($C31,武器!$1:$998,COLUMN($O$1),FALSE)*VLOOKUP($D31,素材!$1:$1016,COLUMN($E$1),FALSE)/(LEN(VLOOKUP($D31,素材!$1:$1016,COLUMN($F$1),FALSE))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BE31">
        <f>IF(ISNUMBER(SEARCH(SUBSTITUTE(BE$1,RIGHT(BE$1,2),""),VLOOKUP($D31,素材!$1:$1016,COLUMN($F$1),FALSE))),VLOOKUP($C31,武器!$1:$998,COLUMN($O$1),FALSE)*VLOOKUP($D31,素材!$1:$1016,COLUMN($E$1),FALSE)/(LEN(VLOOKUP($D31,素材!$1:$1016,COLUMN($F$1),FALSE))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BF31">
        <f>IF(ISNUMBER(SEARCH(SUBSTITUTE(BF$1,RIGHT(BF$1,2),""),VLOOKUP($D31,素材!$1:$1016,COLUMN($F$1),FALSE))),VLOOKUP($C31,武器!$1:$998,COLUMN($O$1),FALSE)*VLOOKUP($D31,素材!$1:$1016,COLUMN($E$1),FALSE)/(LEN(VLOOKUP($D31,素材!$1:$1016,COLUMN($F$1),FALSE)) - LEN(SUBSTITUTE(VLOOKUP($D31,素材!$1:$1016,COLUMN($F$1),FALSE), "・", 0)) + 1), 0)</f>
        <v>0</v>
      </c>
      <c r="CM31">
        <f t="shared" si="3"/>
        <v>0</v>
      </c>
      <c r="CN31" s="22" t="str">
        <f>IF(E31="武器",IF(J31-1&gt;SUM(G31:I31),"盾",IF(MAX(G31:I31)=G31,"切断",IF(MAX(G31:I31)=H31,"貫通",IF(MAX(G31:I31)=I31,"打撃","射撃")))),E31)&amp;".webp"</f>
        <v>銃.webp</v>
      </c>
      <c r="CO31">
        <f>IFERROR(VLOOKUP($C31,武器!$1:$998,COLUMN(V$1),FALSE)*VLOOKUP($D31,素材!$1:$1016,COLUMN(N$1),FALSE)+IF(CJ31="",0,VLOOKUP($CJ31,装強!$1:$1008,COLUMN($CL$1),FALSE)),"")</f>
        <v>500</v>
      </c>
      <c r="CP31" t="str">
        <f>VLOOKUP(D31,素材!$A:$O,COLUMN(素材!O$1),FALSE)</f>
        <v>一般的な鉄。量産品を作るのに使用されることが多い</v>
      </c>
      <c r="CQ31" t="str">
        <f>VLOOKUP(C31,武器!$A:$W,COLUMN(武器!W$1),FALSE)</f>
        <v/>
      </c>
      <c r="CS31" t="str">
        <f t="shared" si="2"/>
        <v>e_31</v>
      </c>
      <c r="CT31">
        <f t="shared" si="4"/>
        <v>50000</v>
      </c>
    </row>
    <row r="32" spans="1:98" outlineLevel="1" x14ac:dyDescent="0.4">
      <c r="A32" t="str">
        <f t="shared" si="0"/>
        <v>鉄の射出弓</v>
      </c>
      <c r="B32" t="str">
        <f>IFERROR(VLOOKUP($D32,素材!$1:$1016,COLUMN($B$1),FALSE)&amp;"・"&amp;VLOOKUP($C32,武器!$1:$998,COLUMN(B$1),FALSE),"")</f>
        <v>アイアン・クロスボウ</v>
      </c>
      <c r="C32" t="s">
        <v>213</v>
      </c>
      <c r="D32" s="24" t="s">
        <v>257</v>
      </c>
      <c r="E32" t="str">
        <f>IFERROR(VLOOKUP(C32,武器!$1:$998,COLUMN(C$1),FALSE),"")</f>
        <v>銃</v>
      </c>
      <c r="F32">
        <f>IFERROR(ROUNDDOWN((VLOOKUP($C32,武器!$1:$998,COLUMN(D$1),FALSE)+IFERROR(VLOOKUP($CJ32,装強!$1:$999,COLUMN(F$1),FALSE),0))*VLOOKUP($D32,素材!$1:$1016,COLUMN(D$1),FALSE),0),"")</f>
        <v>0</v>
      </c>
      <c r="G32">
        <f>IFERROR(ROUNDDOWN((VLOOKUP($C32,武器!$1:$998,COLUMN(E$1),FALSE)+IFERROR(VLOOKUP($CJ32,装強!$1:$999,COLUMN(G$1),FALSE),0))*VLOOKUP($D32,素材!$1:$1016,COLUMN($E$1),FALSE),0),"")</f>
        <v>0</v>
      </c>
      <c r="H32">
        <f>IFERROR(ROUNDDOWN((VLOOKUP($C32,武器!$1:$998,COLUMN(F$1),FALSE)+IFERROR(VLOOKUP($CJ32,装強!$1:$999,COLUMN(H$1),FALSE),0))*VLOOKUP($D32,素材!$1:$1016,COLUMN($E$1),FALSE),0),"")</f>
        <v>0</v>
      </c>
      <c r="I32">
        <f>IFERROR(ROUNDDOWN((VLOOKUP($C32,武器!$1:$998,COLUMN(G$1),FALSE)+IFERROR(VLOOKUP($CJ32,装強!$1:$999,COLUMN(I$1),FALSE),0))*VLOOKUP($D32,素材!$1:$1016,COLUMN($E$1),FALSE),0),"")</f>
        <v>0</v>
      </c>
      <c r="J32">
        <f>IFERROR(ROUNDDOWN((VLOOKUP($C32,武器!$1:$998,COLUMN(H$1),FALSE)+IFERROR(VLOOKUP($CJ32,装強!$1:$999,COLUMN(J$1),FALSE),0))*VLOOKUP($D32,素材!$1:$1016,COLUMN($E$1),FALSE),0),"")</f>
        <v>0</v>
      </c>
      <c r="K32">
        <f>IFERROR(ROUNDDOWN((VLOOKUP($C32,武器!$1:$998,COLUMN(I$1),FALSE)+IFERROR(VLOOKUP($CJ32,装強!$1:$999,COLUMN(K$1),FALSE),0))*VLOOKUP($D32,素材!$1:$1016,COLUMN($E$1),FALSE),0),"")</f>
        <v>78</v>
      </c>
      <c r="L32">
        <f>IFERROR(VLOOKUP($D32,素材!$1:$1016,COLUMN($F$1),FALSE),"")</f>
        <v>0</v>
      </c>
      <c r="M32">
        <f>IFERROR(VLOOKUP($C32,武器!$1:$998,COLUMN(AA$1),FALSE)*VLOOKUP($D32,素材!$1:$1016,COLUMN($G$1),FALSE),"")</f>
        <v>0</v>
      </c>
      <c r="N32">
        <f>IFERROR(VLOOKUP($C32,武器!$1:$998,COLUMN(I$1),FALSE),"")</f>
        <v>3.9</v>
      </c>
      <c r="O32" s="23">
        <f>IFERROR((VLOOKUP($C32,武器!$1:$998,COLUMN(K$1),FALSE)+VLOOKUP($D32,素材!$1:$1016,COLUMN(H$1),FALSE))*100+IFERROR(VLOOKUP($CJ32,装強!$1:$999,COLUMN(O$1),FALSE),0),"")</f>
        <v>10</v>
      </c>
      <c r="P32" s="23">
        <f>IFERROR((VLOOKUP($C32,武器!$1:$998,COLUMN(L$1),FALSE)+VLOOKUP($D32,素材!$1:$1016,COLUMN(I$1),FALSE))*100+IFERROR(VLOOKUP($CJ32,装強!$1:$999,COLUMN(P$1),FALSE),0),"")</f>
        <v>150</v>
      </c>
      <c r="Q32">
        <f>IFERROR(ROUNDUP(VLOOKUP($C32,武器!$1:$998,COLUMN(M$1),FALSE)*(VLOOKUP($D32,素材!$1:$1002,COLUMN(D$1),FALSE)/100),1),"")</f>
        <v>0</v>
      </c>
      <c r="R32">
        <f>IFERROR(ROUNDUP(VLOOKUP($C32,武器!$1:$998,COLUMN(N$1),FALSE)*(VLOOKUP($D32,素材!$1:$1002,COLUMN(D$1),FALSE)/100),1),"")</f>
        <v>0</v>
      </c>
      <c r="S32">
        <f>IFERROR(VLOOKUP($C32,武器!$1:$998,COLUMN(P$1),FALSE),"")</f>
        <v>0</v>
      </c>
      <c r="T32">
        <f>IFERROR(VLOOKUP($C32,武器!$1:$998,COLUMN(Q$1),FALSE),"")</f>
        <v>1</v>
      </c>
      <c r="U32">
        <f>IFERROR(VLOOKUP($C32,武器!$1:$998,COLUMN(R$1),FALSE),"")</f>
        <v>1</v>
      </c>
      <c r="V32">
        <f>IFERROR(VLOOKUP($C32,武器!$1:$998,COLUMN(Q$1),FALSE),"")</f>
        <v>1</v>
      </c>
      <c r="W32" t="str">
        <f>IFERROR(VLOOKUP($C32,武器!$1:$998,COLUMN(T$1),FALSE),"")</f>
        <v>S</v>
      </c>
      <c r="Y32">
        <f>IFERROR(VLOOKUP($C32,武器!$1:$998,COLUMN(U$1),FALSE),"")</f>
        <v>0</v>
      </c>
      <c r="Z32">
        <f>IFERROR(ROUNDUP(VLOOKUP($C32,武器!$1:$998,COLUMN(O$1),FALSE)*VLOOKUP($D32,素材!$1:$1016,COLUMN(E$1),FALSE),1),"")</f>
        <v>0</v>
      </c>
      <c r="AA32">
        <f>IF(ISNUMBER(SEARCH(SUBSTITUTE(AA$1,RIGHT(AA$1,2),""),VLOOKUP($D32,素材!$1:$1016,COLUMN($F$1),FALSE))),VLOOKUP($C32,武器!$1:$998,COLUMN($O$1),FALSE)*VLOOKUP($D32,素材!$1:$1016,COLUMN($E$1),FALSE)/(LEN(VLOOKUP($D32,素材!$1:$1016,COLUMN($F$1),FALSE))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B32">
        <f>IF(ISNUMBER(SEARCH(SUBSTITUTE(AB$1,RIGHT(AB$1,2),""),VLOOKUP($D32,素材!$1:$1016,COLUMN($F$1),FALSE))),VLOOKUP($C32,武器!$1:$998,COLUMN($O$1),FALSE)*VLOOKUP($D32,素材!$1:$1016,COLUMN($E$1),FALSE)/(LEN(VLOOKUP($D32,素材!$1:$1016,COLUMN($F$1),FALSE))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C32">
        <f>IF(ISNUMBER(SEARCH(SUBSTITUTE(AC$1,RIGHT(AC$1,2),""),VLOOKUP($D32,素材!$1:$1016,COLUMN($F$1),FALSE))),VLOOKUP($C32,武器!$1:$998,COLUMN($O$1),FALSE)*VLOOKUP($D32,素材!$1:$1016,COLUMN($E$1),FALSE)/(LEN(VLOOKUP($D32,素材!$1:$1016,COLUMN($F$1),FALSE))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D32">
        <f>IF(ISNUMBER(SEARCH(SUBSTITUTE(AD$1,RIGHT(AD$1,2),""),VLOOKUP($D32,素材!$1:$1016,COLUMN($F$1),FALSE))),VLOOKUP($C32,武器!$1:$998,COLUMN($O$1),FALSE)*VLOOKUP($D32,素材!$1:$1016,COLUMN($E$1),FALSE)/(LEN(VLOOKUP($D32,素材!$1:$1016,COLUMN($F$1),FALSE))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E32">
        <f>IF(ISNUMBER(SEARCH(SUBSTITUTE(AE$1,RIGHT(AE$1,2),""),VLOOKUP($D32,素材!$1:$1016,COLUMN($F$1),FALSE))),VLOOKUP($C32,武器!$1:$998,COLUMN($O$1),FALSE)*VLOOKUP($D32,素材!$1:$1016,COLUMN($E$1),FALSE)/(LEN(VLOOKUP($D32,素材!$1:$1016,COLUMN($F$1),FALSE))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F32">
        <f>IF(ISNUMBER(SEARCH(SUBSTITUTE(AF$1,RIGHT(AF$1,2),""),VLOOKUP($D32,素材!$1:$1016,COLUMN($F$1),FALSE))),VLOOKUP($C32,武器!$1:$998,COLUMN($O$1),FALSE)*VLOOKUP($D32,素材!$1:$1016,COLUMN($E$1),FALSE)/(LEN(VLOOKUP($D32,素材!$1:$1016,COLUMN($F$1),FALSE))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G32">
        <f>IF(ISNUMBER(SEARCH(SUBSTITUTE(AG$1,RIGHT(AG$1,2),""),VLOOKUP($D32,素材!$1:$1016,COLUMN($F$1),FALSE))),VLOOKUP($C32,武器!$1:$998,COLUMN($O$1),FALSE)*VLOOKUP($D32,素材!$1:$1016,COLUMN($E$1),FALSE)/(LEN(VLOOKUP($D32,素材!$1:$1016,COLUMN($F$1),FALSE))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H32">
        <f>IF(ISNUMBER(SEARCH(SUBSTITUTE(AH$1,RIGHT(AH$1,2),""),VLOOKUP($D32,素材!$1:$1016,COLUMN($F$1),FALSE))),VLOOKUP($C32,武器!$1:$998,COLUMN($O$1),FALSE)*VLOOKUP($D32,素材!$1:$1016,COLUMN($E$1),FALSE)/(LEN(VLOOKUP($D32,素材!$1:$1016,COLUMN($F$1),FALSE))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I32">
        <f>IF(ISNUMBER(SEARCH(SUBSTITUTE(AI$1,RIGHT(AI$1,2),""),VLOOKUP($D32,素材!$1:$1016,COLUMN($F$1),FALSE))),VLOOKUP($C32,武器!$1:$998,COLUMN($O$1),FALSE)*VLOOKUP($D32,素材!$1:$1016,COLUMN($E$1),FALSE)/(LEN(VLOOKUP($D32,素材!$1:$1016,COLUMN($F$1),FALSE))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J32">
        <f>IF(ISNUMBER(SEARCH(SUBSTITUTE(AJ$1,RIGHT(AJ$1,2),""),VLOOKUP($D32,素材!$1:$1016,COLUMN($F$1),FALSE))),VLOOKUP($C32,武器!$1:$998,COLUMN($O$1),FALSE)*VLOOKUP($D32,素材!$1:$1016,COLUMN($E$1),FALSE)/(LEN(VLOOKUP($D32,素材!$1:$1016,COLUMN($F$1),FALSE))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K32">
        <f>IF(ISNUMBER(SEARCH(SUBSTITUTE(AK$1,RIGHT(AK$1,2),""),VLOOKUP($D32,素材!$1:$1016,COLUMN($F$1),FALSE))),VLOOKUP($C32,武器!$1:$998,COLUMN($O$1),FALSE)*VLOOKUP($D32,素材!$1:$1016,COLUMN($E$1),FALSE)/(LEN(VLOOKUP($D32,素材!$1:$1016,COLUMN($F$1),FALSE))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L32">
        <f>IF(ISNUMBER(SEARCH(SUBSTITUTE(AL$1,RIGHT(AL$1,2),""),VLOOKUP($D32,素材!$1:$1016,COLUMN($F$1),FALSE))),VLOOKUP($C32,武器!$1:$998,COLUMN($O$1),FALSE)*VLOOKUP($D32,素材!$1:$1016,COLUMN($E$1),FALSE)/(LEN(VLOOKUP($D32,素材!$1:$1016,COLUMN($F$1),FALSE))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M32">
        <f>IF(ISNUMBER(SEARCH(SUBSTITUTE(AM$1,RIGHT(AM$1,2),""),VLOOKUP($D32,素材!$1:$1016,COLUMN($F$1),FALSE))),VLOOKUP($C32,武器!$1:$998,COLUMN($O$1),FALSE)*VLOOKUP($D32,素材!$1:$1016,COLUMN($E$1),FALSE)/(LEN(VLOOKUP($D32,素材!$1:$1016,COLUMN($F$1),FALSE))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N32">
        <f>IF(ISNUMBER(SEARCH(SUBSTITUTE(AN$1,RIGHT(AN$1,2),""),VLOOKUP($D32,素材!$1:$1016,COLUMN($F$1),FALSE))),VLOOKUP($C32,武器!$1:$998,COLUMN($O$1),FALSE)*VLOOKUP($D32,素材!$1:$1016,COLUMN($E$1),FALSE)/(LEN(VLOOKUP($D32,素材!$1:$1016,COLUMN($F$1),FALSE))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O32">
        <f>IF(ISNUMBER(SEARCH(SUBSTITUTE(AO$1,RIGHT(AO$1,2),""),VLOOKUP($D32,素材!$1:$1016,COLUMN($F$1),FALSE))),VLOOKUP($C32,武器!$1:$998,COLUMN($O$1),FALSE)*VLOOKUP($D32,素材!$1:$1016,COLUMN($E$1),FALSE)/(LEN(VLOOKUP($D32,素材!$1:$1016,COLUMN($F$1),FALSE))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P32">
        <f>IF(ISNUMBER(SEARCH(SUBSTITUTE(AP$1,RIGHT(AP$1,2),""),VLOOKUP($D32,素材!$1:$1016,COLUMN($F$1),FALSE))),VLOOKUP($C32,武器!$1:$998,COLUMN($O$1),FALSE)*VLOOKUP($D32,素材!$1:$1016,COLUMN($E$1),FALSE)/(LEN(VLOOKUP($D32,素材!$1:$1016,COLUMN($F$1),FALSE))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Q32">
        <f>IF(ISNUMBER(SEARCH(SUBSTITUTE(AQ$1,RIGHT(AQ$1,2),""),VLOOKUP($D32,素材!$1:$1016,COLUMN($F$1),FALSE))),VLOOKUP($C32,武器!$1:$998,COLUMN($O$1),FALSE)*VLOOKUP($D32,素材!$1:$1016,COLUMN($E$1),FALSE)/(LEN(VLOOKUP($D32,素材!$1:$1016,COLUMN($F$1),FALSE))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R32">
        <f>IF(ISNUMBER(SEARCH(SUBSTITUTE(AR$1,RIGHT(AR$1,2),""),VLOOKUP($D32,素材!$1:$1016,COLUMN($F$1),FALSE))),VLOOKUP($C32,武器!$1:$998,COLUMN($O$1),FALSE)*VLOOKUP($D32,素材!$1:$1016,COLUMN($E$1),FALSE)/(LEN(VLOOKUP($D32,素材!$1:$1016,COLUMN($F$1),FALSE))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S32">
        <f>IF(ISNUMBER(SEARCH(SUBSTITUTE(AS$1,RIGHT(AS$1,2),""),VLOOKUP($D32,素材!$1:$1016,COLUMN($F$1),FALSE))),VLOOKUP($C32,武器!$1:$998,COLUMN($O$1),FALSE)*VLOOKUP($D32,素材!$1:$1016,COLUMN($E$1),FALSE)/(LEN(VLOOKUP($D32,素材!$1:$1016,COLUMN($F$1),FALSE))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T32">
        <f>IF(ISNUMBER(SEARCH(SUBSTITUTE(AT$1,RIGHT(AT$1,2),""),VLOOKUP($D32,素材!$1:$1016,COLUMN($F$1),FALSE))),VLOOKUP($C32,武器!$1:$998,COLUMN($O$1),FALSE)*VLOOKUP($D32,素材!$1:$1016,COLUMN($E$1),FALSE)/(LEN(VLOOKUP($D32,素材!$1:$1016,COLUMN($F$1),FALSE))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U32">
        <f>IF(ISNUMBER(SEARCH(SUBSTITUTE(AU$1,RIGHT(AU$1,2),""),VLOOKUP($D32,素材!$1:$1016,COLUMN($F$1),FALSE))),VLOOKUP($C32,武器!$1:$998,COLUMN($O$1),FALSE)*VLOOKUP($D32,素材!$1:$1016,COLUMN($E$1),FALSE)/(LEN(VLOOKUP($D32,素材!$1:$1016,COLUMN($F$1),FALSE))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V32">
        <f>IF(ISNUMBER(SEARCH(SUBSTITUTE(AV$1,RIGHT(AV$1,2),""),VLOOKUP($D32,素材!$1:$1016,COLUMN($F$1),FALSE))),VLOOKUP($C32,武器!$1:$998,COLUMN($O$1),FALSE)*VLOOKUP($D32,素材!$1:$1016,COLUMN($E$1),FALSE)/(LEN(VLOOKUP($D32,素材!$1:$1016,COLUMN($F$1),FALSE))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W32">
        <f>IF(ISNUMBER(SEARCH(SUBSTITUTE(AW$1,RIGHT(AW$1,2),""),VLOOKUP($D32,素材!$1:$1016,COLUMN($F$1),FALSE))),VLOOKUP($C32,武器!$1:$998,COLUMN($O$1),FALSE)*VLOOKUP($D32,素材!$1:$1016,COLUMN($E$1),FALSE)/(LEN(VLOOKUP($D32,素材!$1:$1016,COLUMN($F$1),FALSE))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X32">
        <f>IF(ISNUMBER(SEARCH(SUBSTITUTE(AX$1,RIGHT(AX$1,2),""),VLOOKUP($D32,素材!$1:$1016,COLUMN($F$1),FALSE))),VLOOKUP($C32,武器!$1:$998,COLUMN($O$1),FALSE)*VLOOKUP($D32,素材!$1:$1016,COLUMN($E$1),FALSE)/(LEN(VLOOKUP($D32,素材!$1:$1016,COLUMN($F$1),FALSE))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Y32">
        <f>IF(ISNUMBER(SEARCH(SUBSTITUTE(AY$1,RIGHT(AY$1,2),""),VLOOKUP($D32,素材!$1:$1016,COLUMN($F$1),FALSE))),VLOOKUP($C32,武器!$1:$998,COLUMN($O$1),FALSE)*VLOOKUP($D32,素材!$1:$1016,COLUMN($E$1),FALSE)/(LEN(VLOOKUP($D32,素材!$1:$1016,COLUMN($F$1),FALSE))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AZ32">
        <f>IF(ISNUMBER(SEARCH(SUBSTITUTE(AZ$1,RIGHT(AZ$1,2),""),VLOOKUP($D32,素材!$1:$1016,COLUMN($F$1),FALSE))),VLOOKUP($C32,武器!$1:$998,COLUMN($O$1),FALSE)*VLOOKUP($D32,素材!$1:$1016,COLUMN($E$1),FALSE)/(LEN(VLOOKUP($D32,素材!$1:$1016,COLUMN($F$1),FALSE))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BA32">
        <f>IF(ISNUMBER(SEARCH(SUBSTITUTE(BA$1,RIGHT(BA$1,2),""),VLOOKUP($D32,素材!$1:$1016,COLUMN($F$1),FALSE))),VLOOKUP($C32,武器!$1:$998,COLUMN($O$1),FALSE)*VLOOKUP($D32,素材!$1:$1016,COLUMN($E$1),FALSE)/(LEN(VLOOKUP($D32,素材!$1:$1016,COLUMN($F$1),FALSE))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BB32">
        <f>IF(ISNUMBER(SEARCH(SUBSTITUTE(BB$1,RIGHT(BB$1,2),""),VLOOKUP($D32,素材!$1:$1016,COLUMN($F$1),FALSE))),VLOOKUP($C32,武器!$1:$998,COLUMN($O$1),FALSE)*VLOOKUP($D32,素材!$1:$1016,COLUMN($E$1),FALSE)/(LEN(VLOOKUP($D32,素材!$1:$1016,COLUMN($F$1),FALSE))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BC32">
        <f>IF(ISNUMBER(SEARCH(SUBSTITUTE(BC$1,RIGHT(BC$1,2),""),VLOOKUP($D32,素材!$1:$1016,COLUMN($F$1),FALSE))),VLOOKUP($C32,武器!$1:$998,COLUMN($O$1),FALSE)*VLOOKUP($D32,素材!$1:$1016,COLUMN($E$1),FALSE)/(LEN(VLOOKUP($D32,素材!$1:$1016,COLUMN($F$1),FALSE))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BD32">
        <f>IF(ISNUMBER(SEARCH(SUBSTITUTE(BD$1,RIGHT(BD$1,2),""),VLOOKUP($D32,素材!$1:$1016,COLUMN($F$1),FALSE))),VLOOKUP($C32,武器!$1:$998,COLUMN($O$1),FALSE)*VLOOKUP($D32,素材!$1:$1016,COLUMN($E$1),FALSE)/(LEN(VLOOKUP($D32,素材!$1:$1016,COLUMN($F$1),FALSE))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BE32">
        <f>IF(ISNUMBER(SEARCH(SUBSTITUTE(BE$1,RIGHT(BE$1,2),""),VLOOKUP($D32,素材!$1:$1016,COLUMN($F$1),FALSE))),VLOOKUP($C32,武器!$1:$998,COLUMN($O$1),FALSE)*VLOOKUP($D32,素材!$1:$1016,COLUMN($E$1),FALSE)/(LEN(VLOOKUP($D32,素材!$1:$1016,COLUMN($F$1),FALSE))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BF32">
        <f>IF(ISNUMBER(SEARCH(SUBSTITUTE(BF$1,RIGHT(BF$1,2),""),VLOOKUP($D32,素材!$1:$1016,COLUMN($F$1),FALSE))),VLOOKUP($C32,武器!$1:$998,COLUMN($O$1),FALSE)*VLOOKUP($D32,素材!$1:$1016,COLUMN($E$1),FALSE)/(LEN(VLOOKUP($D32,素材!$1:$1016,COLUMN($F$1),FALSE)) - LEN(SUBSTITUTE(VLOOKUP($D32,素材!$1:$1016,COLUMN($F$1),FALSE), "・", 0)) + 1), 0)</f>
        <v>0</v>
      </c>
      <c r="CM32">
        <f t="shared" si="3"/>
        <v>0</v>
      </c>
      <c r="CN32" s="22" t="str">
        <f>IF(E32="武器",IF(J32-1&gt;SUM(G32:I32),"盾",IF(MAX(G32:I32)=G32,"切断",IF(MAX(G32:I32)=H32,"貫通",IF(MAX(G32:I32)=I32,"打撃","射撃")))),E32)&amp;".webp"</f>
        <v>銃.webp</v>
      </c>
      <c r="CO32">
        <f>IFERROR(VLOOKUP($C32,武器!$1:$998,COLUMN(V$1),FALSE)*VLOOKUP($D32,素材!$1:$1016,COLUMN(N$1),FALSE)+IF(CJ32="",0,VLOOKUP($CJ32,装強!$1:$1008,COLUMN($CL$1),FALSE)),"")</f>
        <v>600</v>
      </c>
      <c r="CP32" t="str">
        <f>VLOOKUP(D32,素材!$A:$O,COLUMN(素材!O$1),FALSE)</f>
        <v>一般的な鉄。量産品を作るのに使用されることが多い</v>
      </c>
      <c r="CQ32" t="str">
        <f>VLOOKUP(C32,武器!$A:$W,COLUMN(武器!W$1),FALSE)</f>
        <v/>
      </c>
      <c r="CS32" t="str">
        <f t="shared" si="2"/>
        <v>e_32</v>
      </c>
      <c r="CT32">
        <f t="shared" si="4"/>
        <v>60000</v>
      </c>
    </row>
    <row r="33" spans="1:98" outlineLevel="1" x14ac:dyDescent="0.4">
      <c r="A33" t="str">
        <f t="shared" si="0"/>
        <v>鉄の回転式拳銃</v>
      </c>
      <c r="B33" t="str">
        <f>IFERROR(VLOOKUP($D33,素材!$1:$1016,COLUMN($B$1),FALSE)&amp;"・"&amp;VLOOKUP($C33,武器!$1:$998,COLUMN(B$1),FALSE),"")</f>
        <v>アイアン・リボルバー</v>
      </c>
      <c r="C33" t="s">
        <v>212</v>
      </c>
      <c r="D33" s="24" t="s">
        <v>257</v>
      </c>
      <c r="E33" t="str">
        <f>IFERROR(VLOOKUP(C33,武器!$1:$998,COLUMN(C$1),FALSE),"")</f>
        <v>銃</v>
      </c>
      <c r="F33">
        <f>IFERROR(ROUNDDOWN((VLOOKUP($C33,武器!$1:$998,COLUMN(D$1),FALSE)+IFERROR(VLOOKUP($CJ33,装強!$1:$999,COLUMN(F$1),FALSE),0))*VLOOKUP($D33,素材!$1:$1016,COLUMN(D$1),FALSE),0),"")</f>
        <v>0</v>
      </c>
      <c r="G33">
        <f>IFERROR(ROUNDDOWN((VLOOKUP($C33,武器!$1:$998,COLUMN(E$1),FALSE)+IFERROR(VLOOKUP($CJ33,装強!$1:$999,COLUMN(G$1),FALSE),0))*VLOOKUP($D33,素材!$1:$1016,COLUMN($E$1),FALSE),0),"")</f>
        <v>0</v>
      </c>
      <c r="H33">
        <f>IFERROR(ROUNDDOWN((VLOOKUP($C33,武器!$1:$998,COLUMN(F$1),FALSE)+IFERROR(VLOOKUP($CJ33,装強!$1:$999,COLUMN(H$1),FALSE),0))*VLOOKUP($D33,素材!$1:$1016,COLUMN($E$1),FALSE),0),"")</f>
        <v>0</v>
      </c>
      <c r="I33">
        <f>IFERROR(ROUNDDOWN((VLOOKUP($C33,武器!$1:$998,COLUMN(G$1),FALSE)+IFERROR(VLOOKUP($CJ33,装強!$1:$999,COLUMN(I$1),FALSE),0))*VLOOKUP($D33,素材!$1:$1016,COLUMN($E$1),FALSE),0),"")</f>
        <v>0</v>
      </c>
      <c r="J33">
        <f>IFERROR(ROUNDDOWN((VLOOKUP($C33,武器!$1:$998,COLUMN(H$1),FALSE)+IFERROR(VLOOKUP($CJ33,装強!$1:$999,COLUMN(J$1),FALSE),0))*VLOOKUP($D33,素材!$1:$1016,COLUMN($E$1),FALSE),0),"")</f>
        <v>0</v>
      </c>
      <c r="K33">
        <f>IFERROR(ROUNDDOWN((VLOOKUP($C33,武器!$1:$998,COLUMN(I$1),FALSE)+IFERROR(VLOOKUP($CJ33,装強!$1:$999,COLUMN(K$1),FALSE),0))*VLOOKUP($D33,素材!$1:$1016,COLUMN($E$1),FALSE),0),"")</f>
        <v>51</v>
      </c>
      <c r="L33">
        <f>IFERROR(VLOOKUP($D33,素材!$1:$1016,COLUMN($F$1),FALSE),"")</f>
        <v>0</v>
      </c>
      <c r="M33">
        <f>IFERROR(VLOOKUP($C33,武器!$1:$998,COLUMN(AA$1),FALSE)*VLOOKUP($D33,素材!$1:$1016,COLUMN($G$1),FALSE),"")</f>
        <v>0</v>
      </c>
      <c r="N33">
        <f>IFERROR(VLOOKUP($C33,武器!$1:$998,COLUMN(I$1),FALSE),"")</f>
        <v>2.5700000000000003</v>
      </c>
      <c r="O33" s="23">
        <f>IFERROR((VLOOKUP($C33,武器!$1:$998,COLUMN(K$1),FALSE)+VLOOKUP($D33,素材!$1:$1016,COLUMN(H$1),FALSE))*100+IFERROR(VLOOKUP($CJ33,装強!$1:$999,COLUMN(O$1),FALSE),0),"")</f>
        <v>10</v>
      </c>
      <c r="P33" s="23">
        <f>IFERROR((VLOOKUP($C33,武器!$1:$998,COLUMN(L$1),FALSE)+VLOOKUP($D33,素材!$1:$1016,COLUMN(I$1),FALSE))*100+IFERROR(VLOOKUP($CJ33,装強!$1:$999,COLUMN(P$1),FALSE),0),"")</f>
        <v>140</v>
      </c>
      <c r="Q33">
        <f>IFERROR(ROUNDUP(VLOOKUP($C33,武器!$1:$998,COLUMN(M$1),FALSE)*(VLOOKUP($D33,素材!$1:$1002,COLUMN(D$1),FALSE)/100),1),"")</f>
        <v>0</v>
      </c>
      <c r="R33">
        <f>IFERROR(ROUNDUP(VLOOKUP($C33,武器!$1:$998,COLUMN(N$1),FALSE)*(VLOOKUP($D33,素材!$1:$1002,COLUMN(D$1),FALSE)/100),1),"")</f>
        <v>-15</v>
      </c>
      <c r="S33">
        <f>IFERROR(VLOOKUP($C33,武器!$1:$998,COLUMN(P$1),FALSE),"")</f>
        <v>0</v>
      </c>
      <c r="T33">
        <f>IFERROR(VLOOKUP($C33,武器!$1:$998,COLUMN(Q$1),FALSE),"")</f>
        <v>2</v>
      </c>
      <c r="U33">
        <f>IFERROR(VLOOKUP($C33,武器!$1:$998,COLUMN(R$1),FALSE),"")</f>
        <v>6</v>
      </c>
      <c r="V33">
        <f>IFERROR(VLOOKUP($C33,武器!$1:$998,COLUMN(Q$1),FALSE),"")</f>
        <v>2</v>
      </c>
      <c r="W33">
        <f>IFERROR(VLOOKUP($C33,武器!$1:$998,COLUMN(T$1),FALSE),"")</f>
        <v>0</v>
      </c>
      <c r="Y33">
        <f>IFERROR(VLOOKUP($C33,武器!$1:$998,COLUMN(U$1),FALSE),"")</f>
        <v>0</v>
      </c>
      <c r="Z33">
        <f>IFERROR(ROUNDUP(VLOOKUP($C33,武器!$1:$998,COLUMN(O$1),FALSE)*VLOOKUP($D33,素材!$1:$1016,COLUMN(E$1),FALSE),1),"")</f>
        <v>0</v>
      </c>
      <c r="AA33">
        <f>IF(ISNUMBER(SEARCH(SUBSTITUTE(AA$1,RIGHT(AA$1,2),""),VLOOKUP($D33,素材!$1:$1016,COLUMN($F$1),FALSE))),VLOOKUP($C33,武器!$1:$998,COLUMN($O$1),FALSE)*VLOOKUP($D33,素材!$1:$1016,COLUMN($E$1),FALSE)/(LEN(VLOOKUP($D33,素材!$1:$1016,COLUMN($F$1),FALSE))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B33">
        <f>IF(ISNUMBER(SEARCH(SUBSTITUTE(AB$1,RIGHT(AB$1,2),""),VLOOKUP($D33,素材!$1:$1016,COLUMN($F$1),FALSE))),VLOOKUP($C33,武器!$1:$998,COLUMN($O$1),FALSE)*VLOOKUP($D33,素材!$1:$1016,COLUMN($E$1),FALSE)/(LEN(VLOOKUP($D33,素材!$1:$1016,COLUMN($F$1),FALSE))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C33">
        <f>IF(ISNUMBER(SEARCH(SUBSTITUTE(AC$1,RIGHT(AC$1,2),""),VLOOKUP($D33,素材!$1:$1016,COLUMN($F$1),FALSE))),VLOOKUP($C33,武器!$1:$998,COLUMN($O$1),FALSE)*VLOOKUP($D33,素材!$1:$1016,COLUMN($E$1),FALSE)/(LEN(VLOOKUP($D33,素材!$1:$1016,COLUMN($F$1),FALSE))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D33">
        <f>IF(ISNUMBER(SEARCH(SUBSTITUTE(AD$1,RIGHT(AD$1,2),""),VLOOKUP($D33,素材!$1:$1016,COLUMN($F$1),FALSE))),VLOOKUP($C33,武器!$1:$998,COLUMN($O$1),FALSE)*VLOOKUP($D33,素材!$1:$1016,COLUMN($E$1),FALSE)/(LEN(VLOOKUP($D33,素材!$1:$1016,COLUMN($F$1),FALSE))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E33">
        <f>IF(ISNUMBER(SEARCH(SUBSTITUTE(AE$1,RIGHT(AE$1,2),""),VLOOKUP($D33,素材!$1:$1016,COLUMN($F$1),FALSE))),VLOOKUP($C33,武器!$1:$998,COLUMN($O$1),FALSE)*VLOOKUP($D33,素材!$1:$1016,COLUMN($E$1),FALSE)/(LEN(VLOOKUP($D33,素材!$1:$1016,COLUMN($F$1),FALSE))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F33">
        <f>IF(ISNUMBER(SEARCH(SUBSTITUTE(AF$1,RIGHT(AF$1,2),""),VLOOKUP($D33,素材!$1:$1016,COLUMN($F$1),FALSE))),VLOOKUP($C33,武器!$1:$998,COLUMN($O$1),FALSE)*VLOOKUP($D33,素材!$1:$1016,COLUMN($E$1),FALSE)/(LEN(VLOOKUP($D33,素材!$1:$1016,COLUMN($F$1),FALSE))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G33">
        <f>IF(ISNUMBER(SEARCH(SUBSTITUTE(AG$1,RIGHT(AG$1,2),""),VLOOKUP($D33,素材!$1:$1016,COLUMN($F$1),FALSE))),VLOOKUP($C33,武器!$1:$998,COLUMN($O$1),FALSE)*VLOOKUP($D33,素材!$1:$1016,COLUMN($E$1),FALSE)/(LEN(VLOOKUP($D33,素材!$1:$1016,COLUMN($F$1),FALSE))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H33">
        <f>IF(ISNUMBER(SEARCH(SUBSTITUTE(AH$1,RIGHT(AH$1,2),""),VLOOKUP($D33,素材!$1:$1016,COLUMN($F$1),FALSE))),VLOOKUP($C33,武器!$1:$998,COLUMN($O$1),FALSE)*VLOOKUP($D33,素材!$1:$1016,COLUMN($E$1),FALSE)/(LEN(VLOOKUP($D33,素材!$1:$1016,COLUMN($F$1),FALSE))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I33">
        <f>IF(ISNUMBER(SEARCH(SUBSTITUTE(AI$1,RIGHT(AI$1,2),""),VLOOKUP($D33,素材!$1:$1016,COLUMN($F$1),FALSE))),VLOOKUP($C33,武器!$1:$998,COLUMN($O$1),FALSE)*VLOOKUP($D33,素材!$1:$1016,COLUMN($E$1),FALSE)/(LEN(VLOOKUP($D33,素材!$1:$1016,COLUMN($F$1),FALSE))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J33">
        <f>IF(ISNUMBER(SEARCH(SUBSTITUTE(AJ$1,RIGHT(AJ$1,2),""),VLOOKUP($D33,素材!$1:$1016,COLUMN($F$1),FALSE))),VLOOKUP($C33,武器!$1:$998,COLUMN($O$1),FALSE)*VLOOKUP($D33,素材!$1:$1016,COLUMN($E$1),FALSE)/(LEN(VLOOKUP($D33,素材!$1:$1016,COLUMN($F$1),FALSE))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K33">
        <f>IF(ISNUMBER(SEARCH(SUBSTITUTE(AK$1,RIGHT(AK$1,2),""),VLOOKUP($D33,素材!$1:$1016,COLUMN($F$1),FALSE))),VLOOKUP($C33,武器!$1:$998,COLUMN($O$1),FALSE)*VLOOKUP($D33,素材!$1:$1016,COLUMN($E$1),FALSE)/(LEN(VLOOKUP($D33,素材!$1:$1016,COLUMN($F$1),FALSE))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L33">
        <f>IF(ISNUMBER(SEARCH(SUBSTITUTE(AL$1,RIGHT(AL$1,2),""),VLOOKUP($D33,素材!$1:$1016,COLUMN($F$1),FALSE))),VLOOKUP($C33,武器!$1:$998,COLUMN($O$1),FALSE)*VLOOKUP($D33,素材!$1:$1016,COLUMN($E$1),FALSE)/(LEN(VLOOKUP($D33,素材!$1:$1016,COLUMN($F$1),FALSE))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M33">
        <f>IF(ISNUMBER(SEARCH(SUBSTITUTE(AM$1,RIGHT(AM$1,2),""),VLOOKUP($D33,素材!$1:$1016,COLUMN($F$1),FALSE))),VLOOKUP($C33,武器!$1:$998,COLUMN($O$1),FALSE)*VLOOKUP($D33,素材!$1:$1016,COLUMN($E$1),FALSE)/(LEN(VLOOKUP($D33,素材!$1:$1016,COLUMN($F$1),FALSE))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N33">
        <f>IF(ISNUMBER(SEARCH(SUBSTITUTE(AN$1,RIGHT(AN$1,2),""),VLOOKUP($D33,素材!$1:$1016,COLUMN($F$1),FALSE))),VLOOKUP($C33,武器!$1:$998,COLUMN($O$1),FALSE)*VLOOKUP($D33,素材!$1:$1016,COLUMN($E$1),FALSE)/(LEN(VLOOKUP($D33,素材!$1:$1016,COLUMN($F$1),FALSE))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O33">
        <f>IF(ISNUMBER(SEARCH(SUBSTITUTE(AO$1,RIGHT(AO$1,2),""),VLOOKUP($D33,素材!$1:$1016,COLUMN($F$1),FALSE))),VLOOKUP($C33,武器!$1:$998,COLUMN($O$1),FALSE)*VLOOKUP($D33,素材!$1:$1016,COLUMN($E$1),FALSE)/(LEN(VLOOKUP($D33,素材!$1:$1016,COLUMN($F$1),FALSE))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P33">
        <f>IF(ISNUMBER(SEARCH(SUBSTITUTE(AP$1,RIGHT(AP$1,2),""),VLOOKUP($D33,素材!$1:$1016,COLUMN($F$1),FALSE))),VLOOKUP($C33,武器!$1:$998,COLUMN($O$1),FALSE)*VLOOKUP($D33,素材!$1:$1016,COLUMN($E$1),FALSE)/(LEN(VLOOKUP($D33,素材!$1:$1016,COLUMN($F$1),FALSE))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Q33">
        <f>IF(ISNUMBER(SEARCH(SUBSTITUTE(AQ$1,RIGHT(AQ$1,2),""),VLOOKUP($D33,素材!$1:$1016,COLUMN($F$1),FALSE))),VLOOKUP($C33,武器!$1:$998,COLUMN($O$1),FALSE)*VLOOKUP($D33,素材!$1:$1016,COLUMN($E$1),FALSE)/(LEN(VLOOKUP($D33,素材!$1:$1016,COLUMN($F$1),FALSE))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R33">
        <f>IF(ISNUMBER(SEARCH(SUBSTITUTE(AR$1,RIGHT(AR$1,2),""),VLOOKUP($D33,素材!$1:$1016,COLUMN($F$1),FALSE))),VLOOKUP($C33,武器!$1:$998,COLUMN($O$1),FALSE)*VLOOKUP($D33,素材!$1:$1016,COLUMN($E$1),FALSE)/(LEN(VLOOKUP($D33,素材!$1:$1016,COLUMN($F$1),FALSE))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S33">
        <f>IF(ISNUMBER(SEARCH(SUBSTITUTE(AS$1,RIGHT(AS$1,2),""),VLOOKUP($D33,素材!$1:$1016,COLUMN($F$1),FALSE))),VLOOKUP($C33,武器!$1:$998,COLUMN($O$1),FALSE)*VLOOKUP($D33,素材!$1:$1016,COLUMN($E$1),FALSE)/(LEN(VLOOKUP($D33,素材!$1:$1016,COLUMN($F$1),FALSE))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T33">
        <f>IF(ISNUMBER(SEARCH(SUBSTITUTE(AT$1,RIGHT(AT$1,2),""),VLOOKUP($D33,素材!$1:$1016,COLUMN($F$1),FALSE))),VLOOKUP($C33,武器!$1:$998,COLUMN($O$1),FALSE)*VLOOKUP($D33,素材!$1:$1016,COLUMN($E$1),FALSE)/(LEN(VLOOKUP($D33,素材!$1:$1016,COLUMN($F$1),FALSE))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U33">
        <f>IF(ISNUMBER(SEARCH(SUBSTITUTE(AU$1,RIGHT(AU$1,2),""),VLOOKUP($D33,素材!$1:$1016,COLUMN($F$1),FALSE))),VLOOKUP($C33,武器!$1:$998,COLUMN($O$1),FALSE)*VLOOKUP($D33,素材!$1:$1016,COLUMN($E$1),FALSE)/(LEN(VLOOKUP($D33,素材!$1:$1016,COLUMN($F$1),FALSE))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V33">
        <f>IF(ISNUMBER(SEARCH(SUBSTITUTE(AV$1,RIGHT(AV$1,2),""),VLOOKUP($D33,素材!$1:$1016,COLUMN($F$1),FALSE))),VLOOKUP($C33,武器!$1:$998,COLUMN($O$1),FALSE)*VLOOKUP($D33,素材!$1:$1016,COLUMN($E$1),FALSE)/(LEN(VLOOKUP($D33,素材!$1:$1016,COLUMN($F$1),FALSE))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W33">
        <f>IF(ISNUMBER(SEARCH(SUBSTITUTE(AW$1,RIGHT(AW$1,2),""),VLOOKUP($D33,素材!$1:$1016,COLUMN($F$1),FALSE))),VLOOKUP($C33,武器!$1:$998,COLUMN($O$1),FALSE)*VLOOKUP($D33,素材!$1:$1016,COLUMN($E$1),FALSE)/(LEN(VLOOKUP($D33,素材!$1:$1016,COLUMN($F$1),FALSE))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X33">
        <f>IF(ISNUMBER(SEARCH(SUBSTITUTE(AX$1,RIGHT(AX$1,2),""),VLOOKUP($D33,素材!$1:$1016,COLUMN($F$1),FALSE))),VLOOKUP($C33,武器!$1:$998,COLUMN($O$1),FALSE)*VLOOKUP($D33,素材!$1:$1016,COLUMN($E$1),FALSE)/(LEN(VLOOKUP($D33,素材!$1:$1016,COLUMN($F$1),FALSE))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Y33">
        <f>IF(ISNUMBER(SEARCH(SUBSTITUTE(AY$1,RIGHT(AY$1,2),""),VLOOKUP($D33,素材!$1:$1016,COLUMN($F$1),FALSE))),VLOOKUP($C33,武器!$1:$998,COLUMN($O$1),FALSE)*VLOOKUP($D33,素材!$1:$1016,COLUMN($E$1),FALSE)/(LEN(VLOOKUP($D33,素材!$1:$1016,COLUMN($F$1),FALSE))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AZ33">
        <f>IF(ISNUMBER(SEARCH(SUBSTITUTE(AZ$1,RIGHT(AZ$1,2),""),VLOOKUP($D33,素材!$1:$1016,COLUMN($F$1),FALSE))),VLOOKUP($C33,武器!$1:$998,COLUMN($O$1),FALSE)*VLOOKUP($D33,素材!$1:$1016,COLUMN($E$1),FALSE)/(LEN(VLOOKUP($D33,素材!$1:$1016,COLUMN($F$1),FALSE))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BA33">
        <f>IF(ISNUMBER(SEARCH(SUBSTITUTE(BA$1,RIGHT(BA$1,2),""),VLOOKUP($D33,素材!$1:$1016,COLUMN($F$1),FALSE))),VLOOKUP($C33,武器!$1:$998,COLUMN($O$1),FALSE)*VLOOKUP($D33,素材!$1:$1016,COLUMN($E$1),FALSE)/(LEN(VLOOKUP($D33,素材!$1:$1016,COLUMN($F$1),FALSE))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BB33">
        <f>IF(ISNUMBER(SEARCH(SUBSTITUTE(BB$1,RIGHT(BB$1,2),""),VLOOKUP($D33,素材!$1:$1016,COLUMN($F$1),FALSE))),VLOOKUP($C33,武器!$1:$998,COLUMN($O$1),FALSE)*VLOOKUP($D33,素材!$1:$1016,COLUMN($E$1),FALSE)/(LEN(VLOOKUP($D33,素材!$1:$1016,COLUMN($F$1),FALSE))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BC33">
        <f>IF(ISNUMBER(SEARCH(SUBSTITUTE(BC$1,RIGHT(BC$1,2),""),VLOOKUP($D33,素材!$1:$1016,COLUMN($F$1),FALSE))),VLOOKUP($C33,武器!$1:$998,COLUMN($O$1),FALSE)*VLOOKUP($D33,素材!$1:$1016,COLUMN($E$1),FALSE)/(LEN(VLOOKUP($D33,素材!$1:$1016,COLUMN($F$1),FALSE))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BD33">
        <f>IF(ISNUMBER(SEARCH(SUBSTITUTE(BD$1,RIGHT(BD$1,2),""),VLOOKUP($D33,素材!$1:$1016,COLUMN($F$1),FALSE))),VLOOKUP($C33,武器!$1:$998,COLUMN($O$1),FALSE)*VLOOKUP($D33,素材!$1:$1016,COLUMN($E$1),FALSE)/(LEN(VLOOKUP($D33,素材!$1:$1016,COLUMN($F$1),FALSE))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BE33">
        <f>IF(ISNUMBER(SEARCH(SUBSTITUTE(BE$1,RIGHT(BE$1,2),""),VLOOKUP($D33,素材!$1:$1016,COLUMN($F$1),FALSE))),VLOOKUP($C33,武器!$1:$998,COLUMN($O$1),FALSE)*VLOOKUP($D33,素材!$1:$1016,COLUMN($E$1),FALSE)/(LEN(VLOOKUP($D33,素材!$1:$1016,COLUMN($F$1),FALSE))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BF33">
        <f>IF(ISNUMBER(SEARCH(SUBSTITUTE(BF$1,RIGHT(BF$1,2),""),VLOOKUP($D33,素材!$1:$1016,COLUMN($F$1),FALSE))),VLOOKUP($C33,武器!$1:$998,COLUMN($O$1),FALSE)*VLOOKUP($D33,素材!$1:$1016,COLUMN($E$1),FALSE)/(LEN(VLOOKUP($D33,素材!$1:$1016,COLUMN($F$1),FALSE)) - LEN(SUBSTITUTE(VLOOKUP($D33,素材!$1:$1016,COLUMN($F$1),FALSE), "・", 0)) + 1), 0)</f>
        <v>0</v>
      </c>
      <c r="CM33">
        <f t="shared" si="3"/>
        <v>0</v>
      </c>
      <c r="CN33" s="22" t="str">
        <f>IF(E33="武器",IF(J33-1&gt;SUM(G33:I33),"盾",IF(MAX(G33:I33)=G33,"切断",IF(MAX(G33:I33)=H33,"貫通",IF(MAX(G33:I33)=I33,"打撃","射撃")))),E33)&amp;".webp"</f>
        <v>銃.webp</v>
      </c>
      <c r="CO33">
        <f>IFERROR(VLOOKUP($C33,武器!$1:$998,COLUMN(V$1),FALSE)*VLOOKUP($D33,素材!$1:$1016,COLUMN(N$1),FALSE)+IF(CJ33="",0,VLOOKUP($CJ33,装強!$1:$1008,COLUMN($CL$1),FALSE)),"")</f>
        <v>400</v>
      </c>
      <c r="CP33" t="str">
        <f>VLOOKUP(D33,素材!$A:$O,COLUMN(素材!O$1),FALSE)</f>
        <v>一般的な鉄。量産品を作るのに使用されることが多い</v>
      </c>
      <c r="CQ33" t="str">
        <f>VLOOKUP(C33,武器!$A:$W,COLUMN(武器!W$1),FALSE)</f>
        <v/>
      </c>
      <c r="CS33" t="str">
        <f t="shared" si="2"/>
        <v>e_33</v>
      </c>
      <c r="CT33">
        <f t="shared" si="4"/>
        <v>40000</v>
      </c>
    </row>
    <row r="34" spans="1:98" outlineLevel="1" x14ac:dyDescent="0.4">
      <c r="A34" t="str">
        <f t="shared" si="0"/>
        <v>鉄の拳銃</v>
      </c>
      <c r="B34" t="str">
        <f>IFERROR(VLOOKUP($D34,素材!$1:$1016,COLUMN($B$1),FALSE)&amp;"・"&amp;VLOOKUP($C34,武器!$1:$998,COLUMN(B$1),FALSE),"")</f>
        <v>アイアン・ハンドガン</v>
      </c>
      <c r="C34" t="s">
        <v>211</v>
      </c>
      <c r="D34" s="24" t="s">
        <v>257</v>
      </c>
      <c r="E34" t="str">
        <f>IFERROR(VLOOKUP(C34,武器!$1:$998,COLUMN(C$1),FALSE),"")</f>
        <v>銃</v>
      </c>
      <c r="F34">
        <f>IFERROR(ROUNDDOWN((VLOOKUP($C34,武器!$1:$998,COLUMN(D$1),FALSE)+IFERROR(VLOOKUP($CJ34,装強!$1:$999,COLUMN(F$1),FALSE),0))*VLOOKUP($D34,素材!$1:$1016,COLUMN(D$1),FALSE),0),"")</f>
        <v>0</v>
      </c>
      <c r="G34">
        <f>IFERROR(ROUNDDOWN((VLOOKUP($C34,武器!$1:$998,COLUMN(E$1),FALSE)+IFERROR(VLOOKUP($CJ34,装強!$1:$999,COLUMN(G$1),FALSE),0))*VLOOKUP($D34,素材!$1:$1016,COLUMN($E$1),FALSE),0),"")</f>
        <v>0</v>
      </c>
      <c r="H34">
        <f>IFERROR(ROUNDDOWN((VLOOKUP($C34,武器!$1:$998,COLUMN(F$1),FALSE)+IFERROR(VLOOKUP($CJ34,装強!$1:$999,COLUMN(H$1),FALSE),0))*VLOOKUP($D34,素材!$1:$1016,COLUMN($E$1),FALSE),0),"")</f>
        <v>0</v>
      </c>
      <c r="I34">
        <f>IFERROR(ROUNDDOWN((VLOOKUP($C34,武器!$1:$998,COLUMN(G$1),FALSE)+IFERROR(VLOOKUP($CJ34,装強!$1:$999,COLUMN(I$1),FALSE),0))*VLOOKUP($D34,素材!$1:$1016,COLUMN($E$1),FALSE),0),"")</f>
        <v>0</v>
      </c>
      <c r="J34">
        <f>IFERROR(ROUNDDOWN((VLOOKUP($C34,武器!$1:$998,COLUMN(H$1),FALSE)+IFERROR(VLOOKUP($CJ34,装強!$1:$999,COLUMN(J$1),FALSE),0))*VLOOKUP($D34,素材!$1:$1016,COLUMN($E$1),FALSE),0),"")</f>
        <v>0</v>
      </c>
      <c r="K34">
        <f>IFERROR(ROUNDDOWN((VLOOKUP($C34,武器!$1:$998,COLUMN(I$1),FALSE)+IFERROR(VLOOKUP($CJ34,装強!$1:$999,COLUMN(K$1),FALSE),0))*VLOOKUP($D34,素材!$1:$1016,COLUMN($E$1),FALSE),0),"")</f>
        <v>36</v>
      </c>
      <c r="L34">
        <f>IFERROR(VLOOKUP($D34,素材!$1:$1016,COLUMN($F$1),FALSE),"")</f>
        <v>0</v>
      </c>
      <c r="M34">
        <f>IFERROR(VLOOKUP($C34,武器!$1:$998,COLUMN(AA$1),FALSE)*VLOOKUP($D34,素材!$1:$1016,COLUMN($G$1),FALSE),"")</f>
        <v>0</v>
      </c>
      <c r="N34">
        <f>IFERROR(VLOOKUP($C34,武器!$1:$998,COLUMN(I$1),FALSE),"")</f>
        <v>1.8</v>
      </c>
      <c r="O34" s="23">
        <f>IFERROR((VLOOKUP($C34,武器!$1:$998,COLUMN(K$1),FALSE)+VLOOKUP($D34,素材!$1:$1016,COLUMN(H$1),FALSE))*100+IFERROR(VLOOKUP($CJ34,装強!$1:$999,COLUMN(O$1),FALSE),0),"")</f>
        <v>15</v>
      </c>
      <c r="P34" s="23">
        <f>IFERROR((VLOOKUP($C34,武器!$1:$998,COLUMN(L$1),FALSE)+VLOOKUP($D34,素材!$1:$1016,COLUMN(I$1),FALSE))*100+IFERROR(VLOOKUP($CJ34,装強!$1:$999,COLUMN(P$1),FALSE),0),"")</f>
        <v>175</v>
      </c>
      <c r="Q34">
        <f>IFERROR(ROUNDUP(VLOOKUP($C34,武器!$1:$998,COLUMN(M$1),FALSE)*(VLOOKUP($D34,素材!$1:$1002,COLUMN(D$1),FALSE)/100),1),"")</f>
        <v>0</v>
      </c>
      <c r="R34">
        <f>IFERROR(ROUNDUP(VLOOKUP($C34,武器!$1:$998,COLUMN(N$1),FALSE)*(VLOOKUP($D34,素材!$1:$1002,COLUMN(D$1),FALSE)/100),1),"")</f>
        <v>0</v>
      </c>
      <c r="S34">
        <f>IFERROR(VLOOKUP($C34,武器!$1:$998,COLUMN(P$1),FALSE),"")</f>
        <v>0</v>
      </c>
      <c r="T34">
        <f>IFERROR(VLOOKUP($C34,武器!$1:$998,COLUMN(Q$1),FALSE),"")</f>
        <v>3</v>
      </c>
      <c r="U34">
        <f>IFERROR(VLOOKUP($C34,武器!$1:$998,COLUMN(R$1),FALSE),"")</f>
        <v>1</v>
      </c>
      <c r="V34">
        <f>IFERROR(VLOOKUP($C34,武器!$1:$998,COLUMN(Q$1),FALSE),"")</f>
        <v>3</v>
      </c>
      <c r="W34">
        <f>IFERROR(VLOOKUP($C34,武器!$1:$998,COLUMN(T$1),FALSE),"")</f>
        <v>0</v>
      </c>
      <c r="Y34">
        <f>IFERROR(VLOOKUP($C34,武器!$1:$998,COLUMN(U$1),FALSE),"")</f>
        <v>0</v>
      </c>
      <c r="Z34">
        <f>IFERROR(ROUNDUP(VLOOKUP($C34,武器!$1:$998,COLUMN(O$1),FALSE)*VLOOKUP($D34,素材!$1:$1016,COLUMN(E$1),FALSE),1),"")</f>
        <v>0</v>
      </c>
      <c r="AA34">
        <f>IF(ISNUMBER(SEARCH(SUBSTITUTE(AA$1,RIGHT(AA$1,2),""),VLOOKUP($D34,素材!$1:$1016,COLUMN($F$1),FALSE))),VLOOKUP($C34,武器!$1:$998,COLUMN($O$1),FALSE)*VLOOKUP($D34,素材!$1:$1016,COLUMN($E$1),FALSE)/(LEN(VLOOKUP($D34,素材!$1:$1016,COLUMN($F$1),FALSE))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B34">
        <f>IF(ISNUMBER(SEARCH(SUBSTITUTE(AB$1,RIGHT(AB$1,2),""),VLOOKUP($D34,素材!$1:$1016,COLUMN($F$1),FALSE))),VLOOKUP($C34,武器!$1:$998,COLUMN($O$1),FALSE)*VLOOKUP($D34,素材!$1:$1016,COLUMN($E$1),FALSE)/(LEN(VLOOKUP($D34,素材!$1:$1016,COLUMN($F$1),FALSE))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C34">
        <f>IF(ISNUMBER(SEARCH(SUBSTITUTE(AC$1,RIGHT(AC$1,2),""),VLOOKUP($D34,素材!$1:$1016,COLUMN($F$1),FALSE))),VLOOKUP($C34,武器!$1:$998,COLUMN($O$1),FALSE)*VLOOKUP($D34,素材!$1:$1016,COLUMN($E$1),FALSE)/(LEN(VLOOKUP($D34,素材!$1:$1016,COLUMN($F$1),FALSE))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D34">
        <f>IF(ISNUMBER(SEARCH(SUBSTITUTE(AD$1,RIGHT(AD$1,2),""),VLOOKUP($D34,素材!$1:$1016,COLUMN($F$1),FALSE))),VLOOKUP($C34,武器!$1:$998,COLUMN($O$1),FALSE)*VLOOKUP($D34,素材!$1:$1016,COLUMN($E$1),FALSE)/(LEN(VLOOKUP($D34,素材!$1:$1016,COLUMN($F$1),FALSE))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E34">
        <f>IF(ISNUMBER(SEARCH(SUBSTITUTE(AE$1,RIGHT(AE$1,2),""),VLOOKUP($D34,素材!$1:$1016,COLUMN($F$1),FALSE))),VLOOKUP($C34,武器!$1:$998,COLUMN($O$1),FALSE)*VLOOKUP($D34,素材!$1:$1016,COLUMN($E$1),FALSE)/(LEN(VLOOKUP($D34,素材!$1:$1016,COLUMN($F$1),FALSE))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F34">
        <f>IF(ISNUMBER(SEARCH(SUBSTITUTE(AF$1,RIGHT(AF$1,2),""),VLOOKUP($D34,素材!$1:$1016,COLUMN($F$1),FALSE))),VLOOKUP($C34,武器!$1:$998,COLUMN($O$1),FALSE)*VLOOKUP($D34,素材!$1:$1016,COLUMN($E$1),FALSE)/(LEN(VLOOKUP($D34,素材!$1:$1016,COLUMN($F$1),FALSE))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G34">
        <f>IF(ISNUMBER(SEARCH(SUBSTITUTE(AG$1,RIGHT(AG$1,2),""),VLOOKUP($D34,素材!$1:$1016,COLUMN($F$1),FALSE))),VLOOKUP($C34,武器!$1:$998,COLUMN($O$1),FALSE)*VLOOKUP($D34,素材!$1:$1016,COLUMN($E$1),FALSE)/(LEN(VLOOKUP($D34,素材!$1:$1016,COLUMN($F$1),FALSE))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H34">
        <f>IF(ISNUMBER(SEARCH(SUBSTITUTE(AH$1,RIGHT(AH$1,2),""),VLOOKUP($D34,素材!$1:$1016,COLUMN($F$1),FALSE))),VLOOKUP($C34,武器!$1:$998,COLUMN($O$1),FALSE)*VLOOKUP($D34,素材!$1:$1016,COLUMN($E$1),FALSE)/(LEN(VLOOKUP($D34,素材!$1:$1016,COLUMN($F$1),FALSE))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I34">
        <f>IF(ISNUMBER(SEARCH(SUBSTITUTE(AI$1,RIGHT(AI$1,2),""),VLOOKUP($D34,素材!$1:$1016,COLUMN($F$1),FALSE))),VLOOKUP($C34,武器!$1:$998,COLUMN($O$1),FALSE)*VLOOKUP($D34,素材!$1:$1016,COLUMN($E$1),FALSE)/(LEN(VLOOKUP($D34,素材!$1:$1016,COLUMN($F$1),FALSE))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J34">
        <f>IF(ISNUMBER(SEARCH(SUBSTITUTE(AJ$1,RIGHT(AJ$1,2),""),VLOOKUP($D34,素材!$1:$1016,COLUMN($F$1),FALSE))),VLOOKUP($C34,武器!$1:$998,COLUMN($O$1),FALSE)*VLOOKUP($D34,素材!$1:$1016,COLUMN($E$1),FALSE)/(LEN(VLOOKUP($D34,素材!$1:$1016,COLUMN($F$1),FALSE))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K34">
        <f>IF(ISNUMBER(SEARCH(SUBSTITUTE(AK$1,RIGHT(AK$1,2),""),VLOOKUP($D34,素材!$1:$1016,COLUMN($F$1),FALSE))),VLOOKUP($C34,武器!$1:$998,COLUMN($O$1),FALSE)*VLOOKUP($D34,素材!$1:$1016,COLUMN($E$1),FALSE)/(LEN(VLOOKUP($D34,素材!$1:$1016,COLUMN($F$1),FALSE))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L34">
        <f>IF(ISNUMBER(SEARCH(SUBSTITUTE(AL$1,RIGHT(AL$1,2),""),VLOOKUP($D34,素材!$1:$1016,COLUMN($F$1),FALSE))),VLOOKUP($C34,武器!$1:$998,COLUMN($O$1),FALSE)*VLOOKUP($D34,素材!$1:$1016,COLUMN($E$1),FALSE)/(LEN(VLOOKUP($D34,素材!$1:$1016,COLUMN($F$1),FALSE))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M34">
        <f>IF(ISNUMBER(SEARCH(SUBSTITUTE(AM$1,RIGHT(AM$1,2),""),VLOOKUP($D34,素材!$1:$1016,COLUMN($F$1),FALSE))),VLOOKUP($C34,武器!$1:$998,COLUMN($O$1),FALSE)*VLOOKUP($D34,素材!$1:$1016,COLUMN($E$1),FALSE)/(LEN(VLOOKUP($D34,素材!$1:$1016,COLUMN($F$1),FALSE))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N34">
        <f>IF(ISNUMBER(SEARCH(SUBSTITUTE(AN$1,RIGHT(AN$1,2),""),VLOOKUP($D34,素材!$1:$1016,COLUMN($F$1),FALSE))),VLOOKUP($C34,武器!$1:$998,COLUMN($O$1),FALSE)*VLOOKUP($D34,素材!$1:$1016,COLUMN($E$1),FALSE)/(LEN(VLOOKUP($D34,素材!$1:$1016,COLUMN($F$1),FALSE))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O34">
        <f>IF(ISNUMBER(SEARCH(SUBSTITUTE(AO$1,RIGHT(AO$1,2),""),VLOOKUP($D34,素材!$1:$1016,COLUMN($F$1),FALSE))),VLOOKUP($C34,武器!$1:$998,COLUMN($O$1),FALSE)*VLOOKUP($D34,素材!$1:$1016,COLUMN($E$1),FALSE)/(LEN(VLOOKUP($D34,素材!$1:$1016,COLUMN($F$1),FALSE))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P34">
        <f>IF(ISNUMBER(SEARCH(SUBSTITUTE(AP$1,RIGHT(AP$1,2),""),VLOOKUP($D34,素材!$1:$1016,COLUMN($F$1),FALSE))),VLOOKUP($C34,武器!$1:$998,COLUMN($O$1),FALSE)*VLOOKUP($D34,素材!$1:$1016,COLUMN($E$1),FALSE)/(LEN(VLOOKUP($D34,素材!$1:$1016,COLUMN($F$1),FALSE))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Q34">
        <f>IF(ISNUMBER(SEARCH(SUBSTITUTE(AQ$1,RIGHT(AQ$1,2),""),VLOOKUP($D34,素材!$1:$1016,COLUMN($F$1),FALSE))),VLOOKUP($C34,武器!$1:$998,COLUMN($O$1),FALSE)*VLOOKUP($D34,素材!$1:$1016,COLUMN($E$1),FALSE)/(LEN(VLOOKUP($D34,素材!$1:$1016,COLUMN($F$1),FALSE))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R34">
        <f>IF(ISNUMBER(SEARCH(SUBSTITUTE(AR$1,RIGHT(AR$1,2),""),VLOOKUP($D34,素材!$1:$1016,COLUMN($F$1),FALSE))),VLOOKUP($C34,武器!$1:$998,COLUMN($O$1),FALSE)*VLOOKUP($D34,素材!$1:$1016,COLUMN($E$1),FALSE)/(LEN(VLOOKUP($D34,素材!$1:$1016,COLUMN($F$1),FALSE))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S34">
        <f>IF(ISNUMBER(SEARCH(SUBSTITUTE(AS$1,RIGHT(AS$1,2),""),VLOOKUP($D34,素材!$1:$1016,COLUMN($F$1),FALSE))),VLOOKUP($C34,武器!$1:$998,COLUMN($O$1),FALSE)*VLOOKUP($D34,素材!$1:$1016,COLUMN($E$1),FALSE)/(LEN(VLOOKUP($D34,素材!$1:$1016,COLUMN($F$1),FALSE))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T34">
        <f>IF(ISNUMBER(SEARCH(SUBSTITUTE(AT$1,RIGHT(AT$1,2),""),VLOOKUP($D34,素材!$1:$1016,COLUMN($F$1),FALSE))),VLOOKUP($C34,武器!$1:$998,COLUMN($O$1),FALSE)*VLOOKUP($D34,素材!$1:$1016,COLUMN($E$1),FALSE)/(LEN(VLOOKUP($D34,素材!$1:$1016,COLUMN($F$1),FALSE))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U34">
        <f>IF(ISNUMBER(SEARCH(SUBSTITUTE(AU$1,RIGHT(AU$1,2),""),VLOOKUP($D34,素材!$1:$1016,COLUMN($F$1),FALSE))),VLOOKUP($C34,武器!$1:$998,COLUMN($O$1),FALSE)*VLOOKUP($D34,素材!$1:$1016,COLUMN($E$1),FALSE)/(LEN(VLOOKUP($D34,素材!$1:$1016,COLUMN($F$1),FALSE))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V34">
        <f>IF(ISNUMBER(SEARCH(SUBSTITUTE(AV$1,RIGHT(AV$1,2),""),VLOOKUP($D34,素材!$1:$1016,COLUMN($F$1),FALSE))),VLOOKUP($C34,武器!$1:$998,COLUMN($O$1),FALSE)*VLOOKUP($D34,素材!$1:$1016,COLUMN($E$1),FALSE)/(LEN(VLOOKUP($D34,素材!$1:$1016,COLUMN($F$1),FALSE))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W34">
        <f>IF(ISNUMBER(SEARCH(SUBSTITUTE(AW$1,RIGHT(AW$1,2),""),VLOOKUP($D34,素材!$1:$1016,COLUMN($F$1),FALSE))),VLOOKUP($C34,武器!$1:$998,COLUMN($O$1),FALSE)*VLOOKUP($D34,素材!$1:$1016,COLUMN($E$1),FALSE)/(LEN(VLOOKUP($D34,素材!$1:$1016,COLUMN($F$1),FALSE))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X34">
        <f>IF(ISNUMBER(SEARCH(SUBSTITUTE(AX$1,RIGHT(AX$1,2),""),VLOOKUP($D34,素材!$1:$1016,COLUMN($F$1),FALSE))),VLOOKUP($C34,武器!$1:$998,COLUMN($O$1),FALSE)*VLOOKUP($D34,素材!$1:$1016,COLUMN($E$1),FALSE)/(LEN(VLOOKUP($D34,素材!$1:$1016,COLUMN($F$1),FALSE))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Y34">
        <f>IF(ISNUMBER(SEARCH(SUBSTITUTE(AY$1,RIGHT(AY$1,2),""),VLOOKUP($D34,素材!$1:$1016,COLUMN($F$1),FALSE))),VLOOKUP($C34,武器!$1:$998,COLUMN($O$1),FALSE)*VLOOKUP($D34,素材!$1:$1016,COLUMN($E$1),FALSE)/(LEN(VLOOKUP($D34,素材!$1:$1016,COLUMN($F$1),FALSE))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AZ34">
        <f>IF(ISNUMBER(SEARCH(SUBSTITUTE(AZ$1,RIGHT(AZ$1,2),""),VLOOKUP($D34,素材!$1:$1016,COLUMN($F$1),FALSE))),VLOOKUP($C34,武器!$1:$998,COLUMN($O$1),FALSE)*VLOOKUP($D34,素材!$1:$1016,COLUMN($E$1),FALSE)/(LEN(VLOOKUP($D34,素材!$1:$1016,COLUMN($F$1),FALSE))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BA34">
        <f>IF(ISNUMBER(SEARCH(SUBSTITUTE(BA$1,RIGHT(BA$1,2),""),VLOOKUP($D34,素材!$1:$1016,COLUMN($F$1),FALSE))),VLOOKUP($C34,武器!$1:$998,COLUMN($O$1),FALSE)*VLOOKUP($D34,素材!$1:$1016,COLUMN($E$1),FALSE)/(LEN(VLOOKUP($D34,素材!$1:$1016,COLUMN($F$1),FALSE))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BB34">
        <f>IF(ISNUMBER(SEARCH(SUBSTITUTE(BB$1,RIGHT(BB$1,2),""),VLOOKUP($D34,素材!$1:$1016,COLUMN($F$1),FALSE))),VLOOKUP($C34,武器!$1:$998,COLUMN($O$1),FALSE)*VLOOKUP($D34,素材!$1:$1016,COLUMN($E$1),FALSE)/(LEN(VLOOKUP($D34,素材!$1:$1016,COLUMN($F$1),FALSE))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BC34">
        <f>IF(ISNUMBER(SEARCH(SUBSTITUTE(BC$1,RIGHT(BC$1,2),""),VLOOKUP($D34,素材!$1:$1016,COLUMN($F$1),FALSE))),VLOOKUP($C34,武器!$1:$998,COLUMN($O$1),FALSE)*VLOOKUP($D34,素材!$1:$1016,COLUMN($E$1),FALSE)/(LEN(VLOOKUP($D34,素材!$1:$1016,COLUMN($F$1),FALSE))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BD34">
        <f>IF(ISNUMBER(SEARCH(SUBSTITUTE(BD$1,RIGHT(BD$1,2),""),VLOOKUP($D34,素材!$1:$1016,COLUMN($F$1),FALSE))),VLOOKUP($C34,武器!$1:$998,COLUMN($O$1),FALSE)*VLOOKUP($D34,素材!$1:$1016,COLUMN($E$1),FALSE)/(LEN(VLOOKUP($D34,素材!$1:$1016,COLUMN($F$1),FALSE))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BE34">
        <f>IF(ISNUMBER(SEARCH(SUBSTITUTE(BE$1,RIGHT(BE$1,2),""),VLOOKUP($D34,素材!$1:$1016,COLUMN($F$1),FALSE))),VLOOKUP($C34,武器!$1:$998,COLUMN($O$1),FALSE)*VLOOKUP($D34,素材!$1:$1016,COLUMN($E$1),FALSE)/(LEN(VLOOKUP($D34,素材!$1:$1016,COLUMN($F$1),FALSE))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BF34">
        <f>IF(ISNUMBER(SEARCH(SUBSTITUTE(BF$1,RIGHT(BF$1,2),""),VLOOKUP($D34,素材!$1:$1016,COLUMN($F$1),FALSE))),VLOOKUP($C34,武器!$1:$998,COLUMN($O$1),FALSE)*VLOOKUP($D34,素材!$1:$1016,COLUMN($E$1),FALSE)/(LEN(VLOOKUP($D34,素材!$1:$1016,COLUMN($F$1),FALSE)) - LEN(SUBSTITUTE(VLOOKUP($D34,素材!$1:$1016,COLUMN($F$1),FALSE), "・", 0)) + 1), 0)</f>
        <v>0</v>
      </c>
      <c r="CM34">
        <f t="shared" si="3"/>
        <v>0</v>
      </c>
      <c r="CN34" s="22" t="str">
        <f>IF(E34="武器",IF(J34-1&gt;SUM(G34:I34),"盾",IF(MAX(G34:I34)=G34,"切断",IF(MAX(G34:I34)=H34,"貫通",IF(MAX(G34:I34)=I34,"打撃","射撃")))),E34)&amp;".webp"</f>
        <v>銃.webp</v>
      </c>
      <c r="CO34">
        <f>IFERROR(VLOOKUP($C34,武器!$1:$998,COLUMN(V$1),FALSE)*VLOOKUP($D34,素材!$1:$1016,COLUMN(N$1),FALSE)+IF(CJ34="",0,VLOOKUP($CJ34,装強!$1:$1008,COLUMN($CL$1),FALSE)),"")</f>
        <v>400</v>
      </c>
      <c r="CP34" t="str">
        <f>VLOOKUP(D34,素材!$A:$O,COLUMN(素材!O$1),FALSE)</f>
        <v>一般的な鉄。量産品を作るのに使用されることが多い</v>
      </c>
      <c r="CQ34" t="str">
        <f>VLOOKUP(C34,武器!$A:$W,COLUMN(武器!W$1),FALSE)</f>
        <v/>
      </c>
      <c r="CS34" t="str">
        <f t="shared" si="2"/>
        <v>e_34</v>
      </c>
      <c r="CT34">
        <f t="shared" si="4"/>
        <v>40000</v>
      </c>
    </row>
    <row r="35" spans="1:98" outlineLevel="1" x14ac:dyDescent="0.4">
      <c r="A35" t="str">
        <f t="shared" ref="A35:A66" si="5">D35&amp;"の"&amp;C35</f>
        <v>鉄の面兜</v>
      </c>
      <c r="B35" t="str">
        <f>IFERROR(VLOOKUP($D35,素材!$1:$1016,COLUMN($B$1),FALSE)&amp;"・"&amp;VLOOKUP($C35,武器!$1:$998,COLUMN(B$1),FALSE),"")</f>
        <v>アイアン・バイザーヘルム</v>
      </c>
      <c r="C35" t="s">
        <v>210</v>
      </c>
      <c r="D35" s="24" t="s">
        <v>257</v>
      </c>
      <c r="E35" t="str">
        <f>IFERROR(VLOOKUP(C35,武器!$1:$998,COLUMN(C$1),FALSE),"")</f>
        <v>頭</v>
      </c>
      <c r="F35">
        <f>IFERROR(ROUNDDOWN((VLOOKUP($C35,武器!$1:$998,COLUMN(D$1),FALSE)+IFERROR(VLOOKUP($CJ35,装強!$1:$999,COLUMN(F$1),FALSE),0))*VLOOKUP($D35,素材!$1:$1016,COLUMN(D$1),FALSE),0),"")</f>
        <v>0</v>
      </c>
      <c r="G35">
        <f>IFERROR(ROUNDDOWN((VLOOKUP($C35,武器!$1:$998,COLUMN(E$1),FALSE)+IFERROR(VLOOKUP($CJ35,装強!$1:$999,COLUMN(G$1),FALSE),0))*VLOOKUP($D35,素材!$1:$1016,COLUMN($E$1),FALSE),0),"")</f>
        <v>0</v>
      </c>
      <c r="H35">
        <f>IFERROR(ROUNDDOWN((VLOOKUP($C35,武器!$1:$998,COLUMN(F$1),FALSE)+IFERROR(VLOOKUP($CJ35,装強!$1:$999,COLUMN(H$1),FALSE),0))*VLOOKUP($D35,素材!$1:$1016,COLUMN($E$1),FALSE),0),"")</f>
        <v>0</v>
      </c>
      <c r="I35">
        <f>IFERROR(ROUNDDOWN((VLOOKUP($C35,武器!$1:$998,COLUMN(G$1),FALSE)+IFERROR(VLOOKUP($CJ35,装強!$1:$999,COLUMN(I$1),FALSE),0))*VLOOKUP($D35,素材!$1:$1016,COLUMN($E$1),FALSE),0),"")</f>
        <v>17</v>
      </c>
      <c r="J35">
        <f>IFERROR(ROUNDDOWN((VLOOKUP($C35,武器!$1:$998,COLUMN(H$1),FALSE)+IFERROR(VLOOKUP($CJ35,装強!$1:$999,COLUMN(J$1),FALSE),0))*VLOOKUP($D35,素材!$1:$1016,COLUMN($E$1),FALSE),0),"")</f>
        <v>0</v>
      </c>
      <c r="K35">
        <f>IFERROR(ROUNDDOWN((VLOOKUP($C35,武器!$1:$998,COLUMN(I$1),FALSE)+IFERROR(VLOOKUP($CJ35,装強!$1:$999,COLUMN(K$1),FALSE),0))*VLOOKUP($D35,素材!$1:$1016,COLUMN($E$1),FALSE),0),"")</f>
        <v>0</v>
      </c>
      <c r="L35">
        <f>IFERROR(VLOOKUP($D35,素材!$1:$1016,COLUMN($F$1),FALSE),"")</f>
        <v>0</v>
      </c>
      <c r="M35">
        <f>IFERROR(VLOOKUP($C35,武器!$1:$998,COLUMN(AA$1),FALSE)*VLOOKUP($D35,素材!$1:$1016,COLUMN($G$1),FALSE),"")</f>
        <v>0</v>
      </c>
      <c r="N35">
        <f>IFERROR(VLOOKUP($C35,武器!$1:$998,COLUMN(I$1),FALSE),"")</f>
        <v>0</v>
      </c>
      <c r="O35" s="23">
        <f>IFERROR((VLOOKUP($C35,武器!$1:$998,COLUMN(K$1),FALSE)+VLOOKUP($D35,素材!$1:$1016,COLUMN(H$1),FALSE))*100+IFERROR(VLOOKUP($CJ35,装強!$1:$999,COLUMN(O$1),FALSE),0),"")</f>
        <v>5</v>
      </c>
      <c r="P35" s="23">
        <f>IFERROR((VLOOKUP($C35,武器!$1:$998,COLUMN(L$1),FALSE)+VLOOKUP($D35,素材!$1:$1016,COLUMN(I$1),FALSE))*100+IFERROR(VLOOKUP($CJ35,装強!$1:$999,COLUMN(P$1),FALSE),0),"")</f>
        <v>125</v>
      </c>
      <c r="Q35">
        <f>IFERROR(ROUNDUP(VLOOKUP($C35,武器!$1:$998,COLUMN(M$1),FALSE)*(VLOOKUP($D35,素材!$1:$1002,COLUMN(D$1),FALSE)/100),1),"")</f>
        <v>-7.5</v>
      </c>
      <c r="R35">
        <f>IFERROR(ROUNDUP(VLOOKUP($C35,武器!$1:$998,COLUMN(N$1),FALSE)*(VLOOKUP($D35,素材!$1:$1002,COLUMN(D$1),FALSE)/100),1),"")</f>
        <v>0</v>
      </c>
      <c r="S35">
        <f>IFERROR(VLOOKUP($C35,武器!$1:$998,COLUMN(P$1),FALSE),"")</f>
        <v>0</v>
      </c>
      <c r="T35">
        <f>IFERROR(VLOOKUP($C35,武器!$1:$998,COLUMN(Q$1),FALSE),"")</f>
        <v>0</v>
      </c>
      <c r="U35">
        <f>IFERROR(VLOOKUP($C35,武器!$1:$998,COLUMN(R$1),FALSE),"")</f>
        <v>0</v>
      </c>
      <c r="V35">
        <f>IFERROR(VLOOKUP($C35,武器!$1:$998,COLUMN(Q$1),FALSE),"")</f>
        <v>0</v>
      </c>
      <c r="W35">
        <f>IFERROR(VLOOKUP($C35,武器!$1:$998,COLUMN(T$1),FALSE),"")</f>
        <v>0</v>
      </c>
      <c r="Y35">
        <f>IFERROR(VLOOKUP($C35,武器!$1:$998,COLUMN(U$1),FALSE),"")</f>
        <v>0</v>
      </c>
      <c r="Z35">
        <f>IFERROR(ROUNDUP(VLOOKUP($C35,武器!$1:$998,COLUMN(O$1),FALSE)*VLOOKUP($D35,素材!$1:$1016,COLUMN(E$1),FALSE),1),"")</f>
        <v>7</v>
      </c>
      <c r="AA35">
        <f>IF(ISNUMBER(SEARCH(SUBSTITUTE(AA$1,RIGHT(AA$1,2),""),VLOOKUP($D35,素材!$1:$1016,COLUMN($F$1),FALSE))),VLOOKUP($C35,武器!$1:$998,COLUMN($O$1),FALSE)*VLOOKUP($D35,素材!$1:$1016,COLUMN($E$1),FALSE)/(LEN(VLOOKUP($D35,素材!$1:$1016,COLUMN($F$1),FALSE))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B35">
        <f>IF(ISNUMBER(SEARCH(SUBSTITUTE(AB$1,RIGHT(AB$1,2),""),VLOOKUP($D35,素材!$1:$1016,COLUMN($F$1),FALSE))),VLOOKUP($C35,武器!$1:$998,COLUMN($O$1),FALSE)*VLOOKUP($D35,素材!$1:$1016,COLUMN($E$1),FALSE)/(LEN(VLOOKUP($D35,素材!$1:$1016,COLUMN($F$1),FALSE))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C35">
        <f>IF(ISNUMBER(SEARCH(SUBSTITUTE(AC$1,RIGHT(AC$1,2),""),VLOOKUP($D35,素材!$1:$1016,COLUMN($F$1),FALSE))),VLOOKUP($C35,武器!$1:$998,COLUMN($O$1),FALSE)*VLOOKUP($D35,素材!$1:$1016,COLUMN($E$1),FALSE)/(LEN(VLOOKUP($D35,素材!$1:$1016,COLUMN($F$1),FALSE))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D35">
        <f>IF(ISNUMBER(SEARCH(SUBSTITUTE(AD$1,RIGHT(AD$1,2),""),VLOOKUP($D35,素材!$1:$1016,COLUMN($F$1),FALSE))),VLOOKUP($C35,武器!$1:$998,COLUMN($O$1),FALSE)*VLOOKUP($D35,素材!$1:$1016,COLUMN($E$1),FALSE)/(LEN(VLOOKUP($D35,素材!$1:$1016,COLUMN($F$1),FALSE))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E35">
        <f>IF(ISNUMBER(SEARCH(SUBSTITUTE(AE$1,RIGHT(AE$1,2),""),VLOOKUP($D35,素材!$1:$1016,COLUMN($F$1),FALSE))),VLOOKUP($C35,武器!$1:$998,COLUMN($O$1),FALSE)*VLOOKUP($D35,素材!$1:$1016,COLUMN($E$1),FALSE)/(LEN(VLOOKUP($D35,素材!$1:$1016,COLUMN($F$1),FALSE))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F35">
        <f>IF(ISNUMBER(SEARCH(SUBSTITUTE(AF$1,RIGHT(AF$1,2),""),VLOOKUP($D35,素材!$1:$1016,COLUMN($F$1),FALSE))),VLOOKUP($C35,武器!$1:$998,COLUMN($O$1),FALSE)*VLOOKUP($D35,素材!$1:$1016,COLUMN($E$1),FALSE)/(LEN(VLOOKUP($D35,素材!$1:$1016,COLUMN($F$1),FALSE))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G35">
        <f>IF(ISNUMBER(SEARCH(SUBSTITUTE(AG$1,RIGHT(AG$1,2),""),VLOOKUP($D35,素材!$1:$1016,COLUMN($F$1),FALSE))),VLOOKUP($C35,武器!$1:$998,COLUMN($O$1),FALSE)*VLOOKUP($D35,素材!$1:$1016,COLUMN($E$1),FALSE)/(LEN(VLOOKUP($D35,素材!$1:$1016,COLUMN($F$1),FALSE))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H35">
        <f>IF(ISNUMBER(SEARCH(SUBSTITUTE(AH$1,RIGHT(AH$1,2),""),VLOOKUP($D35,素材!$1:$1016,COLUMN($F$1),FALSE))),VLOOKUP($C35,武器!$1:$998,COLUMN($O$1),FALSE)*VLOOKUP($D35,素材!$1:$1016,COLUMN($E$1),FALSE)/(LEN(VLOOKUP($D35,素材!$1:$1016,COLUMN($F$1),FALSE))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I35">
        <f>IF(ISNUMBER(SEARCH(SUBSTITUTE(AI$1,RIGHT(AI$1,2),""),VLOOKUP($D35,素材!$1:$1016,COLUMN($F$1),FALSE))),VLOOKUP($C35,武器!$1:$998,COLUMN($O$1),FALSE)*VLOOKUP($D35,素材!$1:$1016,COLUMN($E$1),FALSE)/(LEN(VLOOKUP($D35,素材!$1:$1016,COLUMN($F$1),FALSE))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J35">
        <f>IF(ISNUMBER(SEARCH(SUBSTITUTE(AJ$1,RIGHT(AJ$1,2),""),VLOOKUP($D35,素材!$1:$1016,COLUMN($F$1),FALSE))),VLOOKUP($C35,武器!$1:$998,COLUMN($O$1),FALSE)*VLOOKUP($D35,素材!$1:$1016,COLUMN($E$1),FALSE)/(LEN(VLOOKUP($D35,素材!$1:$1016,COLUMN($F$1),FALSE))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K35">
        <f>IF(ISNUMBER(SEARCH(SUBSTITUTE(AK$1,RIGHT(AK$1,2),""),VLOOKUP($D35,素材!$1:$1016,COLUMN($F$1),FALSE))),VLOOKUP($C35,武器!$1:$998,COLUMN($O$1),FALSE)*VLOOKUP($D35,素材!$1:$1016,COLUMN($E$1),FALSE)/(LEN(VLOOKUP($D35,素材!$1:$1016,COLUMN($F$1),FALSE))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L35">
        <f>IF(ISNUMBER(SEARCH(SUBSTITUTE(AL$1,RIGHT(AL$1,2),""),VLOOKUP($D35,素材!$1:$1016,COLUMN($F$1),FALSE))),VLOOKUP($C35,武器!$1:$998,COLUMN($O$1),FALSE)*VLOOKUP($D35,素材!$1:$1016,COLUMN($E$1),FALSE)/(LEN(VLOOKUP($D35,素材!$1:$1016,COLUMN($F$1),FALSE))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M35">
        <f>IF(ISNUMBER(SEARCH(SUBSTITUTE(AM$1,RIGHT(AM$1,2),""),VLOOKUP($D35,素材!$1:$1016,COLUMN($F$1),FALSE))),VLOOKUP($C35,武器!$1:$998,COLUMN($O$1),FALSE)*VLOOKUP($D35,素材!$1:$1016,COLUMN($E$1),FALSE)/(LEN(VLOOKUP($D35,素材!$1:$1016,COLUMN($F$1),FALSE))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N35">
        <f>IF(ISNUMBER(SEARCH(SUBSTITUTE(AN$1,RIGHT(AN$1,2),""),VLOOKUP($D35,素材!$1:$1016,COLUMN($F$1),FALSE))),VLOOKUP($C35,武器!$1:$998,COLUMN($O$1),FALSE)*VLOOKUP($D35,素材!$1:$1016,COLUMN($E$1),FALSE)/(LEN(VLOOKUP($D35,素材!$1:$1016,COLUMN($F$1),FALSE))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O35">
        <f>IF(ISNUMBER(SEARCH(SUBSTITUTE(AO$1,RIGHT(AO$1,2),""),VLOOKUP($D35,素材!$1:$1016,COLUMN($F$1),FALSE))),VLOOKUP($C35,武器!$1:$998,COLUMN($O$1),FALSE)*VLOOKUP($D35,素材!$1:$1016,COLUMN($E$1),FALSE)/(LEN(VLOOKUP($D35,素材!$1:$1016,COLUMN($F$1),FALSE))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P35">
        <f>IF(ISNUMBER(SEARCH(SUBSTITUTE(AP$1,RIGHT(AP$1,2),""),VLOOKUP($D35,素材!$1:$1016,COLUMN($F$1),FALSE))),VLOOKUP($C35,武器!$1:$998,COLUMN($O$1),FALSE)*VLOOKUP($D35,素材!$1:$1016,COLUMN($E$1),FALSE)/(LEN(VLOOKUP($D35,素材!$1:$1016,COLUMN($F$1),FALSE))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Q35">
        <f>IF(ISNUMBER(SEARCH(SUBSTITUTE(AQ$1,RIGHT(AQ$1,2),""),VLOOKUP($D35,素材!$1:$1016,COLUMN($F$1),FALSE))),VLOOKUP($C35,武器!$1:$998,COLUMN($O$1),FALSE)*VLOOKUP($D35,素材!$1:$1016,COLUMN($E$1),FALSE)/(LEN(VLOOKUP($D35,素材!$1:$1016,COLUMN($F$1),FALSE))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R35">
        <f>IF(ISNUMBER(SEARCH(SUBSTITUTE(AR$1,RIGHT(AR$1,2),""),VLOOKUP($D35,素材!$1:$1016,COLUMN($F$1),FALSE))),VLOOKUP($C35,武器!$1:$998,COLUMN($O$1),FALSE)*VLOOKUP($D35,素材!$1:$1016,COLUMN($E$1),FALSE)/(LEN(VLOOKUP($D35,素材!$1:$1016,COLUMN($F$1),FALSE))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S35">
        <f>IF(ISNUMBER(SEARCH(SUBSTITUTE(AS$1,RIGHT(AS$1,2),""),VLOOKUP($D35,素材!$1:$1016,COLUMN($F$1),FALSE))),VLOOKUP($C35,武器!$1:$998,COLUMN($O$1),FALSE)*VLOOKUP($D35,素材!$1:$1016,COLUMN($E$1),FALSE)/(LEN(VLOOKUP($D35,素材!$1:$1016,COLUMN($F$1),FALSE))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T35">
        <f>IF(ISNUMBER(SEARCH(SUBSTITUTE(AT$1,RIGHT(AT$1,2),""),VLOOKUP($D35,素材!$1:$1016,COLUMN($F$1),FALSE))),VLOOKUP($C35,武器!$1:$998,COLUMN($O$1),FALSE)*VLOOKUP($D35,素材!$1:$1016,COLUMN($E$1),FALSE)/(LEN(VLOOKUP($D35,素材!$1:$1016,COLUMN($F$1),FALSE))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U35">
        <f>IF(ISNUMBER(SEARCH(SUBSTITUTE(AU$1,RIGHT(AU$1,2),""),VLOOKUP($D35,素材!$1:$1016,COLUMN($F$1),FALSE))),VLOOKUP($C35,武器!$1:$998,COLUMN($O$1),FALSE)*VLOOKUP($D35,素材!$1:$1016,COLUMN($E$1),FALSE)/(LEN(VLOOKUP($D35,素材!$1:$1016,COLUMN($F$1),FALSE))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V35">
        <f>IF(ISNUMBER(SEARCH(SUBSTITUTE(AV$1,RIGHT(AV$1,2),""),VLOOKUP($D35,素材!$1:$1016,COLUMN($F$1),FALSE))),VLOOKUP($C35,武器!$1:$998,COLUMN($O$1),FALSE)*VLOOKUP($D35,素材!$1:$1016,COLUMN($E$1),FALSE)/(LEN(VLOOKUP($D35,素材!$1:$1016,COLUMN($F$1),FALSE))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W35">
        <f>IF(ISNUMBER(SEARCH(SUBSTITUTE(AW$1,RIGHT(AW$1,2),""),VLOOKUP($D35,素材!$1:$1016,COLUMN($F$1),FALSE))),VLOOKUP($C35,武器!$1:$998,COLUMN($O$1),FALSE)*VLOOKUP($D35,素材!$1:$1016,COLUMN($E$1),FALSE)/(LEN(VLOOKUP($D35,素材!$1:$1016,COLUMN($F$1),FALSE))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X35">
        <f>IF(ISNUMBER(SEARCH(SUBSTITUTE(AX$1,RIGHT(AX$1,2),""),VLOOKUP($D35,素材!$1:$1016,COLUMN($F$1),FALSE))),VLOOKUP($C35,武器!$1:$998,COLUMN($O$1),FALSE)*VLOOKUP($D35,素材!$1:$1016,COLUMN($E$1),FALSE)/(LEN(VLOOKUP($D35,素材!$1:$1016,COLUMN($F$1),FALSE))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Y35">
        <f>IF(ISNUMBER(SEARCH(SUBSTITUTE(AY$1,RIGHT(AY$1,2),""),VLOOKUP($D35,素材!$1:$1016,COLUMN($F$1),FALSE))),VLOOKUP($C35,武器!$1:$998,COLUMN($O$1),FALSE)*VLOOKUP($D35,素材!$1:$1016,COLUMN($E$1),FALSE)/(LEN(VLOOKUP($D35,素材!$1:$1016,COLUMN($F$1),FALSE))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AZ35">
        <f>IF(ISNUMBER(SEARCH(SUBSTITUTE(AZ$1,RIGHT(AZ$1,2),""),VLOOKUP($D35,素材!$1:$1016,COLUMN($F$1),FALSE))),VLOOKUP($C35,武器!$1:$998,COLUMN($O$1),FALSE)*VLOOKUP($D35,素材!$1:$1016,COLUMN($E$1),FALSE)/(LEN(VLOOKUP($D35,素材!$1:$1016,COLUMN($F$1),FALSE))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BA35">
        <f>IF(ISNUMBER(SEARCH(SUBSTITUTE(BA$1,RIGHT(BA$1,2),""),VLOOKUP($D35,素材!$1:$1016,COLUMN($F$1),FALSE))),VLOOKUP($C35,武器!$1:$998,COLUMN($O$1),FALSE)*VLOOKUP($D35,素材!$1:$1016,COLUMN($E$1),FALSE)/(LEN(VLOOKUP($D35,素材!$1:$1016,COLUMN($F$1),FALSE))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BB35">
        <f>IF(ISNUMBER(SEARCH(SUBSTITUTE(BB$1,RIGHT(BB$1,2),""),VLOOKUP($D35,素材!$1:$1016,COLUMN($F$1),FALSE))),VLOOKUP($C35,武器!$1:$998,COLUMN($O$1),FALSE)*VLOOKUP($D35,素材!$1:$1016,COLUMN($E$1),FALSE)/(LEN(VLOOKUP($D35,素材!$1:$1016,COLUMN($F$1),FALSE))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BC35">
        <f>IF(ISNUMBER(SEARCH(SUBSTITUTE(BC$1,RIGHT(BC$1,2),""),VLOOKUP($D35,素材!$1:$1016,COLUMN($F$1),FALSE))),VLOOKUP($C35,武器!$1:$998,COLUMN($O$1),FALSE)*VLOOKUP($D35,素材!$1:$1016,COLUMN($E$1),FALSE)/(LEN(VLOOKUP($D35,素材!$1:$1016,COLUMN($F$1),FALSE))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BD35">
        <f>IF(ISNUMBER(SEARCH(SUBSTITUTE(BD$1,RIGHT(BD$1,2),""),VLOOKUP($D35,素材!$1:$1016,COLUMN($F$1),FALSE))),VLOOKUP($C35,武器!$1:$998,COLUMN($O$1),FALSE)*VLOOKUP($D35,素材!$1:$1016,COLUMN($E$1),FALSE)/(LEN(VLOOKUP($D35,素材!$1:$1016,COLUMN($F$1),FALSE))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BE35">
        <f>IF(ISNUMBER(SEARCH(SUBSTITUTE(BE$1,RIGHT(BE$1,2),""),VLOOKUP($D35,素材!$1:$1016,COLUMN($F$1),FALSE))),VLOOKUP($C35,武器!$1:$998,COLUMN($O$1),FALSE)*VLOOKUP($D35,素材!$1:$1016,COLUMN($E$1),FALSE)/(LEN(VLOOKUP($D35,素材!$1:$1016,COLUMN($F$1),FALSE))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BF35">
        <f>IF(ISNUMBER(SEARCH(SUBSTITUTE(BF$1,RIGHT(BF$1,2),""),VLOOKUP($D35,素材!$1:$1016,COLUMN($F$1),FALSE))),VLOOKUP($C35,武器!$1:$998,COLUMN($O$1),FALSE)*VLOOKUP($D35,素材!$1:$1016,COLUMN($E$1),FALSE)/(LEN(VLOOKUP($D35,素材!$1:$1016,COLUMN($F$1),FALSE)) - LEN(SUBSTITUTE(VLOOKUP($D35,素材!$1:$1016,COLUMN($F$1),FALSE), "・", 0)) + 1), 0)</f>
        <v>0</v>
      </c>
      <c r="CM35">
        <f t="shared" si="3"/>
        <v>17</v>
      </c>
      <c r="CN35" s="22" t="str">
        <f>IF(E35="武器",IF(J35-1&gt;SUM(G35:I35),"盾",IF(MAX(G35:I35)=G35,"切断",IF(MAX(G35:I35)=H35,"貫通",IF(MAX(G35:I35)=I35,"打撃","射撃")))),E35)&amp;".webp"</f>
        <v>頭.webp</v>
      </c>
      <c r="CO35">
        <f>IFERROR(VLOOKUP($C35,武器!$1:$998,COLUMN(V$1),FALSE)*VLOOKUP($D35,素材!$1:$1016,COLUMN(N$1),FALSE)+IF(CJ35="",0,VLOOKUP($CJ35,装強!$1:$1008,COLUMN($CL$1),FALSE)),"")</f>
        <v>400</v>
      </c>
      <c r="CP35" t="str">
        <f>VLOOKUP(D35,素材!$A:$O,COLUMN(素材!O$1),FALSE)</f>
        <v>一般的な鉄。量産品を作るのに使用されることが多い</v>
      </c>
      <c r="CQ35" t="str">
        <f>VLOOKUP(C35,武器!$A:$W,COLUMN(武器!W$1),FALSE)</f>
        <v>命中 魔防 Cr</v>
      </c>
      <c r="CS35" t="str">
        <f t="shared" si="2"/>
        <v>e_35</v>
      </c>
      <c r="CT35">
        <f t="shared" si="4"/>
        <v>40000</v>
      </c>
    </row>
    <row r="36" spans="1:98" outlineLevel="1" x14ac:dyDescent="0.4">
      <c r="A36" t="str">
        <f t="shared" si="5"/>
        <v>鉄の兜</v>
      </c>
      <c r="B36" t="str">
        <f>IFERROR(VLOOKUP($D36,素材!$1:$1016,COLUMN($B$1),FALSE)&amp;"・"&amp;VLOOKUP($C36,武器!$1:$998,COLUMN(B$1),FALSE),"")</f>
        <v>アイアン・ヘルム</v>
      </c>
      <c r="C36" t="s">
        <v>209</v>
      </c>
      <c r="D36" s="24" t="s">
        <v>257</v>
      </c>
      <c r="E36" t="str">
        <f>IFERROR(VLOOKUP(C36,武器!$1:$998,COLUMN(C$1),FALSE),"")</f>
        <v>頭</v>
      </c>
      <c r="F36">
        <f>IFERROR(ROUNDDOWN((VLOOKUP($C36,武器!$1:$998,COLUMN(D$1),FALSE)+IFERROR(VLOOKUP($CJ36,装強!$1:$999,COLUMN(F$1),FALSE),0))*VLOOKUP($D36,素材!$1:$1016,COLUMN(D$1),FALSE),0),"")</f>
        <v>0</v>
      </c>
      <c r="G36">
        <f>IFERROR(ROUNDDOWN((VLOOKUP($C36,武器!$1:$998,COLUMN(E$1),FALSE)+IFERROR(VLOOKUP($CJ36,装強!$1:$999,COLUMN(G$1),FALSE),0))*VLOOKUP($D36,素材!$1:$1016,COLUMN($E$1),FALSE),0),"")</f>
        <v>0</v>
      </c>
      <c r="H36">
        <f>IFERROR(ROUNDDOWN((VLOOKUP($C36,武器!$1:$998,COLUMN(F$1),FALSE)+IFERROR(VLOOKUP($CJ36,装強!$1:$999,COLUMN(H$1),FALSE),0))*VLOOKUP($D36,素材!$1:$1016,COLUMN($E$1),FALSE),0),"")</f>
        <v>0</v>
      </c>
      <c r="I36">
        <f>IFERROR(ROUNDDOWN((VLOOKUP($C36,武器!$1:$998,COLUMN(G$1),FALSE)+IFERROR(VLOOKUP($CJ36,装強!$1:$999,COLUMN(I$1),FALSE),0))*VLOOKUP($D36,素材!$1:$1016,COLUMN($E$1),FALSE),0),"")</f>
        <v>17</v>
      </c>
      <c r="J36">
        <f>IFERROR(ROUNDDOWN((VLOOKUP($C36,武器!$1:$998,COLUMN(H$1),FALSE)+IFERROR(VLOOKUP($CJ36,装強!$1:$999,COLUMN(J$1),FALSE),0))*VLOOKUP($D36,素材!$1:$1016,COLUMN($E$1),FALSE),0),"")</f>
        <v>0</v>
      </c>
      <c r="K36">
        <f>IFERROR(ROUNDDOWN((VLOOKUP($C36,武器!$1:$998,COLUMN(I$1),FALSE)+IFERROR(VLOOKUP($CJ36,装強!$1:$999,COLUMN(K$1),FALSE),0))*VLOOKUP($D36,素材!$1:$1016,COLUMN($E$1),FALSE),0),"")</f>
        <v>0</v>
      </c>
      <c r="L36">
        <f>IFERROR(VLOOKUP($D36,素材!$1:$1016,COLUMN($F$1),FALSE),"")</f>
        <v>0</v>
      </c>
      <c r="M36">
        <f>IFERROR(VLOOKUP($C36,武器!$1:$998,COLUMN(AA$1),FALSE)*VLOOKUP($D36,素材!$1:$1016,COLUMN($G$1),FALSE),"")</f>
        <v>0</v>
      </c>
      <c r="N36">
        <f>IFERROR(VLOOKUP($C36,武器!$1:$998,COLUMN(I$1),FALSE),"")</f>
        <v>0</v>
      </c>
      <c r="O36" s="23">
        <f>IFERROR((VLOOKUP($C36,武器!$1:$998,COLUMN(K$1),FALSE)+VLOOKUP($D36,素材!$1:$1016,COLUMN(H$1),FALSE))*100+IFERROR(VLOOKUP($CJ36,装強!$1:$999,COLUMN(O$1),FALSE),0),"")</f>
        <v>5</v>
      </c>
      <c r="P36" s="23">
        <f>IFERROR((VLOOKUP($C36,武器!$1:$998,COLUMN(L$1),FALSE)+VLOOKUP($D36,素材!$1:$1016,COLUMN(I$1),FALSE))*100+IFERROR(VLOOKUP($CJ36,装強!$1:$999,COLUMN(P$1),FALSE),0),"")</f>
        <v>125</v>
      </c>
      <c r="Q36">
        <f>IFERROR(ROUNDUP(VLOOKUP($C36,武器!$1:$998,COLUMN(M$1),FALSE)*(VLOOKUP($D36,素材!$1:$1002,COLUMN(D$1),FALSE)/100),1),"")</f>
        <v>-5</v>
      </c>
      <c r="R36">
        <f>IFERROR(ROUNDUP(VLOOKUP($C36,武器!$1:$998,COLUMN(N$1),FALSE)*(VLOOKUP($D36,素材!$1:$1002,COLUMN(D$1),FALSE)/100),1),"")</f>
        <v>0</v>
      </c>
      <c r="S36">
        <f>IFERROR(VLOOKUP($C36,武器!$1:$998,COLUMN(P$1),FALSE),"")</f>
        <v>0</v>
      </c>
      <c r="T36">
        <f>IFERROR(VLOOKUP($C36,武器!$1:$998,COLUMN(Q$1),FALSE),"")</f>
        <v>0</v>
      </c>
      <c r="U36">
        <f>IFERROR(VLOOKUP($C36,武器!$1:$998,COLUMN(R$1),FALSE),"")</f>
        <v>0</v>
      </c>
      <c r="V36">
        <f>IFERROR(VLOOKUP($C36,武器!$1:$998,COLUMN(Q$1),FALSE),"")</f>
        <v>0</v>
      </c>
      <c r="W36">
        <f>IFERROR(VLOOKUP($C36,武器!$1:$998,COLUMN(T$1),FALSE),"")</f>
        <v>0</v>
      </c>
      <c r="Y36">
        <f>IFERROR(VLOOKUP($C36,武器!$1:$998,COLUMN(U$1),FALSE),"")</f>
        <v>0</v>
      </c>
      <c r="Z36">
        <f>IFERROR(ROUNDUP(VLOOKUP($C36,武器!$1:$998,COLUMN(O$1),FALSE)*VLOOKUP($D36,素材!$1:$1016,COLUMN(E$1),FALSE),1),"")</f>
        <v>4</v>
      </c>
      <c r="AA36">
        <f>IF(ISNUMBER(SEARCH(SUBSTITUTE(AA$1,RIGHT(AA$1,2),""),VLOOKUP($D36,素材!$1:$1016,COLUMN($F$1),FALSE))),VLOOKUP($C36,武器!$1:$998,COLUMN($O$1),FALSE)*VLOOKUP($D36,素材!$1:$1016,COLUMN($E$1),FALSE)/(LEN(VLOOKUP($D36,素材!$1:$1016,COLUMN($F$1),FALSE))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B36">
        <f>IF(ISNUMBER(SEARCH(SUBSTITUTE(AB$1,RIGHT(AB$1,2),""),VLOOKUP($D36,素材!$1:$1016,COLUMN($F$1),FALSE))),VLOOKUP($C36,武器!$1:$998,COLUMN($O$1),FALSE)*VLOOKUP($D36,素材!$1:$1016,COLUMN($E$1),FALSE)/(LEN(VLOOKUP($D36,素材!$1:$1016,COLUMN($F$1),FALSE))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C36">
        <f>IF(ISNUMBER(SEARCH(SUBSTITUTE(AC$1,RIGHT(AC$1,2),""),VLOOKUP($D36,素材!$1:$1016,COLUMN($F$1),FALSE))),VLOOKUP($C36,武器!$1:$998,COLUMN($O$1),FALSE)*VLOOKUP($D36,素材!$1:$1016,COLUMN($E$1),FALSE)/(LEN(VLOOKUP($D36,素材!$1:$1016,COLUMN($F$1),FALSE))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D36">
        <f>IF(ISNUMBER(SEARCH(SUBSTITUTE(AD$1,RIGHT(AD$1,2),""),VLOOKUP($D36,素材!$1:$1016,COLUMN($F$1),FALSE))),VLOOKUP($C36,武器!$1:$998,COLUMN($O$1),FALSE)*VLOOKUP($D36,素材!$1:$1016,COLUMN($E$1),FALSE)/(LEN(VLOOKUP($D36,素材!$1:$1016,COLUMN($F$1),FALSE))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E36">
        <f>IF(ISNUMBER(SEARCH(SUBSTITUTE(AE$1,RIGHT(AE$1,2),""),VLOOKUP($D36,素材!$1:$1016,COLUMN($F$1),FALSE))),VLOOKUP($C36,武器!$1:$998,COLUMN($O$1),FALSE)*VLOOKUP($D36,素材!$1:$1016,COLUMN($E$1),FALSE)/(LEN(VLOOKUP($D36,素材!$1:$1016,COLUMN($F$1),FALSE))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F36">
        <f>IF(ISNUMBER(SEARCH(SUBSTITUTE(AF$1,RIGHT(AF$1,2),""),VLOOKUP($D36,素材!$1:$1016,COLUMN($F$1),FALSE))),VLOOKUP($C36,武器!$1:$998,COLUMN($O$1),FALSE)*VLOOKUP($D36,素材!$1:$1016,COLUMN($E$1),FALSE)/(LEN(VLOOKUP($D36,素材!$1:$1016,COLUMN($F$1),FALSE))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G36">
        <f>IF(ISNUMBER(SEARCH(SUBSTITUTE(AG$1,RIGHT(AG$1,2),""),VLOOKUP($D36,素材!$1:$1016,COLUMN($F$1),FALSE))),VLOOKUP($C36,武器!$1:$998,COLUMN($O$1),FALSE)*VLOOKUP($D36,素材!$1:$1016,COLUMN($E$1),FALSE)/(LEN(VLOOKUP($D36,素材!$1:$1016,COLUMN($F$1),FALSE))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H36">
        <f>IF(ISNUMBER(SEARCH(SUBSTITUTE(AH$1,RIGHT(AH$1,2),""),VLOOKUP($D36,素材!$1:$1016,COLUMN($F$1),FALSE))),VLOOKUP($C36,武器!$1:$998,COLUMN($O$1),FALSE)*VLOOKUP($D36,素材!$1:$1016,COLUMN($E$1),FALSE)/(LEN(VLOOKUP($D36,素材!$1:$1016,COLUMN($F$1),FALSE))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I36">
        <f>IF(ISNUMBER(SEARCH(SUBSTITUTE(AI$1,RIGHT(AI$1,2),""),VLOOKUP($D36,素材!$1:$1016,COLUMN($F$1),FALSE))),VLOOKUP($C36,武器!$1:$998,COLUMN($O$1),FALSE)*VLOOKUP($D36,素材!$1:$1016,COLUMN($E$1),FALSE)/(LEN(VLOOKUP($D36,素材!$1:$1016,COLUMN($F$1),FALSE))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J36">
        <f>IF(ISNUMBER(SEARCH(SUBSTITUTE(AJ$1,RIGHT(AJ$1,2),""),VLOOKUP($D36,素材!$1:$1016,COLUMN($F$1),FALSE))),VLOOKUP($C36,武器!$1:$998,COLUMN($O$1),FALSE)*VLOOKUP($D36,素材!$1:$1016,COLUMN($E$1),FALSE)/(LEN(VLOOKUP($D36,素材!$1:$1016,COLUMN($F$1),FALSE))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K36">
        <f>IF(ISNUMBER(SEARCH(SUBSTITUTE(AK$1,RIGHT(AK$1,2),""),VLOOKUP($D36,素材!$1:$1016,COLUMN($F$1),FALSE))),VLOOKUP($C36,武器!$1:$998,COLUMN($O$1),FALSE)*VLOOKUP($D36,素材!$1:$1016,COLUMN($E$1),FALSE)/(LEN(VLOOKUP($D36,素材!$1:$1016,COLUMN($F$1),FALSE))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L36">
        <f>IF(ISNUMBER(SEARCH(SUBSTITUTE(AL$1,RIGHT(AL$1,2),""),VLOOKUP($D36,素材!$1:$1016,COLUMN($F$1),FALSE))),VLOOKUP($C36,武器!$1:$998,COLUMN($O$1),FALSE)*VLOOKUP($D36,素材!$1:$1016,COLUMN($E$1),FALSE)/(LEN(VLOOKUP($D36,素材!$1:$1016,COLUMN($F$1),FALSE))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M36">
        <f>IF(ISNUMBER(SEARCH(SUBSTITUTE(AM$1,RIGHT(AM$1,2),""),VLOOKUP($D36,素材!$1:$1016,COLUMN($F$1),FALSE))),VLOOKUP($C36,武器!$1:$998,COLUMN($O$1),FALSE)*VLOOKUP($D36,素材!$1:$1016,COLUMN($E$1),FALSE)/(LEN(VLOOKUP($D36,素材!$1:$1016,COLUMN($F$1),FALSE))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N36">
        <f>IF(ISNUMBER(SEARCH(SUBSTITUTE(AN$1,RIGHT(AN$1,2),""),VLOOKUP($D36,素材!$1:$1016,COLUMN($F$1),FALSE))),VLOOKUP($C36,武器!$1:$998,COLUMN($O$1),FALSE)*VLOOKUP($D36,素材!$1:$1016,COLUMN($E$1),FALSE)/(LEN(VLOOKUP($D36,素材!$1:$1016,COLUMN($F$1),FALSE))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O36">
        <f>IF(ISNUMBER(SEARCH(SUBSTITUTE(AO$1,RIGHT(AO$1,2),""),VLOOKUP($D36,素材!$1:$1016,COLUMN($F$1),FALSE))),VLOOKUP($C36,武器!$1:$998,COLUMN($O$1),FALSE)*VLOOKUP($D36,素材!$1:$1016,COLUMN($E$1),FALSE)/(LEN(VLOOKUP($D36,素材!$1:$1016,COLUMN($F$1),FALSE))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P36">
        <f>IF(ISNUMBER(SEARCH(SUBSTITUTE(AP$1,RIGHT(AP$1,2),""),VLOOKUP($D36,素材!$1:$1016,COLUMN($F$1),FALSE))),VLOOKUP($C36,武器!$1:$998,COLUMN($O$1),FALSE)*VLOOKUP($D36,素材!$1:$1016,COLUMN($E$1),FALSE)/(LEN(VLOOKUP($D36,素材!$1:$1016,COLUMN($F$1),FALSE))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Q36">
        <f>IF(ISNUMBER(SEARCH(SUBSTITUTE(AQ$1,RIGHT(AQ$1,2),""),VLOOKUP($D36,素材!$1:$1016,COLUMN($F$1),FALSE))),VLOOKUP($C36,武器!$1:$998,COLUMN($O$1),FALSE)*VLOOKUP($D36,素材!$1:$1016,COLUMN($E$1),FALSE)/(LEN(VLOOKUP($D36,素材!$1:$1016,COLUMN($F$1),FALSE))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R36">
        <f>IF(ISNUMBER(SEARCH(SUBSTITUTE(AR$1,RIGHT(AR$1,2),""),VLOOKUP($D36,素材!$1:$1016,COLUMN($F$1),FALSE))),VLOOKUP($C36,武器!$1:$998,COLUMN($O$1),FALSE)*VLOOKUP($D36,素材!$1:$1016,COLUMN($E$1),FALSE)/(LEN(VLOOKUP($D36,素材!$1:$1016,COLUMN($F$1),FALSE))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S36">
        <f>IF(ISNUMBER(SEARCH(SUBSTITUTE(AS$1,RIGHT(AS$1,2),""),VLOOKUP($D36,素材!$1:$1016,COLUMN($F$1),FALSE))),VLOOKUP($C36,武器!$1:$998,COLUMN($O$1),FALSE)*VLOOKUP($D36,素材!$1:$1016,COLUMN($E$1),FALSE)/(LEN(VLOOKUP($D36,素材!$1:$1016,COLUMN($F$1),FALSE))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T36">
        <f>IF(ISNUMBER(SEARCH(SUBSTITUTE(AT$1,RIGHT(AT$1,2),""),VLOOKUP($D36,素材!$1:$1016,COLUMN($F$1),FALSE))),VLOOKUP($C36,武器!$1:$998,COLUMN($O$1),FALSE)*VLOOKUP($D36,素材!$1:$1016,COLUMN($E$1),FALSE)/(LEN(VLOOKUP($D36,素材!$1:$1016,COLUMN($F$1),FALSE))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U36">
        <f>IF(ISNUMBER(SEARCH(SUBSTITUTE(AU$1,RIGHT(AU$1,2),""),VLOOKUP($D36,素材!$1:$1016,COLUMN($F$1),FALSE))),VLOOKUP($C36,武器!$1:$998,COLUMN($O$1),FALSE)*VLOOKUP($D36,素材!$1:$1016,COLUMN($E$1),FALSE)/(LEN(VLOOKUP($D36,素材!$1:$1016,COLUMN($F$1),FALSE))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V36">
        <f>IF(ISNUMBER(SEARCH(SUBSTITUTE(AV$1,RIGHT(AV$1,2),""),VLOOKUP($D36,素材!$1:$1016,COLUMN($F$1),FALSE))),VLOOKUP($C36,武器!$1:$998,COLUMN($O$1),FALSE)*VLOOKUP($D36,素材!$1:$1016,COLUMN($E$1),FALSE)/(LEN(VLOOKUP($D36,素材!$1:$1016,COLUMN($F$1),FALSE))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W36">
        <f>IF(ISNUMBER(SEARCH(SUBSTITUTE(AW$1,RIGHT(AW$1,2),""),VLOOKUP($D36,素材!$1:$1016,COLUMN($F$1),FALSE))),VLOOKUP($C36,武器!$1:$998,COLUMN($O$1),FALSE)*VLOOKUP($D36,素材!$1:$1016,COLUMN($E$1),FALSE)/(LEN(VLOOKUP($D36,素材!$1:$1016,COLUMN($F$1),FALSE))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X36">
        <f>IF(ISNUMBER(SEARCH(SUBSTITUTE(AX$1,RIGHT(AX$1,2),""),VLOOKUP($D36,素材!$1:$1016,COLUMN($F$1),FALSE))),VLOOKUP($C36,武器!$1:$998,COLUMN($O$1),FALSE)*VLOOKUP($D36,素材!$1:$1016,COLUMN($E$1),FALSE)/(LEN(VLOOKUP($D36,素材!$1:$1016,COLUMN($F$1),FALSE))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Y36">
        <f>IF(ISNUMBER(SEARCH(SUBSTITUTE(AY$1,RIGHT(AY$1,2),""),VLOOKUP($D36,素材!$1:$1016,COLUMN($F$1),FALSE))),VLOOKUP($C36,武器!$1:$998,COLUMN($O$1),FALSE)*VLOOKUP($D36,素材!$1:$1016,COLUMN($E$1),FALSE)/(LEN(VLOOKUP($D36,素材!$1:$1016,COLUMN($F$1),FALSE))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AZ36">
        <f>IF(ISNUMBER(SEARCH(SUBSTITUTE(AZ$1,RIGHT(AZ$1,2),""),VLOOKUP($D36,素材!$1:$1016,COLUMN($F$1),FALSE))),VLOOKUP($C36,武器!$1:$998,COLUMN($O$1),FALSE)*VLOOKUP($D36,素材!$1:$1016,COLUMN($E$1),FALSE)/(LEN(VLOOKUP($D36,素材!$1:$1016,COLUMN($F$1),FALSE))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BA36">
        <f>IF(ISNUMBER(SEARCH(SUBSTITUTE(BA$1,RIGHT(BA$1,2),""),VLOOKUP($D36,素材!$1:$1016,COLUMN($F$1),FALSE))),VLOOKUP($C36,武器!$1:$998,COLUMN($O$1),FALSE)*VLOOKUP($D36,素材!$1:$1016,COLUMN($E$1),FALSE)/(LEN(VLOOKUP($D36,素材!$1:$1016,COLUMN($F$1),FALSE))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BB36">
        <f>IF(ISNUMBER(SEARCH(SUBSTITUTE(BB$1,RIGHT(BB$1,2),""),VLOOKUP($D36,素材!$1:$1016,COLUMN($F$1),FALSE))),VLOOKUP($C36,武器!$1:$998,COLUMN($O$1),FALSE)*VLOOKUP($D36,素材!$1:$1016,COLUMN($E$1),FALSE)/(LEN(VLOOKUP($D36,素材!$1:$1016,COLUMN($F$1),FALSE))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BC36">
        <f>IF(ISNUMBER(SEARCH(SUBSTITUTE(BC$1,RIGHT(BC$1,2),""),VLOOKUP($D36,素材!$1:$1016,COLUMN($F$1),FALSE))),VLOOKUP($C36,武器!$1:$998,COLUMN($O$1),FALSE)*VLOOKUP($D36,素材!$1:$1016,COLUMN($E$1),FALSE)/(LEN(VLOOKUP($D36,素材!$1:$1016,COLUMN($F$1),FALSE))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BD36">
        <f>IF(ISNUMBER(SEARCH(SUBSTITUTE(BD$1,RIGHT(BD$1,2),""),VLOOKUP($D36,素材!$1:$1016,COLUMN($F$1),FALSE))),VLOOKUP($C36,武器!$1:$998,COLUMN($O$1),FALSE)*VLOOKUP($D36,素材!$1:$1016,COLUMN($E$1),FALSE)/(LEN(VLOOKUP($D36,素材!$1:$1016,COLUMN($F$1),FALSE))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BE36">
        <f>IF(ISNUMBER(SEARCH(SUBSTITUTE(BE$1,RIGHT(BE$1,2),""),VLOOKUP($D36,素材!$1:$1016,COLUMN($F$1),FALSE))),VLOOKUP($C36,武器!$1:$998,COLUMN($O$1),FALSE)*VLOOKUP($D36,素材!$1:$1016,COLUMN($E$1),FALSE)/(LEN(VLOOKUP($D36,素材!$1:$1016,COLUMN($F$1),FALSE))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BF36">
        <f>IF(ISNUMBER(SEARCH(SUBSTITUTE(BF$1,RIGHT(BF$1,2),""),VLOOKUP($D36,素材!$1:$1016,COLUMN($F$1),FALSE))),VLOOKUP($C36,武器!$1:$998,COLUMN($O$1),FALSE)*VLOOKUP($D36,素材!$1:$1016,COLUMN($E$1),FALSE)/(LEN(VLOOKUP($D36,素材!$1:$1016,COLUMN($F$1),FALSE)) - LEN(SUBSTITUTE(VLOOKUP($D36,素材!$1:$1016,COLUMN($F$1),FALSE), "・", 0)) + 1), 0)</f>
        <v>0</v>
      </c>
      <c r="CM36">
        <f t="shared" si="3"/>
        <v>17</v>
      </c>
      <c r="CN36" s="22" t="str">
        <f>IF(E36="武器",IF(J36-1&gt;SUM(G36:I36),"盾",IF(MAX(G36:I36)=G36,"切断",IF(MAX(G36:I36)=H36,"貫通",IF(MAX(G36:I36)=I36,"打撃","射撃")))),E36)&amp;".webp"</f>
        <v>頭.webp</v>
      </c>
      <c r="CO36">
        <f>IFERROR(VLOOKUP($C36,武器!$1:$998,COLUMN(V$1),FALSE)*VLOOKUP($D36,素材!$1:$1016,COLUMN(N$1),FALSE)+IF(CJ36="",0,VLOOKUP($CJ36,装強!$1:$1008,COLUMN($CL$1),FALSE)),"")</f>
        <v>300</v>
      </c>
      <c r="CP36" t="str">
        <f>VLOOKUP(D36,素材!$A:$O,COLUMN(素材!O$1),FALSE)</f>
        <v>一般的な鉄。量産品を作るのに使用されることが多い</v>
      </c>
      <c r="CQ36" t="str">
        <f>VLOOKUP(C36,武器!$A:$W,COLUMN(武器!W$1),FALSE)</f>
        <v>命中 魔防 Cr</v>
      </c>
      <c r="CS36" t="str">
        <f t="shared" si="2"/>
        <v>e_36</v>
      </c>
      <c r="CT36">
        <f t="shared" si="4"/>
        <v>30000</v>
      </c>
    </row>
    <row r="37" spans="1:98" outlineLevel="1" x14ac:dyDescent="0.4">
      <c r="A37" t="str">
        <f t="shared" si="5"/>
        <v>鉄の鎧</v>
      </c>
      <c r="B37" t="str">
        <f>IFERROR(VLOOKUP($D37,素材!$1:$1016,COLUMN($B$1),FALSE)&amp;"・"&amp;VLOOKUP($C37,武器!$1:$998,COLUMN(B$1),FALSE),"")</f>
        <v>アイアン・アーマー</v>
      </c>
      <c r="C37" t="s">
        <v>208</v>
      </c>
      <c r="D37" s="24" t="s">
        <v>257</v>
      </c>
      <c r="E37" t="str">
        <f>IFERROR(VLOOKUP(C37,武器!$1:$998,COLUMN(C$1),FALSE),"")</f>
        <v>体</v>
      </c>
      <c r="F37">
        <f>IFERROR(ROUNDDOWN((VLOOKUP($C37,武器!$1:$998,COLUMN(D$1),FALSE)+IFERROR(VLOOKUP($CJ37,装強!$1:$999,COLUMN(F$1),FALSE),0))*VLOOKUP($D37,素材!$1:$1016,COLUMN(D$1),FALSE),0),"")</f>
        <v>0</v>
      </c>
      <c r="G37">
        <f>IFERROR(ROUNDDOWN((VLOOKUP($C37,武器!$1:$998,COLUMN(E$1),FALSE)+IFERROR(VLOOKUP($CJ37,装強!$1:$999,COLUMN(G$1),FALSE),0))*VLOOKUP($D37,素材!$1:$1016,COLUMN($E$1),FALSE),0),"")</f>
        <v>0</v>
      </c>
      <c r="H37">
        <f>IFERROR(ROUNDDOWN((VLOOKUP($C37,武器!$1:$998,COLUMN(F$1),FALSE)+IFERROR(VLOOKUP($CJ37,装強!$1:$999,COLUMN(H$1),FALSE),0))*VLOOKUP($D37,素材!$1:$1016,COLUMN($E$1),FALSE),0),"")</f>
        <v>0</v>
      </c>
      <c r="I37">
        <f>IFERROR(ROUNDDOWN((VLOOKUP($C37,武器!$1:$998,COLUMN(G$1),FALSE)+IFERROR(VLOOKUP($CJ37,装強!$1:$999,COLUMN(I$1),FALSE),0))*VLOOKUP($D37,素材!$1:$1016,COLUMN($E$1),FALSE),0),"")</f>
        <v>0</v>
      </c>
      <c r="J37">
        <f>IFERROR(ROUNDDOWN((VLOOKUP($C37,武器!$1:$998,COLUMN(H$1),FALSE)+IFERROR(VLOOKUP($CJ37,装強!$1:$999,COLUMN(J$1),FALSE),0))*VLOOKUP($D37,素材!$1:$1016,COLUMN($E$1),FALSE),0),"")</f>
        <v>0</v>
      </c>
      <c r="K37">
        <f>IFERROR(ROUNDDOWN((VLOOKUP($C37,武器!$1:$998,COLUMN(I$1),FALSE)+IFERROR(VLOOKUP($CJ37,装強!$1:$999,COLUMN(K$1),FALSE),0))*VLOOKUP($D37,素材!$1:$1016,COLUMN($E$1),FALSE),0),"")</f>
        <v>0</v>
      </c>
      <c r="L37">
        <f>IFERROR(VLOOKUP($D37,素材!$1:$1016,COLUMN($F$1),FALSE),"")</f>
        <v>0</v>
      </c>
      <c r="M37">
        <f>IFERROR(VLOOKUP($C37,武器!$1:$998,COLUMN(AA$1),FALSE)*VLOOKUP($D37,素材!$1:$1016,COLUMN($G$1),FALSE),"")</f>
        <v>0</v>
      </c>
      <c r="N37">
        <f>IFERROR(VLOOKUP($C37,武器!$1:$998,COLUMN(I$1),FALSE),"")</f>
        <v>0</v>
      </c>
      <c r="O37" s="23">
        <f>IFERROR((VLOOKUP($C37,武器!$1:$998,COLUMN(K$1),FALSE)+VLOOKUP($D37,素材!$1:$1016,COLUMN(H$1),FALSE))*100+IFERROR(VLOOKUP($CJ37,装強!$1:$999,COLUMN(O$1),FALSE),0),"")</f>
        <v>0</v>
      </c>
      <c r="P37" s="23">
        <f>IFERROR((VLOOKUP($C37,武器!$1:$998,COLUMN(L$1),FALSE)+VLOOKUP($D37,素材!$1:$1016,COLUMN(I$1),FALSE))*100+IFERROR(VLOOKUP($CJ37,装強!$1:$999,COLUMN(P$1),FALSE),0),"")</f>
        <v>0</v>
      </c>
      <c r="Q37">
        <f>IFERROR(ROUNDUP(VLOOKUP($C37,武器!$1:$998,COLUMN(M$1),FALSE)*(VLOOKUP($D37,素材!$1:$1002,COLUMN(D$1),FALSE)/100),1),"")</f>
        <v>-15</v>
      </c>
      <c r="R37">
        <f>IFERROR(ROUNDUP(VLOOKUP($C37,武器!$1:$998,COLUMN(N$1),FALSE)*(VLOOKUP($D37,素材!$1:$1002,COLUMN(D$1),FALSE)/100),1),"")</f>
        <v>0</v>
      </c>
      <c r="S37">
        <f>IFERROR(VLOOKUP($C37,武器!$1:$998,COLUMN(P$1),FALSE),"")</f>
        <v>0</v>
      </c>
      <c r="T37">
        <f>IFERROR(VLOOKUP($C37,武器!$1:$998,COLUMN(Q$1),FALSE),"")</f>
        <v>0</v>
      </c>
      <c r="U37">
        <f>IFERROR(VLOOKUP($C37,武器!$1:$998,COLUMN(R$1),FALSE),"")</f>
        <v>0</v>
      </c>
      <c r="V37">
        <f>IFERROR(VLOOKUP($C37,武器!$1:$998,COLUMN(Q$1),FALSE),"")</f>
        <v>0</v>
      </c>
      <c r="W37">
        <f>IFERROR(VLOOKUP($C37,武器!$1:$998,COLUMN(T$1),FALSE),"")</f>
        <v>0</v>
      </c>
      <c r="Y37">
        <f>IFERROR(VLOOKUP($C37,武器!$1:$998,COLUMN(U$1),FALSE),"")</f>
        <v>0</v>
      </c>
      <c r="Z37">
        <f>IFERROR(ROUNDUP(VLOOKUP($C37,武器!$1:$998,COLUMN(O$1),FALSE)*VLOOKUP($D37,素材!$1:$1016,COLUMN(E$1),FALSE),1),"")</f>
        <v>14</v>
      </c>
      <c r="AA37">
        <f>IF(ISNUMBER(SEARCH(SUBSTITUTE(AA$1,RIGHT(AA$1,2),""),VLOOKUP($D37,素材!$1:$1016,COLUMN($F$1),FALSE))),VLOOKUP($C37,武器!$1:$998,COLUMN($O$1),FALSE)*VLOOKUP($D37,素材!$1:$1016,COLUMN($E$1),FALSE)/(LEN(VLOOKUP($D37,素材!$1:$1016,COLUMN($F$1),FALSE))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B37">
        <f>IF(ISNUMBER(SEARCH(SUBSTITUTE(AB$1,RIGHT(AB$1,2),""),VLOOKUP($D37,素材!$1:$1016,COLUMN($F$1),FALSE))),VLOOKUP($C37,武器!$1:$998,COLUMN($O$1),FALSE)*VLOOKUP($D37,素材!$1:$1016,COLUMN($E$1),FALSE)/(LEN(VLOOKUP($D37,素材!$1:$1016,COLUMN($F$1),FALSE))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C37">
        <f>IF(ISNUMBER(SEARCH(SUBSTITUTE(AC$1,RIGHT(AC$1,2),""),VLOOKUP($D37,素材!$1:$1016,COLUMN($F$1),FALSE))),VLOOKUP($C37,武器!$1:$998,COLUMN($O$1),FALSE)*VLOOKUP($D37,素材!$1:$1016,COLUMN($E$1),FALSE)/(LEN(VLOOKUP($D37,素材!$1:$1016,COLUMN($F$1),FALSE))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D37">
        <f>IF(ISNUMBER(SEARCH(SUBSTITUTE(AD$1,RIGHT(AD$1,2),""),VLOOKUP($D37,素材!$1:$1016,COLUMN($F$1),FALSE))),VLOOKUP($C37,武器!$1:$998,COLUMN($O$1),FALSE)*VLOOKUP($D37,素材!$1:$1016,COLUMN($E$1),FALSE)/(LEN(VLOOKUP($D37,素材!$1:$1016,COLUMN($F$1),FALSE))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E37">
        <f>IF(ISNUMBER(SEARCH(SUBSTITUTE(AE$1,RIGHT(AE$1,2),""),VLOOKUP($D37,素材!$1:$1016,COLUMN($F$1),FALSE))),VLOOKUP($C37,武器!$1:$998,COLUMN($O$1),FALSE)*VLOOKUP($D37,素材!$1:$1016,COLUMN($E$1),FALSE)/(LEN(VLOOKUP($D37,素材!$1:$1016,COLUMN($F$1),FALSE))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F37">
        <f>IF(ISNUMBER(SEARCH(SUBSTITUTE(AF$1,RIGHT(AF$1,2),""),VLOOKUP($D37,素材!$1:$1016,COLUMN($F$1),FALSE))),VLOOKUP($C37,武器!$1:$998,COLUMN($O$1),FALSE)*VLOOKUP($D37,素材!$1:$1016,COLUMN($E$1),FALSE)/(LEN(VLOOKUP($D37,素材!$1:$1016,COLUMN($F$1),FALSE))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G37">
        <f>IF(ISNUMBER(SEARCH(SUBSTITUTE(AG$1,RIGHT(AG$1,2),""),VLOOKUP($D37,素材!$1:$1016,COLUMN($F$1),FALSE))),VLOOKUP($C37,武器!$1:$998,COLUMN($O$1),FALSE)*VLOOKUP($D37,素材!$1:$1016,COLUMN($E$1),FALSE)/(LEN(VLOOKUP($D37,素材!$1:$1016,COLUMN($F$1),FALSE))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H37">
        <f>IF(ISNUMBER(SEARCH(SUBSTITUTE(AH$1,RIGHT(AH$1,2),""),VLOOKUP($D37,素材!$1:$1016,COLUMN($F$1),FALSE))),VLOOKUP($C37,武器!$1:$998,COLUMN($O$1),FALSE)*VLOOKUP($D37,素材!$1:$1016,COLUMN($E$1),FALSE)/(LEN(VLOOKUP($D37,素材!$1:$1016,COLUMN($F$1),FALSE))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I37">
        <f>IF(ISNUMBER(SEARCH(SUBSTITUTE(AI$1,RIGHT(AI$1,2),""),VLOOKUP($D37,素材!$1:$1016,COLUMN($F$1),FALSE))),VLOOKUP($C37,武器!$1:$998,COLUMN($O$1),FALSE)*VLOOKUP($D37,素材!$1:$1016,COLUMN($E$1),FALSE)/(LEN(VLOOKUP($D37,素材!$1:$1016,COLUMN($F$1),FALSE))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J37">
        <f>IF(ISNUMBER(SEARCH(SUBSTITUTE(AJ$1,RIGHT(AJ$1,2),""),VLOOKUP($D37,素材!$1:$1016,COLUMN($F$1),FALSE))),VLOOKUP($C37,武器!$1:$998,COLUMN($O$1),FALSE)*VLOOKUP($D37,素材!$1:$1016,COLUMN($E$1),FALSE)/(LEN(VLOOKUP($D37,素材!$1:$1016,COLUMN($F$1),FALSE))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K37">
        <f>IF(ISNUMBER(SEARCH(SUBSTITUTE(AK$1,RIGHT(AK$1,2),""),VLOOKUP($D37,素材!$1:$1016,COLUMN($F$1),FALSE))),VLOOKUP($C37,武器!$1:$998,COLUMN($O$1),FALSE)*VLOOKUP($D37,素材!$1:$1016,COLUMN($E$1),FALSE)/(LEN(VLOOKUP($D37,素材!$1:$1016,COLUMN($F$1),FALSE))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L37">
        <f>IF(ISNUMBER(SEARCH(SUBSTITUTE(AL$1,RIGHT(AL$1,2),""),VLOOKUP($D37,素材!$1:$1016,COLUMN($F$1),FALSE))),VLOOKUP($C37,武器!$1:$998,COLUMN($O$1),FALSE)*VLOOKUP($D37,素材!$1:$1016,COLUMN($E$1),FALSE)/(LEN(VLOOKUP($D37,素材!$1:$1016,COLUMN($F$1),FALSE))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M37">
        <f>IF(ISNUMBER(SEARCH(SUBSTITUTE(AM$1,RIGHT(AM$1,2),""),VLOOKUP($D37,素材!$1:$1016,COLUMN($F$1),FALSE))),VLOOKUP($C37,武器!$1:$998,COLUMN($O$1),FALSE)*VLOOKUP($D37,素材!$1:$1016,COLUMN($E$1),FALSE)/(LEN(VLOOKUP($D37,素材!$1:$1016,COLUMN($F$1),FALSE))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N37">
        <f>IF(ISNUMBER(SEARCH(SUBSTITUTE(AN$1,RIGHT(AN$1,2),""),VLOOKUP($D37,素材!$1:$1016,COLUMN($F$1),FALSE))),VLOOKUP($C37,武器!$1:$998,COLUMN($O$1),FALSE)*VLOOKUP($D37,素材!$1:$1016,COLUMN($E$1),FALSE)/(LEN(VLOOKUP($D37,素材!$1:$1016,COLUMN($F$1),FALSE))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O37">
        <f>IF(ISNUMBER(SEARCH(SUBSTITUTE(AO$1,RIGHT(AO$1,2),""),VLOOKUP($D37,素材!$1:$1016,COLUMN($F$1),FALSE))),VLOOKUP($C37,武器!$1:$998,COLUMN($O$1),FALSE)*VLOOKUP($D37,素材!$1:$1016,COLUMN($E$1),FALSE)/(LEN(VLOOKUP($D37,素材!$1:$1016,COLUMN($F$1),FALSE))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P37">
        <f>IF(ISNUMBER(SEARCH(SUBSTITUTE(AP$1,RIGHT(AP$1,2),""),VLOOKUP($D37,素材!$1:$1016,COLUMN($F$1),FALSE))),VLOOKUP($C37,武器!$1:$998,COLUMN($O$1),FALSE)*VLOOKUP($D37,素材!$1:$1016,COLUMN($E$1),FALSE)/(LEN(VLOOKUP($D37,素材!$1:$1016,COLUMN($F$1),FALSE))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Q37">
        <f>IF(ISNUMBER(SEARCH(SUBSTITUTE(AQ$1,RIGHT(AQ$1,2),""),VLOOKUP($D37,素材!$1:$1016,COLUMN($F$1),FALSE))),VLOOKUP($C37,武器!$1:$998,COLUMN($O$1),FALSE)*VLOOKUP($D37,素材!$1:$1016,COLUMN($E$1),FALSE)/(LEN(VLOOKUP($D37,素材!$1:$1016,COLUMN($F$1),FALSE))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R37">
        <f>IF(ISNUMBER(SEARCH(SUBSTITUTE(AR$1,RIGHT(AR$1,2),""),VLOOKUP($D37,素材!$1:$1016,COLUMN($F$1),FALSE))),VLOOKUP($C37,武器!$1:$998,COLUMN($O$1),FALSE)*VLOOKUP($D37,素材!$1:$1016,COLUMN($E$1),FALSE)/(LEN(VLOOKUP($D37,素材!$1:$1016,COLUMN($F$1),FALSE))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S37">
        <f>IF(ISNUMBER(SEARCH(SUBSTITUTE(AS$1,RIGHT(AS$1,2),""),VLOOKUP($D37,素材!$1:$1016,COLUMN($F$1),FALSE))),VLOOKUP($C37,武器!$1:$998,COLUMN($O$1),FALSE)*VLOOKUP($D37,素材!$1:$1016,COLUMN($E$1),FALSE)/(LEN(VLOOKUP($D37,素材!$1:$1016,COLUMN($F$1),FALSE))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T37">
        <f>IF(ISNUMBER(SEARCH(SUBSTITUTE(AT$1,RIGHT(AT$1,2),""),VLOOKUP($D37,素材!$1:$1016,COLUMN($F$1),FALSE))),VLOOKUP($C37,武器!$1:$998,COLUMN($O$1),FALSE)*VLOOKUP($D37,素材!$1:$1016,COLUMN($E$1),FALSE)/(LEN(VLOOKUP($D37,素材!$1:$1016,COLUMN($F$1),FALSE))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U37">
        <f>IF(ISNUMBER(SEARCH(SUBSTITUTE(AU$1,RIGHT(AU$1,2),""),VLOOKUP($D37,素材!$1:$1016,COLUMN($F$1),FALSE))),VLOOKUP($C37,武器!$1:$998,COLUMN($O$1),FALSE)*VLOOKUP($D37,素材!$1:$1016,COLUMN($E$1),FALSE)/(LEN(VLOOKUP($D37,素材!$1:$1016,COLUMN($F$1),FALSE))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V37">
        <f>IF(ISNUMBER(SEARCH(SUBSTITUTE(AV$1,RIGHT(AV$1,2),""),VLOOKUP($D37,素材!$1:$1016,COLUMN($F$1),FALSE))),VLOOKUP($C37,武器!$1:$998,COLUMN($O$1),FALSE)*VLOOKUP($D37,素材!$1:$1016,COLUMN($E$1),FALSE)/(LEN(VLOOKUP($D37,素材!$1:$1016,COLUMN($F$1),FALSE))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W37">
        <f>IF(ISNUMBER(SEARCH(SUBSTITUTE(AW$1,RIGHT(AW$1,2),""),VLOOKUP($D37,素材!$1:$1016,COLUMN($F$1),FALSE))),VLOOKUP($C37,武器!$1:$998,COLUMN($O$1),FALSE)*VLOOKUP($D37,素材!$1:$1016,COLUMN($E$1),FALSE)/(LEN(VLOOKUP($D37,素材!$1:$1016,COLUMN($F$1),FALSE))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X37">
        <f>IF(ISNUMBER(SEARCH(SUBSTITUTE(AX$1,RIGHT(AX$1,2),""),VLOOKUP($D37,素材!$1:$1016,COLUMN($F$1),FALSE))),VLOOKUP($C37,武器!$1:$998,COLUMN($O$1),FALSE)*VLOOKUP($D37,素材!$1:$1016,COLUMN($E$1),FALSE)/(LEN(VLOOKUP($D37,素材!$1:$1016,COLUMN($F$1),FALSE))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Y37">
        <f>IF(ISNUMBER(SEARCH(SUBSTITUTE(AY$1,RIGHT(AY$1,2),""),VLOOKUP($D37,素材!$1:$1016,COLUMN($F$1),FALSE))),VLOOKUP($C37,武器!$1:$998,COLUMN($O$1),FALSE)*VLOOKUP($D37,素材!$1:$1016,COLUMN($E$1),FALSE)/(LEN(VLOOKUP($D37,素材!$1:$1016,COLUMN($F$1),FALSE))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AZ37">
        <f>IF(ISNUMBER(SEARCH(SUBSTITUTE(AZ$1,RIGHT(AZ$1,2),""),VLOOKUP($D37,素材!$1:$1016,COLUMN($F$1),FALSE))),VLOOKUP($C37,武器!$1:$998,COLUMN($O$1),FALSE)*VLOOKUP($D37,素材!$1:$1016,COLUMN($E$1),FALSE)/(LEN(VLOOKUP($D37,素材!$1:$1016,COLUMN($F$1),FALSE))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BA37">
        <f>IF(ISNUMBER(SEARCH(SUBSTITUTE(BA$1,RIGHT(BA$1,2),""),VLOOKUP($D37,素材!$1:$1016,COLUMN($F$1),FALSE))),VLOOKUP($C37,武器!$1:$998,COLUMN($O$1),FALSE)*VLOOKUP($D37,素材!$1:$1016,COLUMN($E$1),FALSE)/(LEN(VLOOKUP($D37,素材!$1:$1016,COLUMN($F$1),FALSE))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BB37">
        <f>IF(ISNUMBER(SEARCH(SUBSTITUTE(BB$1,RIGHT(BB$1,2),""),VLOOKUP($D37,素材!$1:$1016,COLUMN($F$1),FALSE))),VLOOKUP($C37,武器!$1:$998,COLUMN($O$1),FALSE)*VLOOKUP($D37,素材!$1:$1016,COLUMN($E$1),FALSE)/(LEN(VLOOKUP($D37,素材!$1:$1016,COLUMN($F$1),FALSE))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BC37">
        <f>IF(ISNUMBER(SEARCH(SUBSTITUTE(BC$1,RIGHT(BC$1,2),""),VLOOKUP($D37,素材!$1:$1016,COLUMN($F$1),FALSE))),VLOOKUP($C37,武器!$1:$998,COLUMN($O$1),FALSE)*VLOOKUP($D37,素材!$1:$1016,COLUMN($E$1),FALSE)/(LEN(VLOOKUP($D37,素材!$1:$1016,COLUMN($F$1),FALSE))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BD37">
        <f>IF(ISNUMBER(SEARCH(SUBSTITUTE(BD$1,RIGHT(BD$1,2),""),VLOOKUP($D37,素材!$1:$1016,COLUMN($F$1),FALSE))),VLOOKUP($C37,武器!$1:$998,COLUMN($O$1),FALSE)*VLOOKUP($D37,素材!$1:$1016,COLUMN($E$1),FALSE)/(LEN(VLOOKUP($D37,素材!$1:$1016,COLUMN($F$1),FALSE))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BE37">
        <f>IF(ISNUMBER(SEARCH(SUBSTITUTE(BE$1,RIGHT(BE$1,2),""),VLOOKUP($D37,素材!$1:$1016,COLUMN($F$1),FALSE))),VLOOKUP($C37,武器!$1:$998,COLUMN($O$1),FALSE)*VLOOKUP($D37,素材!$1:$1016,COLUMN($E$1),FALSE)/(LEN(VLOOKUP($D37,素材!$1:$1016,COLUMN($F$1),FALSE))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BF37">
        <f>IF(ISNUMBER(SEARCH(SUBSTITUTE(BF$1,RIGHT(BF$1,2),""),VLOOKUP($D37,素材!$1:$1016,COLUMN($F$1),FALSE))),VLOOKUP($C37,武器!$1:$998,COLUMN($O$1),FALSE)*VLOOKUP($D37,素材!$1:$1016,COLUMN($E$1),FALSE)/(LEN(VLOOKUP($D37,素材!$1:$1016,COLUMN($F$1),FALSE)) - LEN(SUBSTITUTE(VLOOKUP($D37,素材!$1:$1016,COLUMN($F$1),FALSE), "・", 0)) + 1), 0)</f>
        <v>0</v>
      </c>
      <c r="CM37">
        <f t="shared" si="3"/>
        <v>0</v>
      </c>
      <c r="CN37" s="22" t="str">
        <f>IF(E37="武器",IF(J37-1&gt;SUM(G37:I37),"盾",IF(MAX(G37:I37)=G37,"切断",IF(MAX(G37:I37)=H37,"貫通",IF(MAX(G37:I37)=I37,"打撃","射撃")))),E37)&amp;".webp"</f>
        <v>体.webp</v>
      </c>
      <c r="CO37">
        <f>IFERROR(VLOOKUP($C37,武器!$1:$998,COLUMN(V$1),FALSE)*VLOOKUP($D37,素材!$1:$1016,COLUMN(N$1),FALSE)+IF(CJ37="",0,VLOOKUP($CJ37,装強!$1:$1008,COLUMN($CL$1),FALSE)),"")</f>
        <v>600</v>
      </c>
      <c r="CP37" t="str">
        <f>VLOOKUP(D37,素材!$A:$O,COLUMN(素材!O$1),FALSE)</f>
        <v>一般的な鉄。量産品を作るのに使用されることが多い</v>
      </c>
      <c r="CQ37" t="str">
        <f>VLOOKUP(C37,武器!$A:$W,COLUMN(武器!W$1),FALSE)</f>
        <v>HP 物理 魔法 体幹 出血 疲労 Cr</v>
      </c>
      <c r="CS37" t="str">
        <f t="shared" si="2"/>
        <v>e_37</v>
      </c>
      <c r="CT37">
        <f t="shared" si="4"/>
        <v>60000</v>
      </c>
    </row>
    <row r="38" spans="1:98" outlineLevel="1" x14ac:dyDescent="0.4">
      <c r="A38" t="str">
        <f t="shared" si="5"/>
        <v>鉄の胴衣</v>
      </c>
      <c r="B38" t="str">
        <f>IFERROR(VLOOKUP($D38,素材!$1:$1016,COLUMN($B$1),FALSE)&amp;"・"&amp;VLOOKUP($C38,武器!$1:$998,COLUMN(B$1),FALSE),"")</f>
        <v>アイアン・ベスト</v>
      </c>
      <c r="C38" t="s">
        <v>207</v>
      </c>
      <c r="D38" s="24" t="s">
        <v>257</v>
      </c>
      <c r="E38" t="str">
        <f>IFERROR(VLOOKUP(C38,武器!$1:$998,COLUMN(C$1),FALSE),"")</f>
        <v>体</v>
      </c>
      <c r="F38">
        <f>IFERROR(ROUNDDOWN((VLOOKUP($C38,武器!$1:$998,COLUMN(D$1),FALSE)+IFERROR(VLOOKUP($CJ38,装強!$1:$999,COLUMN(F$1),FALSE),0))*VLOOKUP($D38,素材!$1:$1016,COLUMN(D$1),FALSE),0),"")</f>
        <v>0</v>
      </c>
      <c r="G38">
        <f>IFERROR(ROUNDDOWN((VLOOKUP($C38,武器!$1:$998,COLUMN(E$1),FALSE)+IFERROR(VLOOKUP($CJ38,装強!$1:$999,COLUMN(G$1),FALSE),0))*VLOOKUP($D38,素材!$1:$1016,COLUMN($E$1),FALSE),0),"")</f>
        <v>0</v>
      </c>
      <c r="H38">
        <f>IFERROR(ROUNDDOWN((VLOOKUP($C38,武器!$1:$998,COLUMN(F$1),FALSE)+IFERROR(VLOOKUP($CJ38,装強!$1:$999,COLUMN(H$1),FALSE),0))*VLOOKUP($D38,素材!$1:$1016,COLUMN($E$1),FALSE),0),"")</f>
        <v>0</v>
      </c>
      <c r="I38">
        <f>IFERROR(ROUNDDOWN((VLOOKUP($C38,武器!$1:$998,COLUMN(G$1),FALSE)+IFERROR(VLOOKUP($CJ38,装強!$1:$999,COLUMN(I$1),FALSE),0))*VLOOKUP($D38,素材!$1:$1016,COLUMN($E$1),FALSE),0),"")</f>
        <v>0</v>
      </c>
      <c r="J38">
        <f>IFERROR(ROUNDDOWN((VLOOKUP($C38,武器!$1:$998,COLUMN(H$1),FALSE)+IFERROR(VLOOKUP($CJ38,装強!$1:$999,COLUMN(J$1),FALSE),0))*VLOOKUP($D38,素材!$1:$1016,COLUMN($E$1),FALSE),0),"")</f>
        <v>0</v>
      </c>
      <c r="K38">
        <f>IFERROR(ROUNDDOWN((VLOOKUP($C38,武器!$1:$998,COLUMN(I$1),FALSE)+IFERROR(VLOOKUP($CJ38,装強!$1:$999,COLUMN(K$1),FALSE),0))*VLOOKUP($D38,素材!$1:$1016,COLUMN($E$1),FALSE),0),"")</f>
        <v>0</v>
      </c>
      <c r="L38">
        <f>IFERROR(VLOOKUP($D38,素材!$1:$1016,COLUMN($F$1),FALSE),"")</f>
        <v>0</v>
      </c>
      <c r="M38">
        <f>IFERROR(VLOOKUP($C38,武器!$1:$998,COLUMN(AA$1),FALSE)*VLOOKUP($D38,素材!$1:$1016,COLUMN($G$1),FALSE),"")</f>
        <v>0</v>
      </c>
      <c r="N38">
        <f>IFERROR(VLOOKUP($C38,武器!$1:$998,COLUMN(I$1),FALSE),"")</f>
        <v>0</v>
      </c>
      <c r="O38" s="23">
        <f>IFERROR((VLOOKUP($C38,武器!$1:$998,COLUMN(K$1),FALSE)+VLOOKUP($D38,素材!$1:$1016,COLUMN(H$1),FALSE))*100+IFERROR(VLOOKUP($CJ38,装強!$1:$999,COLUMN(O$1),FALSE),0),"")</f>
        <v>0</v>
      </c>
      <c r="P38" s="23">
        <f>IFERROR((VLOOKUP($C38,武器!$1:$998,COLUMN(L$1),FALSE)+VLOOKUP($D38,素材!$1:$1016,COLUMN(I$1),FALSE))*100+IFERROR(VLOOKUP($CJ38,装強!$1:$999,COLUMN(P$1),FALSE),0),"")</f>
        <v>0</v>
      </c>
      <c r="Q38">
        <f>IFERROR(ROUNDUP(VLOOKUP($C38,武器!$1:$998,COLUMN(M$1),FALSE)*(VLOOKUP($D38,素材!$1:$1002,COLUMN(D$1),FALSE)/100),1),"")</f>
        <v>-7.5</v>
      </c>
      <c r="R38">
        <f>IFERROR(ROUNDUP(VLOOKUP($C38,武器!$1:$998,COLUMN(N$1),FALSE)*(VLOOKUP($D38,素材!$1:$1002,COLUMN(D$1),FALSE)/100),1),"")</f>
        <v>0</v>
      </c>
      <c r="S38">
        <f>IFERROR(VLOOKUP($C38,武器!$1:$998,COLUMN(P$1),FALSE),"")</f>
        <v>0</v>
      </c>
      <c r="T38">
        <f>IFERROR(VLOOKUP($C38,武器!$1:$998,COLUMN(Q$1),FALSE),"")</f>
        <v>0</v>
      </c>
      <c r="U38">
        <f>IFERROR(VLOOKUP($C38,武器!$1:$998,COLUMN(R$1),FALSE),"")</f>
        <v>0</v>
      </c>
      <c r="V38">
        <f>IFERROR(VLOOKUP($C38,武器!$1:$998,COLUMN(Q$1),FALSE),"")</f>
        <v>0</v>
      </c>
      <c r="W38">
        <f>IFERROR(VLOOKUP($C38,武器!$1:$998,COLUMN(T$1),FALSE),"")</f>
        <v>0</v>
      </c>
      <c r="Y38">
        <f>IFERROR(VLOOKUP($C38,武器!$1:$998,COLUMN(U$1),FALSE),"")</f>
        <v>0</v>
      </c>
      <c r="Z38">
        <f>IFERROR(ROUNDUP(VLOOKUP($C38,武器!$1:$998,COLUMN(O$1),FALSE)*VLOOKUP($D38,素材!$1:$1016,COLUMN(E$1),FALSE),1),"")</f>
        <v>10</v>
      </c>
      <c r="AA38">
        <f>IF(ISNUMBER(SEARCH(SUBSTITUTE(AA$1,RIGHT(AA$1,2),""),VLOOKUP($D38,素材!$1:$1016,COLUMN($F$1),FALSE))),VLOOKUP($C38,武器!$1:$998,COLUMN($O$1),FALSE)*VLOOKUP($D38,素材!$1:$1016,COLUMN($E$1),FALSE)/(LEN(VLOOKUP($D38,素材!$1:$1016,COLUMN($F$1),FALSE))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B38">
        <f>IF(ISNUMBER(SEARCH(SUBSTITUTE(AB$1,RIGHT(AB$1,2),""),VLOOKUP($D38,素材!$1:$1016,COLUMN($F$1),FALSE))),VLOOKUP($C38,武器!$1:$998,COLUMN($O$1),FALSE)*VLOOKUP($D38,素材!$1:$1016,COLUMN($E$1),FALSE)/(LEN(VLOOKUP($D38,素材!$1:$1016,COLUMN($F$1),FALSE))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C38">
        <f>IF(ISNUMBER(SEARCH(SUBSTITUTE(AC$1,RIGHT(AC$1,2),""),VLOOKUP($D38,素材!$1:$1016,COLUMN($F$1),FALSE))),VLOOKUP($C38,武器!$1:$998,COLUMN($O$1),FALSE)*VLOOKUP($D38,素材!$1:$1016,COLUMN($E$1),FALSE)/(LEN(VLOOKUP($D38,素材!$1:$1016,COLUMN($F$1),FALSE))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D38">
        <f>IF(ISNUMBER(SEARCH(SUBSTITUTE(AD$1,RIGHT(AD$1,2),""),VLOOKUP($D38,素材!$1:$1016,COLUMN($F$1),FALSE))),VLOOKUP($C38,武器!$1:$998,COLUMN($O$1),FALSE)*VLOOKUP($D38,素材!$1:$1016,COLUMN($E$1),FALSE)/(LEN(VLOOKUP($D38,素材!$1:$1016,COLUMN($F$1),FALSE))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E38">
        <f>IF(ISNUMBER(SEARCH(SUBSTITUTE(AE$1,RIGHT(AE$1,2),""),VLOOKUP($D38,素材!$1:$1016,COLUMN($F$1),FALSE))),VLOOKUP($C38,武器!$1:$998,COLUMN($O$1),FALSE)*VLOOKUP($D38,素材!$1:$1016,COLUMN($E$1),FALSE)/(LEN(VLOOKUP($D38,素材!$1:$1016,COLUMN($F$1),FALSE))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F38">
        <f>IF(ISNUMBER(SEARCH(SUBSTITUTE(AF$1,RIGHT(AF$1,2),""),VLOOKUP($D38,素材!$1:$1016,COLUMN($F$1),FALSE))),VLOOKUP($C38,武器!$1:$998,COLUMN($O$1),FALSE)*VLOOKUP($D38,素材!$1:$1016,COLUMN($E$1),FALSE)/(LEN(VLOOKUP($D38,素材!$1:$1016,COLUMN($F$1),FALSE))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G38">
        <f>IF(ISNUMBER(SEARCH(SUBSTITUTE(AG$1,RIGHT(AG$1,2),""),VLOOKUP($D38,素材!$1:$1016,COLUMN($F$1),FALSE))),VLOOKUP($C38,武器!$1:$998,COLUMN($O$1),FALSE)*VLOOKUP($D38,素材!$1:$1016,COLUMN($E$1),FALSE)/(LEN(VLOOKUP($D38,素材!$1:$1016,COLUMN($F$1),FALSE))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H38">
        <f>IF(ISNUMBER(SEARCH(SUBSTITUTE(AH$1,RIGHT(AH$1,2),""),VLOOKUP($D38,素材!$1:$1016,COLUMN($F$1),FALSE))),VLOOKUP($C38,武器!$1:$998,COLUMN($O$1),FALSE)*VLOOKUP($D38,素材!$1:$1016,COLUMN($E$1),FALSE)/(LEN(VLOOKUP($D38,素材!$1:$1016,COLUMN($F$1),FALSE))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I38">
        <f>IF(ISNUMBER(SEARCH(SUBSTITUTE(AI$1,RIGHT(AI$1,2),""),VLOOKUP($D38,素材!$1:$1016,COLUMN($F$1),FALSE))),VLOOKUP($C38,武器!$1:$998,COLUMN($O$1),FALSE)*VLOOKUP($D38,素材!$1:$1016,COLUMN($E$1),FALSE)/(LEN(VLOOKUP($D38,素材!$1:$1016,COLUMN($F$1),FALSE))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J38">
        <f>IF(ISNUMBER(SEARCH(SUBSTITUTE(AJ$1,RIGHT(AJ$1,2),""),VLOOKUP($D38,素材!$1:$1016,COLUMN($F$1),FALSE))),VLOOKUP($C38,武器!$1:$998,COLUMN($O$1),FALSE)*VLOOKUP($D38,素材!$1:$1016,COLUMN($E$1),FALSE)/(LEN(VLOOKUP($D38,素材!$1:$1016,COLUMN($F$1),FALSE))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K38">
        <f>IF(ISNUMBER(SEARCH(SUBSTITUTE(AK$1,RIGHT(AK$1,2),""),VLOOKUP($D38,素材!$1:$1016,COLUMN($F$1),FALSE))),VLOOKUP($C38,武器!$1:$998,COLUMN($O$1),FALSE)*VLOOKUP($D38,素材!$1:$1016,COLUMN($E$1),FALSE)/(LEN(VLOOKUP($D38,素材!$1:$1016,COLUMN($F$1),FALSE))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L38">
        <f>IF(ISNUMBER(SEARCH(SUBSTITUTE(AL$1,RIGHT(AL$1,2),""),VLOOKUP($D38,素材!$1:$1016,COLUMN($F$1),FALSE))),VLOOKUP($C38,武器!$1:$998,COLUMN($O$1),FALSE)*VLOOKUP($D38,素材!$1:$1016,COLUMN($E$1),FALSE)/(LEN(VLOOKUP($D38,素材!$1:$1016,COLUMN($F$1),FALSE))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M38">
        <f>IF(ISNUMBER(SEARCH(SUBSTITUTE(AM$1,RIGHT(AM$1,2),""),VLOOKUP($D38,素材!$1:$1016,COLUMN($F$1),FALSE))),VLOOKUP($C38,武器!$1:$998,COLUMN($O$1),FALSE)*VLOOKUP($D38,素材!$1:$1016,COLUMN($E$1),FALSE)/(LEN(VLOOKUP($D38,素材!$1:$1016,COLUMN($F$1),FALSE))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N38">
        <f>IF(ISNUMBER(SEARCH(SUBSTITUTE(AN$1,RIGHT(AN$1,2),""),VLOOKUP($D38,素材!$1:$1016,COLUMN($F$1),FALSE))),VLOOKUP($C38,武器!$1:$998,COLUMN($O$1),FALSE)*VLOOKUP($D38,素材!$1:$1016,COLUMN($E$1),FALSE)/(LEN(VLOOKUP($D38,素材!$1:$1016,COLUMN($F$1),FALSE))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O38">
        <f>IF(ISNUMBER(SEARCH(SUBSTITUTE(AO$1,RIGHT(AO$1,2),""),VLOOKUP($D38,素材!$1:$1016,COLUMN($F$1),FALSE))),VLOOKUP($C38,武器!$1:$998,COLUMN($O$1),FALSE)*VLOOKUP($D38,素材!$1:$1016,COLUMN($E$1),FALSE)/(LEN(VLOOKUP($D38,素材!$1:$1016,COLUMN($F$1),FALSE))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P38">
        <f>IF(ISNUMBER(SEARCH(SUBSTITUTE(AP$1,RIGHT(AP$1,2),""),VLOOKUP($D38,素材!$1:$1016,COLUMN($F$1),FALSE))),VLOOKUP($C38,武器!$1:$998,COLUMN($O$1),FALSE)*VLOOKUP($D38,素材!$1:$1016,COLUMN($E$1),FALSE)/(LEN(VLOOKUP($D38,素材!$1:$1016,COLUMN($F$1),FALSE))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Q38">
        <f>IF(ISNUMBER(SEARCH(SUBSTITUTE(AQ$1,RIGHT(AQ$1,2),""),VLOOKUP($D38,素材!$1:$1016,COLUMN($F$1),FALSE))),VLOOKUP($C38,武器!$1:$998,COLUMN($O$1),FALSE)*VLOOKUP($D38,素材!$1:$1016,COLUMN($E$1),FALSE)/(LEN(VLOOKUP($D38,素材!$1:$1016,COLUMN($F$1),FALSE))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R38">
        <f>IF(ISNUMBER(SEARCH(SUBSTITUTE(AR$1,RIGHT(AR$1,2),""),VLOOKUP($D38,素材!$1:$1016,COLUMN($F$1),FALSE))),VLOOKUP($C38,武器!$1:$998,COLUMN($O$1),FALSE)*VLOOKUP($D38,素材!$1:$1016,COLUMN($E$1),FALSE)/(LEN(VLOOKUP($D38,素材!$1:$1016,COLUMN($F$1),FALSE))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S38">
        <f>IF(ISNUMBER(SEARCH(SUBSTITUTE(AS$1,RIGHT(AS$1,2),""),VLOOKUP($D38,素材!$1:$1016,COLUMN($F$1),FALSE))),VLOOKUP($C38,武器!$1:$998,COLUMN($O$1),FALSE)*VLOOKUP($D38,素材!$1:$1016,COLUMN($E$1),FALSE)/(LEN(VLOOKUP($D38,素材!$1:$1016,COLUMN($F$1),FALSE))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T38">
        <f>IF(ISNUMBER(SEARCH(SUBSTITUTE(AT$1,RIGHT(AT$1,2),""),VLOOKUP($D38,素材!$1:$1016,COLUMN($F$1),FALSE))),VLOOKUP($C38,武器!$1:$998,COLUMN($O$1),FALSE)*VLOOKUP($D38,素材!$1:$1016,COLUMN($E$1),FALSE)/(LEN(VLOOKUP($D38,素材!$1:$1016,COLUMN($F$1),FALSE))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U38">
        <f>IF(ISNUMBER(SEARCH(SUBSTITUTE(AU$1,RIGHT(AU$1,2),""),VLOOKUP($D38,素材!$1:$1016,COLUMN($F$1),FALSE))),VLOOKUP($C38,武器!$1:$998,COLUMN($O$1),FALSE)*VLOOKUP($D38,素材!$1:$1016,COLUMN($E$1),FALSE)/(LEN(VLOOKUP($D38,素材!$1:$1016,COLUMN($F$1),FALSE))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V38">
        <f>IF(ISNUMBER(SEARCH(SUBSTITUTE(AV$1,RIGHT(AV$1,2),""),VLOOKUP($D38,素材!$1:$1016,COLUMN($F$1),FALSE))),VLOOKUP($C38,武器!$1:$998,COLUMN($O$1),FALSE)*VLOOKUP($D38,素材!$1:$1016,COLUMN($E$1),FALSE)/(LEN(VLOOKUP($D38,素材!$1:$1016,COLUMN($F$1),FALSE))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W38">
        <f>IF(ISNUMBER(SEARCH(SUBSTITUTE(AW$1,RIGHT(AW$1,2),""),VLOOKUP($D38,素材!$1:$1016,COLUMN($F$1),FALSE))),VLOOKUP($C38,武器!$1:$998,COLUMN($O$1),FALSE)*VLOOKUP($D38,素材!$1:$1016,COLUMN($E$1),FALSE)/(LEN(VLOOKUP($D38,素材!$1:$1016,COLUMN($F$1),FALSE))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X38">
        <f>IF(ISNUMBER(SEARCH(SUBSTITUTE(AX$1,RIGHT(AX$1,2),""),VLOOKUP($D38,素材!$1:$1016,COLUMN($F$1),FALSE))),VLOOKUP($C38,武器!$1:$998,COLUMN($O$1),FALSE)*VLOOKUP($D38,素材!$1:$1016,COLUMN($E$1),FALSE)/(LEN(VLOOKUP($D38,素材!$1:$1016,COLUMN($F$1),FALSE))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Y38">
        <f>IF(ISNUMBER(SEARCH(SUBSTITUTE(AY$1,RIGHT(AY$1,2),""),VLOOKUP($D38,素材!$1:$1016,COLUMN($F$1),FALSE))),VLOOKUP($C38,武器!$1:$998,COLUMN($O$1),FALSE)*VLOOKUP($D38,素材!$1:$1016,COLUMN($E$1),FALSE)/(LEN(VLOOKUP($D38,素材!$1:$1016,COLUMN($F$1),FALSE))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AZ38">
        <f>IF(ISNUMBER(SEARCH(SUBSTITUTE(AZ$1,RIGHT(AZ$1,2),""),VLOOKUP($D38,素材!$1:$1016,COLUMN($F$1),FALSE))),VLOOKUP($C38,武器!$1:$998,COLUMN($O$1),FALSE)*VLOOKUP($D38,素材!$1:$1016,COLUMN($E$1),FALSE)/(LEN(VLOOKUP($D38,素材!$1:$1016,COLUMN($F$1),FALSE))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BA38">
        <f>IF(ISNUMBER(SEARCH(SUBSTITUTE(BA$1,RIGHT(BA$1,2),""),VLOOKUP($D38,素材!$1:$1016,COLUMN($F$1),FALSE))),VLOOKUP($C38,武器!$1:$998,COLUMN($O$1),FALSE)*VLOOKUP($D38,素材!$1:$1016,COLUMN($E$1),FALSE)/(LEN(VLOOKUP($D38,素材!$1:$1016,COLUMN($F$1),FALSE))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BB38">
        <f>IF(ISNUMBER(SEARCH(SUBSTITUTE(BB$1,RIGHT(BB$1,2),""),VLOOKUP($D38,素材!$1:$1016,COLUMN($F$1),FALSE))),VLOOKUP($C38,武器!$1:$998,COLUMN($O$1),FALSE)*VLOOKUP($D38,素材!$1:$1016,COLUMN($E$1),FALSE)/(LEN(VLOOKUP($D38,素材!$1:$1016,COLUMN($F$1),FALSE))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BC38">
        <f>IF(ISNUMBER(SEARCH(SUBSTITUTE(BC$1,RIGHT(BC$1,2),""),VLOOKUP($D38,素材!$1:$1016,COLUMN($F$1),FALSE))),VLOOKUP($C38,武器!$1:$998,COLUMN($O$1),FALSE)*VLOOKUP($D38,素材!$1:$1016,COLUMN($E$1),FALSE)/(LEN(VLOOKUP($D38,素材!$1:$1016,COLUMN($F$1),FALSE))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BD38">
        <f>IF(ISNUMBER(SEARCH(SUBSTITUTE(BD$1,RIGHT(BD$1,2),""),VLOOKUP($D38,素材!$1:$1016,COLUMN($F$1),FALSE))),VLOOKUP($C38,武器!$1:$998,COLUMN($O$1),FALSE)*VLOOKUP($D38,素材!$1:$1016,COLUMN($E$1),FALSE)/(LEN(VLOOKUP($D38,素材!$1:$1016,COLUMN($F$1),FALSE))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BE38">
        <f>IF(ISNUMBER(SEARCH(SUBSTITUTE(BE$1,RIGHT(BE$1,2),""),VLOOKUP($D38,素材!$1:$1016,COLUMN($F$1),FALSE))),VLOOKUP($C38,武器!$1:$998,COLUMN($O$1),FALSE)*VLOOKUP($D38,素材!$1:$1016,COLUMN($E$1),FALSE)/(LEN(VLOOKUP($D38,素材!$1:$1016,COLUMN($F$1),FALSE))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BF38">
        <f>IF(ISNUMBER(SEARCH(SUBSTITUTE(BF$1,RIGHT(BF$1,2),""),VLOOKUP($D38,素材!$1:$1016,COLUMN($F$1),FALSE))),VLOOKUP($C38,武器!$1:$998,COLUMN($O$1),FALSE)*VLOOKUP($D38,素材!$1:$1016,COLUMN($E$1),FALSE)/(LEN(VLOOKUP($D38,素材!$1:$1016,COLUMN($F$1),FALSE)) - LEN(SUBSTITUTE(VLOOKUP($D38,素材!$1:$1016,COLUMN($F$1),FALSE), "・", 0)) + 1), 0)</f>
        <v>0</v>
      </c>
      <c r="CM38">
        <f t="shared" si="3"/>
        <v>0</v>
      </c>
      <c r="CN38" s="22" t="str">
        <f>IF(E38="武器",IF(J38-1&gt;SUM(G38:I38),"盾",IF(MAX(G38:I38)=G38,"切断",IF(MAX(G38:I38)=H38,"貫通",IF(MAX(G38:I38)=I38,"打撃","射撃")))),E38)&amp;".webp"</f>
        <v>体.webp</v>
      </c>
      <c r="CO38">
        <f>IFERROR(VLOOKUP($C38,武器!$1:$998,COLUMN(V$1),FALSE)*VLOOKUP($D38,素材!$1:$1016,COLUMN(N$1),FALSE)+IF(CJ38="",0,VLOOKUP($CJ38,装強!$1:$1008,COLUMN($CL$1),FALSE)),"")</f>
        <v>500</v>
      </c>
      <c r="CP38" t="str">
        <f>VLOOKUP(D38,素材!$A:$O,COLUMN(素材!O$1),FALSE)</f>
        <v>一般的な鉄。量産品を作るのに使用されることが多い</v>
      </c>
      <c r="CQ38" t="str">
        <f>VLOOKUP(C38,武器!$A:$W,COLUMN(武器!W$1),FALSE)</f>
        <v>HP 物理 魔法 体幹 出血 疲労 Cr</v>
      </c>
      <c r="CS38" t="str">
        <f t="shared" si="2"/>
        <v>e_38</v>
      </c>
      <c r="CT38">
        <f t="shared" si="4"/>
        <v>50000</v>
      </c>
    </row>
    <row r="39" spans="1:98" outlineLevel="1" x14ac:dyDescent="0.4">
      <c r="A39" t="str">
        <f t="shared" si="5"/>
        <v>鉄の靴</v>
      </c>
      <c r="B39" t="str">
        <f>IFERROR(VLOOKUP($D39,素材!$1:$1016,COLUMN($B$1),FALSE)&amp;"・"&amp;VLOOKUP($C39,武器!$1:$998,COLUMN(B$1),FALSE),"")</f>
        <v>アイアン・ブーツ</v>
      </c>
      <c r="C39" t="s">
        <v>206</v>
      </c>
      <c r="D39" s="24" t="s">
        <v>257</v>
      </c>
      <c r="E39" t="str">
        <f>IFERROR(VLOOKUP(C39,武器!$1:$998,COLUMN(C$1),FALSE),"")</f>
        <v>足</v>
      </c>
      <c r="F39">
        <f>IFERROR(ROUNDDOWN((VLOOKUP($C39,武器!$1:$998,COLUMN(D$1),FALSE)+IFERROR(VLOOKUP($CJ39,装強!$1:$999,COLUMN(F$1),FALSE),0))*VLOOKUP($D39,素材!$1:$1016,COLUMN(D$1),FALSE),0),"")</f>
        <v>0</v>
      </c>
      <c r="G39">
        <f>IFERROR(ROUNDDOWN((VLOOKUP($C39,武器!$1:$998,COLUMN(E$1),FALSE)+IFERROR(VLOOKUP($CJ39,装強!$1:$999,COLUMN(G$1),FALSE),0))*VLOOKUP($D39,素材!$1:$1016,COLUMN($E$1),FALSE),0),"")</f>
        <v>0</v>
      </c>
      <c r="H39">
        <f>IFERROR(ROUNDDOWN((VLOOKUP($C39,武器!$1:$998,COLUMN(F$1),FALSE)+IFERROR(VLOOKUP($CJ39,装強!$1:$999,COLUMN(H$1),FALSE),0))*VLOOKUP($D39,素材!$1:$1016,COLUMN($E$1),FALSE),0),"")</f>
        <v>0</v>
      </c>
      <c r="I39">
        <f>IFERROR(ROUNDDOWN((VLOOKUP($C39,武器!$1:$998,COLUMN(G$1),FALSE)+IFERROR(VLOOKUP($CJ39,装強!$1:$999,COLUMN(I$1),FALSE),0))*VLOOKUP($D39,素材!$1:$1016,COLUMN($E$1),FALSE),0),"")</f>
        <v>20</v>
      </c>
      <c r="J39">
        <f>IFERROR(ROUNDDOWN((VLOOKUP($C39,武器!$1:$998,COLUMN(H$1),FALSE)+IFERROR(VLOOKUP($CJ39,装強!$1:$999,COLUMN(J$1),FALSE),0))*VLOOKUP($D39,素材!$1:$1016,COLUMN($E$1),FALSE),0),"")</f>
        <v>0</v>
      </c>
      <c r="K39">
        <f>IFERROR(ROUNDDOWN((VLOOKUP($C39,武器!$1:$998,COLUMN(I$1),FALSE)+IFERROR(VLOOKUP($CJ39,装強!$1:$999,COLUMN(K$1),FALSE),0))*VLOOKUP($D39,素材!$1:$1016,COLUMN($E$1),FALSE),0),"")</f>
        <v>0</v>
      </c>
      <c r="L39">
        <f>IFERROR(VLOOKUP($D39,素材!$1:$1016,COLUMN($F$1),FALSE),"")</f>
        <v>0</v>
      </c>
      <c r="M39">
        <f>IFERROR(VLOOKUP($C39,武器!$1:$998,COLUMN(AA$1),FALSE)*VLOOKUP($D39,素材!$1:$1016,COLUMN($G$1),FALSE),"")</f>
        <v>0</v>
      </c>
      <c r="N39">
        <f>IFERROR(VLOOKUP($C39,武器!$1:$998,COLUMN(I$1),FALSE),"")</f>
        <v>0</v>
      </c>
      <c r="O39" s="23">
        <f>IFERROR((VLOOKUP($C39,武器!$1:$998,COLUMN(K$1),FALSE)+VLOOKUP($D39,素材!$1:$1016,COLUMN(H$1),FALSE))*100+IFERROR(VLOOKUP($CJ39,装強!$1:$999,COLUMN(O$1),FALSE),0),"")</f>
        <v>10</v>
      </c>
      <c r="P39" s="23">
        <f>IFERROR((VLOOKUP($C39,武器!$1:$998,COLUMN(L$1),FALSE)+VLOOKUP($D39,素材!$1:$1016,COLUMN(I$1),FALSE))*100+IFERROR(VLOOKUP($CJ39,装強!$1:$999,COLUMN(P$1),FALSE),0),"")</f>
        <v>150</v>
      </c>
      <c r="Q39">
        <f>IFERROR(ROUNDUP(VLOOKUP($C39,武器!$1:$998,COLUMN(M$1),FALSE)*(VLOOKUP($D39,素材!$1:$1002,COLUMN(D$1),FALSE)/100),1),"")</f>
        <v>0</v>
      </c>
      <c r="R39">
        <f>IFERROR(ROUNDUP(VLOOKUP($C39,武器!$1:$998,COLUMN(N$1),FALSE)*(VLOOKUP($D39,素材!$1:$1002,COLUMN(D$1),FALSE)/100),1),"")</f>
        <v>0</v>
      </c>
      <c r="S39">
        <f>IFERROR(VLOOKUP($C39,武器!$1:$998,COLUMN(P$1),FALSE),"")</f>
        <v>0</v>
      </c>
      <c r="T39">
        <f>IFERROR(VLOOKUP($C39,武器!$1:$998,COLUMN(Q$1),FALSE),"")</f>
        <v>0</v>
      </c>
      <c r="U39">
        <f>IFERROR(VLOOKUP($C39,武器!$1:$998,COLUMN(R$1),FALSE),"")</f>
        <v>0</v>
      </c>
      <c r="V39">
        <f>IFERROR(VLOOKUP($C39,武器!$1:$998,COLUMN(Q$1),FALSE),"")</f>
        <v>0</v>
      </c>
      <c r="W39">
        <f>IFERROR(VLOOKUP($C39,武器!$1:$998,COLUMN(T$1),FALSE),"")</f>
        <v>0</v>
      </c>
      <c r="Y39" t="str">
        <f>IFERROR(VLOOKUP($C39,武器!$1:$998,COLUMN(U$1),FALSE),"")</f>
        <v>足</v>
      </c>
      <c r="Z39">
        <f>IFERROR(ROUNDUP(VLOOKUP($C39,武器!$1:$998,COLUMN(O$1),FALSE)*VLOOKUP($D39,素材!$1:$1016,COLUMN(E$1),FALSE),1),"")</f>
        <v>3</v>
      </c>
      <c r="AA39">
        <f>IF(ISNUMBER(SEARCH(SUBSTITUTE(AA$1,RIGHT(AA$1,2),""),VLOOKUP($D39,素材!$1:$1016,COLUMN($F$1),FALSE))),VLOOKUP($C39,武器!$1:$998,COLUMN($O$1),FALSE)*VLOOKUP($D39,素材!$1:$1016,COLUMN($E$1),FALSE)/(LEN(VLOOKUP($D39,素材!$1:$1016,COLUMN($F$1),FALSE))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B39">
        <f>IF(ISNUMBER(SEARCH(SUBSTITUTE(AB$1,RIGHT(AB$1,2),""),VLOOKUP($D39,素材!$1:$1016,COLUMN($F$1),FALSE))),VLOOKUP($C39,武器!$1:$998,COLUMN($O$1),FALSE)*VLOOKUP($D39,素材!$1:$1016,COLUMN($E$1),FALSE)/(LEN(VLOOKUP($D39,素材!$1:$1016,COLUMN($F$1),FALSE))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C39">
        <f>IF(ISNUMBER(SEARCH(SUBSTITUTE(AC$1,RIGHT(AC$1,2),""),VLOOKUP($D39,素材!$1:$1016,COLUMN($F$1),FALSE))),VLOOKUP($C39,武器!$1:$998,COLUMN($O$1),FALSE)*VLOOKUP($D39,素材!$1:$1016,COLUMN($E$1),FALSE)/(LEN(VLOOKUP($D39,素材!$1:$1016,COLUMN($F$1),FALSE))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D39">
        <f>IF(ISNUMBER(SEARCH(SUBSTITUTE(AD$1,RIGHT(AD$1,2),""),VLOOKUP($D39,素材!$1:$1016,COLUMN($F$1),FALSE))),VLOOKUP($C39,武器!$1:$998,COLUMN($O$1),FALSE)*VLOOKUP($D39,素材!$1:$1016,COLUMN($E$1),FALSE)/(LEN(VLOOKUP($D39,素材!$1:$1016,COLUMN($F$1),FALSE))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E39">
        <f>IF(ISNUMBER(SEARCH(SUBSTITUTE(AE$1,RIGHT(AE$1,2),""),VLOOKUP($D39,素材!$1:$1016,COLUMN($F$1),FALSE))),VLOOKUP($C39,武器!$1:$998,COLUMN($O$1),FALSE)*VLOOKUP($D39,素材!$1:$1016,COLUMN($E$1),FALSE)/(LEN(VLOOKUP($D39,素材!$1:$1016,COLUMN($F$1),FALSE))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F39">
        <f>IF(ISNUMBER(SEARCH(SUBSTITUTE(AF$1,RIGHT(AF$1,2),""),VLOOKUP($D39,素材!$1:$1016,COLUMN($F$1),FALSE))),VLOOKUP($C39,武器!$1:$998,COLUMN($O$1),FALSE)*VLOOKUP($D39,素材!$1:$1016,COLUMN($E$1),FALSE)/(LEN(VLOOKUP($D39,素材!$1:$1016,COLUMN($F$1),FALSE))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G39">
        <f>IF(ISNUMBER(SEARCH(SUBSTITUTE(AG$1,RIGHT(AG$1,2),""),VLOOKUP($D39,素材!$1:$1016,COLUMN($F$1),FALSE))),VLOOKUP($C39,武器!$1:$998,COLUMN($O$1),FALSE)*VLOOKUP($D39,素材!$1:$1016,COLUMN($E$1),FALSE)/(LEN(VLOOKUP($D39,素材!$1:$1016,COLUMN($F$1),FALSE))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H39">
        <f>IF(ISNUMBER(SEARCH(SUBSTITUTE(AH$1,RIGHT(AH$1,2),""),VLOOKUP($D39,素材!$1:$1016,COLUMN($F$1),FALSE))),VLOOKUP($C39,武器!$1:$998,COLUMN($O$1),FALSE)*VLOOKUP($D39,素材!$1:$1016,COLUMN($E$1),FALSE)/(LEN(VLOOKUP($D39,素材!$1:$1016,COLUMN($F$1),FALSE))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I39">
        <f>IF(ISNUMBER(SEARCH(SUBSTITUTE(AI$1,RIGHT(AI$1,2),""),VLOOKUP($D39,素材!$1:$1016,COLUMN($F$1),FALSE))),VLOOKUP($C39,武器!$1:$998,COLUMN($O$1),FALSE)*VLOOKUP($D39,素材!$1:$1016,COLUMN($E$1),FALSE)/(LEN(VLOOKUP($D39,素材!$1:$1016,COLUMN($F$1),FALSE))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J39">
        <f>IF(ISNUMBER(SEARCH(SUBSTITUTE(AJ$1,RIGHT(AJ$1,2),""),VLOOKUP($D39,素材!$1:$1016,COLUMN($F$1),FALSE))),VLOOKUP($C39,武器!$1:$998,COLUMN($O$1),FALSE)*VLOOKUP($D39,素材!$1:$1016,COLUMN($E$1),FALSE)/(LEN(VLOOKUP($D39,素材!$1:$1016,COLUMN($F$1),FALSE))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K39">
        <f>IF(ISNUMBER(SEARCH(SUBSTITUTE(AK$1,RIGHT(AK$1,2),""),VLOOKUP($D39,素材!$1:$1016,COLUMN($F$1),FALSE))),VLOOKUP($C39,武器!$1:$998,COLUMN($O$1),FALSE)*VLOOKUP($D39,素材!$1:$1016,COLUMN($E$1),FALSE)/(LEN(VLOOKUP($D39,素材!$1:$1016,COLUMN($F$1),FALSE))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L39">
        <f>IF(ISNUMBER(SEARCH(SUBSTITUTE(AL$1,RIGHT(AL$1,2),""),VLOOKUP($D39,素材!$1:$1016,COLUMN($F$1),FALSE))),VLOOKUP($C39,武器!$1:$998,COLUMN($O$1),FALSE)*VLOOKUP($D39,素材!$1:$1016,COLUMN($E$1),FALSE)/(LEN(VLOOKUP($D39,素材!$1:$1016,COLUMN($F$1),FALSE))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M39">
        <f>IF(ISNUMBER(SEARCH(SUBSTITUTE(AM$1,RIGHT(AM$1,2),""),VLOOKUP($D39,素材!$1:$1016,COLUMN($F$1),FALSE))),VLOOKUP($C39,武器!$1:$998,COLUMN($O$1),FALSE)*VLOOKUP($D39,素材!$1:$1016,COLUMN($E$1),FALSE)/(LEN(VLOOKUP($D39,素材!$1:$1016,COLUMN($F$1),FALSE))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N39">
        <f>IF(ISNUMBER(SEARCH(SUBSTITUTE(AN$1,RIGHT(AN$1,2),""),VLOOKUP($D39,素材!$1:$1016,COLUMN($F$1),FALSE))),VLOOKUP($C39,武器!$1:$998,COLUMN($O$1),FALSE)*VLOOKUP($D39,素材!$1:$1016,COLUMN($E$1),FALSE)/(LEN(VLOOKUP($D39,素材!$1:$1016,COLUMN($F$1),FALSE))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O39">
        <f>IF(ISNUMBER(SEARCH(SUBSTITUTE(AO$1,RIGHT(AO$1,2),""),VLOOKUP($D39,素材!$1:$1016,COLUMN($F$1),FALSE))),VLOOKUP($C39,武器!$1:$998,COLUMN($O$1),FALSE)*VLOOKUP($D39,素材!$1:$1016,COLUMN($E$1),FALSE)/(LEN(VLOOKUP($D39,素材!$1:$1016,COLUMN($F$1),FALSE))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P39">
        <f>IF(ISNUMBER(SEARCH(SUBSTITUTE(AP$1,RIGHT(AP$1,2),""),VLOOKUP($D39,素材!$1:$1016,COLUMN($F$1),FALSE))),VLOOKUP($C39,武器!$1:$998,COLUMN($O$1),FALSE)*VLOOKUP($D39,素材!$1:$1016,COLUMN($E$1),FALSE)/(LEN(VLOOKUP($D39,素材!$1:$1016,COLUMN($F$1),FALSE))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Q39">
        <f>IF(ISNUMBER(SEARCH(SUBSTITUTE(AQ$1,RIGHT(AQ$1,2),""),VLOOKUP($D39,素材!$1:$1016,COLUMN($F$1),FALSE))),VLOOKUP($C39,武器!$1:$998,COLUMN($O$1),FALSE)*VLOOKUP($D39,素材!$1:$1016,COLUMN($E$1),FALSE)/(LEN(VLOOKUP($D39,素材!$1:$1016,COLUMN($F$1),FALSE))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R39">
        <f>IF(ISNUMBER(SEARCH(SUBSTITUTE(AR$1,RIGHT(AR$1,2),""),VLOOKUP($D39,素材!$1:$1016,COLUMN($F$1),FALSE))),VLOOKUP($C39,武器!$1:$998,COLUMN($O$1),FALSE)*VLOOKUP($D39,素材!$1:$1016,COLUMN($E$1),FALSE)/(LEN(VLOOKUP($D39,素材!$1:$1016,COLUMN($F$1),FALSE))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S39">
        <f>IF(ISNUMBER(SEARCH(SUBSTITUTE(AS$1,RIGHT(AS$1,2),""),VLOOKUP($D39,素材!$1:$1016,COLUMN($F$1),FALSE))),VLOOKUP($C39,武器!$1:$998,COLUMN($O$1),FALSE)*VLOOKUP($D39,素材!$1:$1016,COLUMN($E$1),FALSE)/(LEN(VLOOKUP($D39,素材!$1:$1016,COLUMN($F$1),FALSE))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T39">
        <f>IF(ISNUMBER(SEARCH(SUBSTITUTE(AT$1,RIGHT(AT$1,2),""),VLOOKUP($D39,素材!$1:$1016,COLUMN($F$1),FALSE))),VLOOKUP($C39,武器!$1:$998,COLUMN($O$1),FALSE)*VLOOKUP($D39,素材!$1:$1016,COLUMN($E$1),FALSE)/(LEN(VLOOKUP($D39,素材!$1:$1016,COLUMN($F$1),FALSE))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U39">
        <f>IF(ISNUMBER(SEARCH(SUBSTITUTE(AU$1,RIGHT(AU$1,2),""),VLOOKUP($D39,素材!$1:$1016,COLUMN($F$1),FALSE))),VLOOKUP($C39,武器!$1:$998,COLUMN($O$1),FALSE)*VLOOKUP($D39,素材!$1:$1016,COLUMN($E$1),FALSE)/(LEN(VLOOKUP($D39,素材!$1:$1016,COLUMN($F$1),FALSE))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V39">
        <f>IF(ISNUMBER(SEARCH(SUBSTITUTE(AV$1,RIGHT(AV$1,2),""),VLOOKUP($D39,素材!$1:$1016,COLUMN($F$1),FALSE))),VLOOKUP($C39,武器!$1:$998,COLUMN($O$1),FALSE)*VLOOKUP($D39,素材!$1:$1016,COLUMN($E$1),FALSE)/(LEN(VLOOKUP($D39,素材!$1:$1016,COLUMN($F$1),FALSE))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W39">
        <f>IF(ISNUMBER(SEARCH(SUBSTITUTE(AW$1,RIGHT(AW$1,2),""),VLOOKUP($D39,素材!$1:$1016,COLUMN($F$1),FALSE))),VLOOKUP($C39,武器!$1:$998,COLUMN($O$1),FALSE)*VLOOKUP($D39,素材!$1:$1016,COLUMN($E$1),FALSE)/(LEN(VLOOKUP($D39,素材!$1:$1016,COLUMN($F$1),FALSE))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X39">
        <f>IF(ISNUMBER(SEARCH(SUBSTITUTE(AX$1,RIGHT(AX$1,2),""),VLOOKUP($D39,素材!$1:$1016,COLUMN($F$1),FALSE))),VLOOKUP($C39,武器!$1:$998,COLUMN($O$1),FALSE)*VLOOKUP($D39,素材!$1:$1016,COLUMN($E$1),FALSE)/(LEN(VLOOKUP($D39,素材!$1:$1016,COLUMN($F$1),FALSE))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Y39">
        <f>IF(ISNUMBER(SEARCH(SUBSTITUTE(AY$1,RIGHT(AY$1,2),""),VLOOKUP($D39,素材!$1:$1016,COLUMN($F$1),FALSE))),VLOOKUP($C39,武器!$1:$998,COLUMN($O$1),FALSE)*VLOOKUP($D39,素材!$1:$1016,COLUMN($E$1),FALSE)/(LEN(VLOOKUP($D39,素材!$1:$1016,COLUMN($F$1),FALSE))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AZ39">
        <f>IF(ISNUMBER(SEARCH(SUBSTITUTE(AZ$1,RIGHT(AZ$1,2),""),VLOOKUP($D39,素材!$1:$1016,COLUMN($F$1),FALSE))),VLOOKUP($C39,武器!$1:$998,COLUMN($O$1),FALSE)*VLOOKUP($D39,素材!$1:$1016,COLUMN($E$1),FALSE)/(LEN(VLOOKUP($D39,素材!$1:$1016,COLUMN($F$1),FALSE))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BA39">
        <f>IF(ISNUMBER(SEARCH(SUBSTITUTE(BA$1,RIGHT(BA$1,2),""),VLOOKUP($D39,素材!$1:$1016,COLUMN($F$1),FALSE))),VLOOKUP($C39,武器!$1:$998,COLUMN($O$1),FALSE)*VLOOKUP($D39,素材!$1:$1016,COLUMN($E$1),FALSE)/(LEN(VLOOKUP($D39,素材!$1:$1016,COLUMN($F$1),FALSE))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BB39">
        <f>IF(ISNUMBER(SEARCH(SUBSTITUTE(BB$1,RIGHT(BB$1,2),""),VLOOKUP($D39,素材!$1:$1016,COLUMN($F$1),FALSE))),VLOOKUP($C39,武器!$1:$998,COLUMN($O$1),FALSE)*VLOOKUP($D39,素材!$1:$1016,COLUMN($E$1),FALSE)/(LEN(VLOOKUP($D39,素材!$1:$1016,COLUMN($F$1),FALSE))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BC39">
        <f>IF(ISNUMBER(SEARCH(SUBSTITUTE(BC$1,RIGHT(BC$1,2),""),VLOOKUP($D39,素材!$1:$1016,COLUMN($F$1),FALSE))),VLOOKUP($C39,武器!$1:$998,COLUMN($O$1),FALSE)*VLOOKUP($D39,素材!$1:$1016,COLUMN($E$1),FALSE)/(LEN(VLOOKUP($D39,素材!$1:$1016,COLUMN($F$1),FALSE))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BD39">
        <f>IF(ISNUMBER(SEARCH(SUBSTITUTE(BD$1,RIGHT(BD$1,2),""),VLOOKUP($D39,素材!$1:$1016,COLUMN($F$1),FALSE))),VLOOKUP($C39,武器!$1:$998,COLUMN($O$1),FALSE)*VLOOKUP($D39,素材!$1:$1016,COLUMN($E$1),FALSE)/(LEN(VLOOKUP($D39,素材!$1:$1016,COLUMN($F$1),FALSE))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BE39">
        <f>IF(ISNUMBER(SEARCH(SUBSTITUTE(BE$1,RIGHT(BE$1,2),""),VLOOKUP($D39,素材!$1:$1016,COLUMN($F$1),FALSE))),VLOOKUP($C39,武器!$1:$998,COLUMN($O$1),FALSE)*VLOOKUP($D39,素材!$1:$1016,COLUMN($E$1),FALSE)/(LEN(VLOOKUP($D39,素材!$1:$1016,COLUMN($F$1),FALSE))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BF39">
        <f>IF(ISNUMBER(SEARCH(SUBSTITUTE(BF$1,RIGHT(BF$1,2),""),VLOOKUP($D39,素材!$1:$1016,COLUMN($F$1),FALSE))),VLOOKUP($C39,武器!$1:$998,COLUMN($O$1),FALSE)*VLOOKUP($D39,素材!$1:$1016,COLUMN($E$1),FALSE)/(LEN(VLOOKUP($D39,素材!$1:$1016,COLUMN($F$1),FALSE)) - LEN(SUBSTITUTE(VLOOKUP($D39,素材!$1:$1016,COLUMN($F$1),FALSE), "・", 0)) + 1), 0)</f>
        <v>0</v>
      </c>
      <c r="CM39">
        <f t="shared" si="3"/>
        <v>20</v>
      </c>
      <c r="CN39" s="22" t="str">
        <f>IF(E39="武器",IF(J39-1&gt;SUM(G39:I39),"盾",IF(MAX(G39:I39)=G39,"切断",IF(MAX(G39:I39)=H39,"貫通",IF(MAX(G39:I39)=I39,"打撃","射撃")))),E39)&amp;".webp"</f>
        <v>足.webp</v>
      </c>
      <c r="CO39">
        <f>IFERROR(VLOOKUP($C39,武器!$1:$998,COLUMN(V$1),FALSE)*VLOOKUP($D39,素材!$1:$1016,COLUMN(N$1),FALSE)+IF(CJ39="",0,VLOOKUP($CJ39,装強!$1:$1008,COLUMN($CL$1),FALSE)),"")</f>
        <v>200</v>
      </c>
      <c r="CP39" t="str">
        <f>VLOOKUP(D39,素材!$A:$O,COLUMN(素材!O$1),FALSE)</f>
        <v>一般的な鉄。量産品を作るのに使用されることが多い</v>
      </c>
      <c r="CQ39" t="str">
        <f>VLOOKUP(C39,武器!$A:$W,COLUMN(武器!W$1),FALSE)</f>
        <v>速度 隠密 軽業 体幹</v>
      </c>
      <c r="CS39" t="str">
        <f t="shared" si="2"/>
        <v>e_39</v>
      </c>
      <c r="CT39">
        <f t="shared" si="4"/>
        <v>20000</v>
      </c>
    </row>
    <row r="40" spans="1:98" x14ac:dyDescent="0.4">
      <c r="A40" t="str">
        <f t="shared" si="5"/>
        <v>木の短刀</v>
      </c>
      <c r="B40" t="str">
        <f>IFERROR(VLOOKUP($D40,素材!$1:$1016,COLUMN($B$1),FALSE)&amp;"・"&amp;VLOOKUP($C40,武器!$1:$998,COLUMN(B$1),FALSE),"")</f>
        <v>ウッド・ナイフ</v>
      </c>
      <c r="C40" s="24" t="s">
        <v>242</v>
      </c>
      <c r="D40" s="24" t="s">
        <v>255</v>
      </c>
      <c r="E40" t="str">
        <f>IFERROR(VLOOKUP(C40,武器!$1:$998,COLUMN(C$1),FALSE),"")</f>
        <v>武器</v>
      </c>
      <c r="F40">
        <f>IFERROR(ROUNDDOWN((VLOOKUP($C40,武器!$1:$998,COLUMN(D$1),FALSE)+IFERROR(VLOOKUP($CJ40,装強!$1:$999,COLUMN(F$1),FALSE),0))*VLOOKUP($D40,素材!$1:$1016,COLUMN(D$1),FALSE),0),"")</f>
        <v>75</v>
      </c>
      <c r="G40">
        <f>IFERROR(ROUNDDOWN((VLOOKUP($C40,武器!$1:$998,COLUMN(E$1),FALSE)+IFERROR(VLOOKUP($CJ40,装強!$1:$999,COLUMN(G$1),FALSE),0))*VLOOKUP($D40,素材!$1:$1016,COLUMN($E$1),FALSE),0),"")</f>
        <v>7</v>
      </c>
      <c r="H40">
        <f>IFERROR(ROUNDDOWN((VLOOKUP($C40,武器!$1:$998,COLUMN(F$1),FALSE)+IFERROR(VLOOKUP($CJ40,装強!$1:$999,COLUMN(H$1),FALSE),0))*VLOOKUP($D40,素材!$1:$1016,COLUMN($E$1),FALSE),0),"")</f>
        <v>6</v>
      </c>
      <c r="I40">
        <f>IFERROR(ROUNDDOWN((VLOOKUP($C40,武器!$1:$998,COLUMN(G$1),FALSE)+IFERROR(VLOOKUP($CJ40,装強!$1:$999,COLUMN(I$1),FALSE),0))*VLOOKUP($D40,素材!$1:$1016,COLUMN($E$1),FALSE),0),"")</f>
        <v>1</v>
      </c>
      <c r="J40">
        <f>IFERROR(ROUNDDOWN((VLOOKUP($C40,武器!$1:$998,COLUMN(H$1),FALSE)+IFERROR(VLOOKUP($CJ40,装強!$1:$999,COLUMN(J$1),FALSE),0))*VLOOKUP($D40,素材!$1:$1016,COLUMN($E$1),FALSE),0),"")</f>
        <v>9</v>
      </c>
      <c r="K40">
        <f>IFERROR(ROUNDDOWN((VLOOKUP($C40,武器!$1:$998,COLUMN(I$1),FALSE)+IFERROR(VLOOKUP($CJ40,装強!$1:$999,COLUMN(K$1),FALSE),0))*VLOOKUP($D40,素材!$1:$1016,COLUMN($E$1),FALSE),0),"")</f>
        <v>0</v>
      </c>
      <c r="L40">
        <f>IFERROR(VLOOKUP($D40,素材!$1:$1016,COLUMN($F$1),FALSE),"")</f>
        <v>0</v>
      </c>
      <c r="M40">
        <f>IFERROR(VLOOKUP($C40,武器!$1:$998,COLUMN(AA$1),FALSE)*VLOOKUP($D40,素材!$1:$1016,COLUMN($G$1),FALSE),"")</f>
        <v>0</v>
      </c>
      <c r="N40">
        <f>IFERROR(VLOOKUP($C40,武器!$1:$998,COLUMN(I$1),FALSE),"")</f>
        <v>0</v>
      </c>
      <c r="O40" s="23">
        <f>IFERROR((VLOOKUP($C40,武器!$1:$998,COLUMN(K$1),FALSE)+VLOOKUP($D40,素材!$1:$1016,COLUMN(H$1),FALSE))*100+IFERROR(VLOOKUP($CJ40,装強!$1:$999,COLUMN(O$1),FALSE),0),"")</f>
        <v>10</v>
      </c>
      <c r="P40" s="23">
        <f>IFERROR((VLOOKUP($C40,武器!$1:$998,COLUMN(L$1),FALSE)+VLOOKUP($D40,素材!$1:$1016,COLUMN(I$1),FALSE))*100+IFERROR(VLOOKUP($CJ40,装強!$1:$999,COLUMN(P$1),FALSE),0),"")</f>
        <v>175</v>
      </c>
      <c r="Q40">
        <f>IFERROR(ROUNDUP(VLOOKUP($C40,武器!$1:$998,COLUMN(M$1),FALSE)*(VLOOKUP($D40,素材!$1:$1002,COLUMN(D$1),FALSE)/100),1),"")</f>
        <v>0</v>
      </c>
      <c r="R40">
        <f>IFERROR(ROUNDUP(VLOOKUP($C40,武器!$1:$998,COLUMN(N$1),FALSE)*(VLOOKUP($D40,素材!$1:$1002,COLUMN(D$1),FALSE)/100),1),"")</f>
        <v>0</v>
      </c>
      <c r="S40">
        <f>IFERROR(VLOOKUP($C40,武器!$1:$998,COLUMN(P$1),FALSE),"")</f>
        <v>0</v>
      </c>
      <c r="T40">
        <f>IFERROR(VLOOKUP($C40,武器!$1:$998,COLUMN(Q$1),FALSE),"")</f>
        <v>0</v>
      </c>
      <c r="U40">
        <f>IFERROR(VLOOKUP($C40,武器!$1:$998,COLUMN(R$1),FALSE),"")</f>
        <v>0</v>
      </c>
      <c r="V40">
        <f>IFERROR(VLOOKUP($C40,武器!$1:$998,COLUMN(Q$1),FALSE),"")</f>
        <v>0</v>
      </c>
      <c r="W40" t="str">
        <f>IFERROR(VLOOKUP($C40,武器!$1:$998,COLUMN(T$1),FALSE),"")</f>
        <v>A</v>
      </c>
      <c r="Y40" t="str">
        <f>IFERROR(VLOOKUP($C40,武器!$1:$998,COLUMN(U$1),FALSE),"")</f>
        <v>暗殺強化,片手適正Ⅱ</v>
      </c>
      <c r="Z40">
        <f>IFERROR(ROUNDUP(VLOOKUP($C40,武器!$1:$998,COLUMN(O$1),FALSE)*VLOOKUP($D40,素材!$1:$1016,COLUMN(E$1),FALSE),1),"")</f>
        <v>0</v>
      </c>
      <c r="AA40">
        <f>IF(ISNUMBER(SEARCH(SUBSTITUTE(AA$1,RIGHT(AA$1,2),""),VLOOKUP($D40,素材!$1:$1016,COLUMN($F$1),FALSE))),VLOOKUP($C40,武器!$1:$998,COLUMN($O$1),FALSE)*VLOOKUP($D40,素材!$1:$1016,COLUMN($E$1),FALSE)/(LEN(VLOOKUP($D40,素材!$1:$1016,COLUMN($F$1),FALSE))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B40">
        <f>IF(ISNUMBER(SEARCH(SUBSTITUTE(AB$1,RIGHT(AB$1,2),""),VLOOKUP($D40,素材!$1:$1016,COLUMN($F$1),FALSE))),VLOOKUP($C40,武器!$1:$998,COLUMN($O$1),FALSE)*VLOOKUP($D40,素材!$1:$1016,COLUMN($E$1),FALSE)/(LEN(VLOOKUP($D40,素材!$1:$1016,COLUMN($F$1),FALSE))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C40">
        <f>IF(ISNUMBER(SEARCH(SUBSTITUTE(AC$1,RIGHT(AC$1,2),""),VLOOKUP($D40,素材!$1:$1016,COLUMN($F$1),FALSE))),VLOOKUP($C40,武器!$1:$998,COLUMN($O$1),FALSE)*VLOOKUP($D40,素材!$1:$1016,COLUMN($E$1),FALSE)/(LEN(VLOOKUP($D40,素材!$1:$1016,COLUMN($F$1),FALSE))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D40">
        <f>IF(ISNUMBER(SEARCH(SUBSTITUTE(AD$1,RIGHT(AD$1,2),""),VLOOKUP($D40,素材!$1:$1016,COLUMN($F$1),FALSE))),VLOOKUP($C40,武器!$1:$998,COLUMN($O$1),FALSE)*VLOOKUP($D40,素材!$1:$1016,COLUMN($E$1),FALSE)/(LEN(VLOOKUP($D40,素材!$1:$1016,COLUMN($F$1),FALSE))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E40">
        <f>IF(ISNUMBER(SEARCH(SUBSTITUTE(AE$1,RIGHT(AE$1,2),""),VLOOKUP($D40,素材!$1:$1016,COLUMN($F$1),FALSE))),VLOOKUP($C40,武器!$1:$998,COLUMN($O$1),FALSE)*VLOOKUP($D40,素材!$1:$1016,COLUMN($E$1),FALSE)/(LEN(VLOOKUP($D40,素材!$1:$1016,COLUMN($F$1),FALSE))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F40">
        <f>IF(ISNUMBER(SEARCH(SUBSTITUTE(AF$1,RIGHT(AF$1,2),""),VLOOKUP($D40,素材!$1:$1016,COLUMN($F$1),FALSE))),VLOOKUP($C40,武器!$1:$998,COLUMN($O$1),FALSE)*VLOOKUP($D40,素材!$1:$1016,COLUMN($E$1),FALSE)/(LEN(VLOOKUP($D40,素材!$1:$1016,COLUMN($F$1),FALSE))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G40">
        <f>IF(ISNUMBER(SEARCH(SUBSTITUTE(AG$1,RIGHT(AG$1,2),""),VLOOKUP($D40,素材!$1:$1016,COLUMN($F$1),FALSE))),VLOOKUP($C40,武器!$1:$998,COLUMN($O$1),FALSE)*VLOOKUP($D40,素材!$1:$1016,COLUMN($E$1),FALSE)/(LEN(VLOOKUP($D40,素材!$1:$1016,COLUMN($F$1),FALSE))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H40">
        <f>IF(ISNUMBER(SEARCH(SUBSTITUTE(AH$1,RIGHT(AH$1,2),""),VLOOKUP($D40,素材!$1:$1016,COLUMN($F$1),FALSE))),VLOOKUP($C40,武器!$1:$998,COLUMN($O$1),FALSE)*VLOOKUP($D40,素材!$1:$1016,COLUMN($E$1),FALSE)/(LEN(VLOOKUP($D40,素材!$1:$1016,COLUMN($F$1),FALSE))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I40">
        <f>IF(ISNUMBER(SEARCH(SUBSTITUTE(AI$1,RIGHT(AI$1,2),""),VLOOKUP($D40,素材!$1:$1016,COLUMN($F$1),FALSE))),VLOOKUP($C40,武器!$1:$998,COLUMN($O$1),FALSE)*VLOOKUP($D40,素材!$1:$1016,COLUMN($E$1),FALSE)/(LEN(VLOOKUP($D40,素材!$1:$1016,COLUMN($F$1),FALSE))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J40">
        <f>IF(ISNUMBER(SEARCH(SUBSTITUTE(AJ$1,RIGHT(AJ$1,2),""),VLOOKUP($D40,素材!$1:$1016,COLUMN($F$1),FALSE))),VLOOKUP($C40,武器!$1:$998,COLUMN($O$1),FALSE)*VLOOKUP($D40,素材!$1:$1016,COLUMN($E$1),FALSE)/(LEN(VLOOKUP($D40,素材!$1:$1016,COLUMN($F$1),FALSE))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K40">
        <f>IF(ISNUMBER(SEARCH(SUBSTITUTE(AK$1,RIGHT(AK$1,2),""),VLOOKUP($D40,素材!$1:$1016,COLUMN($F$1),FALSE))),VLOOKUP($C40,武器!$1:$998,COLUMN($O$1),FALSE)*VLOOKUP($D40,素材!$1:$1016,COLUMN($E$1),FALSE)/(LEN(VLOOKUP($D40,素材!$1:$1016,COLUMN($F$1),FALSE))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L40">
        <f>IF(ISNUMBER(SEARCH(SUBSTITUTE(AL$1,RIGHT(AL$1,2),""),VLOOKUP($D40,素材!$1:$1016,COLUMN($F$1),FALSE))),VLOOKUP($C40,武器!$1:$998,COLUMN($O$1),FALSE)*VLOOKUP($D40,素材!$1:$1016,COLUMN($E$1),FALSE)/(LEN(VLOOKUP($D40,素材!$1:$1016,COLUMN($F$1),FALSE))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M40">
        <f>IF(ISNUMBER(SEARCH(SUBSTITUTE(AM$1,RIGHT(AM$1,2),""),VLOOKUP($D40,素材!$1:$1016,COLUMN($F$1),FALSE))),VLOOKUP($C40,武器!$1:$998,COLUMN($O$1),FALSE)*VLOOKUP($D40,素材!$1:$1016,COLUMN($E$1),FALSE)/(LEN(VLOOKUP($D40,素材!$1:$1016,COLUMN($F$1),FALSE))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N40">
        <f>IF(ISNUMBER(SEARCH(SUBSTITUTE(AN$1,RIGHT(AN$1,2),""),VLOOKUP($D40,素材!$1:$1016,COLUMN($F$1),FALSE))),VLOOKUP($C40,武器!$1:$998,COLUMN($O$1),FALSE)*VLOOKUP($D40,素材!$1:$1016,COLUMN($E$1),FALSE)/(LEN(VLOOKUP($D40,素材!$1:$1016,COLUMN($F$1),FALSE))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O40">
        <f>IF(ISNUMBER(SEARCH(SUBSTITUTE(AO$1,RIGHT(AO$1,2),""),VLOOKUP($D40,素材!$1:$1016,COLUMN($F$1),FALSE))),VLOOKUP($C40,武器!$1:$998,COLUMN($O$1),FALSE)*VLOOKUP($D40,素材!$1:$1016,COLUMN($E$1),FALSE)/(LEN(VLOOKUP($D40,素材!$1:$1016,COLUMN($F$1),FALSE))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P40">
        <f>IF(ISNUMBER(SEARCH(SUBSTITUTE(AP$1,RIGHT(AP$1,2),""),VLOOKUP($D40,素材!$1:$1016,COLUMN($F$1),FALSE))),VLOOKUP($C40,武器!$1:$998,COLUMN($O$1),FALSE)*VLOOKUP($D40,素材!$1:$1016,COLUMN($E$1),FALSE)/(LEN(VLOOKUP($D40,素材!$1:$1016,COLUMN($F$1),FALSE))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Q40">
        <f>IF(ISNUMBER(SEARCH(SUBSTITUTE(AQ$1,RIGHT(AQ$1,2),""),VLOOKUP($D40,素材!$1:$1016,COLUMN($F$1),FALSE))),VLOOKUP($C40,武器!$1:$998,COLUMN($O$1),FALSE)*VLOOKUP($D40,素材!$1:$1016,COLUMN($E$1),FALSE)/(LEN(VLOOKUP($D40,素材!$1:$1016,COLUMN($F$1),FALSE))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R40">
        <f>IF(ISNUMBER(SEARCH(SUBSTITUTE(AR$1,RIGHT(AR$1,2),""),VLOOKUP($D40,素材!$1:$1016,COLUMN($F$1),FALSE))),VLOOKUP($C40,武器!$1:$998,COLUMN($O$1),FALSE)*VLOOKUP($D40,素材!$1:$1016,COLUMN($E$1),FALSE)/(LEN(VLOOKUP($D40,素材!$1:$1016,COLUMN($F$1),FALSE))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S40">
        <f>IF(ISNUMBER(SEARCH(SUBSTITUTE(AS$1,RIGHT(AS$1,2),""),VLOOKUP($D40,素材!$1:$1016,COLUMN($F$1),FALSE))),VLOOKUP($C40,武器!$1:$998,COLUMN($O$1),FALSE)*VLOOKUP($D40,素材!$1:$1016,COLUMN($E$1),FALSE)/(LEN(VLOOKUP($D40,素材!$1:$1016,COLUMN($F$1),FALSE))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T40">
        <f>IF(ISNUMBER(SEARCH(SUBSTITUTE(AT$1,RIGHT(AT$1,2),""),VLOOKUP($D40,素材!$1:$1016,COLUMN($F$1),FALSE))),VLOOKUP($C40,武器!$1:$998,COLUMN($O$1),FALSE)*VLOOKUP($D40,素材!$1:$1016,COLUMN($E$1),FALSE)/(LEN(VLOOKUP($D40,素材!$1:$1016,COLUMN($F$1),FALSE))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U40">
        <f>IF(ISNUMBER(SEARCH(SUBSTITUTE(AU$1,RIGHT(AU$1,2),""),VLOOKUP($D40,素材!$1:$1016,COLUMN($F$1),FALSE))),VLOOKUP($C40,武器!$1:$998,COLUMN($O$1),FALSE)*VLOOKUP($D40,素材!$1:$1016,COLUMN($E$1),FALSE)/(LEN(VLOOKUP($D40,素材!$1:$1016,COLUMN($F$1),FALSE))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V40">
        <f>IF(ISNUMBER(SEARCH(SUBSTITUTE(AV$1,RIGHT(AV$1,2),""),VLOOKUP($D40,素材!$1:$1016,COLUMN($F$1),FALSE))),VLOOKUP($C40,武器!$1:$998,COLUMN($O$1),FALSE)*VLOOKUP($D40,素材!$1:$1016,COLUMN($E$1),FALSE)/(LEN(VLOOKUP($D40,素材!$1:$1016,COLUMN($F$1),FALSE))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W40">
        <f>IF(ISNUMBER(SEARCH(SUBSTITUTE(AW$1,RIGHT(AW$1,2),""),VLOOKUP($D40,素材!$1:$1016,COLUMN($F$1),FALSE))),VLOOKUP($C40,武器!$1:$998,COLUMN($O$1),FALSE)*VLOOKUP($D40,素材!$1:$1016,COLUMN($E$1),FALSE)/(LEN(VLOOKUP($D40,素材!$1:$1016,COLUMN($F$1),FALSE))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X40">
        <f>IF(ISNUMBER(SEARCH(SUBSTITUTE(AX$1,RIGHT(AX$1,2),""),VLOOKUP($D40,素材!$1:$1016,COLUMN($F$1),FALSE))),VLOOKUP($C40,武器!$1:$998,COLUMN($O$1),FALSE)*VLOOKUP($D40,素材!$1:$1016,COLUMN($E$1),FALSE)/(LEN(VLOOKUP($D40,素材!$1:$1016,COLUMN($F$1),FALSE))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Y40">
        <f>IF(ISNUMBER(SEARCH(SUBSTITUTE(AY$1,RIGHT(AY$1,2),""),VLOOKUP($D40,素材!$1:$1016,COLUMN($F$1),FALSE))),VLOOKUP($C40,武器!$1:$998,COLUMN($O$1),FALSE)*VLOOKUP($D40,素材!$1:$1016,COLUMN($E$1),FALSE)/(LEN(VLOOKUP($D40,素材!$1:$1016,COLUMN($F$1),FALSE))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AZ40">
        <f>IF(ISNUMBER(SEARCH(SUBSTITUTE(AZ$1,RIGHT(AZ$1,2),""),VLOOKUP($D40,素材!$1:$1016,COLUMN($F$1),FALSE))),VLOOKUP($C40,武器!$1:$998,COLUMN($O$1),FALSE)*VLOOKUP($D40,素材!$1:$1016,COLUMN($E$1),FALSE)/(LEN(VLOOKUP($D40,素材!$1:$1016,COLUMN($F$1),FALSE))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BA40">
        <f>IF(ISNUMBER(SEARCH(SUBSTITUTE(BA$1,RIGHT(BA$1,2),""),VLOOKUP($D40,素材!$1:$1016,COLUMN($F$1),FALSE))),VLOOKUP($C40,武器!$1:$998,COLUMN($O$1),FALSE)*VLOOKUP($D40,素材!$1:$1016,COLUMN($E$1),FALSE)/(LEN(VLOOKUP($D40,素材!$1:$1016,COLUMN($F$1),FALSE))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BB40">
        <f>IF(ISNUMBER(SEARCH(SUBSTITUTE(BB$1,RIGHT(BB$1,2),""),VLOOKUP($D40,素材!$1:$1016,COLUMN($F$1),FALSE))),VLOOKUP($C40,武器!$1:$998,COLUMN($O$1),FALSE)*VLOOKUP($D40,素材!$1:$1016,COLUMN($E$1),FALSE)/(LEN(VLOOKUP($D40,素材!$1:$1016,COLUMN($F$1),FALSE))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BC40">
        <f>IF(ISNUMBER(SEARCH(SUBSTITUTE(BC$1,RIGHT(BC$1,2),""),VLOOKUP($D40,素材!$1:$1016,COLUMN($F$1),FALSE))),VLOOKUP($C40,武器!$1:$998,COLUMN($O$1),FALSE)*VLOOKUP($D40,素材!$1:$1016,COLUMN($E$1),FALSE)/(LEN(VLOOKUP($D40,素材!$1:$1016,COLUMN($F$1),FALSE))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BD40">
        <f>IF(ISNUMBER(SEARCH(SUBSTITUTE(BD$1,RIGHT(BD$1,2),""),VLOOKUP($D40,素材!$1:$1016,COLUMN($F$1),FALSE))),VLOOKUP($C40,武器!$1:$998,COLUMN($O$1),FALSE)*VLOOKUP($D40,素材!$1:$1016,COLUMN($E$1),FALSE)/(LEN(VLOOKUP($D40,素材!$1:$1016,COLUMN($F$1),FALSE))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BE40">
        <f>IF(ISNUMBER(SEARCH(SUBSTITUTE(BE$1,RIGHT(BE$1,2),""),VLOOKUP($D40,素材!$1:$1016,COLUMN($F$1),FALSE))),VLOOKUP($C40,武器!$1:$998,COLUMN($O$1),FALSE)*VLOOKUP($D40,素材!$1:$1016,COLUMN($E$1),FALSE)/(LEN(VLOOKUP($D40,素材!$1:$1016,COLUMN($F$1),FALSE))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BF40">
        <f>IF(ISNUMBER(SEARCH(SUBSTITUTE(BF$1,RIGHT(BF$1,2),""),VLOOKUP($D40,素材!$1:$1016,COLUMN($F$1),FALSE))),VLOOKUP($C40,武器!$1:$998,COLUMN($O$1),FALSE)*VLOOKUP($D40,素材!$1:$1016,COLUMN($E$1),FALSE)/(LEN(VLOOKUP($D40,素材!$1:$1016,COLUMN($F$1),FALSE)) - LEN(SUBSTITUTE(VLOOKUP($D40,素材!$1:$1016,COLUMN($F$1),FALSE), "・", 0)) + 1), 0)</f>
        <v>0</v>
      </c>
      <c r="CM40">
        <f t="shared" si="3"/>
        <v>14</v>
      </c>
      <c r="CN40" s="22" t="str">
        <f>IF(E40="武器",IF(J40-1&gt;SUM(G40:I40),"盾",IF(MAX(G40:I40)=G40,"切断",IF(MAX(G40:I40)=H40,"貫通",IF(MAX(G40:I40)=I40,"打撃","射撃")))),E40)&amp;".webp"</f>
        <v>切断.webp</v>
      </c>
      <c r="CO40">
        <f>IFERROR(VLOOKUP($C40,武器!$1:$998,COLUMN(V$1),FALSE)*VLOOKUP($D40,素材!$1:$1016,COLUMN(N$1),FALSE)+IF(CJ40="",0,VLOOKUP($CJ40,装強!$1:$1008,COLUMN($CL$1),FALSE)),"")</f>
        <v>100</v>
      </c>
      <c r="CP40" t="str">
        <f>VLOOKUP(D40,素材!$A:$O,COLUMN(素材!O$1),FALSE)</f>
        <v>一般的な木材。金属より軽いが少し脆い</v>
      </c>
      <c r="CQ40" t="str">
        <f>VLOOKUP(C40,武器!$A:$W,COLUMN(武器!W$1),FALSE)</f>
        <v>短刀。暗殺向けの武器で、軽量かつ片手操作に適する。Cr威力が高い</v>
      </c>
      <c r="CS40" t="str">
        <f t="shared" si="2"/>
        <v>e_40</v>
      </c>
      <c r="CT40">
        <f t="shared" si="4"/>
        <v>10000</v>
      </c>
    </row>
    <row r="41" spans="1:98" outlineLevel="1" x14ac:dyDescent="0.4">
      <c r="A41" t="str">
        <f t="shared" si="5"/>
        <v>木の刀</v>
      </c>
      <c r="B41" t="str">
        <f>IFERROR(VLOOKUP($D41,素材!$1:$1016,COLUMN($B$1),FALSE)&amp;"・"&amp;VLOOKUP($C41,武器!$1:$998,COLUMN(B$1),FALSE),"")</f>
        <v>ウッド・カタナ</v>
      </c>
      <c r="C41" s="24" t="s">
        <v>241</v>
      </c>
      <c r="D41" s="24" t="s">
        <v>255</v>
      </c>
      <c r="E41" t="str">
        <f>IFERROR(VLOOKUP(C41,武器!$1:$998,COLUMN(C$1),FALSE),"")</f>
        <v>武器</v>
      </c>
      <c r="F41">
        <f>IFERROR(ROUNDDOWN((VLOOKUP($C41,武器!$1:$998,COLUMN(D$1),FALSE)+IFERROR(VLOOKUP($CJ41,装強!$1:$999,COLUMN(F$1),FALSE),0))*VLOOKUP($D41,素材!$1:$1016,COLUMN(D$1),FALSE),0),"")</f>
        <v>78</v>
      </c>
      <c r="G41">
        <f>IFERROR(ROUNDDOWN((VLOOKUP($C41,武器!$1:$998,COLUMN(E$1),FALSE)+IFERROR(VLOOKUP($CJ41,装強!$1:$999,COLUMN(G$1),FALSE),0))*VLOOKUP($D41,素材!$1:$1016,COLUMN($E$1),FALSE),0),"")</f>
        <v>10</v>
      </c>
      <c r="H41">
        <f>IFERROR(ROUNDDOWN((VLOOKUP($C41,武器!$1:$998,COLUMN(F$1),FALSE)+IFERROR(VLOOKUP($CJ41,装強!$1:$999,COLUMN(H$1),FALSE),0))*VLOOKUP($D41,素材!$1:$1016,COLUMN($E$1),FALSE),0),"")</f>
        <v>6</v>
      </c>
      <c r="I41">
        <f>IFERROR(ROUNDDOWN((VLOOKUP($C41,武器!$1:$998,COLUMN(G$1),FALSE)+IFERROR(VLOOKUP($CJ41,装強!$1:$999,COLUMN(I$1),FALSE),0))*VLOOKUP($D41,素材!$1:$1016,COLUMN($E$1),FALSE),0),"")</f>
        <v>1</v>
      </c>
      <c r="J41">
        <f>IFERROR(ROUNDDOWN((VLOOKUP($C41,武器!$1:$998,COLUMN(H$1),FALSE)+IFERROR(VLOOKUP($CJ41,装強!$1:$999,COLUMN(J$1),FALSE),0))*VLOOKUP($D41,素材!$1:$1016,COLUMN($E$1),FALSE),0),"")</f>
        <v>12</v>
      </c>
      <c r="K41">
        <f>IFERROR(ROUNDDOWN((VLOOKUP($C41,武器!$1:$998,COLUMN(I$1),FALSE)+IFERROR(VLOOKUP($CJ41,装強!$1:$999,COLUMN(K$1),FALSE),0))*VLOOKUP($D41,素材!$1:$1016,COLUMN($E$1),FALSE),0),"")</f>
        <v>0</v>
      </c>
      <c r="L41">
        <f>IFERROR(VLOOKUP($D41,素材!$1:$1016,COLUMN($F$1),FALSE),"")</f>
        <v>0</v>
      </c>
      <c r="M41">
        <f>IFERROR(VLOOKUP($C41,武器!$1:$998,COLUMN(AA$1),FALSE)*VLOOKUP($D41,素材!$1:$1016,COLUMN($G$1),FALSE),"")</f>
        <v>0</v>
      </c>
      <c r="N41">
        <f>IFERROR(VLOOKUP($C41,武器!$1:$998,COLUMN(I$1),FALSE),"")</f>
        <v>0</v>
      </c>
      <c r="O41" s="23">
        <f>IFERROR((VLOOKUP($C41,武器!$1:$998,COLUMN(K$1),FALSE)+VLOOKUP($D41,素材!$1:$1016,COLUMN(H$1),FALSE))*100+IFERROR(VLOOKUP($CJ41,装強!$1:$999,COLUMN(O$1),FALSE),0),"")</f>
        <v>10</v>
      </c>
      <c r="P41" s="23">
        <f>IFERROR((VLOOKUP($C41,武器!$1:$998,COLUMN(L$1),FALSE)+VLOOKUP($D41,素材!$1:$1016,COLUMN(I$1),FALSE))*100+IFERROR(VLOOKUP($CJ41,装強!$1:$999,COLUMN(P$1),FALSE),0),"")</f>
        <v>175</v>
      </c>
      <c r="Q41">
        <f>IFERROR(ROUNDUP(VLOOKUP($C41,武器!$1:$998,COLUMN(M$1),FALSE)*(VLOOKUP($D41,素材!$1:$1002,COLUMN(D$1),FALSE)/100),1),"")</f>
        <v>0</v>
      </c>
      <c r="R41">
        <f>IFERROR(ROUNDUP(VLOOKUP($C41,武器!$1:$998,COLUMN(N$1),FALSE)*(VLOOKUP($D41,素材!$1:$1002,COLUMN(D$1),FALSE)/100),1),"")</f>
        <v>0</v>
      </c>
      <c r="S41">
        <f>IFERROR(VLOOKUP($C41,武器!$1:$998,COLUMN(P$1),FALSE),"")</f>
        <v>0</v>
      </c>
      <c r="T41">
        <f>IFERROR(VLOOKUP($C41,武器!$1:$998,COLUMN(Q$1),FALSE),"")</f>
        <v>0</v>
      </c>
      <c r="U41">
        <f>IFERROR(VLOOKUP($C41,武器!$1:$998,COLUMN(R$1),FALSE),"")</f>
        <v>0</v>
      </c>
      <c r="V41">
        <f>IFERROR(VLOOKUP($C41,武器!$1:$998,COLUMN(Q$1),FALSE),"")</f>
        <v>0</v>
      </c>
      <c r="W41" t="str">
        <f>IFERROR(VLOOKUP($C41,武器!$1:$998,COLUMN(T$1),FALSE),"")</f>
        <v>A</v>
      </c>
      <c r="Y41">
        <f>IFERROR(VLOOKUP($C41,武器!$1:$998,COLUMN(U$1),FALSE),"")</f>
        <v>0</v>
      </c>
      <c r="Z41">
        <f>IFERROR(ROUNDUP(VLOOKUP($C41,武器!$1:$998,COLUMN(O$1),FALSE)*VLOOKUP($D41,素材!$1:$1016,COLUMN(E$1),FALSE),1),"")</f>
        <v>0</v>
      </c>
      <c r="AA41">
        <f>IF(ISNUMBER(SEARCH(SUBSTITUTE(AA$1,RIGHT(AA$1,2),""),VLOOKUP($D41,素材!$1:$1016,COLUMN($F$1),FALSE))),VLOOKUP($C41,武器!$1:$998,COLUMN($O$1),FALSE)*VLOOKUP($D41,素材!$1:$1016,COLUMN($E$1),FALSE)/(LEN(VLOOKUP($D41,素材!$1:$1016,COLUMN($F$1),FALSE))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B41">
        <f>IF(ISNUMBER(SEARCH(SUBSTITUTE(AB$1,RIGHT(AB$1,2),""),VLOOKUP($D41,素材!$1:$1016,COLUMN($F$1),FALSE))),VLOOKUP($C41,武器!$1:$998,COLUMN($O$1),FALSE)*VLOOKUP($D41,素材!$1:$1016,COLUMN($E$1),FALSE)/(LEN(VLOOKUP($D41,素材!$1:$1016,COLUMN($F$1),FALSE))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C41">
        <f>IF(ISNUMBER(SEARCH(SUBSTITUTE(AC$1,RIGHT(AC$1,2),""),VLOOKUP($D41,素材!$1:$1016,COLUMN($F$1),FALSE))),VLOOKUP($C41,武器!$1:$998,COLUMN($O$1),FALSE)*VLOOKUP($D41,素材!$1:$1016,COLUMN($E$1),FALSE)/(LEN(VLOOKUP($D41,素材!$1:$1016,COLUMN($F$1),FALSE))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D41">
        <f>IF(ISNUMBER(SEARCH(SUBSTITUTE(AD$1,RIGHT(AD$1,2),""),VLOOKUP($D41,素材!$1:$1016,COLUMN($F$1),FALSE))),VLOOKUP($C41,武器!$1:$998,COLUMN($O$1),FALSE)*VLOOKUP($D41,素材!$1:$1016,COLUMN($E$1),FALSE)/(LEN(VLOOKUP($D41,素材!$1:$1016,COLUMN($F$1),FALSE))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E41">
        <f>IF(ISNUMBER(SEARCH(SUBSTITUTE(AE$1,RIGHT(AE$1,2),""),VLOOKUP($D41,素材!$1:$1016,COLUMN($F$1),FALSE))),VLOOKUP($C41,武器!$1:$998,COLUMN($O$1),FALSE)*VLOOKUP($D41,素材!$1:$1016,COLUMN($E$1),FALSE)/(LEN(VLOOKUP($D41,素材!$1:$1016,COLUMN($F$1),FALSE))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F41">
        <f>IF(ISNUMBER(SEARCH(SUBSTITUTE(AF$1,RIGHT(AF$1,2),""),VLOOKUP($D41,素材!$1:$1016,COLUMN($F$1),FALSE))),VLOOKUP($C41,武器!$1:$998,COLUMN($O$1),FALSE)*VLOOKUP($D41,素材!$1:$1016,COLUMN($E$1),FALSE)/(LEN(VLOOKUP($D41,素材!$1:$1016,COLUMN($F$1),FALSE))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G41">
        <f>IF(ISNUMBER(SEARCH(SUBSTITUTE(AG$1,RIGHT(AG$1,2),""),VLOOKUP($D41,素材!$1:$1016,COLUMN($F$1),FALSE))),VLOOKUP($C41,武器!$1:$998,COLUMN($O$1),FALSE)*VLOOKUP($D41,素材!$1:$1016,COLUMN($E$1),FALSE)/(LEN(VLOOKUP($D41,素材!$1:$1016,COLUMN($F$1),FALSE))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H41">
        <f>IF(ISNUMBER(SEARCH(SUBSTITUTE(AH$1,RIGHT(AH$1,2),""),VLOOKUP($D41,素材!$1:$1016,COLUMN($F$1),FALSE))),VLOOKUP($C41,武器!$1:$998,COLUMN($O$1),FALSE)*VLOOKUP($D41,素材!$1:$1016,COLUMN($E$1),FALSE)/(LEN(VLOOKUP($D41,素材!$1:$1016,COLUMN($F$1),FALSE))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I41">
        <f>IF(ISNUMBER(SEARCH(SUBSTITUTE(AI$1,RIGHT(AI$1,2),""),VLOOKUP($D41,素材!$1:$1016,COLUMN($F$1),FALSE))),VLOOKUP($C41,武器!$1:$998,COLUMN($O$1),FALSE)*VLOOKUP($D41,素材!$1:$1016,COLUMN($E$1),FALSE)/(LEN(VLOOKUP($D41,素材!$1:$1016,COLUMN($F$1),FALSE))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J41">
        <f>IF(ISNUMBER(SEARCH(SUBSTITUTE(AJ$1,RIGHT(AJ$1,2),""),VLOOKUP($D41,素材!$1:$1016,COLUMN($F$1),FALSE))),VLOOKUP($C41,武器!$1:$998,COLUMN($O$1),FALSE)*VLOOKUP($D41,素材!$1:$1016,COLUMN($E$1),FALSE)/(LEN(VLOOKUP($D41,素材!$1:$1016,COLUMN($F$1),FALSE))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K41">
        <f>IF(ISNUMBER(SEARCH(SUBSTITUTE(AK$1,RIGHT(AK$1,2),""),VLOOKUP($D41,素材!$1:$1016,COLUMN($F$1),FALSE))),VLOOKUP($C41,武器!$1:$998,COLUMN($O$1),FALSE)*VLOOKUP($D41,素材!$1:$1016,COLUMN($E$1),FALSE)/(LEN(VLOOKUP($D41,素材!$1:$1016,COLUMN($F$1),FALSE))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L41">
        <f>IF(ISNUMBER(SEARCH(SUBSTITUTE(AL$1,RIGHT(AL$1,2),""),VLOOKUP($D41,素材!$1:$1016,COLUMN($F$1),FALSE))),VLOOKUP($C41,武器!$1:$998,COLUMN($O$1),FALSE)*VLOOKUP($D41,素材!$1:$1016,COLUMN($E$1),FALSE)/(LEN(VLOOKUP($D41,素材!$1:$1016,COLUMN($F$1),FALSE))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M41">
        <f>IF(ISNUMBER(SEARCH(SUBSTITUTE(AM$1,RIGHT(AM$1,2),""),VLOOKUP($D41,素材!$1:$1016,COLUMN($F$1),FALSE))),VLOOKUP($C41,武器!$1:$998,COLUMN($O$1),FALSE)*VLOOKUP($D41,素材!$1:$1016,COLUMN($E$1),FALSE)/(LEN(VLOOKUP($D41,素材!$1:$1016,COLUMN($F$1),FALSE))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N41">
        <f>IF(ISNUMBER(SEARCH(SUBSTITUTE(AN$1,RIGHT(AN$1,2),""),VLOOKUP($D41,素材!$1:$1016,COLUMN($F$1),FALSE))),VLOOKUP($C41,武器!$1:$998,COLUMN($O$1),FALSE)*VLOOKUP($D41,素材!$1:$1016,COLUMN($E$1),FALSE)/(LEN(VLOOKUP($D41,素材!$1:$1016,COLUMN($F$1),FALSE))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O41">
        <f>IF(ISNUMBER(SEARCH(SUBSTITUTE(AO$1,RIGHT(AO$1,2),""),VLOOKUP($D41,素材!$1:$1016,COLUMN($F$1),FALSE))),VLOOKUP($C41,武器!$1:$998,COLUMN($O$1),FALSE)*VLOOKUP($D41,素材!$1:$1016,COLUMN($E$1),FALSE)/(LEN(VLOOKUP($D41,素材!$1:$1016,COLUMN($F$1),FALSE))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P41">
        <f>IF(ISNUMBER(SEARCH(SUBSTITUTE(AP$1,RIGHT(AP$1,2),""),VLOOKUP($D41,素材!$1:$1016,COLUMN($F$1),FALSE))),VLOOKUP($C41,武器!$1:$998,COLUMN($O$1),FALSE)*VLOOKUP($D41,素材!$1:$1016,COLUMN($E$1),FALSE)/(LEN(VLOOKUP($D41,素材!$1:$1016,COLUMN($F$1),FALSE))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Q41">
        <f>IF(ISNUMBER(SEARCH(SUBSTITUTE(AQ$1,RIGHT(AQ$1,2),""),VLOOKUP($D41,素材!$1:$1016,COLUMN($F$1),FALSE))),VLOOKUP($C41,武器!$1:$998,COLUMN($O$1),FALSE)*VLOOKUP($D41,素材!$1:$1016,COLUMN($E$1),FALSE)/(LEN(VLOOKUP($D41,素材!$1:$1016,COLUMN($F$1),FALSE))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R41">
        <f>IF(ISNUMBER(SEARCH(SUBSTITUTE(AR$1,RIGHT(AR$1,2),""),VLOOKUP($D41,素材!$1:$1016,COLUMN($F$1),FALSE))),VLOOKUP($C41,武器!$1:$998,COLUMN($O$1),FALSE)*VLOOKUP($D41,素材!$1:$1016,COLUMN($E$1),FALSE)/(LEN(VLOOKUP($D41,素材!$1:$1016,COLUMN($F$1),FALSE))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S41">
        <f>IF(ISNUMBER(SEARCH(SUBSTITUTE(AS$1,RIGHT(AS$1,2),""),VLOOKUP($D41,素材!$1:$1016,COLUMN($F$1),FALSE))),VLOOKUP($C41,武器!$1:$998,COLUMN($O$1),FALSE)*VLOOKUP($D41,素材!$1:$1016,COLUMN($E$1),FALSE)/(LEN(VLOOKUP($D41,素材!$1:$1016,COLUMN($F$1),FALSE))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T41">
        <f>IF(ISNUMBER(SEARCH(SUBSTITUTE(AT$1,RIGHT(AT$1,2),""),VLOOKUP($D41,素材!$1:$1016,COLUMN($F$1),FALSE))),VLOOKUP($C41,武器!$1:$998,COLUMN($O$1),FALSE)*VLOOKUP($D41,素材!$1:$1016,COLUMN($E$1),FALSE)/(LEN(VLOOKUP($D41,素材!$1:$1016,COLUMN($F$1),FALSE))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U41">
        <f>IF(ISNUMBER(SEARCH(SUBSTITUTE(AU$1,RIGHT(AU$1,2),""),VLOOKUP($D41,素材!$1:$1016,COLUMN($F$1),FALSE))),VLOOKUP($C41,武器!$1:$998,COLUMN($O$1),FALSE)*VLOOKUP($D41,素材!$1:$1016,COLUMN($E$1),FALSE)/(LEN(VLOOKUP($D41,素材!$1:$1016,COLUMN($F$1),FALSE))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V41">
        <f>IF(ISNUMBER(SEARCH(SUBSTITUTE(AV$1,RIGHT(AV$1,2),""),VLOOKUP($D41,素材!$1:$1016,COLUMN($F$1),FALSE))),VLOOKUP($C41,武器!$1:$998,COLUMN($O$1),FALSE)*VLOOKUP($D41,素材!$1:$1016,COLUMN($E$1),FALSE)/(LEN(VLOOKUP($D41,素材!$1:$1016,COLUMN($F$1),FALSE))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W41">
        <f>IF(ISNUMBER(SEARCH(SUBSTITUTE(AW$1,RIGHT(AW$1,2),""),VLOOKUP($D41,素材!$1:$1016,COLUMN($F$1),FALSE))),VLOOKUP($C41,武器!$1:$998,COLUMN($O$1),FALSE)*VLOOKUP($D41,素材!$1:$1016,COLUMN($E$1),FALSE)/(LEN(VLOOKUP($D41,素材!$1:$1016,COLUMN($F$1),FALSE))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X41">
        <f>IF(ISNUMBER(SEARCH(SUBSTITUTE(AX$1,RIGHT(AX$1,2),""),VLOOKUP($D41,素材!$1:$1016,COLUMN($F$1),FALSE))),VLOOKUP($C41,武器!$1:$998,COLUMN($O$1),FALSE)*VLOOKUP($D41,素材!$1:$1016,COLUMN($E$1),FALSE)/(LEN(VLOOKUP($D41,素材!$1:$1016,COLUMN($F$1),FALSE))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Y41">
        <f>IF(ISNUMBER(SEARCH(SUBSTITUTE(AY$1,RIGHT(AY$1,2),""),VLOOKUP($D41,素材!$1:$1016,COLUMN($F$1),FALSE))),VLOOKUP($C41,武器!$1:$998,COLUMN($O$1),FALSE)*VLOOKUP($D41,素材!$1:$1016,COLUMN($E$1),FALSE)/(LEN(VLOOKUP($D41,素材!$1:$1016,COLUMN($F$1),FALSE))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AZ41">
        <f>IF(ISNUMBER(SEARCH(SUBSTITUTE(AZ$1,RIGHT(AZ$1,2),""),VLOOKUP($D41,素材!$1:$1016,COLUMN($F$1),FALSE))),VLOOKUP($C41,武器!$1:$998,COLUMN($O$1),FALSE)*VLOOKUP($D41,素材!$1:$1016,COLUMN($E$1),FALSE)/(LEN(VLOOKUP($D41,素材!$1:$1016,COLUMN($F$1),FALSE))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BA41">
        <f>IF(ISNUMBER(SEARCH(SUBSTITUTE(BA$1,RIGHT(BA$1,2),""),VLOOKUP($D41,素材!$1:$1016,COLUMN($F$1),FALSE))),VLOOKUP($C41,武器!$1:$998,COLUMN($O$1),FALSE)*VLOOKUP($D41,素材!$1:$1016,COLUMN($E$1),FALSE)/(LEN(VLOOKUP($D41,素材!$1:$1016,COLUMN($F$1),FALSE))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BB41">
        <f>IF(ISNUMBER(SEARCH(SUBSTITUTE(BB$1,RIGHT(BB$1,2),""),VLOOKUP($D41,素材!$1:$1016,COLUMN($F$1),FALSE))),VLOOKUP($C41,武器!$1:$998,COLUMN($O$1),FALSE)*VLOOKUP($D41,素材!$1:$1016,COLUMN($E$1),FALSE)/(LEN(VLOOKUP($D41,素材!$1:$1016,COLUMN($F$1),FALSE))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BC41">
        <f>IF(ISNUMBER(SEARCH(SUBSTITUTE(BC$1,RIGHT(BC$1,2),""),VLOOKUP($D41,素材!$1:$1016,COLUMN($F$1),FALSE))),VLOOKUP($C41,武器!$1:$998,COLUMN($O$1),FALSE)*VLOOKUP($D41,素材!$1:$1016,COLUMN($E$1),FALSE)/(LEN(VLOOKUP($D41,素材!$1:$1016,COLUMN($F$1),FALSE))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BD41">
        <f>IF(ISNUMBER(SEARCH(SUBSTITUTE(BD$1,RIGHT(BD$1,2),""),VLOOKUP($D41,素材!$1:$1016,COLUMN($F$1),FALSE))),VLOOKUP($C41,武器!$1:$998,COLUMN($O$1),FALSE)*VLOOKUP($D41,素材!$1:$1016,COLUMN($E$1),FALSE)/(LEN(VLOOKUP($D41,素材!$1:$1016,COLUMN($F$1),FALSE))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BE41">
        <f>IF(ISNUMBER(SEARCH(SUBSTITUTE(BE$1,RIGHT(BE$1,2),""),VLOOKUP($D41,素材!$1:$1016,COLUMN($F$1),FALSE))),VLOOKUP($C41,武器!$1:$998,COLUMN($O$1),FALSE)*VLOOKUP($D41,素材!$1:$1016,COLUMN($E$1),FALSE)/(LEN(VLOOKUP($D41,素材!$1:$1016,COLUMN($F$1),FALSE))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BF41">
        <f>IF(ISNUMBER(SEARCH(SUBSTITUTE(BF$1,RIGHT(BF$1,2),""),VLOOKUP($D41,素材!$1:$1016,COLUMN($F$1),FALSE))),VLOOKUP($C41,武器!$1:$998,COLUMN($O$1),FALSE)*VLOOKUP($D41,素材!$1:$1016,COLUMN($E$1),FALSE)/(LEN(VLOOKUP($D41,素材!$1:$1016,COLUMN($F$1),FALSE)) - LEN(SUBSTITUTE(VLOOKUP($D41,素材!$1:$1016,COLUMN($F$1),FALSE), "・", 0)) + 1), 0)</f>
        <v>0</v>
      </c>
      <c r="CM41">
        <f t="shared" si="3"/>
        <v>17</v>
      </c>
      <c r="CN41" s="22" t="str">
        <f>IF(E41="武器",IF(J41-1&gt;SUM(G41:I41),"盾",IF(MAX(G41:I41)=G41,"切断",IF(MAX(G41:I41)=H41,"貫通",IF(MAX(G41:I41)=I41,"打撃","射撃")))),E41)&amp;".webp"</f>
        <v>切断.webp</v>
      </c>
      <c r="CO41">
        <f>IFERROR(VLOOKUP($C41,武器!$1:$998,COLUMN(V$1),FALSE)*VLOOKUP($D41,素材!$1:$1016,COLUMN(N$1),FALSE)+IF(CJ41="",0,VLOOKUP($CJ41,装強!$1:$1008,COLUMN($CL$1),FALSE)),"")</f>
        <v>200</v>
      </c>
      <c r="CP41" t="str">
        <f>VLOOKUP(D41,素材!$A:$O,COLUMN(素材!O$1),FALSE)</f>
        <v>一般的な木材。金属より軽いが少し脆い</v>
      </c>
      <c r="CQ41" t="str">
        <f>VLOOKUP(C41,武器!$A:$W,COLUMN(武器!W$1),FALSE)</f>
        <v>刀。切断力に優れた武器で、Cr威力が高い</v>
      </c>
      <c r="CS41" t="str">
        <f t="shared" si="2"/>
        <v>e_41</v>
      </c>
      <c r="CT41">
        <f t="shared" si="4"/>
        <v>20000</v>
      </c>
    </row>
    <row r="42" spans="1:98" outlineLevel="1" x14ac:dyDescent="0.4">
      <c r="A42" t="str">
        <f t="shared" si="5"/>
        <v>木の剣</v>
      </c>
      <c r="B42" t="str">
        <f>IFERROR(VLOOKUP($D42,素材!$1:$1016,COLUMN($B$1),FALSE)&amp;"・"&amp;VLOOKUP($C42,武器!$1:$998,COLUMN(B$1),FALSE),"")</f>
        <v>ウッド・ソード</v>
      </c>
      <c r="C42" s="24" t="s">
        <v>240</v>
      </c>
      <c r="D42" s="24" t="s">
        <v>255</v>
      </c>
      <c r="E42" t="str">
        <f>IFERROR(VLOOKUP(C42,武器!$1:$998,COLUMN(C$1),FALSE),"")</f>
        <v>武器</v>
      </c>
      <c r="F42">
        <f>IFERROR(ROUNDDOWN((VLOOKUP($C42,武器!$1:$998,COLUMN(D$1),FALSE)+IFERROR(VLOOKUP($CJ42,装強!$1:$999,COLUMN(F$1),FALSE),0))*VLOOKUP($D42,素材!$1:$1016,COLUMN(D$1),FALSE),0),"")</f>
        <v>75</v>
      </c>
      <c r="G42">
        <f>IFERROR(ROUNDDOWN((VLOOKUP($C42,武器!$1:$998,COLUMN(E$1),FALSE)+IFERROR(VLOOKUP($CJ42,装強!$1:$999,COLUMN(G$1),FALSE),0))*VLOOKUP($D42,素材!$1:$1016,COLUMN($E$1),FALSE),0),"")</f>
        <v>9</v>
      </c>
      <c r="H42">
        <f>IFERROR(ROUNDDOWN((VLOOKUP($C42,武器!$1:$998,COLUMN(F$1),FALSE)+IFERROR(VLOOKUP($CJ42,装強!$1:$999,COLUMN(H$1),FALSE),0))*VLOOKUP($D42,素材!$1:$1016,COLUMN($E$1),FALSE),0),"")</f>
        <v>6</v>
      </c>
      <c r="I42">
        <f>IFERROR(ROUNDDOWN((VLOOKUP($C42,武器!$1:$998,COLUMN(G$1),FALSE)+IFERROR(VLOOKUP($CJ42,装強!$1:$999,COLUMN(I$1),FALSE),0))*VLOOKUP($D42,素材!$1:$1016,COLUMN($E$1),FALSE),0),"")</f>
        <v>2</v>
      </c>
      <c r="J42">
        <f>IFERROR(ROUNDDOWN((VLOOKUP($C42,武器!$1:$998,COLUMN(H$1),FALSE)+IFERROR(VLOOKUP($CJ42,装強!$1:$999,COLUMN(J$1),FALSE),0))*VLOOKUP($D42,素材!$1:$1016,COLUMN($E$1),FALSE),0),"")</f>
        <v>14</v>
      </c>
      <c r="K42">
        <f>IFERROR(ROUNDDOWN((VLOOKUP($C42,武器!$1:$998,COLUMN(I$1),FALSE)+IFERROR(VLOOKUP($CJ42,装強!$1:$999,COLUMN(K$1),FALSE),0))*VLOOKUP($D42,素材!$1:$1016,COLUMN($E$1),FALSE),0),"")</f>
        <v>0</v>
      </c>
      <c r="L42">
        <f>IFERROR(VLOOKUP($D42,素材!$1:$1016,COLUMN($F$1),FALSE),"")</f>
        <v>0</v>
      </c>
      <c r="M42">
        <f>IFERROR(VLOOKUP($C42,武器!$1:$998,COLUMN(AA$1),FALSE)*VLOOKUP($D42,素材!$1:$1016,COLUMN($G$1),FALSE),"")</f>
        <v>0</v>
      </c>
      <c r="N42">
        <f>IFERROR(VLOOKUP($C42,武器!$1:$998,COLUMN(I$1),FALSE),"")</f>
        <v>0</v>
      </c>
      <c r="O42" s="23">
        <f>IFERROR((VLOOKUP($C42,武器!$1:$998,COLUMN(K$1),FALSE)+VLOOKUP($D42,素材!$1:$1016,COLUMN(H$1),FALSE))*100+IFERROR(VLOOKUP($CJ42,装強!$1:$999,COLUMN(O$1),FALSE),0),"")</f>
        <v>10</v>
      </c>
      <c r="P42" s="23">
        <f>IFERROR((VLOOKUP($C42,武器!$1:$998,COLUMN(L$1),FALSE)+VLOOKUP($D42,素材!$1:$1016,COLUMN(I$1),FALSE))*100+IFERROR(VLOOKUP($CJ42,装強!$1:$999,COLUMN(P$1),FALSE),0),"")</f>
        <v>150</v>
      </c>
      <c r="Q42">
        <f>IFERROR(ROUNDUP(VLOOKUP($C42,武器!$1:$998,COLUMN(M$1),FALSE)*(VLOOKUP($D42,素材!$1:$1002,COLUMN(D$1),FALSE)/100),1),"")</f>
        <v>0</v>
      </c>
      <c r="R42">
        <f>IFERROR(ROUNDUP(VLOOKUP($C42,武器!$1:$998,COLUMN(N$1),FALSE)*(VLOOKUP($D42,素材!$1:$1002,COLUMN(D$1),FALSE)/100),1),"")</f>
        <v>0</v>
      </c>
      <c r="S42">
        <f>IFERROR(VLOOKUP($C42,武器!$1:$998,COLUMN(P$1),FALSE),"")</f>
        <v>0</v>
      </c>
      <c r="T42">
        <f>IFERROR(VLOOKUP($C42,武器!$1:$998,COLUMN(Q$1),FALSE),"")</f>
        <v>0</v>
      </c>
      <c r="U42">
        <f>IFERROR(VLOOKUP($C42,武器!$1:$998,COLUMN(R$1),FALSE),"")</f>
        <v>0</v>
      </c>
      <c r="V42">
        <f>IFERROR(VLOOKUP($C42,武器!$1:$998,COLUMN(Q$1),FALSE),"")</f>
        <v>0</v>
      </c>
      <c r="W42" t="str">
        <f>IFERROR(VLOOKUP($C42,武器!$1:$998,COLUMN(T$1),FALSE),"")</f>
        <v>A</v>
      </c>
      <c r="Y42" t="str">
        <f>IFERROR(VLOOKUP($C42,武器!$1:$998,COLUMN(U$1),FALSE),"")</f>
        <v>片手適正Ⅰ</v>
      </c>
      <c r="Z42">
        <f>IFERROR(ROUNDUP(VLOOKUP($C42,武器!$1:$998,COLUMN(O$1),FALSE)*VLOOKUP($D42,素材!$1:$1016,COLUMN(E$1),FALSE),1),"")</f>
        <v>0</v>
      </c>
      <c r="AA42">
        <f>IF(ISNUMBER(SEARCH(SUBSTITUTE(AA$1,RIGHT(AA$1,2),""),VLOOKUP($D42,素材!$1:$1016,COLUMN($F$1),FALSE))),VLOOKUP($C42,武器!$1:$998,COLUMN($O$1),FALSE)*VLOOKUP($D42,素材!$1:$1016,COLUMN($E$1),FALSE)/(LEN(VLOOKUP($D42,素材!$1:$1016,COLUMN($F$1),FALSE))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B42">
        <f>IF(ISNUMBER(SEARCH(SUBSTITUTE(AB$1,RIGHT(AB$1,2),""),VLOOKUP($D42,素材!$1:$1016,COLUMN($F$1),FALSE))),VLOOKUP($C42,武器!$1:$998,COLUMN($O$1),FALSE)*VLOOKUP($D42,素材!$1:$1016,COLUMN($E$1),FALSE)/(LEN(VLOOKUP($D42,素材!$1:$1016,COLUMN($F$1),FALSE))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C42">
        <f>IF(ISNUMBER(SEARCH(SUBSTITUTE(AC$1,RIGHT(AC$1,2),""),VLOOKUP($D42,素材!$1:$1016,COLUMN($F$1),FALSE))),VLOOKUP($C42,武器!$1:$998,COLUMN($O$1),FALSE)*VLOOKUP($D42,素材!$1:$1016,COLUMN($E$1),FALSE)/(LEN(VLOOKUP($D42,素材!$1:$1016,COLUMN($F$1),FALSE))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D42">
        <f>IF(ISNUMBER(SEARCH(SUBSTITUTE(AD$1,RIGHT(AD$1,2),""),VLOOKUP($D42,素材!$1:$1016,COLUMN($F$1),FALSE))),VLOOKUP($C42,武器!$1:$998,COLUMN($O$1),FALSE)*VLOOKUP($D42,素材!$1:$1016,COLUMN($E$1),FALSE)/(LEN(VLOOKUP($D42,素材!$1:$1016,COLUMN($F$1),FALSE))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E42">
        <f>IF(ISNUMBER(SEARCH(SUBSTITUTE(AE$1,RIGHT(AE$1,2),""),VLOOKUP($D42,素材!$1:$1016,COLUMN($F$1),FALSE))),VLOOKUP($C42,武器!$1:$998,COLUMN($O$1),FALSE)*VLOOKUP($D42,素材!$1:$1016,COLUMN($E$1),FALSE)/(LEN(VLOOKUP($D42,素材!$1:$1016,COLUMN($F$1),FALSE))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F42">
        <f>IF(ISNUMBER(SEARCH(SUBSTITUTE(AF$1,RIGHT(AF$1,2),""),VLOOKUP($D42,素材!$1:$1016,COLUMN($F$1),FALSE))),VLOOKUP($C42,武器!$1:$998,COLUMN($O$1),FALSE)*VLOOKUP($D42,素材!$1:$1016,COLUMN($E$1),FALSE)/(LEN(VLOOKUP($D42,素材!$1:$1016,COLUMN($F$1),FALSE))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G42">
        <f>IF(ISNUMBER(SEARCH(SUBSTITUTE(AG$1,RIGHT(AG$1,2),""),VLOOKUP($D42,素材!$1:$1016,COLUMN($F$1),FALSE))),VLOOKUP($C42,武器!$1:$998,COLUMN($O$1),FALSE)*VLOOKUP($D42,素材!$1:$1016,COLUMN($E$1),FALSE)/(LEN(VLOOKUP($D42,素材!$1:$1016,COLUMN($F$1),FALSE))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H42">
        <f>IF(ISNUMBER(SEARCH(SUBSTITUTE(AH$1,RIGHT(AH$1,2),""),VLOOKUP($D42,素材!$1:$1016,COLUMN($F$1),FALSE))),VLOOKUP($C42,武器!$1:$998,COLUMN($O$1),FALSE)*VLOOKUP($D42,素材!$1:$1016,COLUMN($E$1),FALSE)/(LEN(VLOOKUP($D42,素材!$1:$1016,COLUMN($F$1),FALSE))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I42">
        <f>IF(ISNUMBER(SEARCH(SUBSTITUTE(AI$1,RIGHT(AI$1,2),""),VLOOKUP($D42,素材!$1:$1016,COLUMN($F$1),FALSE))),VLOOKUP($C42,武器!$1:$998,COLUMN($O$1),FALSE)*VLOOKUP($D42,素材!$1:$1016,COLUMN($E$1),FALSE)/(LEN(VLOOKUP($D42,素材!$1:$1016,COLUMN($F$1),FALSE))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J42">
        <f>IF(ISNUMBER(SEARCH(SUBSTITUTE(AJ$1,RIGHT(AJ$1,2),""),VLOOKUP($D42,素材!$1:$1016,COLUMN($F$1),FALSE))),VLOOKUP($C42,武器!$1:$998,COLUMN($O$1),FALSE)*VLOOKUP($D42,素材!$1:$1016,COLUMN($E$1),FALSE)/(LEN(VLOOKUP($D42,素材!$1:$1016,COLUMN($F$1),FALSE))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K42">
        <f>IF(ISNUMBER(SEARCH(SUBSTITUTE(AK$1,RIGHT(AK$1,2),""),VLOOKUP($D42,素材!$1:$1016,COLUMN($F$1),FALSE))),VLOOKUP($C42,武器!$1:$998,COLUMN($O$1),FALSE)*VLOOKUP($D42,素材!$1:$1016,COLUMN($E$1),FALSE)/(LEN(VLOOKUP($D42,素材!$1:$1016,COLUMN($F$1),FALSE))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L42">
        <f>IF(ISNUMBER(SEARCH(SUBSTITUTE(AL$1,RIGHT(AL$1,2),""),VLOOKUP($D42,素材!$1:$1016,COLUMN($F$1),FALSE))),VLOOKUP($C42,武器!$1:$998,COLUMN($O$1),FALSE)*VLOOKUP($D42,素材!$1:$1016,COLUMN($E$1),FALSE)/(LEN(VLOOKUP($D42,素材!$1:$1016,COLUMN($F$1),FALSE))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M42">
        <f>IF(ISNUMBER(SEARCH(SUBSTITUTE(AM$1,RIGHT(AM$1,2),""),VLOOKUP($D42,素材!$1:$1016,COLUMN($F$1),FALSE))),VLOOKUP($C42,武器!$1:$998,COLUMN($O$1),FALSE)*VLOOKUP($D42,素材!$1:$1016,COLUMN($E$1),FALSE)/(LEN(VLOOKUP($D42,素材!$1:$1016,COLUMN($F$1),FALSE))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N42">
        <f>IF(ISNUMBER(SEARCH(SUBSTITUTE(AN$1,RIGHT(AN$1,2),""),VLOOKUP($D42,素材!$1:$1016,COLUMN($F$1),FALSE))),VLOOKUP($C42,武器!$1:$998,COLUMN($O$1),FALSE)*VLOOKUP($D42,素材!$1:$1016,COLUMN($E$1),FALSE)/(LEN(VLOOKUP($D42,素材!$1:$1016,COLUMN($F$1),FALSE))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O42">
        <f>IF(ISNUMBER(SEARCH(SUBSTITUTE(AO$1,RIGHT(AO$1,2),""),VLOOKUP($D42,素材!$1:$1016,COLUMN($F$1),FALSE))),VLOOKUP($C42,武器!$1:$998,COLUMN($O$1),FALSE)*VLOOKUP($D42,素材!$1:$1016,COLUMN($E$1),FALSE)/(LEN(VLOOKUP($D42,素材!$1:$1016,COLUMN($F$1),FALSE))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P42">
        <f>IF(ISNUMBER(SEARCH(SUBSTITUTE(AP$1,RIGHT(AP$1,2),""),VLOOKUP($D42,素材!$1:$1016,COLUMN($F$1),FALSE))),VLOOKUP($C42,武器!$1:$998,COLUMN($O$1),FALSE)*VLOOKUP($D42,素材!$1:$1016,COLUMN($E$1),FALSE)/(LEN(VLOOKUP($D42,素材!$1:$1016,COLUMN($F$1),FALSE))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Q42">
        <f>IF(ISNUMBER(SEARCH(SUBSTITUTE(AQ$1,RIGHT(AQ$1,2),""),VLOOKUP($D42,素材!$1:$1016,COLUMN($F$1),FALSE))),VLOOKUP($C42,武器!$1:$998,COLUMN($O$1),FALSE)*VLOOKUP($D42,素材!$1:$1016,COLUMN($E$1),FALSE)/(LEN(VLOOKUP($D42,素材!$1:$1016,COLUMN($F$1),FALSE))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R42">
        <f>IF(ISNUMBER(SEARCH(SUBSTITUTE(AR$1,RIGHT(AR$1,2),""),VLOOKUP($D42,素材!$1:$1016,COLUMN($F$1),FALSE))),VLOOKUP($C42,武器!$1:$998,COLUMN($O$1),FALSE)*VLOOKUP($D42,素材!$1:$1016,COLUMN($E$1),FALSE)/(LEN(VLOOKUP($D42,素材!$1:$1016,COLUMN($F$1),FALSE))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S42">
        <f>IF(ISNUMBER(SEARCH(SUBSTITUTE(AS$1,RIGHT(AS$1,2),""),VLOOKUP($D42,素材!$1:$1016,COLUMN($F$1),FALSE))),VLOOKUP($C42,武器!$1:$998,COLUMN($O$1),FALSE)*VLOOKUP($D42,素材!$1:$1016,COLUMN($E$1),FALSE)/(LEN(VLOOKUP($D42,素材!$1:$1016,COLUMN($F$1),FALSE))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T42">
        <f>IF(ISNUMBER(SEARCH(SUBSTITUTE(AT$1,RIGHT(AT$1,2),""),VLOOKUP($D42,素材!$1:$1016,COLUMN($F$1),FALSE))),VLOOKUP($C42,武器!$1:$998,COLUMN($O$1),FALSE)*VLOOKUP($D42,素材!$1:$1016,COLUMN($E$1),FALSE)/(LEN(VLOOKUP($D42,素材!$1:$1016,COLUMN($F$1),FALSE))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U42">
        <f>IF(ISNUMBER(SEARCH(SUBSTITUTE(AU$1,RIGHT(AU$1,2),""),VLOOKUP($D42,素材!$1:$1016,COLUMN($F$1),FALSE))),VLOOKUP($C42,武器!$1:$998,COLUMN($O$1),FALSE)*VLOOKUP($D42,素材!$1:$1016,COLUMN($E$1),FALSE)/(LEN(VLOOKUP($D42,素材!$1:$1016,COLUMN($F$1),FALSE))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V42">
        <f>IF(ISNUMBER(SEARCH(SUBSTITUTE(AV$1,RIGHT(AV$1,2),""),VLOOKUP($D42,素材!$1:$1016,COLUMN($F$1),FALSE))),VLOOKUP($C42,武器!$1:$998,COLUMN($O$1),FALSE)*VLOOKUP($D42,素材!$1:$1016,COLUMN($E$1),FALSE)/(LEN(VLOOKUP($D42,素材!$1:$1016,COLUMN($F$1),FALSE))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W42">
        <f>IF(ISNUMBER(SEARCH(SUBSTITUTE(AW$1,RIGHT(AW$1,2),""),VLOOKUP($D42,素材!$1:$1016,COLUMN($F$1),FALSE))),VLOOKUP($C42,武器!$1:$998,COLUMN($O$1),FALSE)*VLOOKUP($D42,素材!$1:$1016,COLUMN($E$1),FALSE)/(LEN(VLOOKUP($D42,素材!$1:$1016,COLUMN($F$1),FALSE))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X42">
        <f>IF(ISNUMBER(SEARCH(SUBSTITUTE(AX$1,RIGHT(AX$1,2),""),VLOOKUP($D42,素材!$1:$1016,COLUMN($F$1),FALSE))),VLOOKUP($C42,武器!$1:$998,COLUMN($O$1),FALSE)*VLOOKUP($D42,素材!$1:$1016,COLUMN($E$1),FALSE)/(LEN(VLOOKUP($D42,素材!$1:$1016,COLUMN($F$1),FALSE))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Y42">
        <f>IF(ISNUMBER(SEARCH(SUBSTITUTE(AY$1,RIGHT(AY$1,2),""),VLOOKUP($D42,素材!$1:$1016,COLUMN($F$1),FALSE))),VLOOKUP($C42,武器!$1:$998,COLUMN($O$1),FALSE)*VLOOKUP($D42,素材!$1:$1016,COLUMN($E$1),FALSE)/(LEN(VLOOKUP($D42,素材!$1:$1016,COLUMN($F$1),FALSE))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AZ42">
        <f>IF(ISNUMBER(SEARCH(SUBSTITUTE(AZ$1,RIGHT(AZ$1,2),""),VLOOKUP($D42,素材!$1:$1016,COLUMN($F$1),FALSE))),VLOOKUP($C42,武器!$1:$998,COLUMN($O$1),FALSE)*VLOOKUP($D42,素材!$1:$1016,COLUMN($E$1),FALSE)/(LEN(VLOOKUP($D42,素材!$1:$1016,COLUMN($F$1),FALSE))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BA42">
        <f>IF(ISNUMBER(SEARCH(SUBSTITUTE(BA$1,RIGHT(BA$1,2),""),VLOOKUP($D42,素材!$1:$1016,COLUMN($F$1),FALSE))),VLOOKUP($C42,武器!$1:$998,COLUMN($O$1),FALSE)*VLOOKUP($D42,素材!$1:$1016,COLUMN($E$1),FALSE)/(LEN(VLOOKUP($D42,素材!$1:$1016,COLUMN($F$1),FALSE))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BB42">
        <f>IF(ISNUMBER(SEARCH(SUBSTITUTE(BB$1,RIGHT(BB$1,2),""),VLOOKUP($D42,素材!$1:$1016,COLUMN($F$1),FALSE))),VLOOKUP($C42,武器!$1:$998,COLUMN($O$1),FALSE)*VLOOKUP($D42,素材!$1:$1016,COLUMN($E$1),FALSE)/(LEN(VLOOKUP($D42,素材!$1:$1016,COLUMN($F$1),FALSE))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BC42">
        <f>IF(ISNUMBER(SEARCH(SUBSTITUTE(BC$1,RIGHT(BC$1,2),""),VLOOKUP($D42,素材!$1:$1016,COLUMN($F$1),FALSE))),VLOOKUP($C42,武器!$1:$998,COLUMN($O$1),FALSE)*VLOOKUP($D42,素材!$1:$1016,COLUMN($E$1),FALSE)/(LEN(VLOOKUP($D42,素材!$1:$1016,COLUMN($F$1),FALSE))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BD42">
        <f>IF(ISNUMBER(SEARCH(SUBSTITUTE(BD$1,RIGHT(BD$1,2),""),VLOOKUP($D42,素材!$1:$1016,COLUMN($F$1),FALSE))),VLOOKUP($C42,武器!$1:$998,COLUMN($O$1),FALSE)*VLOOKUP($D42,素材!$1:$1016,COLUMN($E$1),FALSE)/(LEN(VLOOKUP($D42,素材!$1:$1016,COLUMN($F$1),FALSE))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BE42">
        <f>IF(ISNUMBER(SEARCH(SUBSTITUTE(BE$1,RIGHT(BE$1,2),""),VLOOKUP($D42,素材!$1:$1016,COLUMN($F$1),FALSE))),VLOOKUP($C42,武器!$1:$998,COLUMN($O$1),FALSE)*VLOOKUP($D42,素材!$1:$1016,COLUMN($E$1),FALSE)/(LEN(VLOOKUP($D42,素材!$1:$1016,COLUMN($F$1),FALSE))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BF42">
        <f>IF(ISNUMBER(SEARCH(SUBSTITUTE(BF$1,RIGHT(BF$1,2),""),VLOOKUP($D42,素材!$1:$1016,COLUMN($F$1),FALSE))),VLOOKUP($C42,武器!$1:$998,COLUMN($O$1),FALSE)*VLOOKUP($D42,素材!$1:$1016,COLUMN($E$1),FALSE)/(LEN(VLOOKUP($D42,素材!$1:$1016,COLUMN($F$1),FALSE)) - LEN(SUBSTITUTE(VLOOKUP($D42,素材!$1:$1016,COLUMN($F$1),FALSE), "・", 0)) + 1), 0)</f>
        <v>0</v>
      </c>
      <c r="CM42">
        <f t="shared" si="3"/>
        <v>17</v>
      </c>
      <c r="CN42" s="22" t="str">
        <f>IF(E42="武器",IF(J42-1&gt;SUM(G42:I42),"盾",IF(MAX(G42:I42)=G42,"切断",IF(MAX(G42:I42)=H42,"貫通",IF(MAX(G42:I42)=I42,"打撃","射撃")))),E42)&amp;".webp"</f>
        <v>切断.webp</v>
      </c>
      <c r="CO42">
        <f>IFERROR(VLOOKUP($C42,武器!$1:$998,COLUMN(V$1),FALSE)*VLOOKUP($D42,素材!$1:$1016,COLUMN(N$1),FALSE)+IF(CJ42="",0,VLOOKUP($CJ42,装強!$1:$1008,COLUMN($CL$1),FALSE)),"")</f>
        <v>150</v>
      </c>
      <c r="CP42" t="str">
        <f>VLOOKUP(D42,素材!$A:$O,COLUMN(素材!O$1),FALSE)</f>
        <v>一般的な木材。金属より軽いが少し脆い</v>
      </c>
      <c r="CQ42" t="str">
        <f>VLOOKUP(C42,武器!$A:$W,COLUMN(武器!W$1),FALSE)</f>
        <v>剣。短い剣で片手で扱いやすく、初心者向けの武器。</v>
      </c>
      <c r="CS42" t="str">
        <f t="shared" si="2"/>
        <v>e_42</v>
      </c>
      <c r="CT42">
        <f t="shared" si="4"/>
        <v>15000</v>
      </c>
    </row>
    <row r="43" spans="1:98" outlineLevel="1" x14ac:dyDescent="0.4">
      <c r="A43" t="str">
        <f t="shared" si="5"/>
        <v>木の広剣</v>
      </c>
      <c r="B43" t="str">
        <f>IFERROR(VLOOKUP($D43,素材!$1:$1016,COLUMN($B$1),FALSE)&amp;"・"&amp;VLOOKUP($C43,武器!$1:$998,COLUMN(B$1),FALSE),"")</f>
        <v>ウッド・ブロードソード</v>
      </c>
      <c r="C43" s="24" t="s">
        <v>239</v>
      </c>
      <c r="D43" s="24" t="s">
        <v>255</v>
      </c>
      <c r="E43" t="str">
        <f>IFERROR(VLOOKUP(C43,武器!$1:$998,COLUMN(C$1),FALSE),"")</f>
        <v>武器</v>
      </c>
      <c r="F43">
        <f>IFERROR(ROUNDDOWN((VLOOKUP($C43,武器!$1:$998,COLUMN(D$1),FALSE)+IFERROR(VLOOKUP($CJ43,装強!$1:$999,COLUMN(F$1),FALSE),0))*VLOOKUP($D43,素材!$1:$1016,COLUMN(D$1),FALSE),0),"")</f>
        <v>82</v>
      </c>
      <c r="G43">
        <f>IFERROR(ROUNDDOWN((VLOOKUP($C43,武器!$1:$998,COLUMN(E$1),FALSE)+IFERROR(VLOOKUP($CJ43,装強!$1:$999,COLUMN(G$1),FALSE),0))*VLOOKUP($D43,素材!$1:$1016,COLUMN($E$1),FALSE),0),"")</f>
        <v>9</v>
      </c>
      <c r="H43">
        <f>IFERROR(ROUNDDOWN((VLOOKUP($C43,武器!$1:$998,COLUMN(F$1),FALSE)+IFERROR(VLOOKUP($CJ43,装強!$1:$999,COLUMN(H$1),FALSE),0))*VLOOKUP($D43,素材!$1:$1016,COLUMN($E$1),FALSE),0),"")</f>
        <v>6</v>
      </c>
      <c r="I43">
        <f>IFERROR(ROUNDDOWN((VLOOKUP($C43,武器!$1:$998,COLUMN(G$1),FALSE)+IFERROR(VLOOKUP($CJ43,装強!$1:$999,COLUMN(I$1),FALSE),0))*VLOOKUP($D43,素材!$1:$1016,COLUMN($E$1),FALSE),0),"")</f>
        <v>2</v>
      </c>
      <c r="J43">
        <f>IFERROR(ROUNDDOWN((VLOOKUP($C43,武器!$1:$998,COLUMN(H$1),FALSE)+IFERROR(VLOOKUP($CJ43,装強!$1:$999,COLUMN(J$1),FALSE),0))*VLOOKUP($D43,素材!$1:$1016,COLUMN($E$1),FALSE),0),"")</f>
        <v>17</v>
      </c>
      <c r="K43">
        <f>IFERROR(ROUNDDOWN((VLOOKUP($C43,武器!$1:$998,COLUMN(I$1),FALSE)+IFERROR(VLOOKUP($CJ43,装強!$1:$999,COLUMN(K$1),FALSE),0))*VLOOKUP($D43,素材!$1:$1016,COLUMN($E$1),FALSE),0),"")</f>
        <v>0</v>
      </c>
      <c r="L43">
        <f>IFERROR(VLOOKUP($D43,素材!$1:$1016,COLUMN($F$1),FALSE),"")</f>
        <v>0</v>
      </c>
      <c r="M43">
        <f>IFERROR(VLOOKUP($C43,武器!$1:$998,COLUMN(AA$1),FALSE)*VLOOKUP($D43,素材!$1:$1016,COLUMN($G$1),FALSE),"")</f>
        <v>0</v>
      </c>
      <c r="N43">
        <f>IFERROR(VLOOKUP($C43,武器!$1:$998,COLUMN(I$1),FALSE),"")</f>
        <v>0</v>
      </c>
      <c r="O43" s="23">
        <f>IFERROR((VLOOKUP($C43,武器!$1:$998,COLUMN(K$1),FALSE)+VLOOKUP($D43,素材!$1:$1016,COLUMN(H$1),FALSE))*100+IFERROR(VLOOKUP($CJ43,装強!$1:$999,COLUMN(O$1),FALSE),0),"")</f>
        <v>10</v>
      </c>
      <c r="P43" s="23">
        <f>IFERROR((VLOOKUP($C43,武器!$1:$998,COLUMN(L$1),FALSE)+VLOOKUP($D43,素材!$1:$1016,COLUMN(I$1),FALSE))*100+IFERROR(VLOOKUP($CJ43,装強!$1:$999,COLUMN(P$1),FALSE),0),"")</f>
        <v>150</v>
      </c>
      <c r="Q43">
        <f>IFERROR(ROUNDUP(VLOOKUP($C43,武器!$1:$998,COLUMN(M$1),FALSE)*(VLOOKUP($D43,素材!$1:$1002,COLUMN(D$1),FALSE)/100),1),"")</f>
        <v>-1.9000000000000001</v>
      </c>
      <c r="R43">
        <f>IFERROR(ROUNDUP(VLOOKUP($C43,武器!$1:$998,COLUMN(N$1),FALSE)*(VLOOKUP($D43,素材!$1:$1002,COLUMN(D$1),FALSE)/100),1),"")</f>
        <v>-1.9000000000000001</v>
      </c>
      <c r="S43">
        <f>IFERROR(VLOOKUP($C43,武器!$1:$998,COLUMN(P$1),FALSE),"")</f>
        <v>0</v>
      </c>
      <c r="T43">
        <f>IFERROR(VLOOKUP($C43,武器!$1:$998,COLUMN(Q$1),FALSE),"")</f>
        <v>0</v>
      </c>
      <c r="U43">
        <f>IFERROR(VLOOKUP($C43,武器!$1:$998,COLUMN(R$1),FALSE),"")</f>
        <v>0</v>
      </c>
      <c r="V43">
        <f>IFERROR(VLOOKUP($C43,武器!$1:$998,COLUMN(Q$1),FALSE),"")</f>
        <v>0</v>
      </c>
      <c r="W43" t="str">
        <f>IFERROR(VLOOKUP($C43,武器!$1:$998,COLUMN(T$1),FALSE),"")</f>
        <v>A</v>
      </c>
      <c r="Y43">
        <f>IFERROR(VLOOKUP($C43,武器!$1:$998,COLUMN(U$1),FALSE),"")</f>
        <v>0</v>
      </c>
      <c r="Z43">
        <f>IFERROR(ROUNDUP(VLOOKUP($C43,武器!$1:$998,COLUMN(O$1),FALSE)*VLOOKUP($D43,素材!$1:$1016,COLUMN(E$1),FALSE),1),"")</f>
        <v>0</v>
      </c>
      <c r="AA43">
        <f>IF(ISNUMBER(SEARCH(SUBSTITUTE(AA$1,RIGHT(AA$1,2),""),VLOOKUP($D43,素材!$1:$1016,COLUMN($F$1),FALSE))),VLOOKUP($C43,武器!$1:$998,COLUMN($O$1),FALSE)*VLOOKUP($D43,素材!$1:$1016,COLUMN($E$1),FALSE)/(LEN(VLOOKUP($D43,素材!$1:$1016,COLUMN($F$1),FALSE))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B43">
        <f>IF(ISNUMBER(SEARCH(SUBSTITUTE(AB$1,RIGHT(AB$1,2),""),VLOOKUP($D43,素材!$1:$1016,COLUMN($F$1),FALSE))),VLOOKUP($C43,武器!$1:$998,COLUMN($O$1),FALSE)*VLOOKUP($D43,素材!$1:$1016,COLUMN($E$1),FALSE)/(LEN(VLOOKUP($D43,素材!$1:$1016,COLUMN($F$1),FALSE))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C43">
        <f>IF(ISNUMBER(SEARCH(SUBSTITUTE(AC$1,RIGHT(AC$1,2),""),VLOOKUP($D43,素材!$1:$1016,COLUMN($F$1),FALSE))),VLOOKUP($C43,武器!$1:$998,COLUMN($O$1),FALSE)*VLOOKUP($D43,素材!$1:$1016,COLUMN($E$1),FALSE)/(LEN(VLOOKUP($D43,素材!$1:$1016,COLUMN($F$1),FALSE))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D43">
        <f>IF(ISNUMBER(SEARCH(SUBSTITUTE(AD$1,RIGHT(AD$1,2),""),VLOOKUP($D43,素材!$1:$1016,COLUMN($F$1),FALSE))),VLOOKUP($C43,武器!$1:$998,COLUMN($O$1),FALSE)*VLOOKUP($D43,素材!$1:$1016,COLUMN($E$1),FALSE)/(LEN(VLOOKUP($D43,素材!$1:$1016,COLUMN($F$1),FALSE))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E43">
        <f>IF(ISNUMBER(SEARCH(SUBSTITUTE(AE$1,RIGHT(AE$1,2),""),VLOOKUP($D43,素材!$1:$1016,COLUMN($F$1),FALSE))),VLOOKUP($C43,武器!$1:$998,COLUMN($O$1),FALSE)*VLOOKUP($D43,素材!$1:$1016,COLUMN($E$1),FALSE)/(LEN(VLOOKUP($D43,素材!$1:$1016,COLUMN($F$1),FALSE))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F43">
        <f>IF(ISNUMBER(SEARCH(SUBSTITUTE(AF$1,RIGHT(AF$1,2),""),VLOOKUP($D43,素材!$1:$1016,COLUMN($F$1),FALSE))),VLOOKUP($C43,武器!$1:$998,COLUMN($O$1),FALSE)*VLOOKUP($D43,素材!$1:$1016,COLUMN($E$1),FALSE)/(LEN(VLOOKUP($D43,素材!$1:$1016,COLUMN($F$1),FALSE))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G43">
        <f>IF(ISNUMBER(SEARCH(SUBSTITUTE(AG$1,RIGHT(AG$1,2),""),VLOOKUP($D43,素材!$1:$1016,COLUMN($F$1),FALSE))),VLOOKUP($C43,武器!$1:$998,COLUMN($O$1),FALSE)*VLOOKUP($D43,素材!$1:$1016,COLUMN($E$1),FALSE)/(LEN(VLOOKUP($D43,素材!$1:$1016,COLUMN($F$1),FALSE))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H43">
        <f>IF(ISNUMBER(SEARCH(SUBSTITUTE(AH$1,RIGHT(AH$1,2),""),VLOOKUP($D43,素材!$1:$1016,COLUMN($F$1),FALSE))),VLOOKUP($C43,武器!$1:$998,COLUMN($O$1),FALSE)*VLOOKUP($D43,素材!$1:$1016,COLUMN($E$1),FALSE)/(LEN(VLOOKUP($D43,素材!$1:$1016,COLUMN($F$1),FALSE))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I43">
        <f>IF(ISNUMBER(SEARCH(SUBSTITUTE(AI$1,RIGHT(AI$1,2),""),VLOOKUP($D43,素材!$1:$1016,COLUMN($F$1),FALSE))),VLOOKUP($C43,武器!$1:$998,COLUMN($O$1),FALSE)*VLOOKUP($D43,素材!$1:$1016,COLUMN($E$1),FALSE)/(LEN(VLOOKUP($D43,素材!$1:$1016,COLUMN($F$1),FALSE))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J43">
        <f>IF(ISNUMBER(SEARCH(SUBSTITUTE(AJ$1,RIGHT(AJ$1,2),""),VLOOKUP($D43,素材!$1:$1016,COLUMN($F$1),FALSE))),VLOOKUP($C43,武器!$1:$998,COLUMN($O$1),FALSE)*VLOOKUP($D43,素材!$1:$1016,COLUMN($E$1),FALSE)/(LEN(VLOOKUP($D43,素材!$1:$1016,COLUMN($F$1),FALSE))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K43">
        <f>IF(ISNUMBER(SEARCH(SUBSTITUTE(AK$1,RIGHT(AK$1,2),""),VLOOKUP($D43,素材!$1:$1016,COLUMN($F$1),FALSE))),VLOOKUP($C43,武器!$1:$998,COLUMN($O$1),FALSE)*VLOOKUP($D43,素材!$1:$1016,COLUMN($E$1),FALSE)/(LEN(VLOOKUP($D43,素材!$1:$1016,COLUMN($F$1),FALSE))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L43">
        <f>IF(ISNUMBER(SEARCH(SUBSTITUTE(AL$1,RIGHT(AL$1,2),""),VLOOKUP($D43,素材!$1:$1016,COLUMN($F$1),FALSE))),VLOOKUP($C43,武器!$1:$998,COLUMN($O$1),FALSE)*VLOOKUP($D43,素材!$1:$1016,COLUMN($E$1),FALSE)/(LEN(VLOOKUP($D43,素材!$1:$1016,COLUMN($F$1),FALSE))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M43">
        <f>IF(ISNUMBER(SEARCH(SUBSTITUTE(AM$1,RIGHT(AM$1,2),""),VLOOKUP($D43,素材!$1:$1016,COLUMN($F$1),FALSE))),VLOOKUP($C43,武器!$1:$998,COLUMN($O$1),FALSE)*VLOOKUP($D43,素材!$1:$1016,COLUMN($E$1),FALSE)/(LEN(VLOOKUP($D43,素材!$1:$1016,COLUMN($F$1),FALSE))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N43">
        <f>IF(ISNUMBER(SEARCH(SUBSTITUTE(AN$1,RIGHT(AN$1,2),""),VLOOKUP($D43,素材!$1:$1016,COLUMN($F$1),FALSE))),VLOOKUP($C43,武器!$1:$998,COLUMN($O$1),FALSE)*VLOOKUP($D43,素材!$1:$1016,COLUMN($E$1),FALSE)/(LEN(VLOOKUP($D43,素材!$1:$1016,COLUMN($F$1),FALSE))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O43">
        <f>IF(ISNUMBER(SEARCH(SUBSTITUTE(AO$1,RIGHT(AO$1,2),""),VLOOKUP($D43,素材!$1:$1016,COLUMN($F$1),FALSE))),VLOOKUP($C43,武器!$1:$998,COLUMN($O$1),FALSE)*VLOOKUP($D43,素材!$1:$1016,COLUMN($E$1),FALSE)/(LEN(VLOOKUP($D43,素材!$1:$1016,COLUMN($F$1),FALSE))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P43">
        <f>IF(ISNUMBER(SEARCH(SUBSTITUTE(AP$1,RIGHT(AP$1,2),""),VLOOKUP($D43,素材!$1:$1016,COLUMN($F$1),FALSE))),VLOOKUP($C43,武器!$1:$998,COLUMN($O$1),FALSE)*VLOOKUP($D43,素材!$1:$1016,COLUMN($E$1),FALSE)/(LEN(VLOOKUP($D43,素材!$1:$1016,COLUMN($F$1),FALSE))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Q43">
        <f>IF(ISNUMBER(SEARCH(SUBSTITUTE(AQ$1,RIGHT(AQ$1,2),""),VLOOKUP($D43,素材!$1:$1016,COLUMN($F$1),FALSE))),VLOOKUP($C43,武器!$1:$998,COLUMN($O$1),FALSE)*VLOOKUP($D43,素材!$1:$1016,COLUMN($E$1),FALSE)/(LEN(VLOOKUP($D43,素材!$1:$1016,COLUMN($F$1),FALSE))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R43">
        <f>IF(ISNUMBER(SEARCH(SUBSTITUTE(AR$1,RIGHT(AR$1,2),""),VLOOKUP($D43,素材!$1:$1016,COLUMN($F$1),FALSE))),VLOOKUP($C43,武器!$1:$998,COLUMN($O$1),FALSE)*VLOOKUP($D43,素材!$1:$1016,COLUMN($E$1),FALSE)/(LEN(VLOOKUP($D43,素材!$1:$1016,COLUMN($F$1),FALSE))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S43">
        <f>IF(ISNUMBER(SEARCH(SUBSTITUTE(AS$1,RIGHT(AS$1,2),""),VLOOKUP($D43,素材!$1:$1016,COLUMN($F$1),FALSE))),VLOOKUP($C43,武器!$1:$998,COLUMN($O$1),FALSE)*VLOOKUP($D43,素材!$1:$1016,COLUMN($E$1),FALSE)/(LEN(VLOOKUP($D43,素材!$1:$1016,COLUMN($F$1),FALSE))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T43">
        <f>IF(ISNUMBER(SEARCH(SUBSTITUTE(AT$1,RIGHT(AT$1,2),""),VLOOKUP($D43,素材!$1:$1016,COLUMN($F$1),FALSE))),VLOOKUP($C43,武器!$1:$998,COLUMN($O$1),FALSE)*VLOOKUP($D43,素材!$1:$1016,COLUMN($E$1),FALSE)/(LEN(VLOOKUP($D43,素材!$1:$1016,COLUMN($F$1),FALSE))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U43">
        <f>IF(ISNUMBER(SEARCH(SUBSTITUTE(AU$1,RIGHT(AU$1,2),""),VLOOKUP($D43,素材!$1:$1016,COLUMN($F$1),FALSE))),VLOOKUP($C43,武器!$1:$998,COLUMN($O$1),FALSE)*VLOOKUP($D43,素材!$1:$1016,COLUMN($E$1),FALSE)/(LEN(VLOOKUP($D43,素材!$1:$1016,COLUMN($F$1),FALSE))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V43">
        <f>IF(ISNUMBER(SEARCH(SUBSTITUTE(AV$1,RIGHT(AV$1,2),""),VLOOKUP($D43,素材!$1:$1016,COLUMN($F$1),FALSE))),VLOOKUP($C43,武器!$1:$998,COLUMN($O$1),FALSE)*VLOOKUP($D43,素材!$1:$1016,COLUMN($E$1),FALSE)/(LEN(VLOOKUP($D43,素材!$1:$1016,COLUMN($F$1),FALSE))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W43">
        <f>IF(ISNUMBER(SEARCH(SUBSTITUTE(AW$1,RIGHT(AW$1,2),""),VLOOKUP($D43,素材!$1:$1016,COLUMN($F$1),FALSE))),VLOOKUP($C43,武器!$1:$998,COLUMN($O$1),FALSE)*VLOOKUP($D43,素材!$1:$1016,COLUMN($E$1),FALSE)/(LEN(VLOOKUP($D43,素材!$1:$1016,COLUMN($F$1),FALSE))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X43">
        <f>IF(ISNUMBER(SEARCH(SUBSTITUTE(AX$1,RIGHT(AX$1,2),""),VLOOKUP($D43,素材!$1:$1016,COLUMN($F$1),FALSE))),VLOOKUP($C43,武器!$1:$998,COLUMN($O$1),FALSE)*VLOOKUP($D43,素材!$1:$1016,COLUMN($E$1),FALSE)/(LEN(VLOOKUP($D43,素材!$1:$1016,COLUMN($F$1),FALSE))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Y43">
        <f>IF(ISNUMBER(SEARCH(SUBSTITUTE(AY$1,RIGHT(AY$1,2),""),VLOOKUP($D43,素材!$1:$1016,COLUMN($F$1),FALSE))),VLOOKUP($C43,武器!$1:$998,COLUMN($O$1),FALSE)*VLOOKUP($D43,素材!$1:$1016,COLUMN($E$1),FALSE)/(LEN(VLOOKUP($D43,素材!$1:$1016,COLUMN($F$1),FALSE))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AZ43">
        <f>IF(ISNUMBER(SEARCH(SUBSTITUTE(AZ$1,RIGHT(AZ$1,2),""),VLOOKUP($D43,素材!$1:$1016,COLUMN($F$1),FALSE))),VLOOKUP($C43,武器!$1:$998,COLUMN($O$1),FALSE)*VLOOKUP($D43,素材!$1:$1016,COLUMN($E$1),FALSE)/(LEN(VLOOKUP($D43,素材!$1:$1016,COLUMN($F$1),FALSE))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BA43">
        <f>IF(ISNUMBER(SEARCH(SUBSTITUTE(BA$1,RIGHT(BA$1,2),""),VLOOKUP($D43,素材!$1:$1016,COLUMN($F$1),FALSE))),VLOOKUP($C43,武器!$1:$998,COLUMN($O$1),FALSE)*VLOOKUP($D43,素材!$1:$1016,COLUMN($E$1),FALSE)/(LEN(VLOOKUP($D43,素材!$1:$1016,COLUMN($F$1),FALSE))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BB43">
        <f>IF(ISNUMBER(SEARCH(SUBSTITUTE(BB$1,RIGHT(BB$1,2),""),VLOOKUP($D43,素材!$1:$1016,COLUMN($F$1),FALSE))),VLOOKUP($C43,武器!$1:$998,COLUMN($O$1),FALSE)*VLOOKUP($D43,素材!$1:$1016,COLUMN($E$1),FALSE)/(LEN(VLOOKUP($D43,素材!$1:$1016,COLUMN($F$1),FALSE))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BC43">
        <f>IF(ISNUMBER(SEARCH(SUBSTITUTE(BC$1,RIGHT(BC$1,2),""),VLOOKUP($D43,素材!$1:$1016,COLUMN($F$1),FALSE))),VLOOKUP($C43,武器!$1:$998,COLUMN($O$1),FALSE)*VLOOKUP($D43,素材!$1:$1016,COLUMN($E$1),FALSE)/(LEN(VLOOKUP($D43,素材!$1:$1016,COLUMN($F$1),FALSE))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BD43">
        <f>IF(ISNUMBER(SEARCH(SUBSTITUTE(BD$1,RIGHT(BD$1,2),""),VLOOKUP($D43,素材!$1:$1016,COLUMN($F$1),FALSE))),VLOOKUP($C43,武器!$1:$998,COLUMN($O$1),FALSE)*VLOOKUP($D43,素材!$1:$1016,COLUMN($E$1),FALSE)/(LEN(VLOOKUP($D43,素材!$1:$1016,COLUMN($F$1),FALSE))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BE43">
        <f>IF(ISNUMBER(SEARCH(SUBSTITUTE(BE$1,RIGHT(BE$1,2),""),VLOOKUP($D43,素材!$1:$1016,COLUMN($F$1),FALSE))),VLOOKUP($C43,武器!$1:$998,COLUMN($O$1),FALSE)*VLOOKUP($D43,素材!$1:$1016,COLUMN($E$1),FALSE)/(LEN(VLOOKUP($D43,素材!$1:$1016,COLUMN($F$1),FALSE))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BF43">
        <f>IF(ISNUMBER(SEARCH(SUBSTITUTE(BF$1,RIGHT(BF$1,2),""),VLOOKUP($D43,素材!$1:$1016,COLUMN($F$1),FALSE))),VLOOKUP($C43,武器!$1:$998,COLUMN($O$1),FALSE)*VLOOKUP($D43,素材!$1:$1016,COLUMN($E$1),FALSE)/(LEN(VLOOKUP($D43,素材!$1:$1016,COLUMN($F$1),FALSE)) - LEN(SUBSTITUTE(VLOOKUP($D43,素材!$1:$1016,COLUMN($F$1),FALSE), "・", 0)) + 1), 0)</f>
        <v>0</v>
      </c>
      <c r="CM43">
        <f t="shared" si="3"/>
        <v>17</v>
      </c>
      <c r="CN43" s="22" t="str">
        <f>IF(E43="武器",IF(J43-1&gt;SUM(G43:I43),"盾",IF(MAX(G43:I43)=G43,"切断",IF(MAX(G43:I43)=H43,"貫通",IF(MAX(G43:I43)=I43,"打撃","射撃")))),E43)&amp;".webp"</f>
        <v>切断.webp</v>
      </c>
      <c r="CO43">
        <f>IFERROR(VLOOKUP($C43,武器!$1:$998,COLUMN(V$1),FALSE)*VLOOKUP($D43,素材!$1:$1016,COLUMN(N$1),FALSE)+IF(CJ43="",0,VLOOKUP($CJ43,装強!$1:$1008,COLUMN($CL$1),FALSE)),"")</f>
        <v>200</v>
      </c>
      <c r="CP43" t="str">
        <f>VLOOKUP(D43,素材!$A:$O,COLUMN(素材!O$1),FALSE)</f>
        <v>一般的な木材。金属より軽いが少し脆い</v>
      </c>
      <c r="CQ43" t="str">
        <f>VLOOKUP(C43,武器!$A:$W,COLUMN(武器!W$1),FALSE)</f>
        <v>幅の広い剣。扱いにくいが攻撃と防御にも優れている。状況に合わせて立ち回ろう。</v>
      </c>
      <c r="CS43" t="str">
        <f t="shared" si="2"/>
        <v>e_43</v>
      </c>
      <c r="CT43">
        <f t="shared" si="4"/>
        <v>20000</v>
      </c>
    </row>
    <row r="44" spans="1:98" outlineLevel="1" x14ac:dyDescent="0.4">
      <c r="A44" t="str">
        <f t="shared" si="5"/>
        <v>木の長剣</v>
      </c>
      <c r="B44" t="str">
        <f>IFERROR(VLOOKUP($D44,素材!$1:$1016,COLUMN($B$1),FALSE)&amp;"・"&amp;VLOOKUP($C44,武器!$1:$998,COLUMN(B$1),FALSE),"")</f>
        <v>ウッド・ロングソード</v>
      </c>
      <c r="C44" s="24" t="s">
        <v>238</v>
      </c>
      <c r="D44" s="24" t="s">
        <v>255</v>
      </c>
      <c r="E44" t="str">
        <f>IFERROR(VLOOKUP(C44,武器!$1:$998,COLUMN(C$1),FALSE),"")</f>
        <v>武器</v>
      </c>
      <c r="F44">
        <f>IFERROR(ROUNDDOWN((VLOOKUP($C44,武器!$1:$998,COLUMN(D$1),FALSE)+IFERROR(VLOOKUP($CJ44,装強!$1:$999,COLUMN(F$1),FALSE),0))*VLOOKUP($D44,素材!$1:$1016,COLUMN(D$1),FALSE),0),"")</f>
        <v>86</v>
      </c>
      <c r="G44">
        <f>IFERROR(ROUNDDOWN((VLOOKUP($C44,武器!$1:$998,COLUMN(E$1),FALSE)+IFERROR(VLOOKUP($CJ44,装強!$1:$999,COLUMN(G$1),FALSE),0))*VLOOKUP($D44,素材!$1:$1016,COLUMN($E$1),FALSE),0),"")</f>
        <v>11</v>
      </c>
      <c r="H44">
        <f>IFERROR(ROUNDDOWN((VLOOKUP($C44,武器!$1:$998,COLUMN(F$1),FALSE)+IFERROR(VLOOKUP($CJ44,装強!$1:$999,COLUMN(H$1),FALSE),0))*VLOOKUP($D44,素材!$1:$1016,COLUMN($E$1),FALSE),0),"")</f>
        <v>6</v>
      </c>
      <c r="I44">
        <f>IFERROR(ROUNDDOWN((VLOOKUP($C44,武器!$1:$998,COLUMN(G$1),FALSE)+IFERROR(VLOOKUP($CJ44,装強!$1:$999,COLUMN(I$1),FALSE),0))*VLOOKUP($D44,素材!$1:$1016,COLUMN($E$1),FALSE),0),"")</f>
        <v>2</v>
      </c>
      <c r="J44">
        <f>IFERROR(ROUNDDOWN((VLOOKUP($C44,武器!$1:$998,COLUMN(H$1),FALSE)+IFERROR(VLOOKUP($CJ44,装強!$1:$999,COLUMN(J$1),FALSE),0))*VLOOKUP($D44,素材!$1:$1016,COLUMN($E$1),FALSE),0),"")</f>
        <v>15</v>
      </c>
      <c r="K44">
        <f>IFERROR(ROUNDDOWN((VLOOKUP($C44,武器!$1:$998,COLUMN(I$1),FALSE)+IFERROR(VLOOKUP($CJ44,装強!$1:$999,COLUMN(K$1),FALSE),0))*VLOOKUP($D44,素材!$1:$1016,COLUMN($E$1),FALSE),0),"")</f>
        <v>0</v>
      </c>
      <c r="L44">
        <f>IFERROR(VLOOKUP($D44,素材!$1:$1016,COLUMN($F$1),FALSE),"")</f>
        <v>0</v>
      </c>
      <c r="M44">
        <f>IFERROR(VLOOKUP($C44,武器!$1:$998,COLUMN(AA$1),FALSE)*VLOOKUP($D44,素材!$1:$1016,COLUMN($G$1),FALSE),"")</f>
        <v>0</v>
      </c>
      <c r="N44">
        <f>IFERROR(VLOOKUP($C44,武器!$1:$998,COLUMN(I$1),FALSE),"")</f>
        <v>0</v>
      </c>
      <c r="O44" s="23">
        <f>IFERROR((VLOOKUP($C44,武器!$1:$998,COLUMN(K$1),FALSE)+VLOOKUP($D44,素材!$1:$1016,COLUMN(H$1),FALSE))*100+IFERROR(VLOOKUP($CJ44,装強!$1:$999,COLUMN(O$1),FALSE),0),"")</f>
        <v>10</v>
      </c>
      <c r="P44" s="23">
        <f>IFERROR((VLOOKUP($C44,武器!$1:$998,COLUMN(L$1),FALSE)+VLOOKUP($D44,素材!$1:$1016,COLUMN(I$1),FALSE))*100+IFERROR(VLOOKUP($CJ44,装強!$1:$999,COLUMN(P$1),FALSE),0),"")</f>
        <v>150</v>
      </c>
      <c r="Q44">
        <f>IFERROR(ROUNDUP(VLOOKUP($C44,武器!$1:$998,COLUMN(M$1),FALSE)*(VLOOKUP($D44,素材!$1:$1002,COLUMN(D$1),FALSE)/100),1),"")</f>
        <v>-1.9000000000000001</v>
      </c>
      <c r="R44">
        <f>IFERROR(ROUNDUP(VLOOKUP($C44,武器!$1:$998,COLUMN(N$1),FALSE)*(VLOOKUP($D44,素材!$1:$1002,COLUMN(D$1),FALSE)/100),1),"")</f>
        <v>-1.9000000000000001</v>
      </c>
      <c r="S44">
        <f>IFERROR(VLOOKUP($C44,武器!$1:$998,COLUMN(P$1),FALSE),"")</f>
        <v>0</v>
      </c>
      <c r="T44">
        <f>IFERROR(VLOOKUP($C44,武器!$1:$998,COLUMN(Q$1),FALSE),"")</f>
        <v>0</v>
      </c>
      <c r="U44">
        <f>IFERROR(VLOOKUP($C44,武器!$1:$998,COLUMN(R$1),FALSE),"")</f>
        <v>0</v>
      </c>
      <c r="V44">
        <f>IFERROR(VLOOKUP($C44,武器!$1:$998,COLUMN(Q$1),FALSE),"")</f>
        <v>0</v>
      </c>
      <c r="W44" t="str">
        <f>IFERROR(VLOOKUP($C44,武器!$1:$998,COLUMN(T$1),FALSE),"")</f>
        <v>A</v>
      </c>
      <c r="Y44">
        <f>IFERROR(VLOOKUP($C44,武器!$1:$998,COLUMN(U$1),FALSE),"")</f>
        <v>0</v>
      </c>
      <c r="Z44">
        <f>IFERROR(ROUNDUP(VLOOKUP($C44,武器!$1:$998,COLUMN(O$1),FALSE)*VLOOKUP($D44,素材!$1:$1016,COLUMN(E$1),FALSE),1),"")</f>
        <v>0</v>
      </c>
      <c r="AA44">
        <f>IF(ISNUMBER(SEARCH(SUBSTITUTE(AA$1,RIGHT(AA$1,2),""),VLOOKUP($D44,素材!$1:$1016,COLUMN($F$1),FALSE))),VLOOKUP($C44,武器!$1:$998,COLUMN($O$1),FALSE)*VLOOKUP($D44,素材!$1:$1016,COLUMN($E$1),FALSE)/(LEN(VLOOKUP($D44,素材!$1:$1016,COLUMN($F$1),FALSE))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B44">
        <f>IF(ISNUMBER(SEARCH(SUBSTITUTE(AB$1,RIGHT(AB$1,2),""),VLOOKUP($D44,素材!$1:$1016,COLUMN($F$1),FALSE))),VLOOKUP($C44,武器!$1:$998,COLUMN($O$1),FALSE)*VLOOKUP($D44,素材!$1:$1016,COLUMN($E$1),FALSE)/(LEN(VLOOKUP($D44,素材!$1:$1016,COLUMN($F$1),FALSE))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C44">
        <f>IF(ISNUMBER(SEARCH(SUBSTITUTE(AC$1,RIGHT(AC$1,2),""),VLOOKUP($D44,素材!$1:$1016,COLUMN($F$1),FALSE))),VLOOKUP($C44,武器!$1:$998,COLUMN($O$1),FALSE)*VLOOKUP($D44,素材!$1:$1016,COLUMN($E$1),FALSE)/(LEN(VLOOKUP($D44,素材!$1:$1016,COLUMN($F$1),FALSE))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D44">
        <f>IF(ISNUMBER(SEARCH(SUBSTITUTE(AD$1,RIGHT(AD$1,2),""),VLOOKUP($D44,素材!$1:$1016,COLUMN($F$1),FALSE))),VLOOKUP($C44,武器!$1:$998,COLUMN($O$1),FALSE)*VLOOKUP($D44,素材!$1:$1016,COLUMN($E$1),FALSE)/(LEN(VLOOKUP($D44,素材!$1:$1016,COLUMN($F$1),FALSE))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E44">
        <f>IF(ISNUMBER(SEARCH(SUBSTITUTE(AE$1,RIGHT(AE$1,2),""),VLOOKUP($D44,素材!$1:$1016,COLUMN($F$1),FALSE))),VLOOKUP($C44,武器!$1:$998,COLUMN($O$1),FALSE)*VLOOKUP($D44,素材!$1:$1016,COLUMN($E$1),FALSE)/(LEN(VLOOKUP($D44,素材!$1:$1016,COLUMN($F$1),FALSE))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F44">
        <f>IF(ISNUMBER(SEARCH(SUBSTITUTE(AF$1,RIGHT(AF$1,2),""),VLOOKUP($D44,素材!$1:$1016,COLUMN($F$1),FALSE))),VLOOKUP($C44,武器!$1:$998,COLUMN($O$1),FALSE)*VLOOKUP($D44,素材!$1:$1016,COLUMN($E$1),FALSE)/(LEN(VLOOKUP($D44,素材!$1:$1016,COLUMN($F$1),FALSE))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G44">
        <f>IF(ISNUMBER(SEARCH(SUBSTITUTE(AG$1,RIGHT(AG$1,2),""),VLOOKUP($D44,素材!$1:$1016,COLUMN($F$1),FALSE))),VLOOKUP($C44,武器!$1:$998,COLUMN($O$1),FALSE)*VLOOKUP($D44,素材!$1:$1016,COLUMN($E$1),FALSE)/(LEN(VLOOKUP($D44,素材!$1:$1016,COLUMN($F$1),FALSE))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H44">
        <f>IF(ISNUMBER(SEARCH(SUBSTITUTE(AH$1,RIGHT(AH$1,2),""),VLOOKUP($D44,素材!$1:$1016,COLUMN($F$1),FALSE))),VLOOKUP($C44,武器!$1:$998,COLUMN($O$1),FALSE)*VLOOKUP($D44,素材!$1:$1016,COLUMN($E$1),FALSE)/(LEN(VLOOKUP($D44,素材!$1:$1016,COLUMN($F$1),FALSE))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I44">
        <f>IF(ISNUMBER(SEARCH(SUBSTITUTE(AI$1,RIGHT(AI$1,2),""),VLOOKUP($D44,素材!$1:$1016,COLUMN($F$1),FALSE))),VLOOKUP($C44,武器!$1:$998,COLUMN($O$1),FALSE)*VLOOKUP($D44,素材!$1:$1016,COLUMN($E$1),FALSE)/(LEN(VLOOKUP($D44,素材!$1:$1016,COLUMN($F$1),FALSE))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J44">
        <f>IF(ISNUMBER(SEARCH(SUBSTITUTE(AJ$1,RIGHT(AJ$1,2),""),VLOOKUP($D44,素材!$1:$1016,COLUMN($F$1),FALSE))),VLOOKUP($C44,武器!$1:$998,COLUMN($O$1),FALSE)*VLOOKUP($D44,素材!$1:$1016,COLUMN($E$1),FALSE)/(LEN(VLOOKUP($D44,素材!$1:$1016,COLUMN($F$1),FALSE))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K44">
        <f>IF(ISNUMBER(SEARCH(SUBSTITUTE(AK$1,RIGHT(AK$1,2),""),VLOOKUP($D44,素材!$1:$1016,COLUMN($F$1),FALSE))),VLOOKUP($C44,武器!$1:$998,COLUMN($O$1),FALSE)*VLOOKUP($D44,素材!$1:$1016,COLUMN($E$1),FALSE)/(LEN(VLOOKUP($D44,素材!$1:$1016,COLUMN($F$1),FALSE))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L44">
        <f>IF(ISNUMBER(SEARCH(SUBSTITUTE(AL$1,RIGHT(AL$1,2),""),VLOOKUP($D44,素材!$1:$1016,COLUMN($F$1),FALSE))),VLOOKUP($C44,武器!$1:$998,COLUMN($O$1),FALSE)*VLOOKUP($D44,素材!$1:$1016,COLUMN($E$1),FALSE)/(LEN(VLOOKUP($D44,素材!$1:$1016,COLUMN($F$1),FALSE))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M44">
        <f>IF(ISNUMBER(SEARCH(SUBSTITUTE(AM$1,RIGHT(AM$1,2),""),VLOOKUP($D44,素材!$1:$1016,COLUMN($F$1),FALSE))),VLOOKUP($C44,武器!$1:$998,COLUMN($O$1),FALSE)*VLOOKUP($D44,素材!$1:$1016,COLUMN($E$1),FALSE)/(LEN(VLOOKUP($D44,素材!$1:$1016,COLUMN($F$1),FALSE))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N44">
        <f>IF(ISNUMBER(SEARCH(SUBSTITUTE(AN$1,RIGHT(AN$1,2),""),VLOOKUP($D44,素材!$1:$1016,COLUMN($F$1),FALSE))),VLOOKUP($C44,武器!$1:$998,COLUMN($O$1),FALSE)*VLOOKUP($D44,素材!$1:$1016,COLUMN($E$1),FALSE)/(LEN(VLOOKUP($D44,素材!$1:$1016,COLUMN($F$1),FALSE))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O44">
        <f>IF(ISNUMBER(SEARCH(SUBSTITUTE(AO$1,RIGHT(AO$1,2),""),VLOOKUP($D44,素材!$1:$1016,COLUMN($F$1),FALSE))),VLOOKUP($C44,武器!$1:$998,COLUMN($O$1),FALSE)*VLOOKUP($D44,素材!$1:$1016,COLUMN($E$1),FALSE)/(LEN(VLOOKUP($D44,素材!$1:$1016,COLUMN($F$1),FALSE))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P44">
        <f>IF(ISNUMBER(SEARCH(SUBSTITUTE(AP$1,RIGHT(AP$1,2),""),VLOOKUP($D44,素材!$1:$1016,COLUMN($F$1),FALSE))),VLOOKUP($C44,武器!$1:$998,COLUMN($O$1),FALSE)*VLOOKUP($D44,素材!$1:$1016,COLUMN($E$1),FALSE)/(LEN(VLOOKUP($D44,素材!$1:$1016,COLUMN($F$1),FALSE))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Q44">
        <f>IF(ISNUMBER(SEARCH(SUBSTITUTE(AQ$1,RIGHT(AQ$1,2),""),VLOOKUP($D44,素材!$1:$1016,COLUMN($F$1),FALSE))),VLOOKUP($C44,武器!$1:$998,COLUMN($O$1),FALSE)*VLOOKUP($D44,素材!$1:$1016,COLUMN($E$1),FALSE)/(LEN(VLOOKUP($D44,素材!$1:$1016,COLUMN($F$1),FALSE))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R44">
        <f>IF(ISNUMBER(SEARCH(SUBSTITUTE(AR$1,RIGHT(AR$1,2),""),VLOOKUP($D44,素材!$1:$1016,COLUMN($F$1),FALSE))),VLOOKUP($C44,武器!$1:$998,COLUMN($O$1),FALSE)*VLOOKUP($D44,素材!$1:$1016,COLUMN($E$1),FALSE)/(LEN(VLOOKUP($D44,素材!$1:$1016,COLUMN($F$1),FALSE))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S44">
        <f>IF(ISNUMBER(SEARCH(SUBSTITUTE(AS$1,RIGHT(AS$1,2),""),VLOOKUP($D44,素材!$1:$1016,COLUMN($F$1),FALSE))),VLOOKUP($C44,武器!$1:$998,COLUMN($O$1),FALSE)*VLOOKUP($D44,素材!$1:$1016,COLUMN($E$1),FALSE)/(LEN(VLOOKUP($D44,素材!$1:$1016,COLUMN($F$1),FALSE))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T44">
        <f>IF(ISNUMBER(SEARCH(SUBSTITUTE(AT$1,RIGHT(AT$1,2),""),VLOOKUP($D44,素材!$1:$1016,COLUMN($F$1),FALSE))),VLOOKUP($C44,武器!$1:$998,COLUMN($O$1),FALSE)*VLOOKUP($D44,素材!$1:$1016,COLUMN($E$1),FALSE)/(LEN(VLOOKUP($D44,素材!$1:$1016,COLUMN($F$1),FALSE))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U44">
        <f>IF(ISNUMBER(SEARCH(SUBSTITUTE(AU$1,RIGHT(AU$1,2),""),VLOOKUP($D44,素材!$1:$1016,COLUMN($F$1),FALSE))),VLOOKUP($C44,武器!$1:$998,COLUMN($O$1),FALSE)*VLOOKUP($D44,素材!$1:$1016,COLUMN($E$1),FALSE)/(LEN(VLOOKUP($D44,素材!$1:$1016,COLUMN($F$1),FALSE))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V44">
        <f>IF(ISNUMBER(SEARCH(SUBSTITUTE(AV$1,RIGHT(AV$1,2),""),VLOOKUP($D44,素材!$1:$1016,COLUMN($F$1),FALSE))),VLOOKUP($C44,武器!$1:$998,COLUMN($O$1),FALSE)*VLOOKUP($D44,素材!$1:$1016,COLUMN($E$1),FALSE)/(LEN(VLOOKUP($D44,素材!$1:$1016,COLUMN($F$1),FALSE))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W44">
        <f>IF(ISNUMBER(SEARCH(SUBSTITUTE(AW$1,RIGHT(AW$1,2),""),VLOOKUP($D44,素材!$1:$1016,COLUMN($F$1),FALSE))),VLOOKUP($C44,武器!$1:$998,COLUMN($O$1),FALSE)*VLOOKUP($D44,素材!$1:$1016,COLUMN($E$1),FALSE)/(LEN(VLOOKUP($D44,素材!$1:$1016,COLUMN($F$1),FALSE))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X44">
        <f>IF(ISNUMBER(SEARCH(SUBSTITUTE(AX$1,RIGHT(AX$1,2),""),VLOOKUP($D44,素材!$1:$1016,COLUMN($F$1),FALSE))),VLOOKUP($C44,武器!$1:$998,COLUMN($O$1),FALSE)*VLOOKUP($D44,素材!$1:$1016,COLUMN($E$1),FALSE)/(LEN(VLOOKUP($D44,素材!$1:$1016,COLUMN($F$1),FALSE))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Y44">
        <f>IF(ISNUMBER(SEARCH(SUBSTITUTE(AY$1,RIGHT(AY$1,2),""),VLOOKUP($D44,素材!$1:$1016,COLUMN($F$1),FALSE))),VLOOKUP($C44,武器!$1:$998,COLUMN($O$1),FALSE)*VLOOKUP($D44,素材!$1:$1016,COLUMN($E$1),FALSE)/(LEN(VLOOKUP($D44,素材!$1:$1016,COLUMN($F$1),FALSE))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AZ44">
        <f>IF(ISNUMBER(SEARCH(SUBSTITUTE(AZ$1,RIGHT(AZ$1,2),""),VLOOKUP($D44,素材!$1:$1016,COLUMN($F$1),FALSE))),VLOOKUP($C44,武器!$1:$998,COLUMN($O$1),FALSE)*VLOOKUP($D44,素材!$1:$1016,COLUMN($E$1),FALSE)/(LEN(VLOOKUP($D44,素材!$1:$1016,COLUMN($F$1),FALSE))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BA44">
        <f>IF(ISNUMBER(SEARCH(SUBSTITUTE(BA$1,RIGHT(BA$1,2),""),VLOOKUP($D44,素材!$1:$1016,COLUMN($F$1),FALSE))),VLOOKUP($C44,武器!$1:$998,COLUMN($O$1),FALSE)*VLOOKUP($D44,素材!$1:$1016,COLUMN($E$1),FALSE)/(LEN(VLOOKUP($D44,素材!$1:$1016,COLUMN($F$1),FALSE))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BB44">
        <f>IF(ISNUMBER(SEARCH(SUBSTITUTE(BB$1,RIGHT(BB$1,2),""),VLOOKUP($D44,素材!$1:$1016,COLUMN($F$1),FALSE))),VLOOKUP($C44,武器!$1:$998,COLUMN($O$1),FALSE)*VLOOKUP($D44,素材!$1:$1016,COLUMN($E$1),FALSE)/(LEN(VLOOKUP($D44,素材!$1:$1016,COLUMN($F$1),FALSE))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BC44">
        <f>IF(ISNUMBER(SEARCH(SUBSTITUTE(BC$1,RIGHT(BC$1,2),""),VLOOKUP($D44,素材!$1:$1016,COLUMN($F$1),FALSE))),VLOOKUP($C44,武器!$1:$998,COLUMN($O$1),FALSE)*VLOOKUP($D44,素材!$1:$1016,COLUMN($E$1),FALSE)/(LEN(VLOOKUP($D44,素材!$1:$1016,COLUMN($F$1),FALSE))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BD44">
        <f>IF(ISNUMBER(SEARCH(SUBSTITUTE(BD$1,RIGHT(BD$1,2),""),VLOOKUP($D44,素材!$1:$1016,COLUMN($F$1),FALSE))),VLOOKUP($C44,武器!$1:$998,COLUMN($O$1),FALSE)*VLOOKUP($D44,素材!$1:$1016,COLUMN($E$1),FALSE)/(LEN(VLOOKUP($D44,素材!$1:$1016,COLUMN($F$1),FALSE))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BE44">
        <f>IF(ISNUMBER(SEARCH(SUBSTITUTE(BE$1,RIGHT(BE$1,2),""),VLOOKUP($D44,素材!$1:$1016,COLUMN($F$1),FALSE))),VLOOKUP($C44,武器!$1:$998,COLUMN($O$1),FALSE)*VLOOKUP($D44,素材!$1:$1016,COLUMN($E$1),FALSE)/(LEN(VLOOKUP($D44,素材!$1:$1016,COLUMN($F$1),FALSE))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BF44">
        <f>IF(ISNUMBER(SEARCH(SUBSTITUTE(BF$1,RIGHT(BF$1,2),""),VLOOKUP($D44,素材!$1:$1016,COLUMN($F$1),FALSE))),VLOOKUP($C44,武器!$1:$998,COLUMN($O$1),FALSE)*VLOOKUP($D44,素材!$1:$1016,COLUMN($E$1),FALSE)/(LEN(VLOOKUP($D44,素材!$1:$1016,COLUMN($F$1),FALSE)) - LEN(SUBSTITUTE(VLOOKUP($D44,素材!$1:$1016,COLUMN($F$1),FALSE), "・", 0)) + 1), 0)</f>
        <v>0</v>
      </c>
      <c r="CM44">
        <f t="shared" si="3"/>
        <v>19</v>
      </c>
      <c r="CN44" s="22" t="str">
        <f>IF(E44="武器",IF(J44-1&gt;SUM(G44:I44),"盾",IF(MAX(G44:I44)=G44,"切断",IF(MAX(G44:I44)=H44,"貫通",IF(MAX(G44:I44)=I44,"打撃","射撃")))),E44)&amp;".webp"</f>
        <v>切断.webp</v>
      </c>
      <c r="CO44">
        <f>IFERROR(VLOOKUP($C44,武器!$1:$998,COLUMN(V$1),FALSE)*VLOOKUP($D44,素材!$1:$1016,COLUMN(N$1),FALSE)+IF(CJ44="",0,VLOOKUP($CJ44,装強!$1:$1008,COLUMN($CL$1),FALSE)),"")</f>
        <v>200</v>
      </c>
      <c r="CP44" t="str">
        <f>VLOOKUP(D44,素材!$A:$O,COLUMN(素材!O$1),FALSE)</f>
        <v>一般的な木材。金属より軽いが少し脆い</v>
      </c>
      <c r="CQ44" t="str">
        <f>VLOOKUP(C44,武器!$A:$W,COLUMN(武器!W$1),FALSE)</f>
        <v>長剣。長く重い分扱いにくいが威力が高い。</v>
      </c>
      <c r="CS44" t="str">
        <f t="shared" si="2"/>
        <v>e_44</v>
      </c>
      <c r="CT44">
        <f t="shared" si="4"/>
        <v>20000</v>
      </c>
    </row>
    <row r="45" spans="1:98" outlineLevel="1" x14ac:dyDescent="0.4">
      <c r="A45" t="str">
        <f t="shared" si="5"/>
        <v>木の大剣</v>
      </c>
      <c r="B45" t="str">
        <f>IFERROR(VLOOKUP($D45,素材!$1:$1016,COLUMN($B$1),FALSE)&amp;"・"&amp;VLOOKUP($C45,武器!$1:$998,COLUMN(B$1),FALSE),"")</f>
        <v>ウッド・バスターソード</v>
      </c>
      <c r="C45" s="24" t="s">
        <v>237</v>
      </c>
      <c r="D45" s="24" t="s">
        <v>255</v>
      </c>
      <c r="E45" t="str">
        <f>IFERROR(VLOOKUP(C45,武器!$1:$998,COLUMN(C$1),FALSE),"")</f>
        <v>武器</v>
      </c>
      <c r="F45">
        <f>IFERROR(ROUNDDOWN((VLOOKUP($C45,武器!$1:$998,COLUMN(D$1),FALSE)+IFERROR(VLOOKUP($CJ45,装強!$1:$999,COLUMN(F$1),FALSE),0))*VLOOKUP($D45,素材!$1:$1016,COLUMN(D$1),FALSE),0),"")</f>
        <v>93</v>
      </c>
      <c r="G45">
        <f>IFERROR(ROUNDDOWN((VLOOKUP($C45,武器!$1:$998,COLUMN(E$1),FALSE)+IFERROR(VLOOKUP($CJ45,装強!$1:$999,COLUMN(G$1),FALSE),0))*VLOOKUP($D45,素材!$1:$1016,COLUMN($E$1),FALSE),0),"")</f>
        <v>13</v>
      </c>
      <c r="H45">
        <f>IFERROR(ROUNDDOWN((VLOOKUP($C45,武器!$1:$998,COLUMN(F$1),FALSE)+IFERROR(VLOOKUP($CJ45,装強!$1:$999,COLUMN(H$1),FALSE),0))*VLOOKUP($D45,素材!$1:$1016,COLUMN($E$1),FALSE),0),"")</f>
        <v>6</v>
      </c>
      <c r="I45">
        <f>IFERROR(ROUNDDOWN((VLOOKUP($C45,武器!$1:$998,COLUMN(G$1),FALSE)+IFERROR(VLOOKUP($CJ45,装強!$1:$999,COLUMN(I$1),FALSE),0))*VLOOKUP($D45,素材!$1:$1016,COLUMN($E$1),FALSE),0),"")</f>
        <v>3</v>
      </c>
      <c r="J45">
        <f>IFERROR(ROUNDDOWN((VLOOKUP($C45,武器!$1:$998,COLUMN(H$1),FALSE)+IFERROR(VLOOKUP($CJ45,装強!$1:$999,COLUMN(J$1),FALSE),0))*VLOOKUP($D45,素材!$1:$1016,COLUMN($E$1),FALSE),0),"")</f>
        <v>16</v>
      </c>
      <c r="K45">
        <f>IFERROR(ROUNDDOWN((VLOOKUP($C45,武器!$1:$998,COLUMN(I$1),FALSE)+IFERROR(VLOOKUP($CJ45,装強!$1:$999,COLUMN(K$1),FALSE),0))*VLOOKUP($D45,素材!$1:$1016,COLUMN($E$1),FALSE),0),"")</f>
        <v>0</v>
      </c>
      <c r="L45">
        <f>IFERROR(VLOOKUP($D45,素材!$1:$1016,COLUMN($F$1),FALSE),"")</f>
        <v>0</v>
      </c>
      <c r="M45">
        <f>IFERROR(VLOOKUP($C45,武器!$1:$998,COLUMN(AA$1),FALSE)*VLOOKUP($D45,素材!$1:$1016,COLUMN($G$1),FALSE),"")</f>
        <v>0</v>
      </c>
      <c r="N45">
        <f>IFERROR(VLOOKUP($C45,武器!$1:$998,COLUMN(I$1),FALSE),"")</f>
        <v>0</v>
      </c>
      <c r="O45" s="23">
        <f>IFERROR((VLOOKUP($C45,武器!$1:$998,COLUMN(K$1),FALSE)+VLOOKUP($D45,素材!$1:$1016,COLUMN(H$1),FALSE))*100+IFERROR(VLOOKUP($CJ45,装強!$1:$999,COLUMN(O$1),FALSE),0),"")</f>
        <v>10</v>
      </c>
      <c r="P45" s="23">
        <f>IFERROR((VLOOKUP($C45,武器!$1:$998,COLUMN(L$1),FALSE)+VLOOKUP($D45,素材!$1:$1016,COLUMN(I$1),FALSE))*100+IFERROR(VLOOKUP($CJ45,装強!$1:$999,COLUMN(P$1),FALSE),0),"")</f>
        <v>150</v>
      </c>
      <c r="Q45">
        <f>IFERROR(ROUNDUP(VLOOKUP($C45,武器!$1:$998,COLUMN(M$1),FALSE)*(VLOOKUP($D45,素材!$1:$1002,COLUMN(D$1),FALSE)/100),1),"")</f>
        <v>-5.6999999999999993</v>
      </c>
      <c r="R45">
        <f>IFERROR(ROUNDUP(VLOOKUP($C45,武器!$1:$998,COLUMN(N$1),FALSE)*(VLOOKUP($D45,素材!$1:$1002,COLUMN(D$1),FALSE)/100),1),"")</f>
        <v>-5.6999999999999993</v>
      </c>
      <c r="S45">
        <f>IFERROR(VLOOKUP($C45,武器!$1:$998,COLUMN(P$1),FALSE),"")</f>
        <v>0</v>
      </c>
      <c r="T45">
        <f>IFERROR(VLOOKUP($C45,武器!$1:$998,COLUMN(Q$1),FALSE),"")</f>
        <v>0</v>
      </c>
      <c r="U45">
        <f>IFERROR(VLOOKUP($C45,武器!$1:$998,COLUMN(R$1),FALSE),"")</f>
        <v>0</v>
      </c>
      <c r="V45">
        <f>IFERROR(VLOOKUP($C45,武器!$1:$998,COLUMN(Q$1),FALSE),"")</f>
        <v>0</v>
      </c>
      <c r="W45" t="str">
        <f>IFERROR(VLOOKUP($C45,武器!$1:$998,COLUMN(T$1),FALSE),"")</f>
        <v>A</v>
      </c>
      <c r="Y45">
        <f>IFERROR(VLOOKUP($C45,武器!$1:$998,COLUMN(U$1),FALSE),"")</f>
        <v>0</v>
      </c>
      <c r="Z45">
        <f>IFERROR(ROUNDUP(VLOOKUP($C45,武器!$1:$998,COLUMN(O$1),FALSE)*VLOOKUP($D45,素材!$1:$1016,COLUMN(E$1),FALSE),1),"")</f>
        <v>0</v>
      </c>
      <c r="AA45">
        <f>IF(ISNUMBER(SEARCH(SUBSTITUTE(AA$1,RIGHT(AA$1,2),""),VLOOKUP($D45,素材!$1:$1016,COLUMN($F$1),FALSE))),VLOOKUP($C45,武器!$1:$998,COLUMN($O$1),FALSE)*VLOOKUP($D45,素材!$1:$1016,COLUMN($E$1),FALSE)/(LEN(VLOOKUP($D45,素材!$1:$1016,COLUMN($F$1),FALSE))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B45">
        <f>IF(ISNUMBER(SEARCH(SUBSTITUTE(AB$1,RIGHT(AB$1,2),""),VLOOKUP($D45,素材!$1:$1016,COLUMN($F$1),FALSE))),VLOOKUP($C45,武器!$1:$998,COLUMN($O$1),FALSE)*VLOOKUP($D45,素材!$1:$1016,COLUMN($E$1),FALSE)/(LEN(VLOOKUP($D45,素材!$1:$1016,COLUMN($F$1),FALSE))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C45">
        <f>IF(ISNUMBER(SEARCH(SUBSTITUTE(AC$1,RIGHT(AC$1,2),""),VLOOKUP($D45,素材!$1:$1016,COLUMN($F$1),FALSE))),VLOOKUP($C45,武器!$1:$998,COLUMN($O$1),FALSE)*VLOOKUP($D45,素材!$1:$1016,COLUMN($E$1),FALSE)/(LEN(VLOOKUP($D45,素材!$1:$1016,COLUMN($F$1),FALSE))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D45">
        <f>IF(ISNUMBER(SEARCH(SUBSTITUTE(AD$1,RIGHT(AD$1,2),""),VLOOKUP($D45,素材!$1:$1016,COLUMN($F$1),FALSE))),VLOOKUP($C45,武器!$1:$998,COLUMN($O$1),FALSE)*VLOOKUP($D45,素材!$1:$1016,COLUMN($E$1),FALSE)/(LEN(VLOOKUP($D45,素材!$1:$1016,COLUMN($F$1),FALSE))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E45">
        <f>IF(ISNUMBER(SEARCH(SUBSTITUTE(AE$1,RIGHT(AE$1,2),""),VLOOKUP($D45,素材!$1:$1016,COLUMN($F$1),FALSE))),VLOOKUP($C45,武器!$1:$998,COLUMN($O$1),FALSE)*VLOOKUP($D45,素材!$1:$1016,COLUMN($E$1),FALSE)/(LEN(VLOOKUP($D45,素材!$1:$1016,COLUMN($F$1),FALSE))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F45">
        <f>IF(ISNUMBER(SEARCH(SUBSTITUTE(AF$1,RIGHT(AF$1,2),""),VLOOKUP($D45,素材!$1:$1016,COLUMN($F$1),FALSE))),VLOOKUP($C45,武器!$1:$998,COLUMN($O$1),FALSE)*VLOOKUP($D45,素材!$1:$1016,COLUMN($E$1),FALSE)/(LEN(VLOOKUP($D45,素材!$1:$1016,COLUMN($F$1),FALSE))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G45">
        <f>IF(ISNUMBER(SEARCH(SUBSTITUTE(AG$1,RIGHT(AG$1,2),""),VLOOKUP($D45,素材!$1:$1016,COLUMN($F$1),FALSE))),VLOOKUP($C45,武器!$1:$998,COLUMN($O$1),FALSE)*VLOOKUP($D45,素材!$1:$1016,COLUMN($E$1),FALSE)/(LEN(VLOOKUP($D45,素材!$1:$1016,COLUMN($F$1),FALSE))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H45">
        <f>IF(ISNUMBER(SEARCH(SUBSTITUTE(AH$1,RIGHT(AH$1,2),""),VLOOKUP($D45,素材!$1:$1016,COLUMN($F$1),FALSE))),VLOOKUP($C45,武器!$1:$998,COLUMN($O$1),FALSE)*VLOOKUP($D45,素材!$1:$1016,COLUMN($E$1),FALSE)/(LEN(VLOOKUP($D45,素材!$1:$1016,COLUMN($F$1),FALSE))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I45">
        <f>IF(ISNUMBER(SEARCH(SUBSTITUTE(AI$1,RIGHT(AI$1,2),""),VLOOKUP($D45,素材!$1:$1016,COLUMN($F$1),FALSE))),VLOOKUP($C45,武器!$1:$998,COLUMN($O$1),FALSE)*VLOOKUP($D45,素材!$1:$1016,COLUMN($E$1),FALSE)/(LEN(VLOOKUP($D45,素材!$1:$1016,COLUMN($F$1),FALSE))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J45">
        <f>IF(ISNUMBER(SEARCH(SUBSTITUTE(AJ$1,RIGHT(AJ$1,2),""),VLOOKUP($D45,素材!$1:$1016,COLUMN($F$1),FALSE))),VLOOKUP($C45,武器!$1:$998,COLUMN($O$1),FALSE)*VLOOKUP($D45,素材!$1:$1016,COLUMN($E$1),FALSE)/(LEN(VLOOKUP($D45,素材!$1:$1016,COLUMN($F$1),FALSE))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K45">
        <f>IF(ISNUMBER(SEARCH(SUBSTITUTE(AK$1,RIGHT(AK$1,2),""),VLOOKUP($D45,素材!$1:$1016,COLUMN($F$1),FALSE))),VLOOKUP($C45,武器!$1:$998,COLUMN($O$1),FALSE)*VLOOKUP($D45,素材!$1:$1016,COLUMN($E$1),FALSE)/(LEN(VLOOKUP($D45,素材!$1:$1016,COLUMN($F$1),FALSE))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L45">
        <f>IF(ISNUMBER(SEARCH(SUBSTITUTE(AL$1,RIGHT(AL$1,2),""),VLOOKUP($D45,素材!$1:$1016,COLUMN($F$1),FALSE))),VLOOKUP($C45,武器!$1:$998,COLUMN($O$1),FALSE)*VLOOKUP($D45,素材!$1:$1016,COLUMN($E$1),FALSE)/(LEN(VLOOKUP($D45,素材!$1:$1016,COLUMN($F$1),FALSE))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M45">
        <f>IF(ISNUMBER(SEARCH(SUBSTITUTE(AM$1,RIGHT(AM$1,2),""),VLOOKUP($D45,素材!$1:$1016,COLUMN($F$1),FALSE))),VLOOKUP($C45,武器!$1:$998,COLUMN($O$1),FALSE)*VLOOKUP($D45,素材!$1:$1016,COLUMN($E$1),FALSE)/(LEN(VLOOKUP($D45,素材!$1:$1016,COLUMN($F$1),FALSE))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N45">
        <f>IF(ISNUMBER(SEARCH(SUBSTITUTE(AN$1,RIGHT(AN$1,2),""),VLOOKUP($D45,素材!$1:$1016,COLUMN($F$1),FALSE))),VLOOKUP($C45,武器!$1:$998,COLUMN($O$1),FALSE)*VLOOKUP($D45,素材!$1:$1016,COLUMN($E$1),FALSE)/(LEN(VLOOKUP($D45,素材!$1:$1016,COLUMN($F$1),FALSE))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O45">
        <f>IF(ISNUMBER(SEARCH(SUBSTITUTE(AO$1,RIGHT(AO$1,2),""),VLOOKUP($D45,素材!$1:$1016,COLUMN($F$1),FALSE))),VLOOKUP($C45,武器!$1:$998,COLUMN($O$1),FALSE)*VLOOKUP($D45,素材!$1:$1016,COLUMN($E$1),FALSE)/(LEN(VLOOKUP($D45,素材!$1:$1016,COLUMN($F$1),FALSE))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P45">
        <f>IF(ISNUMBER(SEARCH(SUBSTITUTE(AP$1,RIGHT(AP$1,2),""),VLOOKUP($D45,素材!$1:$1016,COLUMN($F$1),FALSE))),VLOOKUP($C45,武器!$1:$998,COLUMN($O$1),FALSE)*VLOOKUP($D45,素材!$1:$1016,COLUMN($E$1),FALSE)/(LEN(VLOOKUP($D45,素材!$1:$1016,COLUMN($F$1),FALSE))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Q45">
        <f>IF(ISNUMBER(SEARCH(SUBSTITUTE(AQ$1,RIGHT(AQ$1,2),""),VLOOKUP($D45,素材!$1:$1016,COLUMN($F$1),FALSE))),VLOOKUP($C45,武器!$1:$998,COLUMN($O$1),FALSE)*VLOOKUP($D45,素材!$1:$1016,COLUMN($E$1),FALSE)/(LEN(VLOOKUP($D45,素材!$1:$1016,COLUMN($F$1),FALSE))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R45">
        <f>IF(ISNUMBER(SEARCH(SUBSTITUTE(AR$1,RIGHT(AR$1,2),""),VLOOKUP($D45,素材!$1:$1016,COLUMN($F$1),FALSE))),VLOOKUP($C45,武器!$1:$998,COLUMN($O$1),FALSE)*VLOOKUP($D45,素材!$1:$1016,COLUMN($E$1),FALSE)/(LEN(VLOOKUP($D45,素材!$1:$1016,COLUMN($F$1),FALSE))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S45">
        <f>IF(ISNUMBER(SEARCH(SUBSTITUTE(AS$1,RIGHT(AS$1,2),""),VLOOKUP($D45,素材!$1:$1016,COLUMN($F$1),FALSE))),VLOOKUP($C45,武器!$1:$998,COLUMN($O$1),FALSE)*VLOOKUP($D45,素材!$1:$1016,COLUMN($E$1),FALSE)/(LEN(VLOOKUP($D45,素材!$1:$1016,COLUMN($F$1),FALSE))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T45">
        <f>IF(ISNUMBER(SEARCH(SUBSTITUTE(AT$1,RIGHT(AT$1,2),""),VLOOKUP($D45,素材!$1:$1016,COLUMN($F$1),FALSE))),VLOOKUP($C45,武器!$1:$998,COLUMN($O$1),FALSE)*VLOOKUP($D45,素材!$1:$1016,COLUMN($E$1),FALSE)/(LEN(VLOOKUP($D45,素材!$1:$1016,COLUMN($F$1),FALSE))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U45">
        <f>IF(ISNUMBER(SEARCH(SUBSTITUTE(AU$1,RIGHT(AU$1,2),""),VLOOKUP($D45,素材!$1:$1016,COLUMN($F$1),FALSE))),VLOOKUP($C45,武器!$1:$998,COLUMN($O$1),FALSE)*VLOOKUP($D45,素材!$1:$1016,COLUMN($E$1),FALSE)/(LEN(VLOOKUP($D45,素材!$1:$1016,COLUMN($F$1),FALSE))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V45">
        <f>IF(ISNUMBER(SEARCH(SUBSTITUTE(AV$1,RIGHT(AV$1,2),""),VLOOKUP($D45,素材!$1:$1016,COLUMN($F$1),FALSE))),VLOOKUP($C45,武器!$1:$998,COLUMN($O$1),FALSE)*VLOOKUP($D45,素材!$1:$1016,COLUMN($E$1),FALSE)/(LEN(VLOOKUP($D45,素材!$1:$1016,COLUMN($F$1),FALSE))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W45">
        <f>IF(ISNUMBER(SEARCH(SUBSTITUTE(AW$1,RIGHT(AW$1,2),""),VLOOKUP($D45,素材!$1:$1016,COLUMN($F$1),FALSE))),VLOOKUP($C45,武器!$1:$998,COLUMN($O$1),FALSE)*VLOOKUP($D45,素材!$1:$1016,COLUMN($E$1),FALSE)/(LEN(VLOOKUP($D45,素材!$1:$1016,COLUMN($F$1),FALSE))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X45">
        <f>IF(ISNUMBER(SEARCH(SUBSTITUTE(AX$1,RIGHT(AX$1,2),""),VLOOKUP($D45,素材!$1:$1016,COLUMN($F$1),FALSE))),VLOOKUP($C45,武器!$1:$998,COLUMN($O$1),FALSE)*VLOOKUP($D45,素材!$1:$1016,COLUMN($E$1),FALSE)/(LEN(VLOOKUP($D45,素材!$1:$1016,COLUMN($F$1),FALSE))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Y45">
        <f>IF(ISNUMBER(SEARCH(SUBSTITUTE(AY$1,RIGHT(AY$1,2),""),VLOOKUP($D45,素材!$1:$1016,COLUMN($F$1),FALSE))),VLOOKUP($C45,武器!$1:$998,COLUMN($O$1),FALSE)*VLOOKUP($D45,素材!$1:$1016,COLUMN($E$1),FALSE)/(LEN(VLOOKUP($D45,素材!$1:$1016,COLUMN($F$1),FALSE))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AZ45">
        <f>IF(ISNUMBER(SEARCH(SUBSTITUTE(AZ$1,RIGHT(AZ$1,2),""),VLOOKUP($D45,素材!$1:$1016,COLUMN($F$1),FALSE))),VLOOKUP($C45,武器!$1:$998,COLUMN($O$1),FALSE)*VLOOKUP($D45,素材!$1:$1016,COLUMN($E$1),FALSE)/(LEN(VLOOKUP($D45,素材!$1:$1016,COLUMN($F$1),FALSE))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BA45">
        <f>IF(ISNUMBER(SEARCH(SUBSTITUTE(BA$1,RIGHT(BA$1,2),""),VLOOKUP($D45,素材!$1:$1016,COLUMN($F$1),FALSE))),VLOOKUP($C45,武器!$1:$998,COLUMN($O$1),FALSE)*VLOOKUP($D45,素材!$1:$1016,COLUMN($E$1),FALSE)/(LEN(VLOOKUP($D45,素材!$1:$1016,COLUMN($F$1),FALSE))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BB45">
        <f>IF(ISNUMBER(SEARCH(SUBSTITUTE(BB$1,RIGHT(BB$1,2),""),VLOOKUP($D45,素材!$1:$1016,COLUMN($F$1),FALSE))),VLOOKUP($C45,武器!$1:$998,COLUMN($O$1),FALSE)*VLOOKUP($D45,素材!$1:$1016,COLUMN($E$1),FALSE)/(LEN(VLOOKUP($D45,素材!$1:$1016,COLUMN($F$1),FALSE))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BC45">
        <f>IF(ISNUMBER(SEARCH(SUBSTITUTE(BC$1,RIGHT(BC$1,2),""),VLOOKUP($D45,素材!$1:$1016,COLUMN($F$1),FALSE))),VLOOKUP($C45,武器!$1:$998,COLUMN($O$1),FALSE)*VLOOKUP($D45,素材!$1:$1016,COLUMN($E$1),FALSE)/(LEN(VLOOKUP($D45,素材!$1:$1016,COLUMN($F$1),FALSE))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BD45">
        <f>IF(ISNUMBER(SEARCH(SUBSTITUTE(BD$1,RIGHT(BD$1,2),""),VLOOKUP($D45,素材!$1:$1016,COLUMN($F$1),FALSE))),VLOOKUP($C45,武器!$1:$998,COLUMN($O$1),FALSE)*VLOOKUP($D45,素材!$1:$1016,COLUMN($E$1),FALSE)/(LEN(VLOOKUP($D45,素材!$1:$1016,COLUMN($F$1),FALSE))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BE45">
        <f>IF(ISNUMBER(SEARCH(SUBSTITUTE(BE$1,RIGHT(BE$1,2),""),VLOOKUP($D45,素材!$1:$1016,COLUMN($F$1),FALSE))),VLOOKUP($C45,武器!$1:$998,COLUMN($O$1),FALSE)*VLOOKUP($D45,素材!$1:$1016,COLUMN($E$1),FALSE)/(LEN(VLOOKUP($D45,素材!$1:$1016,COLUMN($F$1),FALSE))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BF45">
        <f>IF(ISNUMBER(SEARCH(SUBSTITUTE(BF$1,RIGHT(BF$1,2),""),VLOOKUP($D45,素材!$1:$1016,COLUMN($F$1),FALSE))),VLOOKUP($C45,武器!$1:$998,COLUMN($O$1),FALSE)*VLOOKUP($D45,素材!$1:$1016,COLUMN($E$1),FALSE)/(LEN(VLOOKUP($D45,素材!$1:$1016,COLUMN($F$1),FALSE)) - LEN(SUBSTITUTE(VLOOKUP($D45,素材!$1:$1016,COLUMN($F$1),FALSE), "・", 0)) + 1), 0)</f>
        <v>0</v>
      </c>
      <c r="CM45">
        <f t="shared" si="3"/>
        <v>22</v>
      </c>
      <c r="CN45" s="22" t="str">
        <f>IF(E45="武器",IF(J45-1&gt;SUM(G45:I45),"盾",IF(MAX(G45:I45)=G45,"切断",IF(MAX(G45:I45)=H45,"貫通",IF(MAX(G45:I45)=I45,"打撃","射撃")))),E45)&amp;".webp"</f>
        <v>切断.webp</v>
      </c>
      <c r="CO45">
        <f>IFERROR(VLOOKUP($C45,武器!$1:$998,COLUMN(V$1),FALSE)*VLOOKUP($D45,素材!$1:$1016,COLUMN(N$1),FALSE)+IF(CJ45="",0,VLOOKUP($CJ45,装強!$1:$1008,COLUMN($CL$1),FALSE)),"")</f>
        <v>300</v>
      </c>
      <c r="CP45" t="str">
        <f>VLOOKUP(D45,素材!$A:$O,COLUMN(素材!O$1),FALSE)</f>
        <v>一般的な木材。金属より軽いが少し脆い</v>
      </c>
      <c r="CQ45" t="str">
        <f>VLOOKUP(C45,武器!$A:$W,COLUMN(武器!W$1),FALSE)</f>
        <v>大剣。非常に重いが威力が突出して高い武器。大きい分ガードにも向いている</v>
      </c>
      <c r="CS45" t="str">
        <f t="shared" si="2"/>
        <v>e_45</v>
      </c>
      <c r="CT45">
        <f t="shared" si="4"/>
        <v>30000</v>
      </c>
    </row>
    <row r="46" spans="1:98" outlineLevel="1" x14ac:dyDescent="0.4">
      <c r="A46" t="str">
        <f t="shared" si="5"/>
        <v>木の細剣</v>
      </c>
      <c r="B46" t="str">
        <f>IFERROR(VLOOKUP($D46,素材!$1:$1016,COLUMN($B$1),FALSE)&amp;"・"&amp;VLOOKUP($C46,武器!$1:$998,COLUMN(B$1),FALSE),"")</f>
        <v>ウッド・レイピア</v>
      </c>
      <c r="C46" s="24" t="s">
        <v>236</v>
      </c>
      <c r="D46" s="24" t="s">
        <v>255</v>
      </c>
      <c r="E46" t="str">
        <f>IFERROR(VLOOKUP(C46,武器!$1:$998,COLUMN(C$1),FALSE),"")</f>
        <v>武器</v>
      </c>
      <c r="F46">
        <f>IFERROR(ROUNDDOWN((VLOOKUP($C46,武器!$1:$998,COLUMN(D$1),FALSE)+IFERROR(VLOOKUP($CJ46,装強!$1:$999,COLUMN(F$1),FALSE),0))*VLOOKUP($D46,素材!$1:$1016,COLUMN(D$1),FALSE),0),"")</f>
        <v>75</v>
      </c>
      <c r="G46">
        <f>IFERROR(ROUNDDOWN((VLOOKUP($C46,武器!$1:$998,COLUMN(E$1),FALSE)+IFERROR(VLOOKUP($CJ46,装強!$1:$999,COLUMN(G$1),FALSE),0))*VLOOKUP($D46,素材!$1:$1016,COLUMN($E$1),FALSE),0),"")</f>
        <v>6</v>
      </c>
      <c r="H46">
        <f>IFERROR(ROUNDDOWN((VLOOKUP($C46,武器!$1:$998,COLUMN(F$1),FALSE)+IFERROR(VLOOKUP($CJ46,装強!$1:$999,COLUMN(H$1),FALSE),0))*VLOOKUP($D46,素材!$1:$1016,COLUMN($E$1),FALSE),0),"")</f>
        <v>9</v>
      </c>
      <c r="I46">
        <f>IFERROR(ROUNDDOWN((VLOOKUP($C46,武器!$1:$998,COLUMN(G$1),FALSE)+IFERROR(VLOOKUP($CJ46,装強!$1:$999,COLUMN(I$1),FALSE),0))*VLOOKUP($D46,素材!$1:$1016,COLUMN($E$1),FALSE),0),"")</f>
        <v>0</v>
      </c>
      <c r="J46">
        <f>IFERROR(ROUNDDOWN((VLOOKUP($C46,武器!$1:$998,COLUMN(H$1),FALSE)+IFERROR(VLOOKUP($CJ46,装強!$1:$999,COLUMN(J$1),FALSE),0))*VLOOKUP($D46,素材!$1:$1016,COLUMN($E$1),FALSE),0),"")</f>
        <v>12</v>
      </c>
      <c r="K46">
        <f>IFERROR(ROUNDDOWN((VLOOKUP($C46,武器!$1:$998,COLUMN(I$1),FALSE)+IFERROR(VLOOKUP($CJ46,装強!$1:$999,COLUMN(K$1),FALSE),0))*VLOOKUP($D46,素材!$1:$1016,COLUMN($E$1),FALSE),0),"")</f>
        <v>0</v>
      </c>
      <c r="L46">
        <f>IFERROR(VLOOKUP($D46,素材!$1:$1016,COLUMN($F$1),FALSE),"")</f>
        <v>0</v>
      </c>
      <c r="M46">
        <f>IFERROR(VLOOKUP($C46,武器!$1:$998,COLUMN(AA$1),FALSE)*VLOOKUP($D46,素材!$1:$1016,COLUMN($G$1),FALSE),"")</f>
        <v>0</v>
      </c>
      <c r="N46">
        <f>IFERROR(VLOOKUP($C46,武器!$1:$998,COLUMN(I$1),FALSE),"")</f>
        <v>0</v>
      </c>
      <c r="O46" s="23">
        <f>IFERROR((VLOOKUP($C46,武器!$1:$998,COLUMN(K$1),FALSE)+VLOOKUP($D46,素材!$1:$1016,COLUMN(H$1),FALSE))*100+IFERROR(VLOOKUP($CJ46,装強!$1:$999,COLUMN(O$1),FALSE),0),"")</f>
        <v>15</v>
      </c>
      <c r="P46" s="23">
        <f>IFERROR((VLOOKUP($C46,武器!$1:$998,COLUMN(L$1),FALSE)+VLOOKUP($D46,素材!$1:$1016,COLUMN(I$1),FALSE))*100+IFERROR(VLOOKUP($CJ46,装強!$1:$999,COLUMN(P$1),FALSE),0),"")</f>
        <v>125</v>
      </c>
      <c r="Q46">
        <f>IFERROR(ROUNDUP(VLOOKUP($C46,武器!$1:$998,COLUMN(M$1),FALSE)*(VLOOKUP($D46,素材!$1:$1002,COLUMN(D$1),FALSE)/100),1),"")</f>
        <v>0</v>
      </c>
      <c r="R46">
        <f>IFERROR(ROUNDUP(VLOOKUP($C46,武器!$1:$998,COLUMN(N$1),FALSE)*(VLOOKUP($D46,素材!$1:$1002,COLUMN(D$1),FALSE)/100),1),"")</f>
        <v>0</v>
      </c>
      <c r="S46">
        <f>IFERROR(VLOOKUP($C46,武器!$1:$998,COLUMN(P$1),FALSE),"")</f>
        <v>0</v>
      </c>
      <c r="T46">
        <f>IFERROR(VLOOKUP($C46,武器!$1:$998,COLUMN(Q$1),FALSE),"")</f>
        <v>0</v>
      </c>
      <c r="U46">
        <f>IFERROR(VLOOKUP($C46,武器!$1:$998,COLUMN(R$1),FALSE),"")</f>
        <v>0</v>
      </c>
      <c r="V46">
        <f>IFERROR(VLOOKUP($C46,武器!$1:$998,COLUMN(Q$1),FALSE),"")</f>
        <v>0</v>
      </c>
      <c r="W46" t="str">
        <f>IFERROR(VLOOKUP($C46,武器!$1:$998,COLUMN(T$1),FALSE),"")</f>
        <v>A</v>
      </c>
      <c r="Y46" t="str">
        <f>IFERROR(VLOOKUP($C46,武器!$1:$998,COLUMN(U$1),FALSE),"")</f>
        <v>片手適正Ⅰ</v>
      </c>
      <c r="Z46">
        <f>IFERROR(ROUNDUP(VLOOKUP($C46,武器!$1:$998,COLUMN(O$1),FALSE)*VLOOKUP($D46,素材!$1:$1016,COLUMN(E$1),FALSE),1),"")</f>
        <v>0</v>
      </c>
      <c r="AA46">
        <f>IF(ISNUMBER(SEARCH(SUBSTITUTE(AA$1,RIGHT(AA$1,2),""),VLOOKUP($D46,素材!$1:$1016,COLUMN($F$1),FALSE))),VLOOKUP($C46,武器!$1:$998,COLUMN($O$1),FALSE)*VLOOKUP($D46,素材!$1:$1016,COLUMN($E$1),FALSE)/(LEN(VLOOKUP($D46,素材!$1:$1016,COLUMN($F$1),FALSE))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B46">
        <f>IF(ISNUMBER(SEARCH(SUBSTITUTE(AB$1,RIGHT(AB$1,2),""),VLOOKUP($D46,素材!$1:$1016,COLUMN($F$1),FALSE))),VLOOKUP($C46,武器!$1:$998,COLUMN($O$1),FALSE)*VLOOKUP($D46,素材!$1:$1016,COLUMN($E$1),FALSE)/(LEN(VLOOKUP($D46,素材!$1:$1016,COLUMN($F$1),FALSE))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C46">
        <f>IF(ISNUMBER(SEARCH(SUBSTITUTE(AC$1,RIGHT(AC$1,2),""),VLOOKUP($D46,素材!$1:$1016,COLUMN($F$1),FALSE))),VLOOKUP($C46,武器!$1:$998,COLUMN($O$1),FALSE)*VLOOKUP($D46,素材!$1:$1016,COLUMN($E$1),FALSE)/(LEN(VLOOKUP($D46,素材!$1:$1016,COLUMN($F$1),FALSE))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D46">
        <f>IF(ISNUMBER(SEARCH(SUBSTITUTE(AD$1,RIGHT(AD$1,2),""),VLOOKUP($D46,素材!$1:$1016,COLUMN($F$1),FALSE))),VLOOKUP($C46,武器!$1:$998,COLUMN($O$1),FALSE)*VLOOKUP($D46,素材!$1:$1016,COLUMN($E$1),FALSE)/(LEN(VLOOKUP($D46,素材!$1:$1016,COLUMN($F$1),FALSE))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E46">
        <f>IF(ISNUMBER(SEARCH(SUBSTITUTE(AE$1,RIGHT(AE$1,2),""),VLOOKUP($D46,素材!$1:$1016,COLUMN($F$1),FALSE))),VLOOKUP($C46,武器!$1:$998,COLUMN($O$1),FALSE)*VLOOKUP($D46,素材!$1:$1016,COLUMN($E$1),FALSE)/(LEN(VLOOKUP($D46,素材!$1:$1016,COLUMN($F$1),FALSE))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F46">
        <f>IF(ISNUMBER(SEARCH(SUBSTITUTE(AF$1,RIGHT(AF$1,2),""),VLOOKUP($D46,素材!$1:$1016,COLUMN($F$1),FALSE))),VLOOKUP($C46,武器!$1:$998,COLUMN($O$1),FALSE)*VLOOKUP($D46,素材!$1:$1016,COLUMN($E$1),FALSE)/(LEN(VLOOKUP($D46,素材!$1:$1016,COLUMN($F$1),FALSE))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G46">
        <f>IF(ISNUMBER(SEARCH(SUBSTITUTE(AG$1,RIGHT(AG$1,2),""),VLOOKUP($D46,素材!$1:$1016,COLUMN($F$1),FALSE))),VLOOKUP($C46,武器!$1:$998,COLUMN($O$1),FALSE)*VLOOKUP($D46,素材!$1:$1016,COLUMN($E$1),FALSE)/(LEN(VLOOKUP($D46,素材!$1:$1016,COLUMN($F$1),FALSE))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H46">
        <f>IF(ISNUMBER(SEARCH(SUBSTITUTE(AH$1,RIGHT(AH$1,2),""),VLOOKUP($D46,素材!$1:$1016,COLUMN($F$1),FALSE))),VLOOKUP($C46,武器!$1:$998,COLUMN($O$1),FALSE)*VLOOKUP($D46,素材!$1:$1016,COLUMN($E$1),FALSE)/(LEN(VLOOKUP($D46,素材!$1:$1016,COLUMN($F$1),FALSE))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I46">
        <f>IF(ISNUMBER(SEARCH(SUBSTITUTE(AI$1,RIGHT(AI$1,2),""),VLOOKUP($D46,素材!$1:$1016,COLUMN($F$1),FALSE))),VLOOKUP($C46,武器!$1:$998,COLUMN($O$1),FALSE)*VLOOKUP($D46,素材!$1:$1016,COLUMN($E$1),FALSE)/(LEN(VLOOKUP($D46,素材!$1:$1016,COLUMN($F$1),FALSE))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J46">
        <f>IF(ISNUMBER(SEARCH(SUBSTITUTE(AJ$1,RIGHT(AJ$1,2),""),VLOOKUP($D46,素材!$1:$1016,COLUMN($F$1),FALSE))),VLOOKUP($C46,武器!$1:$998,COLUMN($O$1),FALSE)*VLOOKUP($D46,素材!$1:$1016,COLUMN($E$1),FALSE)/(LEN(VLOOKUP($D46,素材!$1:$1016,COLUMN($F$1),FALSE))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K46">
        <f>IF(ISNUMBER(SEARCH(SUBSTITUTE(AK$1,RIGHT(AK$1,2),""),VLOOKUP($D46,素材!$1:$1016,COLUMN($F$1),FALSE))),VLOOKUP($C46,武器!$1:$998,COLUMN($O$1),FALSE)*VLOOKUP($D46,素材!$1:$1016,COLUMN($E$1),FALSE)/(LEN(VLOOKUP($D46,素材!$1:$1016,COLUMN($F$1),FALSE))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L46">
        <f>IF(ISNUMBER(SEARCH(SUBSTITUTE(AL$1,RIGHT(AL$1,2),""),VLOOKUP($D46,素材!$1:$1016,COLUMN($F$1),FALSE))),VLOOKUP($C46,武器!$1:$998,COLUMN($O$1),FALSE)*VLOOKUP($D46,素材!$1:$1016,COLUMN($E$1),FALSE)/(LEN(VLOOKUP($D46,素材!$1:$1016,COLUMN($F$1),FALSE))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M46">
        <f>IF(ISNUMBER(SEARCH(SUBSTITUTE(AM$1,RIGHT(AM$1,2),""),VLOOKUP($D46,素材!$1:$1016,COLUMN($F$1),FALSE))),VLOOKUP($C46,武器!$1:$998,COLUMN($O$1),FALSE)*VLOOKUP($D46,素材!$1:$1016,COLUMN($E$1),FALSE)/(LEN(VLOOKUP($D46,素材!$1:$1016,COLUMN($F$1),FALSE))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N46">
        <f>IF(ISNUMBER(SEARCH(SUBSTITUTE(AN$1,RIGHT(AN$1,2),""),VLOOKUP($D46,素材!$1:$1016,COLUMN($F$1),FALSE))),VLOOKUP($C46,武器!$1:$998,COLUMN($O$1),FALSE)*VLOOKUP($D46,素材!$1:$1016,COLUMN($E$1),FALSE)/(LEN(VLOOKUP($D46,素材!$1:$1016,COLUMN($F$1),FALSE))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O46">
        <f>IF(ISNUMBER(SEARCH(SUBSTITUTE(AO$1,RIGHT(AO$1,2),""),VLOOKUP($D46,素材!$1:$1016,COLUMN($F$1),FALSE))),VLOOKUP($C46,武器!$1:$998,COLUMN($O$1),FALSE)*VLOOKUP($D46,素材!$1:$1016,COLUMN($E$1),FALSE)/(LEN(VLOOKUP($D46,素材!$1:$1016,COLUMN($F$1),FALSE))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P46">
        <f>IF(ISNUMBER(SEARCH(SUBSTITUTE(AP$1,RIGHT(AP$1,2),""),VLOOKUP($D46,素材!$1:$1016,COLUMN($F$1),FALSE))),VLOOKUP($C46,武器!$1:$998,COLUMN($O$1),FALSE)*VLOOKUP($D46,素材!$1:$1016,COLUMN($E$1),FALSE)/(LEN(VLOOKUP($D46,素材!$1:$1016,COLUMN($F$1),FALSE))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Q46">
        <f>IF(ISNUMBER(SEARCH(SUBSTITUTE(AQ$1,RIGHT(AQ$1,2),""),VLOOKUP($D46,素材!$1:$1016,COLUMN($F$1),FALSE))),VLOOKUP($C46,武器!$1:$998,COLUMN($O$1),FALSE)*VLOOKUP($D46,素材!$1:$1016,COLUMN($E$1),FALSE)/(LEN(VLOOKUP($D46,素材!$1:$1016,COLUMN($F$1),FALSE))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R46">
        <f>IF(ISNUMBER(SEARCH(SUBSTITUTE(AR$1,RIGHT(AR$1,2),""),VLOOKUP($D46,素材!$1:$1016,COLUMN($F$1),FALSE))),VLOOKUP($C46,武器!$1:$998,COLUMN($O$1),FALSE)*VLOOKUP($D46,素材!$1:$1016,COLUMN($E$1),FALSE)/(LEN(VLOOKUP($D46,素材!$1:$1016,COLUMN($F$1),FALSE))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S46">
        <f>IF(ISNUMBER(SEARCH(SUBSTITUTE(AS$1,RIGHT(AS$1,2),""),VLOOKUP($D46,素材!$1:$1016,COLUMN($F$1),FALSE))),VLOOKUP($C46,武器!$1:$998,COLUMN($O$1),FALSE)*VLOOKUP($D46,素材!$1:$1016,COLUMN($E$1),FALSE)/(LEN(VLOOKUP($D46,素材!$1:$1016,COLUMN($F$1),FALSE))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T46">
        <f>IF(ISNUMBER(SEARCH(SUBSTITUTE(AT$1,RIGHT(AT$1,2),""),VLOOKUP($D46,素材!$1:$1016,COLUMN($F$1),FALSE))),VLOOKUP($C46,武器!$1:$998,COLUMN($O$1),FALSE)*VLOOKUP($D46,素材!$1:$1016,COLUMN($E$1),FALSE)/(LEN(VLOOKUP($D46,素材!$1:$1016,COLUMN($F$1),FALSE))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U46">
        <f>IF(ISNUMBER(SEARCH(SUBSTITUTE(AU$1,RIGHT(AU$1,2),""),VLOOKUP($D46,素材!$1:$1016,COLUMN($F$1),FALSE))),VLOOKUP($C46,武器!$1:$998,COLUMN($O$1),FALSE)*VLOOKUP($D46,素材!$1:$1016,COLUMN($E$1),FALSE)/(LEN(VLOOKUP($D46,素材!$1:$1016,COLUMN($F$1),FALSE))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V46">
        <f>IF(ISNUMBER(SEARCH(SUBSTITUTE(AV$1,RIGHT(AV$1,2),""),VLOOKUP($D46,素材!$1:$1016,COLUMN($F$1),FALSE))),VLOOKUP($C46,武器!$1:$998,COLUMN($O$1),FALSE)*VLOOKUP($D46,素材!$1:$1016,COLUMN($E$1),FALSE)/(LEN(VLOOKUP($D46,素材!$1:$1016,COLUMN($F$1),FALSE))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W46">
        <f>IF(ISNUMBER(SEARCH(SUBSTITUTE(AW$1,RIGHT(AW$1,2),""),VLOOKUP($D46,素材!$1:$1016,COLUMN($F$1),FALSE))),VLOOKUP($C46,武器!$1:$998,COLUMN($O$1),FALSE)*VLOOKUP($D46,素材!$1:$1016,COLUMN($E$1),FALSE)/(LEN(VLOOKUP($D46,素材!$1:$1016,COLUMN($F$1),FALSE))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X46">
        <f>IF(ISNUMBER(SEARCH(SUBSTITUTE(AX$1,RIGHT(AX$1,2),""),VLOOKUP($D46,素材!$1:$1016,COLUMN($F$1),FALSE))),VLOOKUP($C46,武器!$1:$998,COLUMN($O$1),FALSE)*VLOOKUP($D46,素材!$1:$1016,COLUMN($E$1),FALSE)/(LEN(VLOOKUP($D46,素材!$1:$1016,COLUMN($F$1),FALSE))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Y46">
        <f>IF(ISNUMBER(SEARCH(SUBSTITUTE(AY$1,RIGHT(AY$1,2),""),VLOOKUP($D46,素材!$1:$1016,COLUMN($F$1),FALSE))),VLOOKUP($C46,武器!$1:$998,COLUMN($O$1),FALSE)*VLOOKUP($D46,素材!$1:$1016,COLUMN($E$1),FALSE)/(LEN(VLOOKUP($D46,素材!$1:$1016,COLUMN($F$1),FALSE))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AZ46">
        <f>IF(ISNUMBER(SEARCH(SUBSTITUTE(AZ$1,RIGHT(AZ$1,2),""),VLOOKUP($D46,素材!$1:$1016,COLUMN($F$1),FALSE))),VLOOKUP($C46,武器!$1:$998,COLUMN($O$1),FALSE)*VLOOKUP($D46,素材!$1:$1016,COLUMN($E$1),FALSE)/(LEN(VLOOKUP($D46,素材!$1:$1016,COLUMN($F$1),FALSE))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BA46">
        <f>IF(ISNUMBER(SEARCH(SUBSTITUTE(BA$1,RIGHT(BA$1,2),""),VLOOKUP($D46,素材!$1:$1016,COLUMN($F$1),FALSE))),VLOOKUP($C46,武器!$1:$998,COLUMN($O$1),FALSE)*VLOOKUP($D46,素材!$1:$1016,COLUMN($E$1),FALSE)/(LEN(VLOOKUP($D46,素材!$1:$1016,COLUMN($F$1),FALSE))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BB46">
        <f>IF(ISNUMBER(SEARCH(SUBSTITUTE(BB$1,RIGHT(BB$1,2),""),VLOOKUP($D46,素材!$1:$1016,COLUMN($F$1),FALSE))),VLOOKUP($C46,武器!$1:$998,COLUMN($O$1),FALSE)*VLOOKUP($D46,素材!$1:$1016,COLUMN($E$1),FALSE)/(LEN(VLOOKUP($D46,素材!$1:$1016,COLUMN($F$1),FALSE))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BC46">
        <f>IF(ISNUMBER(SEARCH(SUBSTITUTE(BC$1,RIGHT(BC$1,2),""),VLOOKUP($D46,素材!$1:$1016,COLUMN($F$1),FALSE))),VLOOKUP($C46,武器!$1:$998,COLUMN($O$1),FALSE)*VLOOKUP($D46,素材!$1:$1016,COLUMN($E$1),FALSE)/(LEN(VLOOKUP($D46,素材!$1:$1016,COLUMN($F$1),FALSE))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BD46">
        <f>IF(ISNUMBER(SEARCH(SUBSTITUTE(BD$1,RIGHT(BD$1,2),""),VLOOKUP($D46,素材!$1:$1016,COLUMN($F$1),FALSE))),VLOOKUP($C46,武器!$1:$998,COLUMN($O$1),FALSE)*VLOOKUP($D46,素材!$1:$1016,COLUMN($E$1),FALSE)/(LEN(VLOOKUP($D46,素材!$1:$1016,COLUMN($F$1),FALSE))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BE46">
        <f>IF(ISNUMBER(SEARCH(SUBSTITUTE(BE$1,RIGHT(BE$1,2),""),VLOOKUP($D46,素材!$1:$1016,COLUMN($F$1),FALSE))),VLOOKUP($C46,武器!$1:$998,COLUMN($O$1),FALSE)*VLOOKUP($D46,素材!$1:$1016,COLUMN($E$1),FALSE)/(LEN(VLOOKUP($D46,素材!$1:$1016,COLUMN($F$1),FALSE))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BF46">
        <f>IF(ISNUMBER(SEARCH(SUBSTITUTE(BF$1,RIGHT(BF$1,2),""),VLOOKUP($D46,素材!$1:$1016,COLUMN($F$1),FALSE))),VLOOKUP($C46,武器!$1:$998,COLUMN($O$1),FALSE)*VLOOKUP($D46,素材!$1:$1016,COLUMN($E$1),FALSE)/(LEN(VLOOKUP($D46,素材!$1:$1016,COLUMN($F$1),FALSE)) - LEN(SUBSTITUTE(VLOOKUP($D46,素材!$1:$1016,COLUMN($F$1),FALSE), "・", 0)) + 1), 0)</f>
        <v>0</v>
      </c>
      <c r="CM46">
        <f t="shared" si="3"/>
        <v>15</v>
      </c>
      <c r="CN46" s="22" t="str">
        <f>IF(E46="武器",IF(J46-1&gt;SUM(G46:I46),"盾",IF(MAX(G46:I46)=G46,"切断",IF(MAX(G46:I46)=H46,"貫通",IF(MAX(G46:I46)=I46,"打撃","射撃")))),E46)&amp;".webp"</f>
        <v>貫通.webp</v>
      </c>
      <c r="CO46">
        <f>IFERROR(VLOOKUP($C46,武器!$1:$998,COLUMN(V$1),FALSE)*VLOOKUP($D46,素材!$1:$1016,COLUMN(N$1),FALSE)+IF(CJ46="",0,VLOOKUP($CJ46,装強!$1:$1008,COLUMN($CL$1),FALSE)),"")</f>
        <v>200</v>
      </c>
      <c r="CP46" t="str">
        <f>VLOOKUP(D46,素材!$A:$O,COLUMN(素材!O$1),FALSE)</f>
        <v>一般的な木材。金属より軽いが少し脆い</v>
      </c>
      <c r="CQ46" t="str">
        <f>VLOOKUP(C46,武器!$A:$W,COLUMN(武器!W$1),FALSE)</f>
        <v>細剣。刺突に優れた武器でCr率が高い</v>
      </c>
      <c r="CS46" t="str">
        <f t="shared" si="2"/>
        <v>e_46</v>
      </c>
      <c r="CT46">
        <f t="shared" si="4"/>
        <v>20000</v>
      </c>
    </row>
    <row r="47" spans="1:98" outlineLevel="1" x14ac:dyDescent="0.4">
      <c r="A47" t="str">
        <f t="shared" si="5"/>
        <v>木の刺剣</v>
      </c>
      <c r="B47" t="str">
        <f>IFERROR(VLOOKUP($D47,素材!$1:$1016,COLUMN($B$1),FALSE)&amp;"・"&amp;VLOOKUP($C47,武器!$1:$998,COLUMN(B$1),FALSE),"")</f>
        <v>ウッド・スティレット</v>
      </c>
      <c r="C47" s="24" t="s">
        <v>235</v>
      </c>
      <c r="D47" s="24" t="s">
        <v>255</v>
      </c>
      <c r="E47" t="str">
        <f>IFERROR(VLOOKUP(C47,武器!$1:$998,COLUMN(C$1),FALSE),"")</f>
        <v>武器</v>
      </c>
      <c r="F47">
        <f>IFERROR(ROUNDDOWN((VLOOKUP($C47,武器!$1:$998,COLUMN(D$1),FALSE)+IFERROR(VLOOKUP($CJ47,装強!$1:$999,COLUMN(F$1),FALSE),0))*VLOOKUP($D47,素材!$1:$1016,COLUMN(D$1),FALSE),0),"")</f>
        <v>82</v>
      </c>
      <c r="G47">
        <f>IFERROR(ROUNDDOWN((VLOOKUP($C47,武器!$1:$998,COLUMN(E$1),FALSE)+IFERROR(VLOOKUP($CJ47,装強!$1:$999,COLUMN(G$1),FALSE),0))*VLOOKUP($D47,素材!$1:$1016,COLUMN($E$1),FALSE),0),"")</f>
        <v>3</v>
      </c>
      <c r="H47">
        <f>IFERROR(ROUNDDOWN((VLOOKUP($C47,武器!$1:$998,COLUMN(F$1),FALSE)+IFERROR(VLOOKUP($CJ47,装強!$1:$999,COLUMN(H$1),FALSE),0))*VLOOKUP($D47,素材!$1:$1016,COLUMN($E$1),FALSE),0),"")</f>
        <v>13</v>
      </c>
      <c r="I47">
        <f>IFERROR(ROUNDDOWN((VLOOKUP($C47,武器!$1:$998,COLUMN(G$1),FALSE)+IFERROR(VLOOKUP($CJ47,装強!$1:$999,COLUMN(I$1),FALSE),0))*VLOOKUP($D47,素材!$1:$1016,COLUMN($E$1),FALSE),0),"")</f>
        <v>0</v>
      </c>
      <c r="J47">
        <f>IFERROR(ROUNDDOWN((VLOOKUP($C47,武器!$1:$998,COLUMN(H$1),FALSE)+IFERROR(VLOOKUP($CJ47,装強!$1:$999,COLUMN(J$1),FALSE),0))*VLOOKUP($D47,素材!$1:$1016,COLUMN($E$1),FALSE),0),"")</f>
        <v>12</v>
      </c>
      <c r="K47">
        <f>IFERROR(ROUNDDOWN((VLOOKUP($C47,武器!$1:$998,COLUMN(I$1),FALSE)+IFERROR(VLOOKUP($CJ47,装強!$1:$999,COLUMN(K$1),FALSE),0))*VLOOKUP($D47,素材!$1:$1016,COLUMN($E$1),FALSE),0),"")</f>
        <v>0</v>
      </c>
      <c r="L47">
        <f>IFERROR(VLOOKUP($D47,素材!$1:$1016,COLUMN($F$1),FALSE),"")</f>
        <v>0</v>
      </c>
      <c r="M47">
        <f>IFERROR(VLOOKUP($C47,武器!$1:$998,COLUMN(AA$1),FALSE)*VLOOKUP($D47,素材!$1:$1016,COLUMN($G$1),FALSE),"")</f>
        <v>0</v>
      </c>
      <c r="N47">
        <f>IFERROR(VLOOKUP($C47,武器!$1:$998,COLUMN(I$1),FALSE),"")</f>
        <v>0</v>
      </c>
      <c r="O47" s="23">
        <f>IFERROR((VLOOKUP($C47,武器!$1:$998,COLUMN(K$1),FALSE)+VLOOKUP($D47,素材!$1:$1016,COLUMN(H$1),FALSE))*100+IFERROR(VLOOKUP($CJ47,装強!$1:$999,COLUMN(O$1),FALSE),0),"")</f>
        <v>10</v>
      </c>
      <c r="P47" s="23">
        <f>IFERROR((VLOOKUP($C47,武器!$1:$998,COLUMN(L$1),FALSE)+VLOOKUP($D47,素材!$1:$1016,COLUMN(I$1),FALSE))*100+IFERROR(VLOOKUP($CJ47,装強!$1:$999,COLUMN(P$1),FALSE),0),"")</f>
        <v>150</v>
      </c>
      <c r="Q47">
        <f>IFERROR(ROUNDUP(VLOOKUP($C47,武器!$1:$998,COLUMN(M$1),FALSE)*(VLOOKUP($D47,素材!$1:$1002,COLUMN(D$1),FALSE)/100),1),"")</f>
        <v>0</v>
      </c>
      <c r="R47">
        <f>IFERROR(ROUNDUP(VLOOKUP($C47,武器!$1:$998,COLUMN(N$1),FALSE)*(VLOOKUP($D47,素材!$1:$1002,COLUMN(D$1),FALSE)/100),1),"")</f>
        <v>0</v>
      </c>
      <c r="S47">
        <f>IFERROR(VLOOKUP($C47,武器!$1:$998,COLUMN(P$1),FALSE),"")</f>
        <v>0</v>
      </c>
      <c r="T47">
        <f>IFERROR(VLOOKUP($C47,武器!$1:$998,COLUMN(Q$1),FALSE),"")</f>
        <v>0</v>
      </c>
      <c r="U47">
        <f>IFERROR(VLOOKUP($C47,武器!$1:$998,COLUMN(R$1),FALSE),"")</f>
        <v>0</v>
      </c>
      <c r="V47">
        <f>IFERROR(VLOOKUP($C47,武器!$1:$998,COLUMN(Q$1),FALSE),"")</f>
        <v>0</v>
      </c>
      <c r="W47" t="str">
        <f>IFERROR(VLOOKUP($C47,武器!$1:$998,COLUMN(T$1),FALSE),"")</f>
        <v>A</v>
      </c>
      <c r="Y47" t="str">
        <f>IFERROR(VLOOKUP($C47,武器!$1:$998,COLUMN(U$1),FALSE),"")</f>
        <v>片手適正Ⅰ</v>
      </c>
      <c r="Z47">
        <f>IFERROR(ROUNDUP(VLOOKUP($C47,武器!$1:$998,COLUMN(O$1),FALSE)*VLOOKUP($D47,素材!$1:$1016,COLUMN(E$1),FALSE),1),"")</f>
        <v>0</v>
      </c>
      <c r="AA47">
        <f>IF(ISNUMBER(SEARCH(SUBSTITUTE(AA$1,RIGHT(AA$1,2),""),VLOOKUP($D47,素材!$1:$1016,COLUMN($F$1),FALSE))),VLOOKUP($C47,武器!$1:$998,COLUMN($O$1),FALSE)*VLOOKUP($D47,素材!$1:$1016,COLUMN($E$1),FALSE)/(LEN(VLOOKUP($D47,素材!$1:$1016,COLUMN($F$1),FALSE))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B47">
        <f>IF(ISNUMBER(SEARCH(SUBSTITUTE(AB$1,RIGHT(AB$1,2),""),VLOOKUP($D47,素材!$1:$1016,COLUMN($F$1),FALSE))),VLOOKUP($C47,武器!$1:$998,COLUMN($O$1),FALSE)*VLOOKUP($D47,素材!$1:$1016,COLUMN($E$1),FALSE)/(LEN(VLOOKUP($D47,素材!$1:$1016,COLUMN($F$1),FALSE))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C47">
        <f>IF(ISNUMBER(SEARCH(SUBSTITUTE(AC$1,RIGHT(AC$1,2),""),VLOOKUP($D47,素材!$1:$1016,COLUMN($F$1),FALSE))),VLOOKUP($C47,武器!$1:$998,COLUMN($O$1),FALSE)*VLOOKUP($D47,素材!$1:$1016,COLUMN($E$1),FALSE)/(LEN(VLOOKUP($D47,素材!$1:$1016,COLUMN($F$1),FALSE))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D47">
        <f>IF(ISNUMBER(SEARCH(SUBSTITUTE(AD$1,RIGHT(AD$1,2),""),VLOOKUP($D47,素材!$1:$1016,COLUMN($F$1),FALSE))),VLOOKUP($C47,武器!$1:$998,COLUMN($O$1),FALSE)*VLOOKUP($D47,素材!$1:$1016,COLUMN($E$1),FALSE)/(LEN(VLOOKUP($D47,素材!$1:$1016,COLUMN($F$1),FALSE))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E47">
        <f>IF(ISNUMBER(SEARCH(SUBSTITUTE(AE$1,RIGHT(AE$1,2),""),VLOOKUP($D47,素材!$1:$1016,COLUMN($F$1),FALSE))),VLOOKUP($C47,武器!$1:$998,COLUMN($O$1),FALSE)*VLOOKUP($D47,素材!$1:$1016,COLUMN($E$1),FALSE)/(LEN(VLOOKUP($D47,素材!$1:$1016,COLUMN($F$1),FALSE))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F47">
        <f>IF(ISNUMBER(SEARCH(SUBSTITUTE(AF$1,RIGHT(AF$1,2),""),VLOOKUP($D47,素材!$1:$1016,COLUMN($F$1),FALSE))),VLOOKUP($C47,武器!$1:$998,COLUMN($O$1),FALSE)*VLOOKUP($D47,素材!$1:$1016,COLUMN($E$1),FALSE)/(LEN(VLOOKUP($D47,素材!$1:$1016,COLUMN($F$1),FALSE))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G47">
        <f>IF(ISNUMBER(SEARCH(SUBSTITUTE(AG$1,RIGHT(AG$1,2),""),VLOOKUP($D47,素材!$1:$1016,COLUMN($F$1),FALSE))),VLOOKUP($C47,武器!$1:$998,COLUMN($O$1),FALSE)*VLOOKUP($D47,素材!$1:$1016,COLUMN($E$1),FALSE)/(LEN(VLOOKUP($D47,素材!$1:$1016,COLUMN($F$1),FALSE))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H47">
        <f>IF(ISNUMBER(SEARCH(SUBSTITUTE(AH$1,RIGHT(AH$1,2),""),VLOOKUP($D47,素材!$1:$1016,COLUMN($F$1),FALSE))),VLOOKUP($C47,武器!$1:$998,COLUMN($O$1),FALSE)*VLOOKUP($D47,素材!$1:$1016,COLUMN($E$1),FALSE)/(LEN(VLOOKUP($D47,素材!$1:$1016,COLUMN($F$1),FALSE))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I47">
        <f>IF(ISNUMBER(SEARCH(SUBSTITUTE(AI$1,RIGHT(AI$1,2),""),VLOOKUP($D47,素材!$1:$1016,COLUMN($F$1),FALSE))),VLOOKUP($C47,武器!$1:$998,COLUMN($O$1),FALSE)*VLOOKUP($D47,素材!$1:$1016,COLUMN($E$1),FALSE)/(LEN(VLOOKUP($D47,素材!$1:$1016,COLUMN($F$1),FALSE))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J47">
        <f>IF(ISNUMBER(SEARCH(SUBSTITUTE(AJ$1,RIGHT(AJ$1,2),""),VLOOKUP($D47,素材!$1:$1016,COLUMN($F$1),FALSE))),VLOOKUP($C47,武器!$1:$998,COLUMN($O$1),FALSE)*VLOOKUP($D47,素材!$1:$1016,COLUMN($E$1),FALSE)/(LEN(VLOOKUP($D47,素材!$1:$1016,COLUMN($F$1),FALSE))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K47">
        <f>IF(ISNUMBER(SEARCH(SUBSTITUTE(AK$1,RIGHT(AK$1,2),""),VLOOKUP($D47,素材!$1:$1016,COLUMN($F$1),FALSE))),VLOOKUP($C47,武器!$1:$998,COLUMN($O$1),FALSE)*VLOOKUP($D47,素材!$1:$1016,COLUMN($E$1),FALSE)/(LEN(VLOOKUP($D47,素材!$1:$1016,COLUMN($F$1),FALSE))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L47">
        <f>IF(ISNUMBER(SEARCH(SUBSTITUTE(AL$1,RIGHT(AL$1,2),""),VLOOKUP($D47,素材!$1:$1016,COLUMN($F$1),FALSE))),VLOOKUP($C47,武器!$1:$998,COLUMN($O$1),FALSE)*VLOOKUP($D47,素材!$1:$1016,COLUMN($E$1),FALSE)/(LEN(VLOOKUP($D47,素材!$1:$1016,COLUMN($F$1),FALSE))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M47">
        <f>IF(ISNUMBER(SEARCH(SUBSTITUTE(AM$1,RIGHT(AM$1,2),""),VLOOKUP($D47,素材!$1:$1016,COLUMN($F$1),FALSE))),VLOOKUP($C47,武器!$1:$998,COLUMN($O$1),FALSE)*VLOOKUP($D47,素材!$1:$1016,COLUMN($E$1),FALSE)/(LEN(VLOOKUP($D47,素材!$1:$1016,COLUMN($F$1),FALSE))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N47">
        <f>IF(ISNUMBER(SEARCH(SUBSTITUTE(AN$1,RIGHT(AN$1,2),""),VLOOKUP($D47,素材!$1:$1016,COLUMN($F$1),FALSE))),VLOOKUP($C47,武器!$1:$998,COLUMN($O$1),FALSE)*VLOOKUP($D47,素材!$1:$1016,COLUMN($E$1),FALSE)/(LEN(VLOOKUP($D47,素材!$1:$1016,COLUMN($F$1),FALSE))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O47">
        <f>IF(ISNUMBER(SEARCH(SUBSTITUTE(AO$1,RIGHT(AO$1,2),""),VLOOKUP($D47,素材!$1:$1016,COLUMN($F$1),FALSE))),VLOOKUP($C47,武器!$1:$998,COLUMN($O$1),FALSE)*VLOOKUP($D47,素材!$1:$1016,COLUMN($E$1),FALSE)/(LEN(VLOOKUP($D47,素材!$1:$1016,COLUMN($F$1),FALSE))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P47">
        <f>IF(ISNUMBER(SEARCH(SUBSTITUTE(AP$1,RIGHT(AP$1,2),""),VLOOKUP($D47,素材!$1:$1016,COLUMN($F$1),FALSE))),VLOOKUP($C47,武器!$1:$998,COLUMN($O$1),FALSE)*VLOOKUP($D47,素材!$1:$1016,COLUMN($E$1),FALSE)/(LEN(VLOOKUP($D47,素材!$1:$1016,COLUMN($F$1),FALSE))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Q47">
        <f>IF(ISNUMBER(SEARCH(SUBSTITUTE(AQ$1,RIGHT(AQ$1,2),""),VLOOKUP($D47,素材!$1:$1016,COLUMN($F$1),FALSE))),VLOOKUP($C47,武器!$1:$998,COLUMN($O$1),FALSE)*VLOOKUP($D47,素材!$1:$1016,COLUMN($E$1),FALSE)/(LEN(VLOOKUP($D47,素材!$1:$1016,COLUMN($F$1),FALSE))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R47">
        <f>IF(ISNUMBER(SEARCH(SUBSTITUTE(AR$1,RIGHT(AR$1,2),""),VLOOKUP($D47,素材!$1:$1016,COLUMN($F$1),FALSE))),VLOOKUP($C47,武器!$1:$998,COLUMN($O$1),FALSE)*VLOOKUP($D47,素材!$1:$1016,COLUMN($E$1),FALSE)/(LEN(VLOOKUP($D47,素材!$1:$1016,COLUMN($F$1),FALSE))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S47">
        <f>IF(ISNUMBER(SEARCH(SUBSTITUTE(AS$1,RIGHT(AS$1,2),""),VLOOKUP($D47,素材!$1:$1016,COLUMN($F$1),FALSE))),VLOOKUP($C47,武器!$1:$998,COLUMN($O$1),FALSE)*VLOOKUP($D47,素材!$1:$1016,COLUMN($E$1),FALSE)/(LEN(VLOOKUP($D47,素材!$1:$1016,COLUMN($F$1),FALSE))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T47">
        <f>IF(ISNUMBER(SEARCH(SUBSTITUTE(AT$1,RIGHT(AT$1,2),""),VLOOKUP($D47,素材!$1:$1016,COLUMN($F$1),FALSE))),VLOOKUP($C47,武器!$1:$998,COLUMN($O$1),FALSE)*VLOOKUP($D47,素材!$1:$1016,COLUMN($E$1),FALSE)/(LEN(VLOOKUP($D47,素材!$1:$1016,COLUMN($F$1),FALSE))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U47">
        <f>IF(ISNUMBER(SEARCH(SUBSTITUTE(AU$1,RIGHT(AU$1,2),""),VLOOKUP($D47,素材!$1:$1016,COLUMN($F$1),FALSE))),VLOOKUP($C47,武器!$1:$998,COLUMN($O$1),FALSE)*VLOOKUP($D47,素材!$1:$1016,COLUMN($E$1),FALSE)/(LEN(VLOOKUP($D47,素材!$1:$1016,COLUMN($F$1),FALSE))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V47">
        <f>IF(ISNUMBER(SEARCH(SUBSTITUTE(AV$1,RIGHT(AV$1,2),""),VLOOKUP($D47,素材!$1:$1016,COLUMN($F$1),FALSE))),VLOOKUP($C47,武器!$1:$998,COLUMN($O$1),FALSE)*VLOOKUP($D47,素材!$1:$1016,COLUMN($E$1),FALSE)/(LEN(VLOOKUP($D47,素材!$1:$1016,COLUMN($F$1),FALSE))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W47">
        <f>IF(ISNUMBER(SEARCH(SUBSTITUTE(AW$1,RIGHT(AW$1,2),""),VLOOKUP($D47,素材!$1:$1016,COLUMN($F$1),FALSE))),VLOOKUP($C47,武器!$1:$998,COLUMN($O$1),FALSE)*VLOOKUP($D47,素材!$1:$1016,COLUMN($E$1),FALSE)/(LEN(VLOOKUP($D47,素材!$1:$1016,COLUMN($F$1),FALSE))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X47">
        <f>IF(ISNUMBER(SEARCH(SUBSTITUTE(AX$1,RIGHT(AX$1,2),""),VLOOKUP($D47,素材!$1:$1016,COLUMN($F$1),FALSE))),VLOOKUP($C47,武器!$1:$998,COLUMN($O$1),FALSE)*VLOOKUP($D47,素材!$1:$1016,COLUMN($E$1),FALSE)/(LEN(VLOOKUP($D47,素材!$1:$1016,COLUMN($F$1),FALSE))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Y47">
        <f>IF(ISNUMBER(SEARCH(SUBSTITUTE(AY$1,RIGHT(AY$1,2),""),VLOOKUP($D47,素材!$1:$1016,COLUMN($F$1),FALSE))),VLOOKUP($C47,武器!$1:$998,COLUMN($O$1),FALSE)*VLOOKUP($D47,素材!$1:$1016,COLUMN($E$1),FALSE)/(LEN(VLOOKUP($D47,素材!$1:$1016,COLUMN($F$1),FALSE))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AZ47">
        <f>IF(ISNUMBER(SEARCH(SUBSTITUTE(AZ$1,RIGHT(AZ$1,2),""),VLOOKUP($D47,素材!$1:$1016,COLUMN($F$1),FALSE))),VLOOKUP($C47,武器!$1:$998,COLUMN($O$1),FALSE)*VLOOKUP($D47,素材!$1:$1016,COLUMN($E$1),FALSE)/(LEN(VLOOKUP($D47,素材!$1:$1016,COLUMN($F$1),FALSE))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BA47">
        <f>IF(ISNUMBER(SEARCH(SUBSTITUTE(BA$1,RIGHT(BA$1,2),""),VLOOKUP($D47,素材!$1:$1016,COLUMN($F$1),FALSE))),VLOOKUP($C47,武器!$1:$998,COLUMN($O$1),FALSE)*VLOOKUP($D47,素材!$1:$1016,COLUMN($E$1),FALSE)/(LEN(VLOOKUP($D47,素材!$1:$1016,COLUMN($F$1),FALSE))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BB47">
        <f>IF(ISNUMBER(SEARCH(SUBSTITUTE(BB$1,RIGHT(BB$1,2),""),VLOOKUP($D47,素材!$1:$1016,COLUMN($F$1),FALSE))),VLOOKUP($C47,武器!$1:$998,COLUMN($O$1),FALSE)*VLOOKUP($D47,素材!$1:$1016,COLUMN($E$1),FALSE)/(LEN(VLOOKUP($D47,素材!$1:$1016,COLUMN($F$1),FALSE))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BC47">
        <f>IF(ISNUMBER(SEARCH(SUBSTITUTE(BC$1,RIGHT(BC$1,2),""),VLOOKUP($D47,素材!$1:$1016,COLUMN($F$1),FALSE))),VLOOKUP($C47,武器!$1:$998,COLUMN($O$1),FALSE)*VLOOKUP($D47,素材!$1:$1016,COLUMN($E$1),FALSE)/(LEN(VLOOKUP($D47,素材!$1:$1016,COLUMN($F$1),FALSE))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BD47">
        <f>IF(ISNUMBER(SEARCH(SUBSTITUTE(BD$1,RIGHT(BD$1,2),""),VLOOKUP($D47,素材!$1:$1016,COLUMN($F$1),FALSE))),VLOOKUP($C47,武器!$1:$998,COLUMN($O$1),FALSE)*VLOOKUP($D47,素材!$1:$1016,COLUMN($E$1),FALSE)/(LEN(VLOOKUP($D47,素材!$1:$1016,COLUMN($F$1),FALSE))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BE47">
        <f>IF(ISNUMBER(SEARCH(SUBSTITUTE(BE$1,RIGHT(BE$1,2),""),VLOOKUP($D47,素材!$1:$1016,COLUMN($F$1),FALSE))),VLOOKUP($C47,武器!$1:$998,COLUMN($O$1),FALSE)*VLOOKUP($D47,素材!$1:$1016,COLUMN($E$1),FALSE)/(LEN(VLOOKUP($D47,素材!$1:$1016,COLUMN($F$1),FALSE))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BF47">
        <f>IF(ISNUMBER(SEARCH(SUBSTITUTE(BF$1,RIGHT(BF$1,2),""),VLOOKUP($D47,素材!$1:$1016,COLUMN($F$1),FALSE))),VLOOKUP($C47,武器!$1:$998,COLUMN($O$1),FALSE)*VLOOKUP($D47,素材!$1:$1016,COLUMN($E$1),FALSE)/(LEN(VLOOKUP($D47,素材!$1:$1016,COLUMN($F$1),FALSE)) - LEN(SUBSTITUTE(VLOOKUP($D47,素材!$1:$1016,COLUMN($F$1),FALSE), "・", 0)) + 1), 0)</f>
        <v>0</v>
      </c>
      <c r="CM47">
        <f t="shared" si="3"/>
        <v>16</v>
      </c>
      <c r="CN47" s="22" t="str">
        <f>IF(E47="武器",IF(J47-1&gt;SUM(G47:I47),"盾",IF(MAX(G47:I47)=G47,"切断",IF(MAX(G47:I47)=H47,"貫通",IF(MAX(G47:I47)=I47,"打撃","射撃")))),E47)&amp;".webp"</f>
        <v>貫通.webp</v>
      </c>
      <c r="CO47">
        <f>IFERROR(VLOOKUP($C47,武器!$1:$998,COLUMN(V$1),FALSE)*VLOOKUP($D47,素材!$1:$1016,COLUMN(N$1),FALSE)+IF(CJ47="",0,VLOOKUP($CJ47,装強!$1:$1008,COLUMN($CL$1),FALSE)),"")</f>
        <v>150</v>
      </c>
      <c r="CP47" t="str">
        <f>VLOOKUP(D47,素材!$A:$O,COLUMN(素材!O$1),FALSE)</f>
        <v>一般的な木材。金属より軽いが少し脆い</v>
      </c>
      <c r="CQ47" t="str">
        <f>VLOOKUP(C47,武器!$A:$W,COLUMN(武器!W$1),FALSE)</f>
        <v>刺剣。小型で精密な攻撃が可能な武器。</v>
      </c>
      <c r="CS47" t="str">
        <f t="shared" si="2"/>
        <v>e_47</v>
      </c>
      <c r="CT47">
        <f t="shared" si="4"/>
        <v>15000</v>
      </c>
    </row>
    <row r="48" spans="1:98" outlineLevel="1" x14ac:dyDescent="0.4">
      <c r="A48" t="str">
        <f t="shared" si="5"/>
        <v>木の短槍</v>
      </c>
      <c r="B48" t="str">
        <f>IFERROR(VLOOKUP($D48,素材!$1:$1016,COLUMN($B$1),FALSE)&amp;"・"&amp;VLOOKUP($C48,武器!$1:$998,COLUMN(B$1),FALSE),"")</f>
        <v>ウッド・ショートスピア</v>
      </c>
      <c r="C48" s="24" t="s">
        <v>234</v>
      </c>
      <c r="D48" s="24" t="s">
        <v>255</v>
      </c>
      <c r="E48" t="str">
        <f>IFERROR(VLOOKUP(C48,武器!$1:$998,COLUMN(C$1),FALSE),"")</f>
        <v>武器</v>
      </c>
      <c r="F48">
        <f>IFERROR(ROUNDDOWN((VLOOKUP($C48,武器!$1:$998,COLUMN(D$1),FALSE)+IFERROR(VLOOKUP($CJ48,装強!$1:$999,COLUMN(F$1),FALSE),0))*VLOOKUP($D48,素材!$1:$1016,COLUMN(D$1),FALSE),0),"")</f>
        <v>78</v>
      </c>
      <c r="G48">
        <f>IFERROR(ROUNDDOWN((VLOOKUP($C48,武器!$1:$998,COLUMN(E$1),FALSE)+IFERROR(VLOOKUP($CJ48,装強!$1:$999,COLUMN(G$1),FALSE),0))*VLOOKUP($D48,素材!$1:$1016,COLUMN($E$1),FALSE),0),"")</f>
        <v>6</v>
      </c>
      <c r="H48">
        <f>IFERROR(ROUNDDOWN((VLOOKUP($C48,武器!$1:$998,COLUMN(F$1),FALSE)+IFERROR(VLOOKUP($CJ48,装強!$1:$999,COLUMN(H$1),FALSE),0))*VLOOKUP($D48,素材!$1:$1016,COLUMN($E$1),FALSE),0),"")</f>
        <v>10</v>
      </c>
      <c r="I48">
        <f>IFERROR(ROUNDDOWN((VLOOKUP($C48,武器!$1:$998,COLUMN(G$1),FALSE)+IFERROR(VLOOKUP($CJ48,装強!$1:$999,COLUMN(I$1),FALSE),0))*VLOOKUP($D48,素材!$1:$1016,COLUMN($E$1),FALSE),0),"")</f>
        <v>2</v>
      </c>
      <c r="J48">
        <f>IFERROR(ROUNDDOWN((VLOOKUP($C48,武器!$1:$998,COLUMN(H$1),FALSE)+IFERROR(VLOOKUP($CJ48,装強!$1:$999,COLUMN(J$1),FALSE),0))*VLOOKUP($D48,素材!$1:$1016,COLUMN($E$1),FALSE),0),"")</f>
        <v>12</v>
      </c>
      <c r="K48">
        <f>IFERROR(ROUNDDOWN((VLOOKUP($C48,武器!$1:$998,COLUMN(I$1),FALSE)+IFERROR(VLOOKUP($CJ48,装強!$1:$999,COLUMN(K$1),FALSE),0))*VLOOKUP($D48,素材!$1:$1016,COLUMN($E$1),FALSE),0),"")</f>
        <v>0</v>
      </c>
      <c r="L48">
        <f>IFERROR(VLOOKUP($D48,素材!$1:$1016,COLUMN($F$1),FALSE),"")</f>
        <v>0</v>
      </c>
      <c r="M48">
        <f>IFERROR(VLOOKUP($C48,武器!$1:$998,COLUMN(AA$1),FALSE)*VLOOKUP($D48,素材!$1:$1016,COLUMN($G$1),FALSE),"")</f>
        <v>0</v>
      </c>
      <c r="N48">
        <f>IFERROR(VLOOKUP($C48,武器!$1:$998,COLUMN(I$1),FALSE),"")</f>
        <v>0</v>
      </c>
      <c r="O48" s="23">
        <f>IFERROR((VLOOKUP($C48,武器!$1:$998,COLUMN(K$1),FALSE)+VLOOKUP($D48,素材!$1:$1016,COLUMN(H$1),FALSE))*100+IFERROR(VLOOKUP($CJ48,装強!$1:$999,COLUMN(O$1),FALSE),0),"")</f>
        <v>10</v>
      </c>
      <c r="P48" s="23">
        <f>IFERROR((VLOOKUP($C48,武器!$1:$998,COLUMN(L$1),FALSE)+VLOOKUP($D48,素材!$1:$1016,COLUMN(I$1),FALSE))*100+IFERROR(VLOOKUP($CJ48,装強!$1:$999,COLUMN(P$1),FALSE),0),"")</f>
        <v>150</v>
      </c>
      <c r="Q48">
        <f>IFERROR(ROUNDUP(VLOOKUP($C48,武器!$1:$998,COLUMN(M$1),FALSE)*(VLOOKUP($D48,素材!$1:$1002,COLUMN(D$1),FALSE)/100),1),"")</f>
        <v>0</v>
      </c>
      <c r="R48">
        <f>IFERROR(ROUNDUP(VLOOKUP($C48,武器!$1:$998,COLUMN(N$1),FALSE)*(VLOOKUP($D48,素材!$1:$1002,COLUMN(D$1),FALSE)/100),1),"")</f>
        <v>0</v>
      </c>
      <c r="S48">
        <f>IFERROR(VLOOKUP($C48,武器!$1:$998,COLUMN(P$1),FALSE),"")</f>
        <v>0</v>
      </c>
      <c r="T48">
        <f>IFERROR(VLOOKUP($C48,武器!$1:$998,COLUMN(Q$1),FALSE),"")</f>
        <v>0</v>
      </c>
      <c r="U48">
        <f>IFERROR(VLOOKUP($C48,武器!$1:$998,COLUMN(R$1),FALSE),"")</f>
        <v>0</v>
      </c>
      <c r="V48">
        <f>IFERROR(VLOOKUP($C48,武器!$1:$998,COLUMN(Q$1),FALSE),"")</f>
        <v>0</v>
      </c>
      <c r="W48" t="str">
        <f>IFERROR(VLOOKUP($C48,武器!$1:$998,COLUMN(T$1),FALSE),"")</f>
        <v>A</v>
      </c>
      <c r="Y48" t="str">
        <f>IFERROR(VLOOKUP($C48,武器!$1:$998,COLUMN(U$1),FALSE),"")</f>
        <v>投擲強化</v>
      </c>
      <c r="Z48">
        <f>IFERROR(ROUNDUP(VLOOKUP($C48,武器!$1:$998,COLUMN(O$1),FALSE)*VLOOKUP($D48,素材!$1:$1016,COLUMN(E$1),FALSE),1),"")</f>
        <v>0</v>
      </c>
      <c r="AA48">
        <f>IF(ISNUMBER(SEARCH(SUBSTITUTE(AA$1,RIGHT(AA$1,2),""),VLOOKUP($D48,素材!$1:$1016,COLUMN($F$1),FALSE))),VLOOKUP($C48,武器!$1:$998,COLUMN($O$1),FALSE)*VLOOKUP($D48,素材!$1:$1016,COLUMN($E$1),FALSE)/(LEN(VLOOKUP($D48,素材!$1:$1016,COLUMN($F$1),FALSE))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B48">
        <f>IF(ISNUMBER(SEARCH(SUBSTITUTE(AB$1,RIGHT(AB$1,2),""),VLOOKUP($D48,素材!$1:$1016,COLUMN($F$1),FALSE))),VLOOKUP($C48,武器!$1:$998,COLUMN($O$1),FALSE)*VLOOKUP($D48,素材!$1:$1016,COLUMN($E$1),FALSE)/(LEN(VLOOKUP($D48,素材!$1:$1016,COLUMN($F$1),FALSE))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C48">
        <f>IF(ISNUMBER(SEARCH(SUBSTITUTE(AC$1,RIGHT(AC$1,2),""),VLOOKUP($D48,素材!$1:$1016,COLUMN($F$1),FALSE))),VLOOKUP($C48,武器!$1:$998,COLUMN($O$1),FALSE)*VLOOKUP($D48,素材!$1:$1016,COLUMN($E$1),FALSE)/(LEN(VLOOKUP($D48,素材!$1:$1016,COLUMN($F$1),FALSE))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D48">
        <f>IF(ISNUMBER(SEARCH(SUBSTITUTE(AD$1,RIGHT(AD$1,2),""),VLOOKUP($D48,素材!$1:$1016,COLUMN($F$1),FALSE))),VLOOKUP($C48,武器!$1:$998,COLUMN($O$1),FALSE)*VLOOKUP($D48,素材!$1:$1016,COLUMN($E$1),FALSE)/(LEN(VLOOKUP($D48,素材!$1:$1016,COLUMN($F$1),FALSE))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E48">
        <f>IF(ISNUMBER(SEARCH(SUBSTITUTE(AE$1,RIGHT(AE$1,2),""),VLOOKUP($D48,素材!$1:$1016,COLUMN($F$1),FALSE))),VLOOKUP($C48,武器!$1:$998,COLUMN($O$1),FALSE)*VLOOKUP($D48,素材!$1:$1016,COLUMN($E$1),FALSE)/(LEN(VLOOKUP($D48,素材!$1:$1016,COLUMN($F$1),FALSE))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F48">
        <f>IF(ISNUMBER(SEARCH(SUBSTITUTE(AF$1,RIGHT(AF$1,2),""),VLOOKUP($D48,素材!$1:$1016,COLUMN($F$1),FALSE))),VLOOKUP($C48,武器!$1:$998,COLUMN($O$1),FALSE)*VLOOKUP($D48,素材!$1:$1016,COLUMN($E$1),FALSE)/(LEN(VLOOKUP($D48,素材!$1:$1016,COLUMN($F$1),FALSE))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G48">
        <f>IF(ISNUMBER(SEARCH(SUBSTITUTE(AG$1,RIGHT(AG$1,2),""),VLOOKUP($D48,素材!$1:$1016,COLUMN($F$1),FALSE))),VLOOKUP($C48,武器!$1:$998,COLUMN($O$1),FALSE)*VLOOKUP($D48,素材!$1:$1016,COLUMN($E$1),FALSE)/(LEN(VLOOKUP($D48,素材!$1:$1016,COLUMN($F$1),FALSE))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H48">
        <f>IF(ISNUMBER(SEARCH(SUBSTITUTE(AH$1,RIGHT(AH$1,2),""),VLOOKUP($D48,素材!$1:$1016,COLUMN($F$1),FALSE))),VLOOKUP($C48,武器!$1:$998,COLUMN($O$1),FALSE)*VLOOKUP($D48,素材!$1:$1016,COLUMN($E$1),FALSE)/(LEN(VLOOKUP($D48,素材!$1:$1016,COLUMN($F$1),FALSE))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I48">
        <f>IF(ISNUMBER(SEARCH(SUBSTITUTE(AI$1,RIGHT(AI$1,2),""),VLOOKUP($D48,素材!$1:$1016,COLUMN($F$1),FALSE))),VLOOKUP($C48,武器!$1:$998,COLUMN($O$1),FALSE)*VLOOKUP($D48,素材!$1:$1016,COLUMN($E$1),FALSE)/(LEN(VLOOKUP($D48,素材!$1:$1016,COLUMN($F$1),FALSE))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J48">
        <f>IF(ISNUMBER(SEARCH(SUBSTITUTE(AJ$1,RIGHT(AJ$1,2),""),VLOOKUP($D48,素材!$1:$1016,COLUMN($F$1),FALSE))),VLOOKUP($C48,武器!$1:$998,COLUMN($O$1),FALSE)*VLOOKUP($D48,素材!$1:$1016,COLUMN($E$1),FALSE)/(LEN(VLOOKUP($D48,素材!$1:$1016,COLUMN($F$1),FALSE))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K48">
        <f>IF(ISNUMBER(SEARCH(SUBSTITUTE(AK$1,RIGHT(AK$1,2),""),VLOOKUP($D48,素材!$1:$1016,COLUMN($F$1),FALSE))),VLOOKUP($C48,武器!$1:$998,COLUMN($O$1),FALSE)*VLOOKUP($D48,素材!$1:$1016,COLUMN($E$1),FALSE)/(LEN(VLOOKUP($D48,素材!$1:$1016,COLUMN($F$1),FALSE))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L48">
        <f>IF(ISNUMBER(SEARCH(SUBSTITUTE(AL$1,RIGHT(AL$1,2),""),VLOOKUP($D48,素材!$1:$1016,COLUMN($F$1),FALSE))),VLOOKUP($C48,武器!$1:$998,COLUMN($O$1),FALSE)*VLOOKUP($D48,素材!$1:$1016,COLUMN($E$1),FALSE)/(LEN(VLOOKUP($D48,素材!$1:$1016,COLUMN($F$1),FALSE))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M48">
        <f>IF(ISNUMBER(SEARCH(SUBSTITUTE(AM$1,RIGHT(AM$1,2),""),VLOOKUP($D48,素材!$1:$1016,COLUMN($F$1),FALSE))),VLOOKUP($C48,武器!$1:$998,COLUMN($O$1),FALSE)*VLOOKUP($D48,素材!$1:$1016,COLUMN($E$1),FALSE)/(LEN(VLOOKUP($D48,素材!$1:$1016,COLUMN($F$1),FALSE))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N48">
        <f>IF(ISNUMBER(SEARCH(SUBSTITUTE(AN$1,RIGHT(AN$1,2),""),VLOOKUP($D48,素材!$1:$1016,COLUMN($F$1),FALSE))),VLOOKUP($C48,武器!$1:$998,COLUMN($O$1),FALSE)*VLOOKUP($D48,素材!$1:$1016,COLUMN($E$1),FALSE)/(LEN(VLOOKUP($D48,素材!$1:$1016,COLUMN($F$1),FALSE))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O48">
        <f>IF(ISNUMBER(SEARCH(SUBSTITUTE(AO$1,RIGHT(AO$1,2),""),VLOOKUP($D48,素材!$1:$1016,COLUMN($F$1),FALSE))),VLOOKUP($C48,武器!$1:$998,COLUMN($O$1),FALSE)*VLOOKUP($D48,素材!$1:$1016,COLUMN($E$1),FALSE)/(LEN(VLOOKUP($D48,素材!$1:$1016,COLUMN($F$1),FALSE))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P48">
        <f>IF(ISNUMBER(SEARCH(SUBSTITUTE(AP$1,RIGHT(AP$1,2),""),VLOOKUP($D48,素材!$1:$1016,COLUMN($F$1),FALSE))),VLOOKUP($C48,武器!$1:$998,COLUMN($O$1),FALSE)*VLOOKUP($D48,素材!$1:$1016,COLUMN($E$1),FALSE)/(LEN(VLOOKUP($D48,素材!$1:$1016,COLUMN($F$1),FALSE))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Q48">
        <f>IF(ISNUMBER(SEARCH(SUBSTITUTE(AQ$1,RIGHT(AQ$1,2),""),VLOOKUP($D48,素材!$1:$1016,COLUMN($F$1),FALSE))),VLOOKUP($C48,武器!$1:$998,COLUMN($O$1),FALSE)*VLOOKUP($D48,素材!$1:$1016,COLUMN($E$1),FALSE)/(LEN(VLOOKUP($D48,素材!$1:$1016,COLUMN($F$1),FALSE))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R48">
        <f>IF(ISNUMBER(SEARCH(SUBSTITUTE(AR$1,RIGHT(AR$1,2),""),VLOOKUP($D48,素材!$1:$1016,COLUMN($F$1),FALSE))),VLOOKUP($C48,武器!$1:$998,COLUMN($O$1),FALSE)*VLOOKUP($D48,素材!$1:$1016,COLUMN($E$1),FALSE)/(LEN(VLOOKUP($D48,素材!$1:$1016,COLUMN($F$1),FALSE))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S48">
        <f>IF(ISNUMBER(SEARCH(SUBSTITUTE(AS$1,RIGHT(AS$1,2),""),VLOOKUP($D48,素材!$1:$1016,COLUMN($F$1),FALSE))),VLOOKUP($C48,武器!$1:$998,COLUMN($O$1),FALSE)*VLOOKUP($D48,素材!$1:$1016,COLUMN($E$1),FALSE)/(LEN(VLOOKUP($D48,素材!$1:$1016,COLUMN($F$1),FALSE))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T48">
        <f>IF(ISNUMBER(SEARCH(SUBSTITUTE(AT$1,RIGHT(AT$1,2),""),VLOOKUP($D48,素材!$1:$1016,COLUMN($F$1),FALSE))),VLOOKUP($C48,武器!$1:$998,COLUMN($O$1),FALSE)*VLOOKUP($D48,素材!$1:$1016,COLUMN($E$1),FALSE)/(LEN(VLOOKUP($D48,素材!$1:$1016,COLUMN($F$1),FALSE))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U48">
        <f>IF(ISNUMBER(SEARCH(SUBSTITUTE(AU$1,RIGHT(AU$1,2),""),VLOOKUP($D48,素材!$1:$1016,COLUMN($F$1),FALSE))),VLOOKUP($C48,武器!$1:$998,COLUMN($O$1),FALSE)*VLOOKUP($D48,素材!$1:$1016,COLUMN($E$1),FALSE)/(LEN(VLOOKUP($D48,素材!$1:$1016,COLUMN($F$1),FALSE))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V48">
        <f>IF(ISNUMBER(SEARCH(SUBSTITUTE(AV$1,RIGHT(AV$1,2),""),VLOOKUP($D48,素材!$1:$1016,COLUMN($F$1),FALSE))),VLOOKUP($C48,武器!$1:$998,COLUMN($O$1),FALSE)*VLOOKUP($D48,素材!$1:$1016,COLUMN($E$1),FALSE)/(LEN(VLOOKUP($D48,素材!$1:$1016,COLUMN($F$1),FALSE))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W48">
        <f>IF(ISNUMBER(SEARCH(SUBSTITUTE(AW$1,RIGHT(AW$1,2),""),VLOOKUP($D48,素材!$1:$1016,COLUMN($F$1),FALSE))),VLOOKUP($C48,武器!$1:$998,COLUMN($O$1),FALSE)*VLOOKUP($D48,素材!$1:$1016,COLUMN($E$1),FALSE)/(LEN(VLOOKUP($D48,素材!$1:$1016,COLUMN($F$1),FALSE))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X48">
        <f>IF(ISNUMBER(SEARCH(SUBSTITUTE(AX$1,RIGHT(AX$1,2),""),VLOOKUP($D48,素材!$1:$1016,COLUMN($F$1),FALSE))),VLOOKUP($C48,武器!$1:$998,COLUMN($O$1),FALSE)*VLOOKUP($D48,素材!$1:$1016,COLUMN($E$1),FALSE)/(LEN(VLOOKUP($D48,素材!$1:$1016,COLUMN($F$1),FALSE))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Y48">
        <f>IF(ISNUMBER(SEARCH(SUBSTITUTE(AY$1,RIGHT(AY$1,2),""),VLOOKUP($D48,素材!$1:$1016,COLUMN($F$1),FALSE))),VLOOKUP($C48,武器!$1:$998,COLUMN($O$1),FALSE)*VLOOKUP($D48,素材!$1:$1016,COLUMN($E$1),FALSE)/(LEN(VLOOKUP($D48,素材!$1:$1016,COLUMN($F$1),FALSE))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AZ48">
        <f>IF(ISNUMBER(SEARCH(SUBSTITUTE(AZ$1,RIGHT(AZ$1,2),""),VLOOKUP($D48,素材!$1:$1016,COLUMN($F$1),FALSE))),VLOOKUP($C48,武器!$1:$998,COLUMN($O$1),FALSE)*VLOOKUP($D48,素材!$1:$1016,COLUMN($E$1),FALSE)/(LEN(VLOOKUP($D48,素材!$1:$1016,COLUMN($F$1),FALSE))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BA48">
        <f>IF(ISNUMBER(SEARCH(SUBSTITUTE(BA$1,RIGHT(BA$1,2),""),VLOOKUP($D48,素材!$1:$1016,COLUMN($F$1),FALSE))),VLOOKUP($C48,武器!$1:$998,COLUMN($O$1),FALSE)*VLOOKUP($D48,素材!$1:$1016,COLUMN($E$1),FALSE)/(LEN(VLOOKUP($D48,素材!$1:$1016,COLUMN($F$1),FALSE))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BB48">
        <f>IF(ISNUMBER(SEARCH(SUBSTITUTE(BB$1,RIGHT(BB$1,2),""),VLOOKUP($D48,素材!$1:$1016,COLUMN($F$1),FALSE))),VLOOKUP($C48,武器!$1:$998,COLUMN($O$1),FALSE)*VLOOKUP($D48,素材!$1:$1016,COLUMN($E$1),FALSE)/(LEN(VLOOKUP($D48,素材!$1:$1016,COLUMN($F$1),FALSE))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BC48">
        <f>IF(ISNUMBER(SEARCH(SUBSTITUTE(BC$1,RIGHT(BC$1,2),""),VLOOKUP($D48,素材!$1:$1016,COLUMN($F$1),FALSE))),VLOOKUP($C48,武器!$1:$998,COLUMN($O$1),FALSE)*VLOOKUP($D48,素材!$1:$1016,COLUMN($E$1),FALSE)/(LEN(VLOOKUP($D48,素材!$1:$1016,COLUMN($F$1),FALSE))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BD48">
        <f>IF(ISNUMBER(SEARCH(SUBSTITUTE(BD$1,RIGHT(BD$1,2),""),VLOOKUP($D48,素材!$1:$1016,COLUMN($F$1),FALSE))),VLOOKUP($C48,武器!$1:$998,COLUMN($O$1),FALSE)*VLOOKUP($D48,素材!$1:$1016,COLUMN($E$1),FALSE)/(LEN(VLOOKUP($D48,素材!$1:$1016,COLUMN($F$1),FALSE))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BE48">
        <f>IF(ISNUMBER(SEARCH(SUBSTITUTE(BE$1,RIGHT(BE$1,2),""),VLOOKUP($D48,素材!$1:$1016,COLUMN($F$1),FALSE))),VLOOKUP($C48,武器!$1:$998,COLUMN($O$1),FALSE)*VLOOKUP($D48,素材!$1:$1016,COLUMN($E$1),FALSE)/(LEN(VLOOKUP($D48,素材!$1:$1016,COLUMN($F$1),FALSE))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BF48">
        <f>IF(ISNUMBER(SEARCH(SUBSTITUTE(BF$1,RIGHT(BF$1,2),""),VLOOKUP($D48,素材!$1:$1016,COLUMN($F$1),FALSE))),VLOOKUP($C48,武器!$1:$998,COLUMN($O$1),FALSE)*VLOOKUP($D48,素材!$1:$1016,COLUMN($E$1),FALSE)/(LEN(VLOOKUP($D48,素材!$1:$1016,COLUMN($F$1),FALSE)) - LEN(SUBSTITUTE(VLOOKUP($D48,素材!$1:$1016,COLUMN($F$1),FALSE), "・", 0)) + 1), 0)</f>
        <v>0</v>
      </c>
      <c r="CM48">
        <f t="shared" si="3"/>
        <v>18</v>
      </c>
      <c r="CN48" s="22" t="str">
        <f>IF(E48="武器",IF(J48-1&gt;SUM(G48:I48),"盾",IF(MAX(G48:I48)=G48,"切断",IF(MAX(G48:I48)=H48,"貫通",IF(MAX(G48:I48)=I48,"打撃","射撃")))),E48)&amp;".webp"</f>
        <v>貫通.webp</v>
      </c>
      <c r="CO48">
        <f>IFERROR(VLOOKUP($C48,武器!$1:$998,COLUMN(V$1),FALSE)*VLOOKUP($D48,素材!$1:$1016,COLUMN(N$1),FALSE)+IF(CJ48="",0,VLOOKUP($CJ48,装強!$1:$1008,COLUMN($CL$1),FALSE)),"")</f>
        <v>150</v>
      </c>
      <c r="CP48" t="str">
        <f>VLOOKUP(D48,素材!$A:$O,COLUMN(素材!O$1),FALSE)</f>
        <v>一般的な木材。金属より軽いが少し脆い</v>
      </c>
      <c r="CQ48" t="str">
        <f>VLOOKUP(C48,武器!$A:$W,COLUMN(武器!W$1),FALSE)</f>
        <v>短槍。短く扱いやすい槍で、投擲にも対応。</v>
      </c>
      <c r="CS48" t="str">
        <f t="shared" si="2"/>
        <v>e_48</v>
      </c>
      <c r="CT48">
        <f t="shared" si="4"/>
        <v>15000</v>
      </c>
    </row>
    <row r="49" spans="1:98" outlineLevel="1" x14ac:dyDescent="0.4">
      <c r="A49" t="str">
        <f t="shared" si="5"/>
        <v>木の槍</v>
      </c>
      <c r="B49" t="str">
        <f>IFERROR(VLOOKUP($D49,素材!$1:$1016,COLUMN($B$1),FALSE)&amp;"・"&amp;VLOOKUP($C49,武器!$1:$998,COLUMN(B$1),FALSE),"")</f>
        <v>ウッド・スピア</v>
      </c>
      <c r="C49" s="24" t="s">
        <v>233</v>
      </c>
      <c r="D49" s="24" t="s">
        <v>255</v>
      </c>
      <c r="E49" t="str">
        <f>IFERROR(VLOOKUP(C49,武器!$1:$998,COLUMN(C$1),FALSE),"")</f>
        <v>武器</v>
      </c>
      <c r="F49">
        <f>IFERROR(ROUNDDOWN((VLOOKUP($C49,武器!$1:$998,COLUMN(D$1),FALSE)+IFERROR(VLOOKUP($CJ49,装強!$1:$999,COLUMN(F$1),FALSE),0))*VLOOKUP($D49,素材!$1:$1016,COLUMN(D$1),FALSE),0),"")</f>
        <v>86</v>
      </c>
      <c r="G49">
        <f>IFERROR(ROUNDDOWN((VLOOKUP($C49,武器!$1:$998,COLUMN(E$1),FALSE)+IFERROR(VLOOKUP($CJ49,装強!$1:$999,COLUMN(G$1),FALSE),0))*VLOOKUP($D49,素材!$1:$1016,COLUMN($E$1),FALSE),0),"")</f>
        <v>6</v>
      </c>
      <c r="H49">
        <f>IFERROR(ROUNDDOWN((VLOOKUP($C49,武器!$1:$998,COLUMN(F$1),FALSE)+IFERROR(VLOOKUP($CJ49,装強!$1:$999,COLUMN(H$1),FALSE),0))*VLOOKUP($D49,素材!$1:$1016,COLUMN($E$1),FALSE),0),"")</f>
        <v>12</v>
      </c>
      <c r="I49">
        <f>IFERROR(ROUNDDOWN((VLOOKUP($C49,武器!$1:$998,COLUMN(G$1),FALSE)+IFERROR(VLOOKUP($CJ49,装強!$1:$999,COLUMN(I$1),FALSE),0))*VLOOKUP($D49,素材!$1:$1016,COLUMN($E$1),FALSE),0),"")</f>
        <v>2</v>
      </c>
      <c r="J49">
        <f>IFERROR(ROUNDDOWN((VLOOKUP($C49,武器!$1:$998,COLUMN(H$1),FALSE)+IFERROR(VLOOKUP($CJ49,装強!$1:$999,COLUMN(J$1),FALSE),0))*VLOOKUP($D49,素材!$1:$1016,COLUMN($E$1),FALSE),0),"")</f>
        <v>12</v>
      </c>
      <c r="K49">
        <f>IFERROR(ROUNDDOWN((VLOOKUP($C49,武器!$1:$998,COLUMN(I$1),FALSE)+IFERROR(VLOOKUP($CJ49,装強!$1:$999,COLUMN(K$1),FALSE),0))*VLOOKUP($D49,素材!$1:$1016,COLUMN($E$1),FALSE),0),"")</f>
        <v>0</v>
      </c>
      <c r="L49">
        <f>IFERROR(VLOOKUP($D49,素材!$1:$1016,COLUMN($F$1),FALSE),"")</f>
        <v>0</v>
      </c>
      <c r="M49">
        <f>IFERROR(VLOOKUP($C49,武器!$1:$998,COLUMN(AA$1),FALSE)*VLOOKUP($D49,素材!$1:$1016,COLUMN($G$1),FALSE),"")</f>
        <v>0</v>
      </c>
      <c r="N49">
        <f>IFERROR(VLOOKUP($C49,武器!$1:$998,COLUMN(I$1),FALSE),"")</f>
        <v>0</v>
      </c>
      <c r="O49" s="23">
        <f>IFERROR((VLOOKUP($C49,武器!$1:$998,COLUMN(K$1),FALSE)+VLOOKUP($D49,素材!$1:$1016,COLUMN(H$1),FALSE))*100+IFERROR(VLOOKUP($CJ49,装強!$1:$999,COLUMN(O$1),FALSE),0),"")</f>
        <v>10</v>
      </c>
      <c r="P49" s="23">
        <f>IFERROR((VLOOKUP($C49,武器!$1:$998,COLUMN(L$1),FALSE)+VLOOKUP($D49,素材!$1:$1016,COLUMN(I$1),FALSE))*100+IFERROR(VLOOKUP($CJ49,装強!$1:$999,COLUMN(P$1),FALSE),0),"")</f>
        <v>150</v>
      </c>
      <c r="Q49">
        <f>IFERROR(ROUNDUP(VLOOKUP($C49,武器!$1:$998,COLUMN(M$1),FALSE)*(VLOOKUP($D49,素材!$1:$1002,COLUMN(D$1),FALSE)/100),1),"")</f>
        <v>0</v>
      </c>
      <c r="R49">
        <f>IFERROR(ROUNDUP(VLOOKUP($C49,武器!$1:$998,COLUMN(N$1),FALSE)*(VLOOKUP($D49,素材!$1:$1002,COLUMN(D$1),FALSE)/100),1),"")</f>
        <v>-3.8000000000000003</v>
      </c>
      <c r="S49">
        <f>IFERROR(VLOOKUP($C49,武器!$1:$998,COLUMN(P$1),FALSE),"")</f>
        <v>0</v>
      </c>
      <c r="T49">
        <f>IFERROR(VLOOKUP($C49,武器!$1:$998,COLUMN(Q$1),FALSE),"")</f>
        <v>0</v>
      </c>
      <c r="U49">
        <f>IFERROR(VLOOKUP($C49,武器!$1:$998,COLUMN(R$1),FALSE),"")</f>
        <v>0</v>
      </c>
      <c r="V49">
        <f>IFERROR(VLOOKUP($C49,武器!$1:$998,COLUMN(Q$1),FALSE),"")</f>
        <v>0</v>
      </c>
      <c r="W49" t="str">
        <f>IFERROR(VLOOKUP($C49,武器!$1:$998,COLUMN(T$1),FALSE),"")</f>
        <v>A</v>
      </c>
      <c r="Y49" t="str">
        <f>IFERROR(VLOOKUP($C49,武器!$1:$998,COLUMN(U$1),FALSE),"")</f>
        <v>投擲強化</v>
      </c>
      <c r="Z49">
        <f>IFERROR(ROUNDUP(VLOOKUP($C49,武器!$1:$998,COLUMN(O$1),FALSE)*VLOOKUP($D49,素材!$1:$1016,COLUMN(E$1),FALSE),1),"")</f>
        <v>0</v>
      </c>
      <c r="AA49">
        <f>IF(ISNUMBER(SEARCH(SUBSTITUTE(AA$1,RIGHT(AA$1,2),""),VLOOKUP($D49,素材!$1:$1016,COLUMN($F$1),FALSE))),VLOOKUP($C49,武器!$1:$998,COLUMN($O$1),FALSE)*VLOOKUP($D49,素材!$1:$1016,COLUMN($E$1),FALSE)/(LEN(VLOOKUP($D49,素材!$1:$1016,COLUMN($F$1),FALSE))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B49">
        <f>IF(ISNUMBER(SEARCH(SUBSTITUTE(AB$1,RIGHT(AB$1,2),""),VLOOKUP($D49,素材!$1:$1016,COLUMN($F$1),FALSE))),VLOOKUP($C49,武器!$1:$998,COLUMN($O$1),FALSE)*VLOOKUP($D49,素材!$1:$1016,COLUMN($E$1),FALSE)/(LEN(VLOOKUP($D49,素材!$1:$1016,COLUMN($F$1),FALSE))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C49">
        <f>IF(ISNUMBER(SEARCH(SUBSTITUTE(AC$1,RIGHT(AC$1,2),""),VLOOKUP($D49,素材!$1:$1016,COLUMN($F$1),FALSE))),VLOOKUP($C49,武器!$1:$998,COLUMN($O$1),FALSE)*VLOOKUP($D49,素材!$1:$1016,COLUMN($E$1),FALSE)/(LEN(VLOOKUP($D49,素材!$1:$1016,COLUMN($F$1),FALSE))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D49">
        <f>IF(ISNUMBER(SEARCH(SUBSTITUTE(AD$1,RIGHT(AD$1,2),""),VLOOKUP($D49,素材!$1:$1016,COLUMN($F$1),FALSE))),VLOOKUP($C49,武器!$1:$998,COLUMN($O$1),FALSE)*VLOOKUP($D49,素材!$1:$1016,COLUMN($E$1),FALSE)/(LEN(VLOOKUP($D49,素材!$1:$1016,COLUMN($F$1),FALSE))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E49">
        <f>IF(ISNUMBER(SEARCH(SUBSTITUTE(AE$1,RIGHT(AE$1,2),""),VLOOKUP($D49,素材!$1:$1016,COLUMN($F$1),FALSE))),VLOOKUP($C49,武器!$1:$998,COLUMN($O$1),FALSE)*VLOOKUP($D49,素材!$1:$1016,COLUMN($E$1),FALSE)/(LEN(VLOOKUP($D49,素材!$1:$1016,COLUMN($F$1),FALSE))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F49">
        <f>IF(ISNUMBER(SEARCH(SUBSTITUTE(AF$1,RIGHT(AF$1,2),""),VLOOKUP($D49,素材!$1:$1016,COLUMN($F$1),FALSE))),VLOOKUP($C49,武器!$1:$998,COLUMN($O$1),FALSE)*VLOOKUP($D49,素材!$1:$1016,COLUMN($E$1),FALSE)/(LEN(VLOOKUP($D49,素材!$1:$1016,COLUMN($F$1),FALSE))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G49">
        <f>IF(ISNUMBER(SEARCH(SUBSTITUTE(AG$1,RIGHT(AG$1,2),""),VLOOKUP($D49,素材!$1:$1016,COLUMN($F$1),FALSE))),VLOOKUP($C49,武器!$1:$998,COLUMN($O$1),FALSE)*VLOOKUP($D49,素材!$1:$1016,COLUMN($E$1),FALSE)/(LEN(VLOOKUP($D49,素材!$1:$1016,COLUMN($F$1),FALSE))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H49">
        <f>IF(ISNUMBER(SEARCH(SUBSTITUTE(AH$1,RIGHT(AH$1,2),""),VLOOKUP($D49,素材!$1:$1016,COLUMN($F$1),FALSE))),VLOOKUP($C49,武器!$1:$998,COLUMN($O$1),FALSE)*VLOOKUP($D49,素材!$1:$1016,COLUMN($E$1),FALSE)/(LEN(VLOOKUP($D49,素材!$1:$1016,COLUMN($F$1),FALSE))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I49">
        <f>IF(ISNUMBER(SEARCH(SUBSTITUTE(AI$1,RIGHT(AI$1,2),""),VLOOKUP($D49,素材!$1:$1016,COLUMN($F$1),FALSE))),VLOOKUP($C49,武器!$1:$998,COLUMN($O$1),FALSE)*VLOOKUP($D49,素材!$1:$1016,COLUMN($E$1),FALSE)/(LEN(VLOOKUP($D49,素材!$1:$1016,COLUMN($F$1),FALSE))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J49">
        <f>IF(ISNUMBER(SEARCH(SUBSTITUTE(AJ$1,RIGHT(AJ$1,2),""),VLOOKUP($D49,素材!$1:$1016,COLUMN($F$1),FALSE))),VLOOKUP($C49,武器!$1:$998,COLUMN($O$1),FALSE)*VLOOKUP($D49,素材!$1:$1016,COLUMN($E$1),FALSE)/(LEN(VLOOKUP($D49,素材!$1:$1016,COLUMN($F$1),FALSE))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K49">
        <f>IF(ISNUMBER(SEARCH(SUBSTITUTE(AK$1,RIGHT(AK$1,2),""),VLOOKUP($D49,素材!$1:$1016,COLUMN($F$1),FALSE))),VLOOKUP($C49,武器!$1:$998,COLUMN($O$1),FALSE)*VLOOKUP($D49,素材!$1:$1016,COLUMN($E$1),FALSE)/(LEN(VLOOKUP($D49,素材!$1:$1016,COLUMN($F$1),FALSE))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L49">
        <f>IF(ISNUMBER(SEARCH(SUBSTITUTE(AL$1,RIGHT(AL$1,2),""),VLOOKUP($D49,素材!$1:$1016,COLUMN($F$1),FALSE))),VLOOKUP($C49,武器!$1:$998,COLUMN($O$1),FALSE)*VLOOKUP($D49,素材!$1:$1016,COLUMN($E$1),FALSE)/(LEN(VLOOKUP($D49,素材!$1:$1016,COLUMN($F$1),FALSE))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M49">
        <f>IF(ISNUMBER(SEARCH(SUBSTITUTE(AM$1,RIGHT(AM$1,2),""),VLOOKUP($D49,素材!$1:$1016,COLUMN($F$1),FALSE))),VLOOKUP($C49,武器!$1:$998,COLUMN($O$1),FALSE)*VLOOKUP($D49,素材!$1:$1016,COLUMN($E$1),FALSE)/(LEN(VLOOKUP($D49,素材!$1:$1016,COLUMN($F$1),FALSE))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N49">
        <f>IF(ISNUMBER(SEARCH(SUBSTITUTE(AN$1,RIGHT(AN$1,2),""),VLOOKUP($D49,素材!$1:$1016,COLUMN($F$1),FALSE))),VLOOKUP($C49,武器!$1:$998,COLUMN($O$1),FALSE)*VLOOKUP($D49,素材!$1:$1016,COLUMN($E$1),FALSE)/(LEN(VLOOKUP($D49,素材!$1:$1016,COLUMN($F$1),FALSE))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O49">
        <f>IF(ISNUMBER(SEARCH(SUBSTITUTE(AO$1,RIGHT(AO$1,2),""),VLOOKUP($D49,素材!$1:$1016,COLUMN($F$1),FALSE))),VLOOKUP($C49,武器!$1:$998,COLUMN($O$1),FALSE)*VLOOKUP($D49,素材!$1:$1016,COLUMN($E$1),FALSE)/(LEN(VLOOKUP($D49,素材!$1:$1016,COLUMN($F$1),FALSE))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P49">
        <f>IF(ISNUMBER(SEARCH(SUBSTITUTE(AP$1,RIGHT(AP$1,2),""),VLOOKUP($D49,素材!$1:$1016,COLUMN($F$1),FALSE))),VLOOKUP($C49,武器!$1:$998,COLUMN($O$1),FALSE)*VLOOKUP($D49,素材!$1:$1016,COLUMN($E$1),FALSE)/(LEN(VLOOKUP($D49,素材!$1:$1016,COLUMN($F$1),FALSE))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Q49">
        <f>IF(ISNUMBER(SEARCH(SUBSTITUTE(AQ$1,RIGHT(AQ$1,2),""),VLOOKUP($D49,素材!$1:$1016,COLUMN($F$1),FALSE))),VLOOKUP($C49,武器!$1:$998,COLUMN($O$1),FALSE)*VLOOKUP($D49,素材!$1:$1016,COLUMN($E$1),FALSE)/(LEN(VLOOKUP($D49,素材!$1:$1016,COLUMN($F$1),FALSE))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R49">
        <f>IF(ISNUMBER(SEARCH(SUBSTITUTE(AR$1,RIGHT(AR$1,2),""),VLOOKUP($D49,素材!$1:$1016,COLUMN($F$1),FALSE))),VLOOKUP($C49,武器!$1:$998,COLUMN($O$1),FALSE)*VLOOKUP($D49,素材!$1:$1016,COLUMN($E$1),FALSE)/(LEN(VLOOKUP($D49,素材!$1:$1016,COLUMN($F$1),FALSE))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S49">
        <f>IF(ISNUMBER(SEARCH(SUBSTITUTE(AS$1,RIGHT(AS$1,2),""),VLOOKUP($D49,素材!$1:$1016,COLUMN($F$1),FALSE))),VLOOKUP($C49,武器!$1:$998,COLUMN($O$1),FALSE)*VLOOKUP($D49,素材!$1:$1016,COLUMN($E$1),FALSE)/(LEN(VLOOKUP($D49,素材!$1:$1016,COLUMN($F$1),FALSE))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T49">
        <f>IF(ISNUMBER(SEARCH(SUBSTITUTE(AT$1,RIGHT(AT$1,2),""),VLOOKUP($D49,素材!$1:$1016,COLUMN($F$1),FALSE))),VLOOKUP($C49,武器!$1:$998,COLUMN($O$1),FALSE)*VLOOKUP($D49,素材!$1:$1016,COLUMN($E$1),FALSE)/(LEN(VLOOKUP($D49,素材!$1:$1016,COLUMN($F$1),FALSE))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U49">
        <f>IF(ISNUMBER(SEARCH(SUBSTITUTE(AU$1,RIGHT(AU$1,2),""),VLOOKUP($D49,素材!$1:$1016,COLUMN($F$1),FALSE))),VLOOKUP($C49,武器!$1:$998,COLUMN($O$1),FALSE)*VLOOKUP($D49,素材!$1:$1016,COLUMN($E$1),FALSE)/(LEN(VLOOKUP($D49,素材!$1:$1016,COLUMN($F$1),FALSE))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V49">
        <f>IF(ISNUMBER(SEARCH(SUBSTITUTE(AV$1,RIGHT(AV$1,2),""),VLOOKUP($D49,素材!$1:$1016,COLUMN($F$1),FALSE))),VLOOKUP($C49,武器!$1:$998,COLUMN($O$1),FALSE)*VLOOKUP($D49,素材!$1:$1016,COLUMN($E$1),FALSE)/(LEN(VLOOKUP($D49,素材!$1:$1016,COLUMN($F$1),FALSE))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W49">
        <f>IF(ISNUMBER(SEARCH(SUBSTITUTE(AW$1,RIGHT(AW$1,2),""),VLOOKUP($D49,素材!$1:$1016,COLUMN($F$1),FALSE))),VLOOKUP($C49,武器!$1:$998,COLUMN($O$1),FALSE)*VLOOKUP($D49,素材!$1:$1016,COLUMN($E$1),FALSE)/(LEN(VLOOKUP($D49,素材!$1:$1016,COLUMN($F$1),FALSE))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X49">
        <f>IF(ISNUMBER(SEARCH(SUBSTITUTE(AX$1,RIGHT(AX$1,2),""),VLOOKUP($D49,素材!$1:$1016,COLUMN($F$1),FALSE))),VLOOKUP($C49,武器!$1:$998,COLUMN($O$1),FALSE)*VLOOKUP($D49,素材!$1:$1016,COLUMN($E$1),FALSE)/(LEN(VLOOKUP($D49,素材!$1:$1016,COLUMN($F$1),FALSE))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Y49">
        <f>IF(ISNUMBER(SEARCH(SUBSTITUTE(AY$1,RIGHT(AY$1,2),""),VLOOKUP($D49,素材!$1:$1016,COLUMN($F$1),FALSE))),VLOOKUP($C49,武器!$1:$998,COLUMN($O$1),FALSE)*VLOOKUP($D49,素材!$1:$1016,COLUMN($E$1),FALSE)/(LEN(VLOOKUP($D49,素材!$1:$1016,COLUMN($F$1),FALSE))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AZ49">
        <f>IF(ISNUMBER(SEARCH(SUBSTITUTE(AZ$1,RIGHT(AZ$1,2),""),VLOOKUP($D49,素材!$1:$1016,COLUMN($F$1),FALSE))),VLOOKUP($C49,武器!$1:$998,COLUMN($O$1),FALSE)*VLOOKUP($D49,素材!$1:$1016,COLUMN($E$1),FALSE)/(LEN(VLOOKUP($D49,素材!$1:$1016,COLUMN($F$1),FALSE))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BA49">
        <f>IF(ISNUMBER(SEARCH(SUBSTITUTE(BA$1,RIGHT(BA$1,2),""),VLOOKUP($D49,素材!$1:$1016,COLUMN($F$1),FALSE))),VLOOKUP($C49,武器!$1:$998,COLUMN($O$1),FALSE)*VLOOKUP($D49,素材!$1:$1016,COLUMN($E$1),FALSE)/(LEN(VLOOKUP($D49,素材!$1:$1016,COLUMN($F$1),FALSE))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BB49">
        <f>IF(ISNUMBER(SEARCH(SUBSTITUTE(BB$1,RIGHT(BB$1,2),""),VLOOKUP($D49,素材!$1:$1016,COLUMN($F$1),FALSE))),VLOOKUP($C49,武器!$1:$998,COLUMN($O$1),FALSE)*VLOOKUP($D49,素材!$1:$1016,COLUMN($E$1),FALSE)/(LEN(VLOOKUP($D49,素材!$1:$1016,COLUMN($F$1),FALSE))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BC49">
        <f>IF(ISNUMBER(SEARCH(SUBSTITUTE(BC$1,RIGHT(BC$1,2),""),VLOOKUP($D49,素材!$1:$1016,COLUMN($F$1),FALSE))),VLOOKUP($C49,武器!$1:$998,COLUMN($O$1),FALSE)*VLOOKUP($D49,素材!$1:$1016,COLUMN($E$1),FALSE)/(LEN(VLOOKUP($D49,素材!$1:$1016,COLUMN($F$1),FALSE))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BD49">
        <f>IF(ISNUMBER(SEARCH(SUBSTITUTE(BD$1,RIGHT(BD$1,2),""),VLOOKUP($D49,素材!$1:$1016,COLUMN($F$1),FALSE))),VLOOKUP($C49,武器!$1:$998,COLUMN($O$1),FALSE)*VLOOKUP($D49,素材!$1:$1016,COLUMN($E$1),FALSE)/(LEN(VLOOKUP($D49,素材!$1:$1016,COLUMN($F$1),FALSE))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BE49">
        <f>IF(ISNUMBER(SEARCH(SUBSTITUTE(BE$1,RIGHT(BE$1,2),""),VLOOKUP($D49,素材!$1:$1016,COLUMN($F$1),FALSE))),VLOOKUP($C49,武器!$1:$998,COLUMN($O$1),FALSE)*VLOOKUP($D49,素材!$1:$1016,COLUMN($E$1),FALSE)/(LEN(VLOOKUP($D49,素材!$1:$1016,COLUMN($F$1),FALSE))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BF49">
        <f>IF(ISNUMBER(SEARCH(SUBSTITUTE(BF$1,RIGHT(BF$1,2),""),VLOOKUP($D49,素材!$1:$1016,COLUMN($F$1),FALSE))),VLOOKUP($C49,武器!$1:$998,COLUMN($O$1),FALSE)*VLOOKUP($D49,素材!$1:$1016,COLUMN($E$1),FALSE)/(LEN(VLOOKUP($D49,素材!$1:$1016,COLUMN($F$1),FALSE)) - LEN(SUBSTITUTE(VLOOKUP($D49,素材!$1:$1016,COLUMN($F$1),FALSE), "・", 0)) + 1), 0)</f>
        <v>0</v>
      </c>
      <c r="CM49">
        <f t="shared" si="3"/>
        <v>20</v>
      </c>
      <c r="CN49" s="22" t="str">
        <f>IF(E49="武器",IF(J49-1&gt;SUM(G49:I49),"盾",IF(MAX(G49:I49)=G49,"切断",IF(MAX(G49:I49)=H49,"貫通",IF(MAX(G49:I49)=I49,"打撃","射撃")))),E49)&amp;".webp"</f>
        <v>貫通.webp</v>
      </c>
      <c r="CO49">
        <f>IFERROR(VLOOKUP($C49,武器!$1:$998,COLUMN(V$1),FALSE)*VLOOKUP($D49,素材!$1:$1016,COLUMN(N$1),FALSE)+IF(CJ49="",0,VLOOKUP($CJ49,装強!$1:$1008,COLUMN($CL$1),FALSE)),"")</f>
        <v>200</v>
      </c>
      <c r="CP49" t="str">
        <f>VLOOKUP(D49,素材!$A:$O,COLUMN(素材!O$1),FALSE)</f>
        <v>一般的な木材。金属より軽いが少し脆い</v>
      </c>
      <c r="CQ49" t="str">
        <f>VLOOKUP(C49,武器!$A:$W,COLUMN(武器!W$1),FALSE)</f>
        <v>槍。リーチが長く、刺突に優れる武器。</v>
      </c>
      <c r="CS49" t="str">
        <f t="shared" si="2"/>
        <v>e_49</v>
      </c>
      <c r="CT49">
        <f t="shared" si="4"/>
        <v>20000</v>
      </c>
    </row>
    <row r="50" spans="1:98" outlineLevel="1" x14ac:dyDescent="0.4">
      <c r="A50" t="str">
        <f t="shared" si="5"/>
        <v>木の騎士槍</v>
      </c>
      <c r="B50" t="str">
        <f>IFERROR(VLOOKUP($D50,素材!$1:$1016,COLUMN($B$1),FALSE)&amp;"・"&amp;VLOOKUP($C50,武器!$1:$998,COLUMN(B$1),FALSE),"")</f>
        <v>ウッド・ランス</v>
      </c>
      <c r="C50" s="24" t="s">
        <v>232</v>
      </c>
      <c r="D50" s="24" t="s">
        <v>255</v>
      </c>
      <c r="E50" t="str">
        <f>IFERROR(VLOOKUP(C50,武器!$1:$998,COLUMN(C$1),FALSE),"")</f>
        <v>武器</v>
      </c>
      <c r="F50">
        <f>IFERROR(ROUNDDOWN((VLOOKUP($C50,武器!$1:$998,COLUMN(D$1),FALSE)+IFERROR(VLOOKUP($CJ50,装強!$1:$999,COLUMN(F$1),FALSE),0))*VLOOKUP($D50,素材!$1:$1016,COLUMN(D$1),FALSE),0),"")</f>
        <v>86</v>
      </c>
      <c r="G50">
        <f>IFERROR(ROUNDDOWN((VLOOKUP($C50,武器!$1:$998,COLUMN(E$1),FALSE)+IFERROR(VLOOKUP($CJ50,装強!$1:$999,COLUMN(G$1),FALSE),0))*VLOOKUP($D50,素材!$1:$1016,COLUMN($E$1),FALSE),0),"")</f>
        <v>0</v>
      </c>
      <c r="H50">
        <f>IFERROR(ROUNDDOWN((VLOOKUP($C50,武器!$1:$998,COLUMN(F$1),FALSE)+IFERROR(VLOOKUP($CJ50,装強!$1:$999,COLUMN(H$1),FALSE),0))*VLOOKUP($D50,素材!$1:$1016,COLUMN($E$1),FALSE),0),"")</f>
        <v>14</v>
      </c>
      <c r="I50">
        <f>IFERROR(ROUNDDOWN((VLOOKUP($C50,武器!$1:$998,COLUMN(G$1),FALSE)+IFERROR(VLOOKUP($CJ50,装強!$1:$999,COLUMN(I$1),FALSE),0))*VLOOKUP($D50,素材!$1:$1016,COLUMN($E$1),FALSE),0),"")</f>
        <v>6</v>
      </c>
      <c r="J50">
        <f>IFERROR(ROUNDDOWN((VLOOKUP($C50,武器!$1:$998,COLUMN(H$1),FALSE)+IFERROR(VLOOKUP($CJ50,装強!$1:$999,COLUMN(J$1),FALSE),0))*VLOOKUP($D50,素材!$1:$1016,COLUMN($E$1),FALSE),0),"")</f>
        <v>15</v>
      </c>
      <c r="K50">
        <f>IFERROR(ROUNDDOWN((VLOOKUP($C50,武器!$1:$998,COLUMN(I$1),FALSE)+IFERROR(VLOOKUP($CJ50,装強!$1:$999,COLUMN(K$1),FALSE),0))*VLOOKUP($D50,素材!$1:$1016,COLUMN($E$1),FALSE),0),"")</f>
        <v>0</v>
      </c>
      <c r="L50">
        <f>IFERROR(VLOOKUP($D50,素材!$1:$1016,COLUMN($F$1),FALSE),"")</f>
        <v>0</v>
      </c>
      <c r="M50">
        <f>IFERROR(VLOOKUP($C50,武器!$1:$998,COLUMN(AA$1),FALSE)*VLOOKUP($D50,素材!$1:$1016,COLUMN($G$1),FALSE),"")</f>
        <v>0</v>
      </c>
      <c r="N50">
        <f>IFERROR(VLOOKUP($C50,武器!$1:$998,COLUMN(I$1),FALSE),"")</f>
        <v>0</v>
      </c>
      <c r="O50" s="23">
        <f>IFERROR((VLOOKUP($C50,武器!$1:$998,COLUMN(K$1),FALSE)+VLOOKUP($D50,素材!$1:$1016,COLUMN(H$1),FALSE))*100+IFERROR(VLOOKUP($CJ50,装強!$1:$999,COLUMN(O$1),FALSE),0),"")</f>
        <v>5</v>
      </c>
      <c r="P50" s="23">
        <f>IFERROR((VLOOKUP($C50,武器!$1:$998,COLUMN(L$1),FALSE)+VLOOKUP($D50,素材!$1:$1016,COLUMN(I$1),FALSE))*100+IFERROR(VLOOKUP($CJ50,装強!$1:$999,COLUMN(P$1),FALSE),0),"")</f>
        <v>175</v>
      </c>
      <c r="Q50">
        <f>IFERROR(ROUNDUP(VLOOKUP($C50,武器!$1:$998,COLUMN(M$1),FALSE)*(VLOOKUP($D50,素材!$1:$1002,COLUMN(D$1),FALSE)/100),1),"")</f>
        <v>-3.8000000000000003</v>
      </c>
      <c r="R50">
        <f>IFERROR(ROUNDUP(VLOOKUP($C50,武器!$1:$998,COLUMN(N$1),FALSE)*(VLOOKUP($D50,素材!$1:$1002,COLUMN(D$1),FALSE)/100),1),"")</f>
        <v>-3.8000000000000003</v>
      </c>
      <c r="S50">
        <f>IFERROR(VLOOKUP($C50,武器!$1:$998,COLUMN(P$1),FALSE),"")</f>
        <v>0</v>
      </c>
      <c r="T50">
        <f>IFERROR(VLOOKUP($C50,武器!$1:$998,COLUMN(Q$1),FALSE),"")</f>
        <v>0</v>
      </c>
      <c r="U50">
        <f>IFERROR(VLOOKUP($C50,武器!$1:$998,COLUMN(R$1),FALSE),"")</f>
        <v>0</v>
      </c>
      <c r="V50">
        <f>IFERROR(VLOOKUP($C50,武器!$1:$998,COLUMN(Q$1),FALSE),"")</f>
        <v>0</v>
      </c>
      <c r="W50" t="str">
        <f>IFERROR(VLOOKUP($C50,武器!$1:$998,COLUMN(T$1),FALSE),"")</f>
        <v>A</v>
      </c>
      <c r="Y50" t="str">
        <f>IFERROR(VLOOKUP($C50,武器!$1:$998,COLUMN(U$1),FALSE),"")</f>
        <v>突撃強化</v>
      </c>
      <c r="Z50">
        <f>IFERROR(ROUNDUP(VLOOKUP($C50,武器!$1:$998,COLUMN(O$1),FALSE)*VLOOKUP($D50,素材!$1:$1016,COLUMN(E$1),FALSE),1),"")</f>
        <v>0</v>
      </c>
      <c r="AA50">
        <f>IF(ISNUMBER(SEARCH(SUBSTITUTE(AA$1,RIGHT(AA$1,2),""),VLOOKUP($D50,素材!$1:$1016,COLUMN($F$1),FALSE))),VLOOKUP($C50,武器!$1:$998,COLUMN($O$1),FALSE)*VLOOKUP($D50,素材!$1:$1016,COLUMN($E$1),FALSE)/(LEN(VLOOKUP($D50,素材!$1:$1016,COLUMN($F$1),FALSE))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B50">
        <f>IF(ISNUMBER(SEARCH(SUBSTITUTE(AB$1,RIGHT(AB$1,2),""),VLOOKUP($D50,素材!$1:$1016,COLUMN($F$1),FALSE))),VLOOKUP($C50,武器!$1:$998,COLUMN($O$1),FALSE)*VLOOKUP($D50,素材!$1:$1016,COLUMN($E$1),FALSE)/(LEN(VLOOKUP($D50,素材!$1:$1016,COLUMN($F$1),FALSE))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C50">
        <f>IF(ISNUMBER(SEARCH(SUBSTITUTE(AC$1,RIGHT(AC$1,2),""),VLOOKUP($D50,素材!$1:$1016,COLUMN($F$1),FALSE))),VLOOKUP($C50,武器!$1:$998,COLUMN($O$1),FALSE)*VLOOKUP($D50,素材!$1:$1016,COLUMN($E$1),FALSE)/(LEN(VLOOKUP($D50,素材!$1:$1016,COLUMN($F$1),FALSE))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D50">
        <f>IF(ISNUMBER(SEARCH(SUBSTITUTE(AD$1,RIGHT(AD$1,2),""),VLOOKUP($D50,素材!$1:$1016,COLUMN($F$1),FALSE))),VLOOKUP($C50,武器!$1:$998,COLUMN($O$1),FALSE)*VLOOKUP($D50,素材!$1:$1016,COLUMN($E$1),FALSE)/(LEN(VLOOKUP($D50,素材!$1:$1016,COLUMN($F$1),FALSE))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E50">
        <f>IF(ISNUMBER(SEARCH(SUBSTITUTE(AE$1,RIGHT(AE$1,2),""),VLOOKUP($D50,素材!$1:$1016,COLUMN($F$1),FALSE))),VLOOKUP($C50,武器!$1:$998,COLUMN($O$1),FALSE)*VLOOKUP($D50,素材!$1:$1016,COLUMN($E$1),FALSE)/(LEN(VLOOKUP($D50,素材!$1:$1016,COLUMN($F$1),FALSE))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F50">
        <f>IF(ISNUMBER(SEARCH(SUBSTITUTE(AF$1,RIGHT(AF$1,2),""),VLOOKUP($D50,素材!$1:$1016,COLUMN($F$1),FALSE))),VLOOKUP($C50,武器!$1:$998,COLUMN($O$1),FALSE)*VLOOKUP($D50,素材!$1:$1016,COLUMN($E$1),FALSE)/(LEN(VLOOKUP($D50,素材!$1:$1016,COLUMN($F$1),FALSE))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G50">
        <f>IF(ISNUMBER(SEARCH(SUBSTITUTE(AG$1,RIGHT(AG$1,2),""),VLOOKUP($D50,素材!$1:$1016,COLUMN($F$1),FALSE))),VLOOKUP($C50,武器!$1:$998,COLUMN($O$1),FALSE)*VLOOKUP($D50,素材!$1:$1016,COLUMN($E$1),FALSE)/(LEN(VLOOKUP($D50,素材!$1:$1016,COLUMN($F$1),FALSE))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H50">
        <f>IF(ISNUMBER(SEARCH(SUBSTITUTE(AH$1,RIGHT(AH$1,2),""),VLOOKUP($D50,素材!$1:$1016,COLUMN($F$1),FALSE))),VLOOKUP($C50,武器!$1:$998,COLUMN($O$1),FALSE)*VLOOKUP($D50,素材!$1:$1016,COLUMN($E$1),FALSE)/(LEN(VLOOKUP($D50,素材!$1:$1016,COLUMN($F$1),FALSE))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I50">
        <f>IF(ISNUMBER(SEARCH(SUBSTITUTE(AI$1,RIGHT(AI$1,2),""),VLOOKUP($D50,素材!$1:$1016,COLUMN($F$1),FALSE))),VLOOKUP($C50,武器!$1:$998,COLUMN($O$1),FALSE)*VLOOKUP($D50,素材!$1:$1016,COLUMN($E$1),FALSE)/(LEN(VLOOKUP($D50,素材!$1:$1016,COLUMN($F$1),FALSE))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J50">
        <f>IF(ISNUMBER(SEARCH(SUBSTITUTE(AJ$1,RIGHT(AJ$1,2),""),VLOOKUP($D50,素材!$1:$1016,COLUMN($F$1),FALSE))),VLOOKUP($C50,武器!$1:$998,COLUMN($O$1),FALSE)*VLOOKUP($D50,素材!$1:$1016,COLUMN($E$1),FALSE)/(LEN(VLOOKUP($D50,素材!$1:$1016,COLUMN($F$1),FALSE))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K50">
        <f>IF(ISNUMBER(SEARCH(SUBSTITUTE(AK$1,RIGHT(AK$1,2),""),VLOOKUP($D50,素材!$1:$1016,COLUMN($F$1),FALSE))),VLOOKUP($C50,武器!$1:$998,COLUMN($O$1),FALSE)*VLOOKUP($D50,素材!$1:$1016,COLUMN($E$1),FALSE)/(LEN(VLOOKUP($D50,素材!$1:$1016,COLUMN($F$1),FALSE))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L50">
        <f>IF(ISNUMBER(SEARCH(SUBSTITUTE(AL$1,RIGHT(AL$1,2),""),VLOOKUP($D50,素材!$1:$1016,COLUMN($F$1),FALSE))),VLOOKUP($C50,武器!$1:$998,COLUMN($O$1),FALSE)*VLOOKUP($D50,素材!$1:$1016,COLUMN($E$1),FALSE)/(LEN(VLOOKUP($D50,素材!$1:$1016,COLUMN($F$1),FALSE))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M50">
        <f>IF(ISNUMBER(SEARCH(SUBSTITUTE(AM$1,RIGHT(AM$1,2),""),VLOOKUP($D50,素材!$1:$1016,COLUMN($F$1),FALSE))),VLOOKUP($C50,武器!$1:$998,COLUMN($O$1),FALSE)*VLOOKUP($D50,素材!$1:$1016,COLUMN($E$1),FALSE)/(LEN(VLOOKUP($D50,素材!$1:$1016,COLUMN($F$1),FALSE))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N50">
        <f>IF(ISNUMBER(SEARCH(SUBSTITUTE(AN$1,RIGHT(AN$1,2),""),VLOOKUP($D50,素材!$1:$1016,COLUMN($F$1),FALSE))),VLOOKUP($C50,武器!$1:$998,COLUMN($O$1),FALSE)*VLOOKUP($D50,素材!$1:$1016,COLUMN($E$1),FALSE)/(LEN(VLOOKUP($D50,素材!$1:$1016,COLUMN($F$1),FALSE))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O50">
        <f>IF(ISNUMBER(SEARCH(SUBSTITUTE(AO$1,RIGHT(AO$1,2),""),VLOOKUP($D50,素材!$1:$1016,COLUMN($F$1),FALSE))),VLOOKUP($C50,武器!$1:$998,COLUMN($O$1),FALSE)*VLOOKUP($D50,素材!$1:$1016,COLUMN($E$1),FALSE)/(LEN(VLOOKUP($D50,素材!$1:$1016,COLUMN($F$1),FALSE))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P50">
        <f>IF(ISNUMBER(SEARCH(SUBSTITUTE(AP$1,RIGHT(AP$1,2),""),VLOOKUP($D50,素材!$1:$1016,COLUMN($F$1),FALSE))),VLOOKUP($C50,武器!$1:$998,COLUMN($O$1),FALSE)*VLOOKUP($D50,素材!$1:$1016,COLUMN($E$1),FALSE)/(LEN(VLOOKUP($D50,素材!$1:$1016,COLUMN($F$1),FALSE))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Q50">
        <f>IF(ISNUMBER(SEARCH(SUBSTITUTE(AQ$1,RIGHT(AQ$1,2),""),VLOOKUP($D50,素材!$1:$1016,COLUMN($F$1),FALSE))),VLOOKUP($C50,武器!$1:$998,COLUMN($O$1),FALSE)*VLOOKUP($D50,素材!$1:$1016,COLUMN($E$1),FALSE)/(LEN(VLOOKUP($D50,素材!$1:$1016,COLUMN($F$1),FALSE))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R50">
        <f>IF(ISNUMBER(SEARCH(SUBSTITUTE(AR$1,RIGHT(AR$1,2),""),VLOOKUP($D50,素材!$1:$1016,COLUMN($F$1),FALSE))),VLOOKUP($C50,武器!$1:$998,COLUMN($O$1),FALSE)*VLOOKUP($D50,素材!$1:$1016,COLUMN($E$1),FALSE)/(LEN(VLOOKUP($D50,素材!$1:$1016,COLUMN($F$1),FALSE))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S50">
        <f>IF(ISNUMBER(SEARCH(SUBSTITUTE(AS$1,RIGHT(AS$1,2),""),VLOOKUP($D50,素材!$1:$1016,COLUMN($F$1),FALSE))),VLOOKUP($C50,武器!$1:$998,COLUMN($O$1),FALSE)*VLOOKUP($D50,素材!$1:$1016,COLUMN($E$1),FALSE)/(LEN(VLOOKUP($D50,素材!$1:$1016,COLUMN($F$1),FALSE))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T50">
        <f>IF(ISNUMBER(SEARCH(SUBSTITUTE(AT$1,RIGHT(AT$1,2),""),VLOOKUP($D50,素材!$1:$1016,COLUMN($F$1),FALSE))),VLOOKUP($C50,武器!$1:$998,COLUMN($O$1),FALSE)*VLOOKUP($D50,素材!$1:$1016,COLUMN($E$1),FALSE)/(LEN(VLOOKUP($D50,素材!$1:$1016,COLUMN($F$1),FALSE))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U50">
        <f>IF(ISNUMBER(SEARCH(SUBSTITUTE(AU$1,RIGHT(AU$1,2),""),VLOOKUP($D50,素材!$1:$1016,COLUMN($F$1),FALSE))),VLOOKUP($C50,武器!$1:$998,COLUMN($O$1),FALSE)*VLOOKUP($D50,素材!$1:$1016,COLUMN($E$1),FALSE)/(LEN(VLOOKUP($D50,素材!$1:$1016,COLUMN($F$1),FALSE))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V50">
        <f>IF(ISNUMBER(SEARCH(SUBSTITUTE(AV$1,RIGHT(AV$1,2),""),VLOOKUP($D50,素材!$1:$1016,COLUMN($F$1),FALSE))),VLOOKUP($C50,武器!$1:$998,COLUMN($O$1),FALSE)*VLOOKUP($D50,素材!$1:$1016,COLUMN($E$1),FALSE)/(LEN(VLOOKUP($D50,素材!$1:$1016,COLUMN($F$1),FALSE))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W50">
        <f>IF(ISNUMBER(SEARCH(SUBSTITUTE(AW$1,RIGHT(AW$1,2),""),VLOOKUP($D50,素材!$1:$1016,COLUMN($F$1),FALSE))),VLOOKUP($C50,武器!$1:$998,COLUMN($O$1),FALSE)*VLOOKUP($D50,素材!$1:$1016,COLUMN($E$1),FALSE)/(LEN(VLOOKUP($D50,素材!$1:$1016,COLUMN($F$1),FALSE))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X50">
        <f>IF(ISNUMBER(SEARCH(SUBSTITUTE(AX$1,RIGHT(AX$1,2),""),VLOOKUP($D50,素材!$1:$1016,COLUMN($F$1),FALSE))),VLOOKUP($C50,武器!$1:$998,COLUMN($O$1),FALSE)*VLOOKUP($D50,素材!$1:$1016,COLUMN($E$1),FALSE)/(LEN(VLOOKUP($D50,素材!$1:$1016,COLUMN($F$1),FALSE))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Y50">
        <f>IF(ISNUMBER(SEARCH(SUBSTITUTE(AY$1,RIGHT(AY$1,2),""),VLOOKUP($D50,素材!$1:$1016,COLUMN($F$1),FALSE))),VLOOKUP($C50,武器!$1:$998,COLUMN($O$1),FALSE)*VLOOKUP($D50,素材!$1:$1016,COLUMN($E$1),FALSE)/(LEN(VLOOKUP($D50,素材!$1:$1016,COLUMN($F$1),FALSE))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AZ50">
        <f>IF(ISNUMBER(SEARCH(SUBSTITUTE(AZ$1,RIGHT(AZ$1,2),""),VLOOKUP($D50,素材!$1:$1016,COLUMN($F$1),FALSE))),VLOOKUP($C50,武器!$1:$998,COLUMN($O$1),FALSE)*VLOOKUP($D50,素材!$1:$1016,COLUMN($E$1),FALSE)/(LEN(VLOOKUP($D50,素材!$1:$1016,COLUMN($F$1),FALSE))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BA50">
        <f>IF(ISNUMBER(SEARCH(SUBSTITUTE(BA$1,RIGHT(BA$1,2),""),VLOOKUP($D50,素材!$1:$1016,COLUMN($F$1),FALSE))),VLOOKUP($C50,武器!$1:$998,COLUMN($O$1),FALSE)*VLOOKUP($D50,素材!$1:$1016,COLUMN($E$1),FALSE)/(LEN(VLOOKUP($D50,素材!$1:$1016,COLUMN($F$1),FALSE))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BB50">
        <f>IF(ISNUMBER(SEARCH(SUBSTITUTE(BB$1,RIGHT(BB$1,2),""),VLOOKUP($D50,素材!$1:$1016,COLUMN($F$1),FALSE))),VLOOKUP($C50,武器!$1:$998,COLUMN($O$1),FALSE)*VLOOKUP($D50,素材!$1:$1016,COLUMN($E$1),FALSE)/(LEN(VLOOKUP($D50,素材!$1:$1016,COLUMN($F$1),FALSE))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BC50">
        <f>IF(ISNUMBER(SEARCH(SUBSTITUTE(BC$1,RIGHT(BC$1,2),""),VLOOKUP($D50,素材!$1:$1016,COLUMN($F$1),FALSE))),VLOOKUP($C50,武器!$1:$998,COLUMN($O$1),FALSE)*VLOOKUP($D50,素材!$1:$1016,COLUMN($E$1),FALSE)/(LEN(VLOOKUP($D50,素材!$1:$1016,COLUMN($F$1),FALSE))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BD50">
        <f>IF(ISNUMBER(SEARCH(SUBSTITUTE(BD$1,RIGHT(BD$1,2),""),VLOOKUP($D50,素材!$1:$1016,COLUMN($F$1),FALSE))),VLOOKUP($C50,武器!$1:$998,COLUMN($O$1),FALSE)*VLOOKUP($D50,素材!$1:$1016,COLUMN($E$1),FALSE)/(LEN(VLOOKUP($D50,素材!$1:$1016,COLUMN($F$1),FALSE))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BE50">
        <f>IF(ISNUMBER(SEARCH(SUBSTITUTE(BE$1,RIGHT(BE$1,2),""),VLOOKUP($D50,素材!$1:$1016,COLUMN($F$1),FALSE))),VLOOKUP($C50,武器!$1:$998,COLUMN($O$1),FALSE)*VLOOKUP($D50,素材!$1:$1016,COLUMN($E$1),FALSE)/(LEN(VLOOKUP($D50,素材!$1:$1016,COLUMN($F$1),FALSE))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BF50">
        <f>IF(ISNUMBER(SEARCH(SUBSTITUTE(BF$1,RIGHT(BF$1,2),""),VLOOKUP($D50,素材!$1:$1016,COLUMN($F$1),FALSE))),VLOOKUP($C50,武器!$1:$998,COLUMN($O$1),FALSE)*VLOOKUP($D50,素材!$1:$1016,COLUMN($E$1),FALSE)/(LEN(VLOOKUP($D50,素材!$1:$1016,COLUMN($F$1),FALSE)) - LEN(SUBSTITUTE(VLOOKUP($D50,素材!$1:$1016,COLUMN($F$1),FALSE), "・", 0)) + 1), 0)</f>
        <v>0</v>
      </c>
      <c r="CM50">
        <f t="shared" si="3"/>
        <v>20</v>
      </c>
      <c r="CN50" s="22" t="str">
        <f>IF(E50="武器",IF(J50-1&gt;SUM(G50:I50),"盾",IF(MAX(G50:I50)=G50,"切断",IF(MAX(G50:I50)=H50,"貫通",IF(MAX(G50:I50)=I50,"打撃","射撃")))),E50)&amp;".webp"</f>
        <v>貫通.webp</v>
      </c>
      <c r="CO50">
        <f>IFERROR(VLOOKUP($C50,武器!$1:$998,COLUMN(V$1),FALSE)*VLOOKUP($D50,素材!$1:$1016,COLUMN(N$1),FALSE)+IF(CJ50="",0,VLOOKUP($CJ50,装強!$1:$1008,COLUMN($CL$1),FALSE)),"")</f>
        <v>300</v>
      </c>
      <c r="CP50" t="str">
        <f>VLOOKUP(D50,素材!$A:$O,COLUMN(素材!O$1),FALSE)</f>
        <v>一般的な木材。金属より軽いが少し脆い</v>
      </c>
      <c r="CQ50" t="str">
        <f>VLOOKUP(C50,武器!$A:$W,COLUMN(武器!W$1),FALSE)</f>
        <v>騎士槍。突撃に特化した武器で、高い攻撃力を誇る。</v>
      </c>
      <c r="CS50" t="str">
        <f t="shared" si="2"/>
        <v>e_50</v>
      </c>
      <c r="CT50">
        <f t="shared" si="4"/>
        <v>30000</v>
      </c>
    </row>
    <row r="51" spans="1:98" outlineLevel="1" x14ac:dyDescent="0.4">
      <c r="A51" t="str">
        <f t="shared" si="5"/>
        <v>木の大戦棍</v>
      </c>
      <c r="B51" t="str">
        <f>IFERROR(VLOOKUP($D51,素材!$1:$1016,COLUMN($B$1),FALSE)&amp;"・"&amp;VLOOKUP($C51,武器!$1:$998,COLUMN(B$1),FALSE),"")</f>
        <v>ウッド・ビックメイス</v>
      </c>
      <c r="C51" s="24" t="s">
        <v>256</v>
      </c>
      <c r="D51" s="24" t="s">
        <v>255</v>
      </c>
      <c r="E51" t="str">
        <f>IFERROR(VLOOKUP(C51,武器!$1:$998,COLUMN(C$1),FALSE),"")</f>
        <v>武器</v>
      </c>
      <c r="F51">
        <f>IFERROR(ROUNDDOWN((VLOOKUP($C51,武器!$1:$998,COLUMN(D$1),FALSE)+IFERROR(VLOOKUP($CJ51,装強!$1:$999,COLUMN(F$1),FALSE),0))*VLOOKUP($D51,素材!$1:$1016,COLUMN(D$1),FALSE),0),"")</f>
        <v>90</v>
      </c>
      <c r="G51">
        <f>IFERROR(ROUNDDOWN((VLOOKUP($C51,武器!$1:$998,COLUMN(E$1),FALSE)+IFERROR(VLOOKUP($CJ51,装強!$1:$999,COLUMN(G$1),FALSE),0))*VLOOKUP($D51,素材!$1:$1016,COLUMN($E$1),FALSE),0),"")</f>
        <v>0</v>
      </c>
      <c r="H51">
        <f>IFERROR(ROUNDDOWN((VLOOKUP($C51,武器!$1:$998,COLUMN(F$1),FALSE)+IFERROR(VLOOKUP($CJ51,装強!$1:$999,COLUMN(H$1),FALSE),0))*VLOOKUP($D51,素材!$1:$1016,COLUMN($E$1),FALSE),0),"")</f>
        <v>0</v>
      </c>
      <c r="I51">
        <f>IFERROR(ROUNDDOWN((VLOOKUP($C51,武器!$1:$998,COLUMN(G$1),FALSE)+IFERROR(VLOOKUP($CJ51,装強!$1:$999,COLUMN(I$1),FALSE),0))*VLOOKUP($D51,素材!$1:$1016,COLUMN($E$1),FALSE),0),"")</f>
        <v>17</v>
      </c>
      <c r="J51">
        <f>IFERROR(ROUNDDOWN((VLOOKUP($C51,武器!$1:$998,COLUMN(H$1),FALSE)+IFERROR(VLOOKUP($CJ51,装強!$1:$999,COLUMN(J$1),FALSE),0))*VLOOKUP($D51,素材!$1:$1016,COLUMN($E$1),FALSE),0),"")</f>
        <v>14</v>
      </c>
      <c r="K51">
        <f>IFERROR(ROUNDDOWN((VLOOKUP($C51,武器!$1:$998,COLUMN(I$1),FALSE)+IFERROR(VLOOKUP($CJ51,装強!$1:$999,COLUMN(K$1),FALSE),0))*VLOOKUP($D51,素材!$1:$1016,COLUMN($E$1),FALSE),0),"")</f>
        <v>0</v>
      </c>
      <c r="L51">
        <f>IFERROR(VLOOKUP($D51,素材!$1:$1016,COLUMN($F$1),FALSE),"")</f>
        <v>0</v>
      </c>
      <c r="M51">
        <f>IFERROR(VLOOKUP($C51,武器!$1:$998,COLUMN(AA$1),FALSE)*VLOOKUP($D51,素材!$1:$1016,COLUMN($G$1),FALSE),"")</f>
        <v>0</v>
      </c>
      <c r="N51">
        <f>IFERROR(VLOOKUP($C51,武器!$1:$998,COLUMN(I$1),FALSE),"")</f>
        <v>0</v>
      </c>
      <c r="O51" s="23">
        <f>IFERROR((VLOOKUP($C51,武器!$1:$998,COLUMN(K$1),FALSE)+VLOOKUP($D51,素材!$1:$1016,COLUMN(H$1),FALSE))*100+IFERROR(VLOOKUP($CJ51,装強!$1:$999,COLUMN(O$1),FALSE),0),"")</f>
        <v>15</v>
      </c>
      <c r="P51" s="23">
        <f>IFERROR((VLOOKUP($C51,武器!$1:$998,COLUMN(L$1),FALSE)+VLOOKUP($D51,素材!$1:$1016,COLUMN(I$1),FALSE))*100+IFERROR(VLOOKUP($CJ51,装強!$1:$999,COLUMN(P$1),FALSE),0),"")</f>
        <v>125</v>
      </c>
      <c r="Q51">
        <f>IFERROR(ROUNDUP(VLOOKUP($C51,武器!$1:$998,COLUMN(M$1),FALSE)*(VLOOKUP($D51,素材!$1:$1002,COLUMN(D$1),FALSE)/100),1),"")</f>
        <v>0</v>
      </c>
      <c r="R51">
        <f>IFERROR(ROUNDUP(VLOOKUP($C51,武器!$1:$998,COLUMN(N$1),FALSE)*(VLOOKUP($D51,素材!$1:$1002,COLUMN(D$1),FALSE)/100),1),"")</f>
        <v>-3.8000000000000003</v>
      </c>
      <c r="S51">
        <f>IFERROR(VLOOKUP($C51,武器!$1:$998,COLUMN(P$1),FALSE),"")</f>
        <v>0</v>
      </c>
      <c r="T51">
        <f>IFERROR(VLOOKUP($C51,武器!$1:$998,COLUMN(Q$1),FALSE),"")</f>
        <v>0</v>
      </c>
      <c r="U51">
        <f>IFERROR(VLOOKUP($C51,武器!$1:$998,COLUMN(R$1),FALSE),"")</f>
        <v>0</v>
      </c>
      <c r="V51">
        <f>IFERROR(VLOOKUP($C51,武器!$1:$998,COLUMN(Q$1),FALSE),"")</f>
        <v>0</v>
      </c>
      <c r="W51" t="str">
        <f>IFERROR(VLOOKUP($C51,武器!$1:$998,COLUMN(T$1),FALSE),"")</f>
        <v>A</v>
      </c>
      <c r="Y51">
        <f>IFERROR(VLOOKUP($C51,武器!$1:$998,COLUMN(U$1),FALSE),"")</f>
        <v>0</v>
      </c>
      <c r="Z51">
        <f>IFERROR(ROUNDUP(VLOOKUP($C51,武器!$1:$998,COLUMN(O$1),FALSE)*VLOOKUP($D51,素材!$1:$1016,COLUMN(E$1),FALSE),1),"")</f>
        <v>0</v>
      </c>
      <c r="AA51">
        <f>IF(ISNUMBER(SEARCH(SUBSTITUTE(AA$1,RIGHT(AA$1,2),""),VLOOKUP($D51,素材!$1:$1016,COLUMN($F$1),FALSE))),VLOOKUP($C51,武器!$1:$998,COLUMN($O$1),FALSE)*VLOOKUP($D51,素材!$1:$1016,COLUMN($E$1),FALSE)/(LEN(VLOOKUP($D51,素材!$1:$1016,COLUMN($F$1),FALSE))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B51">
        <f>IF(ISNUMBER(SEARCH(SUBSTITUTE(AB$1,RIGHT(AB$1,2),""),VLOOKUP($D51,素材!$1:$1016,COLUMN($F$1),FALSE))),VLOOKUP($C51,武器!$1:$998,COLUMN($O$1),FALSE)*VLOOKUP($D51,素材!$1:$1016,COLUMN($E$1),FALSE)/(LEN(VLOOKUP($D51,素材!$1:$1016,COLUMN($F$1),FALSE))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C51">
        <f>IF(ISNUMBER(SEARCH(SUBSTITUTE(AC$1,RIGHT(AC$1,2),""),VLOOKUP($D51,素材!$1:$1016,COLUMN($F$1),FALSE))),VLOOKUP($C51,武器!$1:$998,COLUMN($O$1),FALSE)*VLOOKUP($D51,素材!$1:$1016,COLUMN($E$1),FALSE)/(LEN(VLOOKUP($D51,素材!$1:$1016,COLUMN($F$1),FALSE))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D51">
        <f>IF(ISNUMBER(SEARCH(SUBSTITUTE(AD$1,RIGHT(AD$1,2),""),VLOOKUP($D51,素材!$1:$1016,COLUMN($F$1),FALSE))),VLOOKUP($C51,武器!$1:$998,COLUMN($O$1),FALSE)*VLOOKUP($D51,素材!$1:$1016,COLUMN($E$1),FALSE)/(LEN(VLOOKUP($D51,素材!$1:$1016,COLUMN($F$1),FALSE))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E51">
        <f>IF(ISNUMBER(SEARCH(SUBSTITUTE(AE$1,RIGHT(AE$1,2),""),VLOOKUP($D51,素材!$1:$1016,COLUMN($F$1),FALSE))),VLOOKUP($C51,武器!$1:$998,COLUMN($O$1),FALSE)*VLOOKUP($D51,素材!$1:$1016,COLUMN($E$1),FALSE)/(LEN(VLOOKUP($D51,素材!$1:$1016,COLUMN($F$1),FALSE))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F51">
        <f>IF(ISNUMBER(SEARCH(SUBSTITUTE(AF$1,RIGHT(AF$1,2),""),VLOOKUP($D51,素材!$1:$1016,COLUMN($F$1),FALSE))),VLOOKUP($C51,武器!$1:$998,COLUMN($O$1),FALSE)*VLOOKUP($D51,素材!$1:$1016,COLUMN($E$1),FALSE)/(LEN(VLOOKUP($D51,素材!$1:$1016,COLUMN($F$1),FALSE))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G51">
        <f>IF(ISNUMBER(SEARCH(SUBSTITUTE(AG$1,RIGHT(AG$1,2),""),VLOOKUP($D51,素材!$1:$1016,COLUMN($F$1),FALSE))),VLOOKUP($C51,武器!$1:$998,COLUMN($O$1),FALSE)*VLOOKUP($D51,素材!$1:$1016,COLUMN($E$1),FALSE)/(LEN(VLOOKUP($D51,素材!$1:$1016,COLUMN($F$1),FALSE))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H51">
        <f>IF(ISNUMBER(SEARCH(SUBSTITUTE(AH$1,RIGHT(AH$1,2),""),VLOOKUP($D51,素材!$1:$1016,COLUMN($F$1),FALSE))),VLOOKUP($C51,武器!$1:$998,COLUMN($O$1),FALSE)*VLOOKUP($D51,素材!$1:$1016,COLUMN($E$1),FALSE)/(LEN(VLOOKUP($D51,素材!$1:$1016,COLUMN($F$1),FALSE))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I51">
        <f>IF(ISNUMBER(SEARCH(SUBSTITUTE(AI$1,RIGHT(AI$1,2),""),VLOOKUP($D51,素材!$1:$1016,COLUMN($F$1),FALSE))),VLOOKUP($C51,武器!$1:$998,COLUMN($O$1),FALSE)*VLOOKUP($D51,素材!$1:$1016,COLUMN($E$1),FALSE)/(LEN(VLOOKUP($D51,素材!$1:$1016,COLUMN($F$1),FALSE))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J51">
        <f>IF(ISNUMBER(SEARCH(SUBSTITUTE(AJ$1,RIGHT(AJ$1,2),""),VLOOKUP($D51,素材!$1:$1016,COLUMN($F$1),FALSE))),VLOOKUP($C51,武器!$1:$998,COLUMN($O$1),FALSE)*VLOOKUP($D51,素材!$1:$1016,COLUMN($E$1),FALSE)/(LEN(VLOOKUP($D51,素材!$1:$1016,COLUMN($F$1),FALSE))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K51">
        <f>IF(ISNUMBER(SEARCH(SUBSTITUTE(AK$1,RIGHT(AK$1,2),""),VLOOKUP($D51,素材!$1:$1016,COLUMN($F$1),FALSE))),VLOOKUP($C51,武器!$1:$998,COLUMN($O$1),FALSE)*VLOOKUP($D51,素材!$1:$1016,COLUMN($E$1),FALSE)/(LEN(VLOOKUP($D51,素材!$1:$1016,COLUMN($F$1),FALSE))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L51">
        <f>IF(ISNUMBER(SEARCH(SUBSTITUTE(AL$1,RIGHT(AL$1,2),""),VLOOKUP($D51,素材!$1:$1016,COLUMN($F$1),FALSE))),VLOOKUP($C51,武器!$1:$998,COLUMN($O$1),FALSE)*VLOOKUP($D51,素材!$1:$1016,COLUMN($E$1),FALSE)/(LEN(VLOOKUP($D51,素材!$1:$1016,COLUMN($F$1),FALSE))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M51">
        <f>IF(ISNUMBER(SEARCH(SUBSTITUTE(AM$1,RIGHT(AM$1,2),""),VLOOKUP($D51,素材!$1:$1016,COLUMN($F$1),FALSE))),VLOOKUP($C51,武器!$1:$998,COLUMN($O$1),FALSE)*VLOOKUP($D51,素材!$1:$1016,COLUMN($E$1),FALSE)/(LEN(VLOOKUP($D51,素材!$1:$1016,COLUMN($F$1),FALSE))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N51">
        <f>IF(ISNUMBER(SEARCH(SUBSTITUTE(AN$1,RIGHT(AN$1,2),""),VLOOKUP($D51,素材!$1:$1016,COLUMN($F$1),FALSE))),VLOOKUP($C51,武器!$1:$998,COLUMN($O$1),FALSE)*VLOOKUP($D51,素材!$1:$1016,COLUMN($E$1),FALSE)/(LEN(VLOOKUP($D51,素材!$1:$1016,COLUMN($F$1),FALSE))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O51">
        <f>IF(ISNUMBER(SEARCH(SUBSTITUTE(AO$1,RIGHT(AO$1,2),""),VLOOKUP($D51,素材!$1:$1016,COLUMN($F$1),FALSE))),VLOOKUP($C51,武器!$1:$998,COLUMN($O$1),FALSE)*VLOOKUP($D51,素材!$1:$1016,COLUMN($E$1),FALSE)/(LEN(VLOOKUP($D51,素材!$1:$1016,COLUMN($F$1),FALSE))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P51">
        <f>IF(ISNUMBER(SEARCH(SUBSTITUTE(AP$1,RIGHT(AP$1,2),""),VLOOKUP($D51,素材!$1:$1016,COLUMN($F$1),FALSE))),VLOOKUP($C51,武器!$1:$998,COLUMN($O$1),FALSE)*VLOOKUP($D51,素材!$1:$1016,COLUMN($E$1),FALSE)/(LEN(VLOOKUP($D51,素材!$1:$1016,COLUMN($F$1),FALSE))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Q51">
        <f>IF(ISNUMBER(SEARCH(SUBSTITUTE(AQ$1,RIGHT(AQ$1,2),""),VLOOKUP($D51,素材!$1:$1016,COLUMN($F$1),FALSE))),VLOOKUP($C51,武器!$1:$998,COLUMN($O$1),FALSE)*VLOOKUP($D51,素材!$1:$1016,COLUMN($E$1),FALSE)/(LEN(VLOOKUP($D51,素材!$1:$1016,COLUMN($F$1),FALSE))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R51">
        <f>IF(ISNUMBER(SEARCH(SUBSTITUTE(AR$1,RIGHT(AR$1,2),""),VLOOKUP($D51,素材!$1:$1016,COLUMN($F$1),FALSE))),VLOOKUP($C51,武器!$1:$998,COLUMN($O$1),FALSE)*VLOOKUP($D51,素材!$1:$1016,COLUMN($E$1),FALSE)/(LEN(VLOOKUP($D51,素材!$1:$1016,COLUMN($F$1),FALSE))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S51">
        <f>IF(ISNUMBER(SEARCH(SUBSTITUTE(AS$1,RIGHT(AS$1,2),""),VLOOKUP($D51,素材!$1:$1016,COLUMN($F$1),FALSE))),VLOOKUP($C51,武器!$1:$998,COLUMN($O$1),FALSE)*VLOOKUP($D51,素材!$1:$1016,COLUMN($E$1),FALSE)/(LEN(VLOOKUP($D51,素材!$1:$1016,COLUMN($F$1),FALSE))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T51">
        <f>IF(ISNUMBER(SEARCH(SUBSTITUTE(AT$1,RIGHT(AT$1,2),""),VLOOKUP($D51,素材!$1:$1016,COLUMN($F$1),FALSE))),VLOOKUP($C51,武器!$1:$998,COLUMN($O$1),FALSE)*VLOOKUP($D51,素材!$1:$1016,COLUMN($E$1),FALSE)/(LEN(VLOOKUP($D51,素材!$1:$1016,COLUMN($F$1),FALSE))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U51">
        <f>IF(ISNUMBER(SEARCH(SUBSTITUTE(AU$1,RIGHT(AU$1,2),""),VLOOKUP($D51,素材!$1:$1016,COLUMN($F$1),FALSE))),VLOOKUP($C51,武器!$1:$998,COLUMN($O$1),FALSE)*VLOOKUP($D51,素材!$1:$1016,COLUMN($E$1),FALSE)/(LEN(VLOOKUP($D51,素材!$1:$1016,COLUMN($F$1),FALSE))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V51">
        <f>IF(ISNUMBER(SEARCH(SUBSTITUTE(AV$1,RIGHT(AV$1,2),""),VLOOKUP($D51,素材!$1:$1016,COLUMN($F$1),FALSE))),VLOOKUP($C51,武器!$1:$998,COLUMN($O$1),FALSE)*VLOOKUP($D51,素材!$1:$1016,COLUMN($E$1),FALSE)/(LEN(VLOOKUP($D51,素材!$1:$1016,COLUMN($F$1),FALSE))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W51">
        <f>IF(ISNUMBER(SEARCH(SUBSTITUTE(AW$1,RIGHT(AW$1,2),""),VLOOKUP($D51,素材!$1:$1016,COLUMN($F$1),FALSE))),VLOOKUP($C51,武器!$1:$998,COLUMN($O$1),FALSE)*VLOOKUP($D51,素材!$1:$1016,COLUMN($E$1),FALSE)/(LEN(VLOOKUP($D51,素材!$1:$1016,COLUMN($F$1),FALSE))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X51">
        <f>IF(ISNUMBER(SEARCH(SUBSTITUTE(AX$1,RIGHT(AX$1,2),""),VLOOKUP($D51,素材!$1:$1016,COLUMN($F$1),FALSE))),VLOOKUP($C51,武器!$1:$998,COLUMN($O$1),FALSE)*VLOOKUP($D51,素材!$1:$1016,COLUMN($E$1),FALSE)/(LEN(VLOOKUP($D51,素材!$1:$1016,COLUMN($F$1),FALSE))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Y51">
        <f>IF(ISNUMBER(SEARCH(SUBSTITUTE(AY$1,RIGHT(AY$1,2),""),VLOOKUP($D51,素材!$1:$1016,COLUMN($F$1),FALSE))),VLOOKUP($C51,武器!$1:$998,COLUMN($O$1),FALSE)*VLOOKUP($D51,素材!$1:$1016,COLUMN($E$1),FALSE)/(LEN(VLOOKUP($D51,素材!$1:$1016,COLUMN($F$1),FALSE))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AZ51">
        <f>IF(ISNUMBER(SEARCH(SUBSTITUTE(AZ$1,RIGHT(AZ$1,2),""),VLOOKUP($D51,素材!$1:$1016,COLUMN($F$1),FALSE))),VLOOKUP($C51,武器!$1:$998,COLUMN($O$1),FALSE)*VLOOKUP($D51,素材!$1:$1016,COLUMN($E$1),FALSE)/(LEN(VLOOKUP($D51,素材!$1:$1016,COLUMN($F$1),FALSE))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BA51">
        <f>IF(ISNUMBER(SEARCH(SUBSTITUTE(BA$1,RIGHT(BA$1,2),""),VLOOKUP($D51,素材!$1:$1016,COLUMN($F$1),FALSE))),VLOOKUP($C51,武器!$1:$998,COLUMN($O$1),FALSE)*VLOOKUP($D51,素材!$1:$1016,COLUMN($E$1),FALSE)/(LEN(VLOOKUP($D51,素材!$1:$1016,COLUMN($F$1),FALSE))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BB51">
        <f>IF(ISNUMBER(SEARCH(SUBSTITUTE(BB$1,RIGHT(BB$1,2),""),VLOOKUP($D51,素材!$1:$1016,COLUMN($F$1),FALSE))),VLOOKUP($C51,武器!$1:$998,COLUMN($O$1),FALSE)*VLOOKUP($D51,素材!$1:$1016,COLUMN($E$1),FALSE)/(LEN(VLOOKUP($D51,素材!$1:$1016,COLUMN($F$1),FALSE))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BC51">
        <f>IF(ISNUMBER(SEARCH(SUBSTITUTE(BC$1,RIGHT(BC$1,2),""),VLOOKUP($D51,素材!$1:$1016,COLUMN($F$1),FALSE))),VLOOKUP($C51,武器!$1:$998,COLUMN($O$1),FALSE)*VLOOKUP($D51,素材!$1:$1016,COLUMN($E$1),FALSE)/(LEN(VLOOKUP($D51,素材!$1:$1016,COLUMN($F$1),FALSE))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BD51">
        <f>IF(ISNUMBER(SEARCH(SUBSTITUTE(BD$1,RIGHT(BD$1,2),""),VLOOKUP($D51,素材!$1:$1016,COLUMN($F$1),FALSE))),VLOOKUP($C51,武器!$1:$998,COLUMN($O$1),FALSE)*VLOOKUP($D51,素材!$1:$1016,COLUMN($E$1),FALSE)/(LEN(VLOOKUP($D51,素材!$1:$1016,COLUMN($F$1),FALSE))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BE51">
        <f>IF(ISNUMBER(SEARCH(SUBSTITUTE(BE$1,RIGHT(BE$1,2),""),VLOOKUP($D51,素材!$1:$1016,COLUMN($F$1),FALSE))),VLOOKUP($C51,武器!$1:$998,COLUMN($O$1),FALSE)*VLOOKUP($D51,素材!$1:$1016,COLUMN($E$1),FALSE)/(LEN(VLOOKUP($D51,素材!$1:$1016,COLUMN($F$1),FALSE))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BF51">
        <f>IF(ISNUMBER(SEARCH(SUBSTITUTE(BF$1,RIGHT(BF$1,2),""),VLOOKUP($D51,素材!$1:$1016,COLUMN($F$1),FALSE))),VLOOKUP($C51,武器!$1:$998,COLUMN($O$1),FALSE)*VLOOKUP($D51,素材!$1:$1016,COLUMN($E$1),FALSE)/(LEN(VLOOKUP($D51,素材!$1:$1016,COLUMN($F$1),FALSE)) - LEN(SUBSTITUTE(VLOOKUP($D51,素材!$1:$1016,COLUMN($F$1),FALSE), "・", 0)) + 1), 0)</f>
        <v>0</v>
      </c>
      <c r="CM51">
        <f t="shared" si="3"/>
        <v>17</v>
      </c>
      <c r="CN51" s="22" t="str">
        <f>IF(E51="武器",IF(J51-1&gt;SUM(G51:I51),"盾",IF(MAX(G51:I51)=G51,"切断",IF(MAX(G51:I51)=H51,"貫通",IF(MAX(G51:I51)=I51,"打撃","射撃")))),E51)&amp;".webp"</f>
        <v>打撃.webp</v>
      </c>
      <c r="CO51">
        <f>IFERROR(VLOOKUP($C51,武器!$1:$998,COLUMN(V$1),FALSE)*VLOOKUP($D51,素材!$1:$1016,COLUMN(N$1),FALSE)+IF(CJ51="",0,VLOOKUP($CJ51,装強!$1:$1008,COLUMN($CL$1),FALSE)),"")</f>
        <v>300</v>
      </c>
      <c r="CP51" t="str">
        <f>VLOOKUP(D51,素材!$A:$O,COLUMN(素材!O$1),FALSE)</f>
        <v>一般的な木材。金属より軽いが少し脆い</v>
      </c>
      <c r="CQ51" t="str">
        <f>VLOOKUP(C51,武器!$A:$W,COLUMN(武器!W$1),FALSE)</f>
        <v>戦棍。打撃に優れた武器。Cr率が高い</v>
      </c>
      <c r="CS51" t="str">
        <f t="shared" si="2"/>
        <v>e_51</v>
      </c>
      <c r="CT51">
        <f t="shared" si="4"/>
        <v>30000</v>
      </c>
    </row>
    <row r="52" spans="1:98" outlineLevel="1" x14ac:dyDescent="0.4">
      <c r="A52" t="str">
        <f t="shared" si="5"/>
        <v>木の棍棒</v>
      </c>
      <c r="B52" t="str">
        <f>IFERROR(VLOOKUP($D52,素材!$1:$1016,COLUMN($B$1),FALSE)&amp;"・"&amp;VLOOKUP($C52,武器!$1:$998,COLUMN(B$1),FALSE),"")</f>
        <v>ウッド・クラブ</v>
      </c>
      <c r="C52" s="24" t="s">
        <v>230</v>
      </c>
      <c r="D52" s="24" t="s">
        <v>255</v>
      </c>
      <c r="E52" t="str">
        <f>IFERROR(VLOOKUP(C52,武器!$1:$998,COLUMN(C$1),FALSE),"")</f>
        <v>武器</v>
      </c>
      <c r="F52">
        <f>IFERROR(ROUNDDOWN((VLOOKUP($C52,武器!$1:$998,COLUMN(D$1),FALSE)+IFERROR(VLOOKUP($CJ52,装強!$1:$999,COLUMN(F$1),FALSE),0))*VLOOKUP($D52,素材!$1:$1016,COLUMN(D$1),FALSE),0),"")</f>
        <v>78</v>
      </c>
      <c r="G52">
        <f>IFERROR(ROUNDDOWN((VLOOKUP($C52,武器!$1:$998,COLUMN(E$1),FALSE)+IFERROR(VLOOKUP($CJ52,装強!$1:$999,COLUMN(G$1),FALSE),0))*VLOOKUP($D52,素材!$1:$1016,COLUMN($E$1),FALSE),0),"")</f>
        <v>0</v>
      </c>
      <c r="H52">
        <f>IFERROR(ROUNDDOWN((VLOOKUP($C52,武器!$1:$998,COLUMN(F$1),FALSE)+IFERROR(VLOOKUP($CJ52,装強!$1:$999,COLUMN(H$1),FALSE),0))*VLOOKUP($D52,素材!$1:$1016,COLUMN($E$1),FALSE),0),"")</f>
        <v>0</v>
      </c>
      <c r="I52">
        <f>IFERROR(ROUNDDOWN((VLOOKUP($C52,武器!$1:$998,COLUMN(G$1),FALSE)+IFERROR(VLOOKUP($CJ52,装強!$1:$999,COLUMN(I$1),FALSE),0))*VLOOKUP($D52,素材!$1:$1016,COLUMN($E$1),FALSE),0),"")</f>
        <v>16</v>
      </c>
      <c r="J52">
        <f>IFERROR(ROUNDDOWN((VLOOKUP($C52,武器!$1:$998,COLUMN(H$1),FALSE)+IFERROR(VLOOKUP($CJ52,装強!$1:$999,COLUMN(J$1),FALSE),0))*VLOOKUP($D52,素材!$1:$1016,COLUMN($E$1),FALSE),0),"")</f>
        <v>14</v>
      </c>
      <c r="K52">
        <f>IFERROR(ROUNDDOWN((VLOOKUP($C52,武器!$1:$998,COLUMN(I$1),FALSE)+IFERROR(VLOOKUP($CJ52,装強!$1:$999,COLUMN(K$1),FALSE),0))*VLOOKUP($D52,素材!$1:$1016,COLUMN($E$1),FALSE),0),"")</f>
        <v>0</v>
      </c>
      <c r="L52">
        <f>IFERROR(VLOOKUP($D52,素材!$1:$1016,COLUMN($F$1),FALSE),"")</f>
        <v>0</v>
      </c>
      <c r="M52">
        <f>IFERROR(VLOOKUP($C52,武器!$1:$998,COLUMN(AA$1),FALSE)*VLOOKUP($D52,素材!$1:$1016,COLUMN($G$1),FALSE),"")</f>
        <v>0</v>
      </c>
      <c r="N52">
        <f>IFERROR(VLOOKUP($C52,武器!$1:$998,COLUMN(I$1),FALSE),"")</f>
        <v>0</v>
      </c>
      <c r="O52" s="23">
        <f>IFERROR((VLOOKUP($C52,武器!$1:$998,COLUMN(K$1),FALSE)+VLOOKUP($D52,素材!$1:$1016,COLUMN(H$1),FALSE))*100+IFERROR(VLOOKUP($CJ52,装強!$1:$999,COLUMN(O$1),FALSE),0),"")</f>
        <v>5</v>
      </c>
      <c r="P52" s="23">
        <f>IFERROR((VLOOKUP($C52,武器!$1:$998,COLUMN(L$1),FALSE)+VLOOKUP($D52,素材!$1:$1016,COLUMN(I$1),FALSE))*100+IFERROR(VLOOKUP($CJ52,装強!$1:$999,COLUMN(P$1),FALSE),0),"")</f>
        <v>150</v>
      </c>
      <c r="Q52">
        <f>IFERROR(ROUNDUP(VLOOKUP($C52,武器!$1:$998,COLUMN(M$1),FALSE)*(VLOOKUP($D52,素材!$1:$1002,COLUMN(D$1),FALSE)/100),1),"")</f>
        <v>0</v>
      </c>
      <c r="R52">
        <f>IFERROR(ROUNDUP(VLOOKUP($C52,武器!$1:$998,COLUMN(N$1),FALSE)*(VLOOKUP($D52,素材!$1:$1002,COLUMN(D$1),FALSE)/100),1),"")</f>
        <v>0</v>
      </c>
      <c r="S52">
        <f>IFERROR(VLOOKUP($C52,武器!$1:$998,COLUMN(P$1),FALSE),"")</f>
        <v>0</v>
      </c>
      <c r="T52">
        <f>IFERROR(VLOOKUP($C52,武器!$1:$998,COLUMN(Q$1),FALSE),"")</f>
        <v>0</v>
      </c>
      <c r="U52">
        <f>IFERROR(VLOOKUP($C52,武器!$1:$998,COLUMN(R$1),FALSE),"")</f>
        <v>0</v>
      </c>
      <c r="V52">
        <f>IFERROR(VLOOKUP($C52,武器!$1:$998,COLUMN(Q$1),FALSE),"")</f>
        <v>0</v>
      </c>
      <c r="W52" t="str">
        <f>IFERROR(VLOOKUP($C52,武器!$1:$998,COLUMN(T$1),FALSE),"")</f>
        <v>A</v>
      </c>
      <c r="Y52" t="str">
        <f>IFERROR(VLOOKUP($C52,武器!$1:$998,COLUMN(U$1),FALSE),"")</f>
        <v>片手適性Ⅰ</v>
      </c>
      <c r="Z52">
        <f>IFERROR(ROUNDUP(VLOOKUP($C52,武器!$1:$998,COLUMN(O$1),FALSE)*VLOOKUP($D52,素材!$1:$1016,COLUMN(E$1),FALSE),1),"")</f>
        <v>0</v>
      </c>
      <c r="AA52">
        <f>IF(ISNUMBER(SEARCH(SUBSTITUTE(AA$1,RIGHT(AA$1,2),""),VLOOKUP($D52,素材!$1:$1016,COLUMN($F$1),FALSE))),VLOOKUP($C52,武器!$1:$998,COLUMN($O$1),FALSE)*VLOOKUP($D52,素材!$1:$1016,COLUMN($E$1),FALSE)/(LEN(VLOOKUP($D52,素材!$1:$1016,COLUMN($F$1),FALSE))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B52">
        <f>IF(ISNUMBER(SEARCH(SUBSTITUTE(AB$1,RIGHT(AB$1,2),""),VLOOKUP($D52,素材!$1:$1016,COLUMN($F$1),FALSE))),VLOOKUP($C52,武器!$1:$998,COLUMN($O$1),FALSE)*VLOOKUP($D52,素材!$1:$1016,COLUMN($E$1),FALSE)/(LEN(VLOOKUP($D52,素材!$1:$1016,COLUMN($F$1),FALSE))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C52">
        <f>IF(ISNUMBER(SEARCH(SUBSTITUTE(AC$1,RIGHT(AC$1,2),""),VLOOKUP($D52,素材!$1:$1016,COLUMN($F$1),FALSE))),VLOOKUP($C52,武器!$1:$998,COLUMN($O$1),FALSE)*VLOOKUP($D52,素材!$1:$1016,COLUMN($E$1),FALSE)/(LEN(VLOOKUP($D52,素材!$1:$1016,COLUMN($F$1),FALSE))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D52">
        <f>IF(ISNUMBER(SEARCH(SUBSTITUTE(AD$1,RIGHT(AD$1,2),""),VLOOKUP($D52,素材!$1:$1016,COLUMN($F$1),FALSE))),VLOOKUP($C52,武器!$1:$998,COLUMN($O$1),FALSE)*VLOOKUP($D52,素材!$1:$1016,COLUMN($E$1),FALSE)/(LEN(VLOOKUP($D52,素材!$1:$1016,COLUMN($F$1),FALSE))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E52">
        <f>IF(ISNUMBER(SEARCH(SUBSTITUTE(AE$1,RIGHT(AE$1,2),""),VLOOKUP($D52,素材!$1:$1016,COLUMN($F$1),FALSE))),VLOOKUP($C52,武器!$1:$998,COLUMN($O$1),FALSE)*VLOOKUP($D52,素材!$1:$1016,COLUMN($E$1),FALSE)/(LEN(VLOOKUP($D52,素材!$1:$1016,COLUMN($F$1),FALSE))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F52">
        <f>IF(ISNUMBER(SEARCH(SUBSTITUTE(AF$1,RIGHT(AF$1,2),""),VLOOKUP($D52,素材!$1:$1016,COLUMN($F$1),FALSE))),VLOOKUP($C52,武器!$1:$998,COLUMN($O$1),FALSE)*VLOOKUP($D52,素材!$1:$1016,COLUMN($E$1),FALSE)/(LEN(VLOOKUP($D52,素材!$1:$1016,COLUMN($F$1),FALSE))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G52">
        <f>IF(ISNUMBER(SEARCH(SUBSTITUTE(AG$1,RIGHT(AG$1,2),""),VLOOKUP($D52,素材!$1:$1016,COLUMN($F$1),FALSE))),VLOOKUP($C52,武器!$1:$998,COLUMN($O$1),FALSE)*VLOOKUP($D52,素材!$1:$1016,COLUMN($E$1),FALSE)/(LEN(VLOOKUP($D52,素材!$1:$1016,COLUMN($F$1),FALSE))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H52">
        <f>IF(ISNUMBER(SEARCH(SUBSTITUTE(AH$1,RIGHT(AH$1,2),""),VLOOKUP($D52,素材!$1:$1016,COLUMN($F$1),FALSE))),VLOOKUP($C52,武器!$1:$998,COLUMN($O$1),FALSE)*VLOOKUP($D52,素材!$1:$1016,COLUMN($E$1),FALSE)/(LEN(VLOOKUP($D52,素材!$1:$1016,COLUMN($F$1),FALSE))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I52">
        <f>IF(ISNUMBER(SEARCH(SUBSTITUTE(AI$1,RIGHT(AI$1,2),""),VLOOKUP($D52,素材!$1:$1016,COLUMN($F$1),FALSE))),VLOOKUP($C52,武器!$1:$998,COLUMN($O$1),FALSE)*VLOOKUP($D52,素材!$1:$1016,COLUMN($E$1),FALSE)/(LEN(VLOOKUP($D52,素材!$1:$1016,COLUMN($F$1),FALSE))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J52">
        <f>IF(ISNUMBER(SEARCH(SUBSTITUTE(AJ$1,RIGHT(AJ$1,2),""),VLOOKUP($D52,素材!$1:$1016,COLUMN($F$1),FALSE))),VLOOKUP($C52,武器!$1:$998,COLUMN($O$1),FALSE)*VLOOKUP($D52,素材!$1:$1016,COLUMN($E$1),FALSE)/(LEN(VLOOKUP($D52,素材!$1:$1016,COLUMN($F$1),FALSE))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K52">
        <f>IF(ISNUMBER(SEARCH(SUBSTITUTE(AK$1,RIGHT(AK$1,2),""),VLOOKUP($D52,素材!$1:$1016,COLUMN($F$1),FALSE))),VLOOKUP($C52,武器!$1:$998,COLUMN($O$1),FALSE)*VLOOKUP($D52,素材!$1:$1016,COLUMN($E$1),FALSE)/(LEN(VLOOKUP($D52,素材!$1:$1016,COLUMN($F$1),FALSE))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L52">
        <f>IF(ISNUMBER(SEARCH(SUBSTITUTE(AL$1,RIGHT(AL$1,2),""),VLOOKUP($D52,素材!$1:$1016,COLUMN($F$1),FALSE))),VLOOKUP($C52,武器!$1:$998,COLUMN($O$1),FALSE)*VLOOKUP($D52,素材!$1:$1016,COLUMN($E$1),FALSE)/(LEN(VLOOKUP($D52,素材!$1:$1016,COLUMN($F$1),FALSE))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M52">
        <f>IF(ISNUMBER(SEARCH(SUBSTITUTE(AM$1,RIGHT(AM$1,2),""),VLOOKUP($D52,素材!$1:$1016,COLUMN($F$1),FALSE))),VLOOKUP($C52,武器!$1:$998,COLUMN($O$1),FALSE)*VLOOKUP($D52,素材!$1:$1016,COLUMN($E$1),FALSE)/(LEN(VLOOKUP($D52,素材!$1:$1016,COLUMN($F$1),FALSE))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N52">
        <f>IF(ISNUMBER(SEARCH(SUBSTITUTE(AN$1,RIGHT(AN$1,2),""),VLOOKUP($D52,素材!$1:$1016,COLUMN($F$1),FALSE))),VLOOKUP($C52,武器!$1:$998,COLUMN($O$1),FALSE)*VLOOKUP($D52,素材!$1:$1016,COLUMN($E$1),FALSE)/(LEN(VLOOKUP($D52,素材!$1:$1016,COLUMN($F$1),FALSE))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O52">
        <f>IF(ISNUMBER(SEARCH(SUBSTITUTE(AO$1,RIGHT(AO$1,2),""),VLOOKUP($D52,素材!$1:$1016,COLUMN($F$1),FALSE))),VLOOKUP($C52,武器!$1:$998,COLUMN($O$1),FALSE)*VLOOKUP($D52,素材!$1:$1016,COLUMN($E$1),FALSE)/(LEN(VLOOKUP($D52,素材!$1:$1016,COLUMN($F$1),FALSE))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P52">
        <f>IF(ISNUMBER(SEARCH(SUBSTITUTE(AP$1,RIGHT(AP$1,2),""),VLOOKUP($D52,素材!$1:$1016,COLUMN($F$1),FALSE))),VLOOKUP($C52,武器!$1:$998,COLUMN($O$1),FALSE)*VLOOKUP($D52,素材!$1:$1016,COLUMN($E$1),FALSE)/(LEN(VLOOKUP($D52,素材!$1:$1016,COLUMN($F$1),FALSE))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Q52">
        <f>IF(ISNUMBER(SEARCH(SUBSTITUTE(AQ$1,RIGHT(AQ$1,2),""),VLOOKUP($D52,素材!$1:$1016,COLUMN($F$1),FALSE))),VLOOKUP($C52,武器!$1:$998,COLUMN($O$1),FALSE)*VLOOKUP($D52,素材!$1:$1016,COLUMN($E$1),FALSE)/(LEN(VLOOKUP($D52,素材!$1:$1016,COLUMN($F$1),FALSE))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R52">
        <f>IF(ISNUMBER(SEARCH(SUBSTITUTE(AR$1,RIGHT(AR$1,2),""),VLOOKUP($D52,素材!$1:$1016,COLUMN($F$1),FALSE))),VLOOKUP($C52,武器!$1:$998,COLUMN($O$1),FALSE)*VLOOKUP($D52,素材!$1:$1016,COLUMN($E$1),FALSE)/(LEN(VLOOKUP($D52,素材!$1:$1016,COLUMN($F$1),FALSE))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S52">
        <f>IF(ISNUMBER(SEARCH(SUBSTITUTE(AS$1,RIGHT(AS$1,2),""),VLOOKUP($D52,素材!$1:$1016,COLUMN($F$1),FALSE))),VLOOKUP($C52,武器!$1:$998,COLUMN($O$1),FALSE)*VLOOKUP($D52,素材!$1:$1016,COLUMN($E$1),FALSE)/(LEN(VLOOKUP($D52,素材!$1:$1016,COLUMN($F$1),FALSE))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T52">
        <f>IF(ISNUMBER(SEARCH(SUBSTITUTE(AT$1,RIGHT(AT$1,2),""),VLOOKUP($D52,素材!$1:$1016,COLUMN($F$1),FALSE))),VLOOKUP($C52,武器!$1:$998,COLUMN($O$1),FALSE)*VLOOKUP($D52,素材!$1:$1016,COLUMN($E$1),FALSE)/(LEN(VLOOKUP($D52,素材!$1:$1016,COLUMN($F$1),FALSE))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U52">
        <f>IF(ISNUMBER(SEARCH(SUBSTITUTE(AU$1,RIGHT(AU$1,2),""),VLOOKUP($D52,素材!$1:$1016,COLUMN($F$1),FALSE))),VLOOKUP($C52,武器!$1:$998,COLUMN($O$1),FALSE)*VLOOKUP($D52,素材!$1:$1016,COLUMN($E$1),FALSE)/(LEN(VLOOKUP($D52,素材!$1:$1016,COLUMN($F$1),FALSE))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V52">
        <f>IF(ISNUMBER(SEARCH(SUBSTITUTE(AV$1,RIGHT(AV$1,2),""),VLOOKUP($D52,素材!$1:$1016,COLUMN($F$1),FALSE))),VLOOKUP($C52,武器!$1:$998,COLUMN($O$1),FALSE)*VLOOKUP($D52,素材!$1:$1016,COLUMN($E$1),FALSE)/(LEN(VLOOKUP($D52,素材!$1:$1016,COLUMN($F$1),FALSE))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W52">
        <f>IF(ISNUMBER(SEARCH(SUBSTITUTE(AW$1,RIGHT(AW$1,2),""),VLOOKUP($D52,素材!$1:$1016,COLUMN($F$1),FALSE))),VLOOKUP($C52,武器!$1:$998,COLUMN($O$1),FALSE)*VLOOKUP($D52,素材!$1:$1016,COLUMN($E$1),FALSE)/(LEN(VLOOKUP($D52,素材!$1:$1016,COLUMN($F$1),FALSE))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X52">
        <f>IF(ISNUMBER(SEARCH(SUBSTITUTE(AX$1,RIGHT(AX$1,2),""),VLOOKUP($D52,素材!$1:$1016,COLUMN($F$1),FALSE))),VLOOKUP($C52,武器!$1:$998,COLUMN($O$1),FALSE)*VLOOKUP($D52,素材!$1:$1016,COLUMN($E$1),FALSE)/(LEN(VLOOKUP($D52,素材!$1:$1016,COLUMN($F$1),FALSE))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Y52">
        <f>IF(ISNUMBER(SEARCH(SUBSTITUTE(AY$1,RIGHT(AY$1,2),""),VLOOKUP($D52,素材!$1:$1016,COLUMN($F$1),FALSE))),VLOOKUP($C52,武器!$1:$998,COLUMN($O$1),FALSE)*VLOOKUP($D52,素材!$1:$1016,COLUMN($E$1),FALSE)/(LEN(VLOOKUP($D52,素材!$1:$1016,COLUMN($F$1),FALSE))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AZ52">
        <f>IF(ISNUMBER(SEARCH(SUBSTITUTE(AZ$1,RIGHT(AZ$1,2),""),VLOOKUP($D52,素材!$1:$1016,COLUMN($F$1),FALSE))),VLOOKUP($C52,武器!$1:$998,COLUMN($O$1),FALSE)*VLOOKUP($D52,素材!$1:$1016,COLUMN($E$1),FALSE)/(LEN(VLOOKUP($D52,素材!$1:$1016,COLUMN($F$1),FALSE))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BA52">
        <f>IF(ISNUMBER(SEARCH(SUBSTITUTE(BA$1,RIGHT(BA$1,2),""),VLOOKUP($D52,素材!$1:$1016,COLUMN($F$1),FALSE))),VLOOKUP($C52,武器!$1:$998,COLUMN($O$1),FALSE)*VLOOKUP($D52,素材!$1:$1016,COLUMN($E$1),FALSE)/(LEN(VLOOKUP($D52,素材!$1:$1016,COLUMN($F$1),FALSE))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BB52">
        <f>IF(ISNUMBER(SEARCH(SUBSTITUTE(BB$1,RIGHT(BB$1,2),""),VLOOKUP($D52,素材!$1:$1016,COLUMN($F$1),FALSE))),VLOOKUP($C52,武器!$1:$998,COLUMN($O$1),FALSE)*VLOOKUP($D52,素材!$1:$1016,COLUMN($E$1),FALSE)/(LEN(VLOOKUP($D52,素材!$1:$1016,COLUMN($F$1),FALSE))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BC52">
        <f>IF(ISNUMBER(SEARCH(SUBSTITUTE(BC$1,RIGHT(BC$1,2),""),VLOOKUP($D52,素材!$1:$1016,COLUMN($F$1),FALSE))),VLOOKUP($C52,武器!$1:$998,COLUMN($O$1),FALSE)*VLOOKUP($D52,素材!$1:$1016,COLUMN($E$1),FALSE)/(LEN(VLOOKUP($D52,素材!$1:$1016,COLUMN($F$1),FALSE))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BD52">
        <f>IF(ISNUMBER(SEARCH(SUBSTITUTE(BD$1,RIGHT(BD$1,2),""),VLOOKUP($D52,素材!$1:$1016,COLUMN($F$1),FALSE))),VLOOKUP($C52,武器!$1:$998,COLUMN($O$1),FALSE)*VLOOKUP($D52,素材!$1:$1016,COLUMN($E$1),FALSE)/(LEN(VLOOKUP($D52,素材!$1:$1016,COLUMN($F$1),FALSE))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BE52">
        <f>IF(ISNUMBER(SEARCH(SUBSTITUTE(BE$1,RIGHT(BE$1,2),""),VLOOKUP($D52,素材!$1:$1016,COLUMN($F$1),FALSE))),VLOOKUP($C52,武器!$1:$998,COLUMN($O$1),FALSE)*VLOOKUP($D52,素材!$1:$1016,COLUMN($E$1),FALSE)/(LEN(VLOOKUP($D52,素材!$1:$1016,COLUMN($F$1),FALSE))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BF52">
        <f>IF(ISNUMBER(SEARCH(SUBSTITUTE(BF$1,RIGHT(BF$1,2),""),VLOOKUP($D52,素材!$1:$1016,COLUMN($F$1),FALSE))),VLOOKUP($C52,武器!$1:$998,COLUMN($O$1),FALSE)*VLOOKUP($D52,素材!$1:$1016,COLUMN($E$1),FALSE)/(LEN(VLOOKUP($D52,素材!$1:$1016,COLUMN($F$1),FALSE)) - LEN(SUBSTITUTE(VLOOKUP($D52,素材!$1:$1016,COLUMN($F$1),FALSE), "・", 0)) + 1), 0)</f>
        <v>0</v>
      </c>
      <c r="CM52">
        <f t="shared" si="3"/>
        <v>16</v>
      </c>
      <c r="CN52" s="22" t="str">
        <f>IF(E52="武器",IF(J52-1&gt;SUM(G52:I52),"盾",IF(MAX(G52:I52)=G52,"切断",IF(MAX(G52:I52)=H52,"貫通",IF(MAX(G52:I52)=I52,"打撃","射撃")))),E52)&amp;".webp"</f>
        <v>打撃.webp</v>
      </c>
      <c r="CO52">
        <f>IFERROR(VLOOKUP($C52,武器!$1:$998,COLUMN(V$1),FALSE)*VLOOKUP($D52,素材!$1:$1016,COLUMN(N$1),FALSE)+IF(CJ52="",0,VLOOKUP($CJ52,装強!$1:$1008,COLUMN($CL$1),FALSE)),"")</f>
        <v>150</v>
      </c>
      <c r="CP52" t="str">
        <f>VLOOKUP(D52,素材!$A:$O,COLUMN(素材!O$1),FALSE)</f>
        <v>一般的な木材。金属より軽いが少し脆い</v>
      </c>
      <c r="CQ52" t="str">
        <f>VLOOKUP(C52,武器!$A:$W,COLUMN(武器!W$1),FALSE)</f>
        <v>棍棒。打撃に特化したシンプルな武器。</v>
      </c>
      <c r="CS52" t="str">
        <f t="shared" si="2"/>
        <v>e_52</v>
      </c>
      <c r="CT52">
        <f t="shared" si="4"/>
        <v>15000</v>
      </c>
    </row>
    <row r="53" spans="1:98" outlineLevel="1" x14ac:dyDescent="0.4">
      <c r="A53" t="str">
        <f t="shared" si="5"/>
        <v>木の戦棍</v>
      </c>
      <c r="B53" t="str">
        <f>IFERROR(VLOOKUP($D53,素材!$1:$1016,COLUMN($B$1),FALSE)&amp;"・"&amp;VLOOKUP($C53,武器!$1:$998,COLUMN(B$1),FALSE),"")</f>
        <v>ウッド・メイス</v>
      </c>
      <c r="C53" s="24" t="s">
        <v>229</v>
      </c>
      <c r="D53" s="24" t="s">
        <v>255</v>
      </c>
      <c r="E53" t="str">
        <f>IFERROR(VLOOKUP(C53,武器!$1:$998,COLUMN(C$1),FALSE),"")</f>
        <v>武器</v>
      </c>
      <c r="F53">
        <f>IFERROR(ROUNDDOWN((VLOOKUP($C53,武器!$1:$998,COLUMN(D$1),FALSE)+IFERROR(VLOOKUP($CJ53,装強!$1:$999,COLUMN(F$1),FALSE),0))*VLOOKUP($D53,素材!$1:$1016,COLUMN(D$1),FALSE),0),"")</f>
        <v>82</v>
      </c>
      <c r="G53">
        <f>IFERROR(ROUNDDOWN((VLOOKUP($C53,武器!$1:$998,COLUMN(E$1),FALSE)+IFERROR(VLOOKUP($CJ53,装強!$1:$999,COLUMN(G$1),FALSE),0))*VLOOKUP($D53,素材!$1:$1016,COLUMN($E$1),FALSE),0),"")</f>
        <v>0</v>
      </c>
      <c r="H53">
        <f>IFERROR(ROUNDDOWN((VLOOKUP($C53,武器!$1:$998,COLUMN(F$1),FALSE)+IFERROR(VLOOKUP($CJ53,装強!$1:$999,COLUMN(H$1),FALSE),0))*VLOOKUP($D53,素材!$1:$1016,COLUMN($E$1),FALSE),0),"")</f>
        <v>0</v>
      </c>
      <c r="I53">
        <f>IFERROR(ROUNDDOWN((VLOOKUP($C53,武器!$1:$998,COLUMN(G$1),FALSE)+IFERROR(VLOOKUP($CJ53,装強!$1:$999,COLUMN(I$1),FALSE),0))*VLOOKUP($D53,素材!$1:$1016,COLUMN($E$1),FALSE),0),"")</f>
        <v>17</v>
      </c>
      <c r="J53">
        <f>IFERROR(ROUNDDOWN((VLOOKUP($C53,武器!$1:$998,COLUMN(H$1),FALSE)+IFERROR(VLOOKUP($CJ53,装強!$1:$999,COLUMN(J$1),FALSE),0))*VLOOKUP($D53,素材!$1:$1016,COLUMN($E$1),FALSE),0),"")</f>
        <v>14</v>
      </c>
      <c r="K53">
        <f>IFERROR(ROUNDDOWN((VLOOKUP($C53,武器!$1:$998,COLUMN(I$1),FALSE)+IFERROR(VLOOKUP($CJ53,装強!$1:$999,COLUMN(K$1),FALSE),0))*VLOOKUP($D53,素材!$1:$1016,COLUMN($E$1),FALSE),0),"")</f>
        <v>0</v>
      </c>
      <c r="L53">
        <f>IFERROR(VLOOKUP($D53,素材!$1:$1016,COLUMN($F$1),FALSE),"")</f>
        <v>0</v>
      </c>
      <c r="M53">
        <f>IFERROR(VLOOKUP($C53,武器!$1:$998,COLUMN(AA$1),FALSE)*VLOOKUP($D53,素材!$1:$1016,COLUMN($G$1),FALSE),"")</f>
        <v>0</v>
      </c>
      <c r="N53">
        <f>IFERROR(VLOOKUP($C53,武器!$1:$998,COLUMN(I$1),FALSE),"")</f>
        <v>0</v>
      </c>
      <c r="O53" s="23">
        <f>IFERROR((VLOOKUP($C53,武器!$1:$998,COLUMN(K$1),FALSE)+VLOOKUP($D53,素材!$1:$1016,COLUMN(H$1),FALSE))*100+IFERROR(VLOOKUP($CJ53,装強!$1:$999,COLUMN(O$1),FALSE),0),"")</f>
        <v>15</v>
      </c>
      <c r="P53" s="23">
        <f>IFERROR((VLOOKUP($C53,武器!$1:$998,COLUMN(L$1),FALSE)+VLOOKUP($D53,素材!$1:$1016,COLUMN(I$1),FALSE))*100+IFERROR(VLOOKUP($CJ53,装強!$1:$999,COLUMN(P$1),FALSE),0),"")</f>
        <v>125</v>
      </c>
      <c r="Q53">
        <f>IFERROR(ROUNDUP(VLOOKUP($C53,武器!$1:$998,COLUMN(M$1),FALSE)*(VLOOKUP($D53,素材!$1:$1002,COLUMN(D$1),FALSE)/100),1),"")</f>
        <v>0</v>
      </c>
      <c r="R53">
        <f>IFERROR(ROUNDUP(VLOOKUP($C53,武器!$1:$998,COLUMN(N$1),FALSE)*(VLOOKUP($D53,素材!$1:$1002,COLUMN(D$1),FALSE)/100),1),"")</f>
        <v>-1.5</v>
      </c>
      <c r="S53">
        <f>IFERROR(VLOOKUP($C53,武器!$1:$998,COLUMN(P$1),FALSE),"")</f>
        <v>0</v>
      </c>
      <c r="T53">
        <f>IFERROR(VLOOKUP($C53,武器!$1:$998,COLUMN(Q$1),FALSE),"")</f>
        <v>0</v>
      </c>
      <c r="U53">
        <f>IFERROR(VLOOKUP($C53,武器!$1:$998,COLUMN(R$1),FALSE),"")</f>
        <v>0</v>
      </c>
      <c r="V53">
        <f>IFERROR(VLOOKUP($C53,武器!$1:$998,COLUMN(Q$1),FALSE),"")</f>
        <v>0</v>
      </c>
      <c r="W53" t="str">
        <f>IFERROR(VLOOKUP($C53,武器!$1:$998,COLUMN(T$1),FALSE),"")</f>
        <v>A</v>
      </c>
      <c r="Y53">
        <f>IFERROR(VLOOKUP($C53,武器!$1:$998,COLUMN(U$1),FALSE),"")</f>
        <v>0</v>
      </c>
      <c r="Z53">
        <f>IFERROR(ROUNDUP(VLOOKUP($C53,武器!$1:$998,COLUMN(O$1),FALSE)*VLOOKUP($D53,素材!$1:$1016,COLUMN(E$1),FALSE),1),"")</f>
        <v>0</v>
      </c>
      <c r="AA53">
        <f>IF(ISNUMBER(SEARCH(SUBSTITUTE(AA$1,RIGHT(AA$1,2),""),VLOOKUP($D53,素材!$1:$1016,COLUMN($F$1),FALSE))),VLOOKUP($C53,武器!$1:$998,COLUMN($O$1),FALSE)*VLOOKUP($D53,素材!$1:$1016,COLUMN($E$1),FALSE)/(LEN(VLOOKUP($D53,素材!$1:$1016,COLUMN($F$1),FALSE))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B53">
        <f>IF(ISNUMBER(SEARCH(SUBSTITUTE(AB$1,RIGHT(AB$1,2),""),VLOOKUP($D53,素材!$1:$1016,COLUMN($F$1),FALSE))),VLOOKUP($C53,武器!$1:$998,COLUMN($O$1),FALSE)*VLOOKUP($D53,素材!$1:$1016,COLUMN($E$1),FALSE)/(LEN(VLOOKUP($D53,素材!$1:$1016,COLUMN($F$1),FALSE))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C53">
        <f>IF(ISNUMBER(SEARCH(SUBSTITUTE(AC$1,RIGHT(AC$1,2),""),VLOOKUP($D53,素材!$1:$1016,COLUMN($F$1),FALSE))),VLOOKUP($C53,武器!$1:$998,COLUMN($O$1),FALSE)*VLOOKUP($D53,素材!$1:$1016,COLUMN($E$1),FALSE)/(LEN(VLOOKUP($D53,素材!$1:$1016,COLUMN($F$1),FALSE))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D53">
        <f>IF(ISNUMBER(SEARCH(SUBSTITUTE(AD$1,RIGHT(AD$1,2),""),VLOOKUP($D53,素材!$1:$1016,COLUMN($F$1),FALSE))),VLOOKUP($C53,武器!$1:$998,COLUMN($O$1),FALSE)*VLOOKUP($D53,素材!$1:$1016,COLUMN($E$1),FALSE)/(LEN(VLOOKUP($D53,素材!$1:$1016,COLUMN($F$1),FALSE))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E53">
        <f>IF(ISNUMBER(SEARCH(SUBSTITUTE(AE$1,RIGHT(AE$1,2),""),VLOOKUP($D53,素材!$1:$1016,COLUMN($F$1),FALSE))),VLOOKUP($C53,武器!$1:$998,COLUMN($O$1),FALSE)*VLOOKUP($D53,素材!$1:$1016,COLUMN($E$1),FALSE)/(LEN(VLOOKUP($D53,素材!$1:$1016,COLUMN($F$1),FALSE))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F53">
        <f>IF(ISNUMBER(SEARCH(SUBSTITUTE(AF$1,RIGHT(AF$1,2),""),VLOOKUP($D53,素材!$1:$1016,COLUMN($F$1),FALSE))),VLOOKUP($C53,武器!$1:$998,COLUMN($O$1),FALSE)*VLOOKUP($D53,素材!$1:$1016,COLUMN($E$1),FALSE)/(LEN(VLOOKUP($D53,素材!$1:$1016,COLUMN($F$1),FALSE))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G53">
        <f>IF(ISNUMBER(SEARCH(SUBSTITUTE(AG$1,RIGHT(AG$1,2),""),VLOOKUP($D53,素材!$1:$1016,COLUMN($F$1),FALSE))),VLOOKUP($C53,武器!$1:$998,COLUMN($O$1),FALSE)*VLOOKUP($D53,素材!$1:$1016,COLUMN($E$1),FALSE)/(LEN(VLOOKUP($D53,素材!$1:$1016,COLUMN($F$1),FALSE))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H53">
        <f>IF(ISNUMBER(SEARCH(SUBSTITUTE(AH$1,RIGHT(AH$1,2),""),VLOOKUP($D53,素材!$1:$1016,COLUMN($F$1),FALSE))),VLOOKUP($C53,武器!$1:$998,COLUMN($O$1),FALSE)*VLOOKUP($D53,素材!$1:$1016,COLUMN($E$1),FALSE)/(LEN(VLOOKUP($D53,素材!$1:$1016,COLUMN($F$1),FALSE))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I53">
        <f>IF(ISNUMBER(SEARCH(SUBSTITUTE(AI$1,RIGHT(AI$1,2),""),VLOOKUP($D53,素材!$1:$1016,COLUMN($F$1),FALSE))),VLOOKUP($C53,武器!$1:$998,COLUMN($O$1),FALSE)*VLOOKUP($D53,素材!$1:$1016,COLUMN($E$1),FALSE)/(LEN(VLOOKUP($D53,素材!$1:$1016,COLUMN($F$1),FALSE))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J53">
        <f>IF(ISNUMBER(SEARCH(SUBSTITUTE(AJ$1,RIGHT(AJ$1,2),""),VLOOKUP($D53,素材!$1:$1016,COLUMN($F$1),FALSE))),VLOOKUP($C53,武器!$1:$998,COLUMN($O$1),FALSE)*VLOOKUP($D53,素材!$1:$1016,COLUMN($E$1),FALSE)/(LEN(VLOOKUP($D53,素材!$1:$1016,COLUMN($F$1),FALSE))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K53">
        <f>IF(ISNUMBER(SEARCH(SUBSTITUTE(AK$1,RIGHT(AK$1,2),""),VLOOKUP($D53,素材!$1:$1016,COLUMN($F$1),FALSE))),VLOOKUP($C53,武器!$1:$998,COLUMN($O$1),FALSE)*VLOOKUP($D53,素材!$1:$1016,COLUMN($E$1),FALSE)/(LEN(VLOOKUP($D53,素材!$1:$1016,COLUMN($F$1),FALSE))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L53">
        <f>IF(ISNUMBER(SEARCH(SUBSTITUTE(AL$1,RIGHT(AL$1,2),""),VLOOKUP($D53,素材!$1:$1016,COLUMN($F$1),FALSE))),VLOOKUP($C53,武器!$1:$998,COLUMN($O$1),FALSE)*VLOOKUP($D53,素材!$1:$1016,COLUMN($E$1),FALSE)/(LEN(VLOOKUP($D53,素材!$1:$1016,COLUMN($F$1),FALSE))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M53">
        <f>IF(ISNUMBER(SEARCH(SUBSTITUTE(AM$1,RIGHT(AM$1,2),""),VLOOKUP($D53,素材!$1:$1016,COLUMN($F$1),FALSE))),VLOOKUP($C53,武器!$1:$998,COLUMN($O$1),FALSE)*VLOOKUP($D53,素材!$1:$1016,COLUMN($E$1),FALSE)/(LEN(VLOOKUP($D53,素材!$1:$1016,COLUMN($F$1),FALSE))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N53">
        <f>IF(ISNUMBER(SEARCH(SUBSTITUTE(AN$1,RIGHT(AN$1,2),""),VLOOKUP($D53,素材!$1:$1016,COLUMN($F$1),FALSE))),VLOOKUP($C53,武器!$1:$998,COLUMN($O$1),FALSE)*VLOOKUP($D53,素材!$1:$1016,COLUMN($E$1),FALSE)/(LEN(VLOOKUP($D53,素材!$1:$1016,COLUMN($F$1),FALSE))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O53">
        <f>IF(ISNUMBER(SEARCH(SUBSTITUTE(AO$1,RIGHT(AO$1,2),""),VLOOKUP($D53,素材!$1:$1016,COLUMN($F$1),FALSE))),VLOOKUP($C53,武器!$1:$998,COLUMN($O$1),FALSE)*VLOOKUP($D53,素材!$1:$1016,COLUMN($E$1),FALSE)/(LEN(VLOOKUP($D53,素材!$1:$1016,COLUMN($F$1),FALSE))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P53">
        <f>IF(ISNUMBER(SEARCH(SUBSTITUTE(AP$1,RIGHT(AP$1,2),""),VLOOKUP($D53,素材!$1:$1016,COLUMN($F$1),FALSE))),VLOOKUP($C53,武器!$1:$998,COLUMN($O$1),FALSE)*VLOOKUP($D53,素材!$1:$1016,COLUMN($E$1),FALSE)/(LEN(VLOOKUP($D53,素材!$1:$1016,COLUMN($F$1),FALSE))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Q53">
        <f>IF(ISNUMBER(SEARCH(SUBSTITUTE(AQ$1,RIGHT(AQ$1,2),""),VLOOKUP($D53,素材!$1:$1016,COLUMN($F$1),FALSE))),VLOOKUP($C53,武器!$1:$998,COLUMN($O$1),FALSE)*VLOOKUP($D53,素材!$1:$1016,COLUMN($E$1),FALSE)/(LEN(VLOOKUP($D53,素材!$1:$1016,COLUMN($F$1),FALSE))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R53">
        <f>IF(ISNUMBER(SEARCH(SUBSTITUTE(AR$1,RIGHT(AR$1,2),""),VLOOKUP($D53,素材!$1:$1016,COLUMN($F$1),FALSE))),VLOOKUP($C53,武器!$1:$998,COLUMN($O$1),FALSE)*VLOOKUP($D53,素材!$1:$1016,COLUMN($E$1),FALSE)/(LEN(VLOOKUP($D53,素材!$1:$1016,COLUMN($F$1),FALSE))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S53">
        <f>IF(ISNUMBER(SEARCH(SUBSTITUTE(AS$1,RIGHT(AS$1,2),""),VLOOKUP($D53,素材!$1:$1016,COLUMN($F$1),FALSE))),VLOOKUP($C53,武器!$1:$998,COLUMN($O$1),FALSE)*VLOOKUP($D53,素材!$1:$1016,COLUMN($E$1),FALSE)/(LEN(VLOOKUP($D53,素材!$1:$1016,COLUMN($F$1),FALSE))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T53">
        <f>IF(ISNUMBER(SEARCH(SUBSTITUTE(AT$1,RIGHT(AT$1,2),""),VLOOKUP($D53,素材!$1:$1016,COLUMN($F$1),FALSE))),VLOOKUP($C53,武器!$1:$998,COLUMN($O$1),FALSE)*VLOOKUP($D53,素材!$1:$1016,COLUMN($E$1),FALSE)/(LEN(VLOOKUP($D53,素材!$1:$1016,COLUMN($F$1),FALSE))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U53">
        <f>IF(ISNUMBER(SEARCH(SUBSTITUTE(AU$1,RIGHT(AU$1,2),""),VLOOKUP($D53,素材!$1:$1016,COLUMN($F$1),FALSE))),VLOOKUP($C53,武器!$1:$998,COLUMN($O$1),FALSE)*VLOOKUP($D53,素材!$1:$1016,COLUMN($E$1),FALSE)/(LEN(VLOOKUP($D53,素材!$1:$1016,COLUMN($F$1),FALSE))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V53">
        <f>IF(ISNUMBER(SEARCH(SUBSTITUTE(AV$1,RIGHT(AV$1,2),""),VLOOKUP($D53,素材!$1:$1016,COLUMN($F$1),FALSE))),VLOOKUP($C53,武器!$1:$998,COLUMN($O$1),FALSE)*VLOOKUP($D53,素材!$1:$1016,COLUMN($E$1),FALSE)/(LEN(VLOOKUP($D53,素材!$1:$1016,COLUMN($F$1),FALSE))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W53">
        <f>IF(ISNUMBER(SEARCH(SUBSTITUTE(AW$1,RIGHT(AW$1,2),""),VLOOKUP($D53,素材!$1:$1016,COLUMN($F$1),FALSE))),VLOOKUP($C53,武器!$1:$998,COLUMN($O$1),FALSE)*VLOOKUP($D53,素材!$1:$1016,COLUMN($E$1),FALSE)/(LEN(VLOOKUP($D53,素材!$1:$1016,COLUMN($F$1),FALSE))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X53">
        <f>IF(ISNUMBER(SEARCH(SUBSTITUTE(AX$1,RIGHT(AX$1,2),""),VLOOKUP($D53,素材!$1:$1016,COLUMN($F$1),FALSE))),VLOOKUP($C53,武器!$1:$998,COLUMN($O$1),FALSE)*VLOOKUP($D53,素材!$1:$1016,COLUMN($E$1),FALSE)/(LEN(VLOOKUP($D53,素材!$1:$1016,COLUMN($F$1),FALSE))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Y53">
        <f>IF(ISNUMBER(SEARCH(SUBSTITUTE(AY$1,RIGHT(AY$1,2),""),VLOOKUP($D53,素材!$1:$1016,COLUMN($F$1),FALSE))),VLOOKUP($C53,武器!$1:$998,COLUMN($O$1),FALSE)*VLOOKUP($D53,素材!$1:$1016,COLUMN($E$1),FALSE)/(LEN(VLOOKUP($D53,素材!$1:$1016,COLUMN($F$1),FALSE))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AZ53">
        <f>IF(ISNUMBER(SEARCH(SUBSTITUTE(AZ$1,RIGHT(AZ$1,2),""),VLOOKUP($D53,素材!$1:$1016,COLUMN($F$1),FALSE))),VLOOKUP($C53,武器!$1:$998,COLUMN($O$1),FALSE)*VLOOKUP($D53,素材!$1:$1016,COLUMN($E$1),FALSE)/(LEN(VLOOKUP($D53,素材!$1:$1016,COLUMN($F$1),FALSE))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BA53">
        <f>IF(ISNUMBER(SEARCH(SUBSTITUTE(BA$1,RIGHT(BA$1,2),""),VLOOKUP($D53,素材!$1:$1016,COLUMN($F$1),FALSE))),VLOOKUP($C53,武器!$1:$998,COLUMN($O$1),FALSE)*VLOOKUP($D53,素材!$1:$1016,COLUMN($E$1),FALSE)/(LEN(VLOOKUP($D53,素材!$1:$1016,COLUMN($F$1),FALSE))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BB53">
        <f>IF(ISNUMBER(SEARCH(SUBSTITUTE(BB$1,RIGHT(BB$1,2),""),VLOOKUP($D53,素材!$1:$1016,COLUMN($F$1),FALSE))),VLOOKUP($C53,武器!$1:$998,COLUMN($O$1),FALSE)*VLOOKUP($D53,素材!$1:$1016,COLUMN($E$1),FALSE)/(LEN(VLOOKUP($D53,素材!$1:$1016,COLUMN($F$1),FALSE))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BC53">
        <f>IF(ISNUMBER(SEARCH(SUBSTITUTE(BC$1,RIGHT(BC$1,2),""),VLOOKUP($D53,素材!$1:$1016,COLUMN($F$1),FALSE))),VLOOKUP($C53,武器!$1:$998,COLUMN($O$1),FALSE)*VLOOKUP($D53,素材!$1:$1016,COLUMN($E$1),FALSE)/(LEN(VLOOKUP($D53,素材!$1:$1016,COLUMN($F$1),FALSE))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BD53">
        <f>IF(ISNUMBER(SEARCH(SUBSTITUTE(BD$1,RIGHT(BD$1,2),""),VLOOKUP($D53,素材!$1:$1016,COLUMN($F$1),FALSE))),VLOOKUP($C53,武器!$1:$998,COLUMN($O$1),FALSE)*VLOOKUP($D53,素材!$1:$1016,COLUMN($E$1),FALSE)/(LEN(VLOOKUP($D53,素材!$1:$1016,COLUMN($F$1),FALSE))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BE53">
        <f>IF(ISNUMBER(SEARCH(SUBSTITUTE(BE$1,RIGHT(BE$1,2),""),VLOOKUP($D53,素材!$1:$1016,COLUMN($F$1),FALSE))),VLOOKUP($C53,武器!$1:$998,COLUMN($O$1),FALSE)*VLOOKUP($D53,素材!$1:$1016,COLUMN($E$1),FALSE)/(LEN(VLOOKUP($D53,素材!$1:$1016,COLUMN($F$1),FALSE))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BF53">
        <f>IF(ISNUMBER(SEARCH(SUBSTITUTE(BF$1,RIGHT(BF$1,2),""),VLOOKUP($D53,素材!$1:$1016,COLUMN($F$1),FALSE))),VLOOKUP($C53,武器!$1:$998,COLUMN($O$1),FALSE)*VLOOKUP($D53,素材!$1:$1016,COLUMN($E$1),FALSE)/(LEN(VLOOKUP($D53,素材!$1:$1016,COLUMN($F$1),FALSE)) - LEN(SUBSTITUTE(VLOOKUP($D53,素材!$1:$1016,COLUMN($F$1),FALSE), "・", 0)) + 1), 0)</f>
        <v>0</v>
      </c>
      <c r="CM53">
        <f t="shared" si="3"/>
        <v>17</v>
      </c>
      <c r="CN53" s="22" t="str">
        <f>IF(E53="武器",IF(J53-1&gt;SUM(G53:I53),"盾",IF(MAX(G53:I53)=G53,"切断",IF(MAX(G53:I53)=H53,"貫通",IF(MAX(G53:I53)=I53,"打撃","射撃")))),E53)&amp;".webp"</f>
        <v>打撃.webp</v>
      </c>
      <c r="CO53">
        <f>IFERROR(VLOOKUP($C53,武器!$1:$998,COLUMN(V$1),FALSE)*VLOOKUP($D53,素材!$1:$1016,COLUMN(N$1),FALSE)+IF(CJ53="",0,VLOOKUP($CJ53,装強!$1:$1008,COLUMN($CL$1),FALSE)),"")</f>
        <v>200</v>
      </c>
      <c r="CP53" t="str">
        <f>VLOOKUP(D53,素材!$A:$O,COLUMN(素材!O$1),FALSE)</f>
        <v>一般的な木材。金属より軽いが少し脆い</v>
      </c>
      <c r="CQ53" t="str">
        <f>VLOOKUP(C53,武器!$A:$W,COLUMN(武器!W$1),FALSE)</f>
        <v>戦棍。打撃に優れた武器。Cr率が高い</v>
      </c>
      <c r="CS53" t="str">
        <f t="shared" si="2"/>
        <v>e_53</v>
      </c>
      <c r="CT53">
        <f t="shared" si="4"/>
        <v>20000</v>
      </c>
    </row>
    <row r="54" spans="1:98" outlineLevel="1" x14ac:dyDescent="0.4">
      <c r="A54" t="str">
        <f t="shared" si="5"/>
        <v>木の棘棍</v>
      </c>
      <c r="B54" t="str">
        <f>IFERROR(VLOOKUP($D54,素材!$1:$1016,COLUMN($B$1),FALSE)&amp;"・"&amp;VLOOKUP($C54,武器!$1:$998,COLUMN(B$1),FALSE),"")</f>
        <v>ウッド・モーニングスター</v>
      </c>
      <c r="C54" t="s">
        <v>228</v>
      </c>
      <c r="D54" s="24" t="s">
        <v>255</v>
      </c>
      <c r="E54" t="str">
        <f>IFERROR(VLOOKUP(C54,武器!$1:$998,COLUMN(C$1),FALSE),"")</f>
        <v>武器</v>
      </c>
      <c r="F54">
        <f>IFERROR(ROUNDDOWN((VLOOKUP($C54,武器!$1:$998,COLUMN(D$1),FALSE)+IFERROR(VLOOKUP($CJ54,装強!$1:$999,COLUMN(F$1),FALSE),0))*VLOOKUP($D54,素材!$1:$1016,COLUMN(D$1),FALSE),0),"")</f>
        <v>78</v>
      </c>
      <c r="G54">
        <f>IFERROR(ROUNDDOWN((VLOOKUP($C54,武器!$1:$998,COLUMN(E$1),FALSE)+IFERROR(VLOOKUP($CJ54,装強!$1:$999,COLUMN(G$1),FALSE),0))*VLOOKUP($D54,素材!$1:$1016,COLUMN($E$1),FALSE),0),"")</f>
        <v>0</v>
      </c>
      <c r="H54">
        <f>IFERROR(ROUNDDOWN((VLOOKUP($C54,武器!$1:$998,COLUMN(F$1),FALSE)+IFERROR(VLOOKUP($CJ54,装強!$1:$999,COLUMN(H$1),FALSE),0))*VLOOKUP($D54,素材!$1:$1016,COLUMN($E$1),FALSE),0),"")</f>
        <v>9</v>
      </c>
      <c r="I54">
        <f>IFERROR(ROUNDDOWN((VLOOKUP($C54,武器!$1:$998,COLUMN(G$1),FALSE)+IFERROR(VLOOKUP($CJ54,装強!$1:$999,COLUMN(I$1),FALSE),0))*VLOOKUP($D54,素材!$1:$1016,COLUMN($E$1),FALSE),0),"")</f>
        <v>9</v>
      </c>
      <c r="J54">
        <f>IFERROR(ROUNDDOWN((VLOOKUP($C54,武器!$1:$998,COLUMN(H$1),FALSE)+IFERROR(VLOOKUP($CJ54,装強!$1:$999,COLUMN(J$1),FALSE),0))*VLOOKUP($D54,素材!$1:$1016,COLUMN($E$1),FALSE),0),"")</f>
        <v>14</v>
      </c>
      <c r="K54">
        <f>IFERROR(ROUNDDOWN((VLOOKUP($C54,武器!$1:$998,COLUMN(I$1),FALSE)+IFERROR(VLOOKUP($CJ54,装強!$1:$999,COLUMN(K$1),FALSE),0))*VLOOKUP($D54,素材!$1:$1016,COLUMN($E$1),FALSE),0),"")</f>
        <v>0</v>
      </c>
      <c r="L54">
        <f>IFERROR(VLOOKUP($D54,素材!$1:$1016,COLUMN($F$1),FALSE),"")</f>
        <v>0</v>
      </c>
      <c r="M54">
        <f>IFERROR(VLOOKUP($C54,武器!$1:$998,COLUMN(AA$1),FALSE)*VLOOKUP($D54,素材!$1:$1016,COLUMN($G$1),FALSE),"")</f>
        <v>0</v>
      </c>
      <c r="N54">
        <f>IFERROR(VLOOKUP($C54,武器!$1:$998,COLUMN(I$1),FALSE),"")</f>
        <v>0</v>
      </c>
      <c r="O54" s="23">
        <f>IFERROR((VLOOKUP($C54,武器!$1:$998,COLUMN(K$1),FALSE)+VLOOKUP($D54,素材!$1:$1016,COLUMN(H$1),FALSE))*100+IFERROR(VLOOKUP($CJ54,装強!$1:$999,COLUMN(O$1),FALSE),0),"")</f>
        <v>10</v>
      </c>
      <c r="P54" s="23">
        <f>IFERROR((VLOOKUP($C54,武器!$1:$998,COLUMN(L$1),FALSE)+VLOOKUP($D54,素材!$1:$1016,COLUMN(I$1),FALSE))*100+IFERROR(VLOOKUP($CJ54,装強!$1:$999,COLUMN(P$1),FALSE),0),"")</f>
        <v>125</v>
      </c>
      <c r="Q54">
        <f>IFERROR(ROUNDUP(VLOOKUP($C54,武器!$1:$998,COLUMN(M$1),FALSE)*(VLOOKUP($D54,素材!$1:$1002,COLUMN(D$1),FALSE)/100),1),"")</f>
        <v>-1.9000000000000001</v>
      </c>
      <c r="R54">
        <f>IFERROR(ROUNDUP(VLOOKUP($C54,武器!$1:$998,COLUMN(N$1),FALSE)*(VLOOKUP($D54,素材!$1:$1002,COLUMN(D$1),FALSE)/100),1),"")</f>
        <v>-1.9000000000000001</v>
      </c>
      <c r="S54">
        <f>IFERROR(VLOOKUP($C54,武器!$1:$998,COLUMN(P$1),FALSE),"")</f>
        <v>0</v>
      </c>
      <c r="T54">
        <f>IFERROR(VLOOKUP($C54,武器!$1:$998,COLUMN(Q$1),FALSE),"")</f>
        <v>0</v>
      </c>
      <c r="U54">
        <f>IFERROR(VLOOKUP($C54,武器!$1:$998,COLUMN(R$1),FALSE),"")</f>
        <v>0</v>
      </c>
      <c r="V54">
        <f>IFERROR(VLOOKUP($C54,武器!$1:$998,COLUMN(Q$1),FALSE),"")</f>
        <v>0</v>
      </c>
      <c r="W54" t="str">
        <f>IFERROR(VLOOKUP($C54,武器!$1:$998,COLUMN(T$1),FALSE),"")</f>
        <v>A</v>
      </c>
      <c r="Y54">
        <f>IFERROR(VLOOKUP($C54,武器!$1:$998,COLUMN(U$1),FALSE),"")</f>
        <v>0</v>
      </c>
      <c r="Z54">
        <f>IFERROR(ROUNDUP(VLOOKUP($C54,武器!$1:$998,COLUMN(O$1),FALSE)*VLOOKUP($D54,素材!$1:$1016,COLUMN(E$1),FALSE),1),"")</f>
        <v>0</v>
      </c>
      <c r="AA54">
        <f>IF(ISNUMBER(SEARCH(SUBSTITUTE(AA$1,RIGHT(AA$1,2),""),VLOOKUP($D54,素材!$1:$1016,COLUMN($F$1),FALSE))),VLOOKUP($C54,武器!$1:$998,COLUMN($O$1),FALSE)*VLOOKUP($D54,素材!$1:$1016,COLUMN($E$1),FALSE)/(LEN(VLOOKUP($D54,素材!$1:$1016,COLUMN($F$1),FALSE))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B54">
        <f>IF(ISNUMBER(SEARCH(SUBSTITUTE(AB$1,RIGHT(AB$1,2),""),VLOOKUP($D54,素材!$1:$1016,COLUMN($F$1),FALSE))),VLOOKUP($C54,武器!$1:$998,COLUMN($O$1),FALSE)*VLOOKUP($D54,素材!$1:$1016,COLUMN($E$1),FALSE)/(LEN(VLOOKUP($D54,素材!$1:$1016,COLUMN($F$1),FALSE))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C54">
        <f>IF(ISNUMBER(SEARCH(SUBSTITUTE(AC$1,RIGHT(AC$1,2),""),VLOOKUP($D54,素材!$1:$1016,COLUMN($F$1),FALSE))),VLOOKUP($C54,武器!$1:$998,COLUMN($O$1),FALSE)*VLOOKUP($D54,素材!$1:$1016,COLUMN($E$1),FALSE)/(LEN(VLOOKUP($D54,素材!$1:$1016,COLUMN($F$1),FALSE))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D54">
        <f>IF(ISNUMBER(SEARCH(SUBSTITUTE(AD$1,RIGHT(AD$1,2),""),VLOOKUP($D54,素材!$1:$1016,COLUMN($F$1),FALSE))),VLOOKUP($C54,武器!$1:$998,COLUMN($O$1),FALSE)*VLOOKUP($D54,素材!$1:$1016,COLUMN($E$1),FALSE)/(LEN(VLOOKUP($D54,素材!$1:$1016,COLUMN($F$1),FALSE))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E54">
        <f>IF(ISNUMBER(SEARCH(SUBSTITUTE(AE$1,RIGHT(AE$1,2),""),VLOOKUP($D54,素材!$1:$1016,COLUMN($F$1),FALSE))),VLOOKUP($C54,武器!$1:$998,COLUMN($O$1),FALSE)*VLOOKUP($D54,素材!$1:$1016,COLUMN($E$1),FALSE)/(LEN(VLOOKUP($D54,素材!$1:$1016,COLUMN($F$1),FALSE))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F54">
        <f>IF(ISNUMBER(SEARCH(SUBSTITUTE(AF$1,RIGHT(AF$1,2),""),VLOOKUP($D54,素材!$1:$1016,COLUMN($F$1),FALSE))),VLOOKUP($C54,武器!$1:$998,COLUMN($O$1),FALSE)*VLOOKUP($D54,素材!$1:$1016,COLUMN($E$1),FALSE)/(LEN(VLOOKUP($D54,素材!$1:$1016,COLUMN($F$1),FALSE))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G54">
        <f>IF(ISNUMBER(SEARCH(SUBSTITUTE(AG$1,RIGHT(AG$1,2),""),VLOOKUP($D54,素材!$1:$1016,COLUMN($F$1),FALSE))),VLOOKUP($C54,武器!$1:$998,COLUMN($O$1),FALSE)*VLOOKUP($D54,素材!$1:$1016,COLUMN($E$1),FALSE)/(LEN(VLOOKUP($D54,素材!$1:$1016,COLUMN($F$1),FALSE))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H54">
        <f>IF(ISNUMBER(SEARCH(SUBSTITUTE(AH$1,RIGHT(AH$1,2),""),VLOOKUP($D54,素材!$1:$1016,COLUMN($F$1),FALSE))),VLOOKUP($C54,武器!$1:$998,COLUMN($O$1),FALSE)*VLOOKUP($D54,素材!$1:$1016,COLUMN($E$1),FALSE)/(LEN(VLOOKUP($D54,素材!$1:$1016,COLUMN($F$1),FALSE))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I54">
        <f>IF(ISNUMBER(SEARCH(SUBSTITUTE(AI$1,RIGHT(AI$1,2),""),VLOOKUP($D54,素材!$1:$1016,COLUMN($F$1),FALSE))),VLOOKUP($C54,武器!$1:$998,COLUMN($O$1),FALSE)*VLOOKUP($D54,素材!$1:$1016,COLUMN($E$1),FALSE)/(LEN(VLOOKUP($D54,素材!$1:$1016,COLUMN($F$1),FALSE))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J54">
        <f>IF(ISNUMBER(SEARCH(SUBSTITUTE(AJ$1,RIGHT(AJ$1,2),""),VLOOKUP($D54,素材!$1:$1016,COLUMN($F$1),FALSE))),VLOOKUP($C54,武器!$1:$998,COLUMN($O$1),FALSE)*VLOOKUP($D54,素材!$1:$1016,COLUMN($E$1),FALSE)/(LEN(VLOOKUP($D54,素材!$1:$1016,COLUMN($F$1),FALSE))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K54">
        <f>IF(ISNUMBER(SEARCH(SUBSTITUTE(AK$1,RIGHT(AK$1,2),""),VLOOKUP($D54,素材!$1:$1016,COLUMN($F$1),FALSE))),VLOOKUP($C54,武器!$1:$998,COLUMN($O$1),FALSE)*VLOOKUP($D54,素材!$1:$1016,COLUMN($E$1),FALSE)/(LEN(VLOOKUP($D54,素材!$1:$1016,COLUMN($F$1),FALSE))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L54">
        <f>IF(ISNUMBER(SEARCH(SUBSTITUTE(AL$1,RIGHT(AL$1,2),""),VLOOKUP($D54,素材!$1:$1016,COLUMN($F$1),FALSE))),VLOOKUP($C54,武器!$1:$998,COLUMN($O$1),FALSE)*VLOOKUP($D54,素材!$1:$1016,COLUMN($E$1),FALSE)/(LEN(VLOOKUP($D54,素材!$1:$1016,COLUMN($F$1),FALSE))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M54">
        <f>IF(ISNUMBER(SEARCH(SUBSTITUTE(AM$1,RIGHT(AM$1,2),""),VLOOKUP($D54,素材!$1:$1016,COLUMN($F$1),FALSE))),VLOOKUP($C54,武器!$1:$998,COLUMN($O$1),FALSE)*VLOOKUP($D54,素材!$1:$1016,COLUMN($E$1),FALSE)/(LEN(VLOOKUP($D54,素材!$1:$1016,COLUMN($F$1),FALSE))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N54">
        <f>IF(ISNUMBER(SEARCH(SUBSTITUTE(AN$1,RIGHT(AN$1,2),""),VLOOKUP($D54,素材!$1:$1016,COLUMN($F$1),FALSE))),VLOOKUP($C54,武器!$1:$998,COLUMN($O$1),FALSE)*VLOOKUP($D54,素材!$1:$1016,COLUMN($E$1),FALSE)/(LEN(VLOOKUP($D54,素材!$1:$1016,COLUMN($F$1),FALSE))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O54">
        <f>IF(ISNUMBER(SEARCH(SUBSTITUTE(AO$1,RIGHT(AO$1,2),""),VLOOKUP($D54,素材!$1:$1016,COLUMN($F$1),FALSE))),VLOOKUP($C54,武器!$1:$998,COLUMN($O$1),FALSE)*VLOOKUP($D54,素材!$1:$1016,COLUMN($E$1),FALSE)/(LEN(VLOOKUP($D54,素材!$1:$1016,COLUMN($F$1),FALSE))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P54">
        <f>IF(ISNUMBER(SEARCH(SUBSTITUTE(AP$1,RIGHT(AP$1,2),""),VLOOKUP($D54,素材!$1:$1016,COLUMN($F$1),FALSE))),VLOOKUP($C54,武器!$1:$998,COLUMN($O$1),FALSE)*VLOOKUP($D54,素材!$1:$1016,COLUMN($E$1),FALSE)/(LEN(VLOOKUP($D54,素材!$1:$1016,COLUMN($F$1),FALSE))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Q54">
        <f>IF(ISNUMBER(SEARCH(SUBSTITUTE(AQ$1,RIGHT(AQ$1,2),""),VLOOKUP($D54,素材!$1:$1016,COLUMN($F$1),FALSE))),VLOOKUP($C54,武器!$1:$998,COLUMN($O$1),FALSE)*VLOOKUP($D54,素材!$1:$1016,COLUMN($E$1),FALSE)/(LEN(VLOOKUP($D54,素材!$1:$1016,COLUMN($F$1),FALSE))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R54">
        <f>IF(ISNUMBER(SEARCH(SUBSTITUTE(AR$1,RIGHT(AR$1,2),""),VLOOKUP($D54,素材!$1:$1016,COLUMN($F$1),FALSE))),VLOOKUP($C54,武器!$1:$998,COLUMN($O$1),FALSE)*VLOOKUP($D54,素材!$1:$1016,COLUMN($E$1),FALSE)/(LEN(VLOOKUP($D54,素材!$1:$1016,COLUMN($F$1),FALSE))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S54">
        <f>IF(ISNUMBER(SEARCH(SUBSTITUTE(AS$1,RIGHT(AS$1,2),""),VLOOKUP($D54,素材!$1:$1016,COLUMN($F$1),FALSE))),VLOOKUP($C54,武器!$1:$998,COLUMN($O$1),FALSE)*VLOOKUP($D54,素材!$1:$1016,COLUMN($E$1),FALSE)/(LEN(VLOOKUP($D54,素材!$1:$1016,COLUMN($F$1),FALSE))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T54">
        <f>IF(ISNUMBER(SEARCH(SUBSTITUTE(AT$1,RIGHT(AT$1,2),""),VLOOKUP($D54,素材!$1:$1016,COLUMN($F$1),FALSE))),VLOOKUP($C54,武器!$1:$998,COLUMN($O$1),FALSE)*VLOOKUP($D54,素材!$1:$1016,COLUMN($E$1),FALSE)/(LEN(VLOOKUP($D54,素材!$1:$1016,COLUMN($F$1),FALSE))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U54">
        <f>IF(ISNUMBER(SEARCH(SUBSTITUTE(AU$1,RIGHT(AU$1,2),""),VLOOKUP($D54,素材!$1:$1016,COLUMN($F$1),FALSE))),VLOOKUP($C54,武器!$1:$998,COLUMN($O$1),FALSE)*VLOOKUP($D54,素材!$1:$1016,COLUMN($E$1),FALSE)/(LEN(VLOOKUP($D54,素材!$1:$1016,COLUMN($F$1),FALSE))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V54">
        <f>IF(ISNUMBER(SEARCH(SUBSTITUTE(AV$1,RIGHT(AV$1,2),""),VLOOKUP($D54,素材!$1:$1016,COLUMN($F$1),FALSE))),VLOOKUP($C54,武器!$1:$998,COLUMN($O$1),FALSE)*VLOOKUP($D54,素材!$1:$1016,COLUMN($E$1),FALSE)/(LEN(VLOOKUP($D54,素材!$1:$1016,COLUMN($F$1),FALSE))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W54">
        <f>IF(ISNUMBER(SEARCH(SUBSTITUTE(AW$1,RIGHT(AW$1,2),""),VLOOKUP($D54,素材!$1:$1016,COLUMN($F$1),FALSE))),VLOOKUP($C54,武器!$1:$998,COLUMN($O$1),FALSE)*VLOOKUP($D54,素材!$1:$1016,COLUMN($E$1),FALSE)/(LEN(VLOOKUP($D54,素材!$1:$1016,COLUMN($F$1),FALSE))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X54">
        <f>IF(ISNUMBER(SEARCH(SUBSTITUTE(AX$1,RIGHT(AX$1,2),""),VLOOKUP($D54,素材!$1:$1016,COLUMN($F$1),FALSE))),VLOOKUP($C54,武器!$1:$998,COLUMN($O$1),FALSE)*VLOOKUP($D54,素材!$1:$1016,COLUMN($E$1),FALSE)/(LEN(VLOOKUP($D54,素材!$1:$1016,COLUMN($F$1),FALSE))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Y54">
        <f>IF(ISNUMBER(SEARCH(SUBSTITUTE(AY$1,RIGHT(AY$1,2),""),VLOOKUP($D54,素材!$1:$1016,COLUMN($F$1),FALSE))),VLOOKUP($C54,武器!$1:$998,COLUMN($O$1),FALSE)*VLOOKUP($D54,素材!$1:$1016,COLUMN($E$1),FALSE)/(LEN(VLOOKUP($D54,素材!$1:$1016,COLUMN($F$1),FALSE))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AZ54">
        <f>IF(ISNUMBER(SEARCH(SUBSTITUTE(AZ$1,RIGHT(AZ$1,2),""),VLOOKUP($D54,素材!$1:$1016,COLUMN($F$1),FALSE))),VLOOKUP($C54,武器!$1:$998,COLUMN($O$1),FALSE)*VLOOKUP($D54,素材!$1:$1016,COLUMN($E$1),FALSE)/(LEN(VLOOKUP($D54,素材!$1:$1016,COLUMN($F$1),FALSE))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BA54">
        <f>IF(ISNUMBER(SEARCH(SUBSTITUTE(BA$1,RIGHT(BA$1,2),""),VLOOKUP($D54,素材!$1:$1016,COLUMN($F$1),FALSE))),VLOOKUP($C54,武器!$1:$998,COLUMN($O$1),FALSE)*VLOOKUP($D54,素材!$1:$1016,COLUMN($E$1),FALSE)/(LEN(VLOOKUP($D54,素材!$1:$1016,COLUMN($F$1),FALSE))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BB54">
        <f>IF(ISNUMBER(SEARCH(SUBSTITUTE(BB$1,RIGHT(BB$1,2),""),VLOOKUP($D54,素材!$1:$1016,COLUMN($F$1),FALSE))),VLOOKUP($C54,武器!$1:$998,COLUMN($O$1),FALSE)*VLOOKUP($D54,素材!$1:$1016,COLUMN($E$1),FALSE)/(LEN(VLOOKUP($D54,素材!$1:$1016,COLUMN($F$1),FALSE))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BC54">
        <f>IF(ISNUMBER(SEARCH(SUBSTITUTE(BC$1,RIGHT(BC$1,2),""),VLOOKUP($D54,素材!$1:$1016,COLUMN($F$1),FALSE))),VLOOKUP($C54,武器!$1:$998,COLUMN($O$1),FALSE)*VLOOKUP($D54,素材!$1:$1016,COLUMN($E$1),FALSE)/(LEN(VLOOKUP($D54,素材!$1:$1016,COLUMN($F$1),FALSE))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BD54">
        <f>IF(ISNUMBER(SEARCH(SUBSTITUTE(BD$1,RIGHT(BD$1,2),""),VLOOKUP($D54,素材!$1:$1016,COLUMN($F$1),FALSE))),VLOOKUP($C54,武器!$1:$998,COLUMN($O$1),FALSE)*VLOOKUP($D54,素材!$1:$1016,COLUMN($E$1),FALSE)/(LEN(VLOOKUP($D54,素材!$1:$1016,COLUMN($F$1),FALSE))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BE54">
        <f>IF(ISNUMBER(SEARCH(SUBSTITUTE(BE$1,RIGHT(BE$1,2),""),VLOOKUP($D54,素材!$1:$1016,COLUMN($F$1),FALSE))),VLOOKUP($C54,武器!$1:$998,COLUMN($O$1),FALSE)*VLOOKUP($D54,素材!$1:$1016,COLUMN($E$1),FALSE)/(LEN(VLOOKUP($D54,素材!$1:$1016,COLUMN($F$1),FALSE))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BF54">
        <f>IF(ISNUMBER(SEARCH(SUBSTITUTE(BF$1,RIGHT(BF$1,2),""),VLOOKUP($D54,素材!$1:$1016,COLUMN($F$1),FALSE))),VLOOKUP($C54,武器!$1:$998,COLUMN($O$1),FALSE)*VLOOKUP($D54,素材!$1:$1016,COLUMN($E$1),FALSE)/(LEN(VLOOKUP($D54,素材!$1:$1016,COLUMN($F$1),FALSE)) - LEN(SUBSTITUTE(VLOOKUP($D54,素材!$1:$1016,COLUMN($F$1),FALSE), "・", 0)) + 1), 0)</f>
        <v>0</v>
      </c>
      <c r="CM54">
        <f t="shared" si="3"/>
        <v>18</v>
      </c>
      <c r="CN54" s="22" t="str">
        <f>IF(E54="武器",IF(J54-1&gt;SUM(G54:I54),"盾",IF(MAX(G54:I54)=G54,"切断",IF(MAX(G54:I54)=H54,"貫通",IF(MAX(G54:I54)=I54,"打撃","射撃")))),E54)&amp;".webp"</f>
        <v>貫通.webp</v>
      </c>
      <c r="CO54">
        <f>IFERROR(VLOOKUP($C54,武器!$1:$998,COLUMN(V$1),FALSE)*VLOOKUP($D54,素材!$1:$1016,COLUMN(N$1),FALSE)+IF(CJ54="",0,VLOOKUP($CJ54,装強!$1:$1008,COLUMN($CL$1),FALSE)),"")</f>
        <v>200</v>
      </c>
      <c r="CP54" t="str">
        <f>VLOOKUP(D54,素材!$A:$O,COLUMN(素材!O$1),FALSE)</f>
        <v>一般的な木材。金属より軽いが少し脆い</v>
      </c>
      <c r="CQ54" t="str">
        <f>VLOOKUP(C54,武器!$A:$W,COLUMN(武器!W$1),FALSE)</f>
        <v>棘棍。打撃と刺突を兼ね備えた武器。</v>
      </c>
      <c r="CS54" t="str">
        <f t="shared" si="2"/>
        <v>e_54</v>
      </c>
      <c r="CT54">
        <f t="shared" si="4"/>
        <v>20000</v>
      </c>
    </row>
    <row r="55" spans="1:98" outlineLevel="1" x14ac:dyDescent="0.4">
      <c r="A55" t="str">
        <f t="shared" si="5"/>
        <v>木の鎚</v>
      </c>
      <c r="B55" t="str">
        <f>IFERROR(VLOOKUP($D55,素材!$1:$1016,COLUMN($B$1),FALSE)&amp;"・"&amp;VLOOKUP($C55,武器!$1:$998,COLUMN(B$1),FALSE),"")</f>
        <v>ウッド・ハンマー</v>
      </c>
      <c r="C55" t="s">
        <v>227</v>
      </c>
      <c r="D55" s="24" t="s">
        <v>255</v>
      </c>
      <c r="E55" t="str">
        <f>IFERROR(VLOOKUP(C55,武器!$1:$998,COLUMN(C$1),FALSE),"")</f>
        <v>武器</v>
      </c>
      <c r="F55">
        <f>IFERROR(ROUNDDOWN((VLOOKUP($C55,武器!$1:$998,COLUMN(D$1),FALSE)+IFERROR(VLOOKUP($CJ55,装強!$1:$999,COLUMN(F$1),FALSE),0))*VLOOKUP($D55,素材!$1:$1016,COLUMN(D$1),FALSE),0),"")</f>
        <v>82</v>
      </c>
      <c r="G55">
        <f>IFERROR(ROUNDDOWN((VLOOKUP($C55,武器!$1:$998,COLUMN(E$1),FALSE)+IFERROR(VLOOKUP($CJ55,装強!$1:$999,COLUMN(G$1),FALSE),0))*VLOOKUP($D55,素材!$1:$1016,COLUMN($E$1),FALSE),0),"")</f>
        <v>0</v>
      </c>
      <c r="H55">
        <f>IFERROR(ROUNDDOWN((VLOOKUP($C55,武器!$1:$998,COLUMN(F$1),FALSE)+IFERROR(VLOOKUP($CJ55,装強!$1:$999,COLUMN(H$1),FALSE),0))*VLOOKUP($D55,素材!$1:$1016,COLUMN($E$1),FALSE),0),"")</f>
        <v>0</v>
      </c>
      <c r="I55">
        <f>IFERROR(ROUNDDOWN((VLOOKUP($C55,武器!$1:$998,COLUMN(G$1),FALSE)+IFERROR(VLOOKUP($CJ55,装強!$1:$999,COLUMN(I$1),FALSE),0))*VLOOKUP($D55,素材!$1:$1016,COLUMN($E$1),FALSE),0),"")</f>
        <v>16</v>
      </c>
      <c r="J55">
        <f>IFERROR(ROUNDDOWN((VLOOKUP($C55,武器!$1:$998,COLUMN(H$1),FALSE)+IFERROR(VLOOKUP($CJ55,装強!$1:$999,COLUMN(J$1),FALSE),0))*VLOOKUP($D55,素材!$1:$1016,COLUMN($E$1),FALSE),0),"")</f>
        <v>14</v>
      </c>
      <c r="K55">
        <f>IFERROR(ROUNDDOWN((VLOOKUP($C55,武器!$1:$998,COLUMN(I$1),FALSE)+IFERROR(VLOOKUP($CJ55,装強!$1:$999,COLUMN(K$1),FALSE),0))*VLOOKUP($D55,素材!$1:$1016,COLUMN($E$1),FALSE),0),"")</f>
        <v>0</v>
      </c>
      <c r="L55">
        <f>IFERROR(VLOOKUP($D55,素材!$1:$1016,COLUMN($F$1),FALSE),"")</f>
        <v>0</v>
      </c>
      <c r="M55">
        <f>IFERROR(VLOOKUP($C55,武器!$1:$998,COLUMN(AA$1),FALSE)*VLOOKUP($D55,素材!$1:$1016,COLUMN($G$1),FALSE),"")</f>
        <v>0</v>
      </c>
      <c r="N55">
        <f>IFERROR(VLOOKUP($C55,武器!$1:$998,COLUMN(I$1),FALSE),"")</f>
        <v>0</v>
      </c>
      <c r="O55" s="23">
        <f>IFERROR((VLOOKUP($C55,武器!$1:$998,COLUMN(K$1),FALSE)+VLOOKUP($D55,素材!$1:$1016,COLUMN(H$1),FALSE))*100+IFERROR(VLOOKUP($CJ55,装強!$1:$999,COLUMN(O$1),FALSE),0),"")</f>
        <v>10</v>
      </c>
      <c r="P55" s="23">
        <f>IFERROR((VLOOKUP($C55,武器!$1:$998,COLUMN(L$1),FALSE)+VLOOKUP($D55,素材!$1:$1016,COLUMN(I$1),FALSE))*100+IFERROR(VLOOKUP($CJ55,装強!$1:$999,COLUMN(P$1),FALSE),0),"")</f>
        <v>150</v>
      </c>
      <c r="Q55">
        <f>IFERROR(ROUNDUP(VLOOKUP($C55,武器!$1:$998,COLUMN(M$1),FALSE)*(VLOOKUP($D55,素材!$1:$1002,COLUMN(D$1),FALSE)/100),1),"")</f>
        <v>-1.9000000000000001</v>
      </c>
      <c r="R55">
        <f>IFERROR(ROUNDUP(VLOOKUP($C55,武器!$1:$998,COLUMN(N$1),FALSE)*(VLOOKUP($D55,素材!$1:$1002,COLUMN(D$1),FALSE)/100),1),"")</f>
        <v>0</v>
      </c>
      <c r="S55">
        <f>IFERROR(VLOOKUP($C55,武器!$1:$998,COLUMN(P$1),FALSE),"")</f>
        <v>0</v>
      </c>
      <c r="T55">
        <f>IFERROR(VLOOKUP($C55,武器!$1:$998,COLUMN(Q$1),FALSE),"")</f>
        <v>0</v>
      </c>
      <c r="U55">
        <f>IFERROR(VLOOKUP($C55,武器!$1:$998,COLUMN(R$1),FALSE),"")</f>
        <v>0</v>
      </c>
      <c r="V55">
        <f>IFERROR(VLOOKUP($C55,武器!$1:$998,COLUMN(Q$1),FALSE),"")</f>
        <v>0</v>
      </c>
      <c r="W55" t="str">
        <f>IFERROR(VLOOKUP($C55,武器!$1:$998,COLUMN(T$1),FALSE),"")</f>
        <v>A</v>
      </c>
      <c r="Y55" t="str">
        <f>IFERROR(VLOOKUP($C55,武器!$1:$998,COLUMN(U$1),FALSE),"")</f>
        <v>投擲強化</v>
      </c>
      <c r="Z55">
        <f>IFERROR(ROUNDUP(VLOOKUP($C55,武器!$1:$998,COLUMN(O$1),FALSE)*VLOOKUP($D55,素材!$1:$1016,COLUMN(E$1),FALSE),1),"")</f>
        <v>0</v>
      </c>
      <c r="AA55">
        <f>IF(ISNUMBER(SEARCH(SUBSTITUTE(AA$1,RIGHT(AA$1,2),""),VLOOKUP($D55,素材!$1:$1016,COLUMN($F$1),FALSE))),VLOOKUP($C55,武器!$1:$998,COLUMN($O$1),FALSE)*VLOOKUP($D55,素材!$1:$1016,COLUMN($E$1),FALSE)/(LEN(VLOOKUP($D55,素材!$1:$1016,COLUMN($F$1),FALSE))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B55">
        <f>IF(ISNUMBER(SEARCH(SUBSTITUTE(AB$1,RIGHT(AB$1,2),""),VLOOKUP($D55,素材!$1:$1016,COLUMN($F$1),FALSE))),VLOOKUP($C55,武器!$1:$998,COLUMN($O$1),FALSE)*VLOOKUP($D55,素材!$1:$1016,COLUMN($E$1),FALSE)/(LEN(VLOOKUP($D55,素材!$1:$1016,COLUMN($F$1),FALSE))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C55">
        <f>IF(ISNUMBER(SEARCH(SUBSTITUTE(AC$1,RIGHT(AC$1,2),""),VLOOKUP($D55,素材!$1:$1016,COLUMN($F$1),FALSE))),VLOOKUP($C55,武器!$1:$998,COLUMN($O$1),FALSE)*VLOOKUP($D55,素材!$1:$1016,COLUMN($E$1),FALSE)/(LEN(VLOOKUP($D55,素材!$1:$1016,COLUMN($F$1),FALSE))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D55">
        <f>IF(ISNUMBER(SEARCH(SUBSTITUTE(AD$1,RIGHT(AD$1,2),""),VLOOKUP($D55,素材!$1:$1016,COLUMN($F$1),FALSE))),VLOOKUP($C55,武器!$1:$998,COLUMN($O$1),FALSE)*VLOOKUP($D55,素材!$1:$1016,COLUMN($E$1),FALSE)/(LEN(VLOOKUP($D55,素材!$1:$1016,COLUMN($F$1),FALSE))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E55">
        <f>IF(ISNUMBER(SEARCH(SUBSTITUTE(AE$1,RIGHT(AE$1,2),""),VLOOKUP($D55,素材!$1:$1016,COLUMN($F$1),FALSE))),VLOOKUP($C55,武器!$1:$998,COLUMN($O$1),FALSE)*VLOOKUP($D55,素材!$1:$1016,COLUMN($E$1),FALSE)/(LEN(VLOOKUP($D55,素材!$1:$1016,COLUMN($F$1),FALSE))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F55">
        <f>IF(ISNUMBER(SEARCH(SUBSTITUTE(AF$1,RIGHT(AF$1,2),""),VLOOKUP($D55,素材!$1:$1016,COLUMN($F$1),FALSE))),VLOOKUP($C55,武器!$1:$998,COLUMN($O$1),FALSE)*VLOOKUP($D55,素材!$1:$1016,COLUMN($E$1),FALSE)/(LEN(VLOOKUP($D55,素材!$1:$1016,COLUMN($F$1),FALSE))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G55">
        <f>IF(ISNUMBER(SEARCH(SUBSTITUTE(AG$1,RIGHT(AG$1,2),""),VLOOKUP($D55,素材!$1:$1016,COLUMN($F$1),FALSE))),VLOOKUP($C55,武器!$1:$998,COLUMN($O$1),FALSE)*VLOOKUP($D55,素材!$1:$1016,COLUMN($E$1),FALSE)/(LEN(VLOOKUP($D55,素材!$1:$1016,COLUMN($F$1),FALSE))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H55">
        <f>IF(ISNUMBER(SEARCH(SUBSTITUTE(AH$1,RIGHT(AH$1,2),""),VLOOKUP($D55,素材!$1:$1016,COLUMN($F$1),FALSE))),VLOOKUP($C55,武器!$1:$998,COLUMN($O$1),FALSE)*VLOOKUP($D55,素材!$1:$1016,COLUMN($E$1),FALSE)/(LEN(VLOOKUP($D55,素材!$1:$1016,COLUMN($F$1),FALSE))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I55">
        <f>IF(ISNUMBER(SEARCH(SUBSTITUTE(AI$1,RIGHT(AI$1,2),""),VLOOKUP($D55,素材!$1:$1016,COLUMN($F$1),FALSE))),VLOOKUP($C55,武器!$1:$998,COLUMN($O$1),FALSE)*VLOOKUP($D55,素材!$1:$1016,COLUMN($E$1),FALSE)/(LEN(VLOOKUP($D55,素材!$1:$1016,COLUMN($F$1),FALSE))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J55">
        <f>IF(ISNUMBER(SEARCH(SUBSTITUTE(AJ$1,RIGHT(AJ$1,2),""),VLOOKUP($D55,素材!$1:$1016,COLUMN($F$1),FALSE))),VLOOKUP($C55,武器!$1:$998,COLUMN($O$1),FALSE)*VLOOKUP($D55,素材!$1:$1016,COLUMN($E$1),FALSE)/(LEN(VLOOKUP($D55,素材!$1:$1016,COLUMN($F$1),FALSE))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K55">
        <f>IF(ISNUMBER(SEARCH(SUBSTITUTE(AK$1,RIGHT(AK$1,2),""),VLOOKUP($D55,素材!$1:$1016,COLUMN($F$1),FALSE))),VLOOKUP($C55,武器!$1:$998,COLUMN($O$1),FALSE)*VLOOKUP($D55,素材!$1:$1016,COLUMN($E$1),FALSE)/(LEN(VLOOKUP($D55,素材!$1:$1016,COLUMN($F$1),FALSE))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L55">
        <f>IF(ISNUMBER(SEARCH(SUBSTITUTE(AL$1,RIGHT(AL$1,2),""),VLOOKUP($D55,素材!$1:$1016,COLUMN($F$1),FALSE))),VLOOKUP($C55,武器!$1:$998,COLUMN($O$1),FALSE)*VLOOKUP($D55,素材!$1:$1016,COLUMN($E$1),FALSE)/(LEN(VLOOKUP($D55,素材!$1:$1016,COLUMN($F$1),FALSE))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M55">
        <f>IF(ISNUMBER(SEARCH(SUBSTITUTE(AM$1,RIGHT(AM$1,2),""),VLOOKUP($D55,素材!$1:$1016,COLUMN($F$1),FALSE))),VLOOKUP($C55,武器!$1:$998,COLUMN($O$1),FALSE)*VLOOKUP($D55,素材!$1:$1016,COLUMN($E$1),FALSE)/(LEN(VLOOKUP($D55,素材!$1:$1016,COLUMN($F$1),FALSE))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N55">
        <f>IF(ISNUMBER(SEARCH(SUBSTITUTE(AN$1,RIGHT(AN$1,2),""),VLOOKUP($D55,素材!$1:$1016,COLUMN($F$1),FALSE))),VLOOKUP($C55,武器!$1:$998,COLUMN($O$1),FALSE)*VLOOKUP($D55,素材!$1:$1016,COLUMN($E$1),FALSE)/(LEN(VLOOKUP($D55,素材!$1:$1016,COLUMN($F$1),FALSE))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O55">
        <f>IF(ISNUMBER(SEARCH(SUBSTITUTE(AO$1,RIGHT(AO$1,2),""),VLOOKUP($D55,素材!$1:$1016,COLUMN($F$1),FALSE))),VLOOKUP($C55,武器!$1:$998,COLUMN($O$1),FALSE)*VLOOKUP($D55,素材!$1:$1016,COLUMN($E$1),FALSE)/(LEN(VLOOKUP($D55,素材!$1:$1016,COLUMN($F$1),FALSE))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P55">
        <f>IF(ISNUMBER(SEARCH(SUBSTITUTE(AP$1,RIGHT(AP$1,2),""),VLOOKUP($D55,素材!$1:$1016,COLUMN($F$1),FALSE))),VLOOKUP($C55,武器!$1:$998,COLUMN($O$1),FALSE)*VLOOKUP($D55,素材!$1:$1016,COLUMN($E$1),FALSE)/(LEN(VLOOKUP($D55,素材!$1:$1016,COLUMN($F$1),FALSE))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Q55">
        <f>IF(ISNUMBER(SEARCH(SUBSTITUTE(AQ$1,RIGHT(AQ$1,2),""),VLOOKUP($D55,素材!$1:$1016,COLUMN($F$1),FALSE))),VLOOKUP($C55,武器!$1:$998,COLUMN($O$1),FALSE)*VLOOKUP($D55,素材!$1:$1016,COLUMN($E$1),FALSE)/(LEN(VLOOKUP($D55,素材!$1:$1016,COLUMN($F$1),FALSE))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R55">
        <f>IF(ISNUMBER(SEARCH(SUBSTITUTE(AR$1,RIGHT(AR$1,2),""),VLOOKUP($D55,素材!$1:$1016,COLUMN($F$1),FALSE))),VLOOKUP($C55,武器!$1:$998,COLUMN($O$1),FALSE)*VLOOKUP($D55,素材!$1:$1016,COLUMN($E$1),FALSE)/(LEN(VLOOKUP($D55,素材!$1:$1016,COLUMN($F$1),FALSE))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S55">
        <f>IF(ISNUMBER(SEARCH(SUBSTITUTE(AS$1,RIGHT(AS$1,2),""),VLOOKUP($D55,素材!$1:$1016,COLUMN($F$1),FALSE))),VLOOKUP($C55,武器!$1:$998,COLUMN($O$1),FALSE)*VLOOKUP($D55,素材!$1:$1016,COLUMN($E$1),FALSE)/(LEN(VLOOKUP($D55,素材!$1:$1016,COLUMN($F$1),FALSE))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T55">
        <f>IF(ISNUMBER(SEARCH(SUBSTITUTE(AT$1,RIGHT(AT$1,2),""),VLOOKUP($D55,素材!$1:$1016,COLUMN($F$1),FALSE))),VLOOKUP($C55,武器!$1:$998,COLUMN($O$1),FALSE)*VLOOKUP($D55,素材!$1:$1016,COLUMN($E$1),FALSE)/(LEN(VLOOKUP($D55,素材!$1:$1016,COLUMN($F$1),FALSE))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U55">
        <f>IF(ISNUMBER(SEARCH(SUBSTITUTE(AU$1,RIGHT(AU$1,2),""),VLOOKUP($D55,素材!$1:$1016,COLUMN($F$1),FALSE))),VLOOKUP($C55,武器!$1:$998,COLUMN($O$1),FALSE)*VLOOKUP($D55,素材!$1:$1016,COLUMN($E$1),FALSE)/(LEN(VLOOKUP($D55,素材!$1:$1016,COLUMN($F$1),FALSE))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V55">
        <f>IF(ISNUMBER(SEARCH(SUBSTITUTE(AV$1,RIGHT(AV$1,2),""),VLOOKUP($D55,素材!$1:$1016,COLUMN($F$1),FALSE))),VLOOKUP($C55,武器!$1:$998,COLUMN($O$1),FALSE)*VLOOKUP($D55,素材!$1:$1016,COLUMN($E$1),FALSE)/(LEN(VLOOKUP($D55,素材!$1:$1016,COLUMN($F$1),FALSE))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W55">
        <f>IF(ISNUMBER(SEARCH(SUBSTITUTE(AW$1,RIGHT(AW$1,2),""),VLOOKUP($D55,素材!$1:$1016,COLUMN($F$1),FALSE))),VLOOKUP($C55,武器!$1:$998,COLUMN($O$1),FALSE)*VLOOKUP($D55,素材!$1:$1016,COLUMN($E$1),FALSE)/(LEN(VLOOKUP($D55,素材!$1:$1016,COLUMN($F$1),FALSE))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X55">
        <f>IF(ISNUMBER(SEARCH(SUBSTITUTE(AX$1,RIGHT(AX$1,2),""),VLOOKUP($D55,素材!$1:$1016,COLUMN($F$1),FALSE))),VLOOKUP($C55,武器!$1:$998,COLUMN($O$1),FALSE)*VLOOKUP($D55,素材!$1:$1016,COLUMN($E$1),FALSE)/(LEN(VLOOKUP($D55,素材!$1:$1016,COLUMN($F$1),FALSE))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Y55">
        <f>IF(ISNUMBER(SEARCH(SUBSTITUTE(AY$1,RIGHT(AY$1,2),""),VLOOKUP($D55,素材!$1:$1016,COLUMN($F$1),FALSE))),VLOOKUP($C55,武器!$1:$998,COLUMN($O$1),FALSE)*VLOOKUP($D55,素材!$1:$1016,COLUMN($E$1),FALSE)/(LEN(VLOOKUP($D55,素材!$1:$1016,COLUMN($F$1),FALSE))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AZ55">
        <f>IF(ISNUMBER(SEARCH(SUBSTITUTE(AZ$1,RIGHT(AZ$1,2),""),VLOOKUP($D55,素材!$1:$1016,COLUMN($F$1),FALSE))),VLOOKUP($C55,武器!$1:$998,COLUMN($O$1),FALSE)*VLOOKUP($D55,素材!$1:$1016,COLUMN($E$1),FALSE)/(LEN(VLOOKUP($D55,素材!$1:$1016,COLUMN($F$1),FALSE))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BA55">
        <f>IF(ISNUMBER(SEARCH(SUBSTITUTE(BA$1,RIGHT(BA$1,2),""),VLOOKUP($D55,素材!$1:$1016,COLUMN($F$1),FALSE))),VLOOKUP($C55,武器!$1:$998,COLUMN($O$1),FALSE)*VLOOKUP($D55,素材!$1:$1016,COLUMN($E$1),FALSE)/(LEN(VLOOKUP($D55,素材!$1:$1016,COLUMN($F$1),FALSE))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BB55">
        <f>IF(ISNUMBER(SEARCH(SUBSTITUTE(BB$1,RIGHT(BB$1,2),""),VLOOKUP($D55,素材!$1:$1016,COLUMN($F$1),FALSE))),VLOOKUP($C55,武器!$1:$998,COLUMN($O$1),FALSE)*VLOOKUP($D55,素材!$1:$1016,COLUMN($E$1),FALSE)/(LEN(VLOOKUP($D55,素材!$1:$1016,COLUMN($F$1),FALSE))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BC55">
        <f>IF(ISNUMBER(SEARCH(SUBSTITUTE(BC$1,RIGHT(BC$1,2),""),VLOOKUP($D55,素材!$1:$1016,COLUMN($F$1),FALSE))),VLOOKUP($C55,武器!$1:$998,COLUMN($O$1),FALSE)*VLOOKUP($D55,素材!$1:$1016,COLUMN($E$1),FALSE)/(LEN(VLOOKUP($D55,素材!$1:$1016,COLUMN($F$1),FALSE))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BD55">
        <f>IF(ISNUMBER(SEARCH(SUBSTITUTE(BD$1,RIGHT(BD$1,2),""),VLOOKUP($D55,素材!$1:$1016,COLUMN($F$1),FALSE))),VLOOKUP($C55,武器!$1:$998,COLUMN($O$1),FALSE)*VLOOKUP($D55,素材!$1:$1016,COLUMN($E$1),FALSE)/(LEN(VLOOKUP($D55,素材!$1:$1016,COLUMN($F$1),FALSE))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BE55">
        <f>IF(ISNUMBER(SEARCH(SUBSTITUTE(BE$1,RIGHT(BE$1,2),""),VLOOKUP($D55,素材!$1:$1016,COLUMN($F$1),FALSE))),VLOOKUP($C55,武器!$1:$998,COLUMN($O$1),FALSE)*VLOOKUP($D55,素材!$1:$1016,COLUMN($E$1),FALSE)/(LEN(VLOOKUP($D55,素材!$1:$1016,COLUMN($F$1),FALSE))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BF55">
        <f>IF(ISNUMBER(SEARCH(SUBSTITUTE(BF$1,RIGHT(BF$1,2),""),VLOOKUP($D55,素材!$1:$1016,COLUMN($F$1),FALSE))),VLOOKUP($C55,武器!$1:$998,COLUMN($O$1),FALSE)*VLOOKUP($D55,素材!$1:$1016,COLUMN($E$1),FALSE)/(LEN(VLOOKUP($D55,素材!$1:$1016,COLUMN($F$1),FALSE)) - LEN(SUBSTITUTE(VLOOKUP($D55,素材!$1:$1016,COLUMN($F$1),FALSE), "・", 0)) + 1), 0)</f>
        <v>0</v>
      </c>
      <c r="CM55">
        <f t="shared" si="3"/>
        <v>16</v>
      </c>
      <c r="CN55" s="22" t="str">
        <f>IF(E55="武器",IF(J55-1&gt;SUM(G55:I55),"盾",IF(MAX(G55:I55)=G55,"切断",IF(MAX(G55:I55)=H55,"貫通",IF(MAX(G55:I55)=I55,"打撃","射撃")))),E55)&amp;".webp"</f>
        <v>打撃.webp</v>
      </c>
      <c r="CO55">
        <f>IFERROR(VLOOKUP($C55,武器!$1:$998,COLUMN(V$1),FALSE)*VLOOKUP($D55,素材!$1:$1016,COLUMN(N$1),FALSE)+IF(CJ55="",0,VLOOKUP($CJ55,装強!$1:$1008,COLUMN($CL$1),FALSE)),"")</f>
        <v>200</v>
      </c>
      <c r="CP55" t="str">
        <f>VLOOKUP(D55,素材!$A:$O,COLUMN(素材!O$1),FALSE)</f>
        <v>一般的な木材。金属より軽いが少し脆い</v>
      </c>
      <c r="CQ55" t="str">
        <f>VLOOKUP(C55,武器!$A:$W,COLUMN(武器!W$1),FALSE)</f>
        <v>鎚。打撃力に優れ、投擲にも対応。</v>
      </c>
      <c r="CS55" t="str">
        <f t="shared" si="2"/>
        <v>e_55</v>
      </c>
      <c r="CT55">
        <f t="shared" si="4"/>
        <v>20000</v>
      </c>
    </row>
    <row r="56" spans="1:98" outlineLevel="1" x14ac:dyDescent="0.4">
      <c r="A56" t="str">
        <f t="shared" si="5"/>
        <v>木の戦鎚</v>
      </c>
      <c r="B56" t="str">
        <f>IFERROR(VLOOKUP($D56,素材!$1:$1016,COLUMN($B$1),FALSE)&amp;"・"&amp;VLOOKUP($C56,武器!$1:$998,COLUMN(B$1),FALSE),"")</f>
        <v>ウッド・ウォーハンマー</v>
      </c>
      <c r="C56" t="s">
        <v>226</v>
      </c>
      <c r="D56" s="24" t="s">
        <v>255</v>
      </c>
      <c r="E56" t="str">
        <f>IFERROR(VLOOKUP(C56,武器!$1:$998,COLUMN(C$1),FALSE),"")</f>
        <v>武器</v>
      </c>
      <c r="F56">
        <f>IFERROR(ROUNDDOWN((VLOOKUP($C56,武器!$1:$998,COLUMN(D$1),FALSE)+IFERROR(VLOOKUP($CJ56,装強!$1:$999,COLUMN(F$1),FALSE),0))*VLOOKUP($D56,素材!$1:$1016,COLUMN(D$1),FALSE),0),"")</f>
        <v>93</v>
      </c>
      <c r="G56">
        <f>IFERROR(ROUNDDOWN((VLOOKUP($C56,武器!$1:$998,COLUMN(E$1),FALSE)+IFERROR(VLOOKUP($CJ56,装強!$1:$999,COLUMN(G$1),FALSE),0))*VLOOKUP($D56,素材!$1:$1016,COLUMN($E$1),FALSE),0),"")</f>
        <v>0</v>
      </c>
      <c r="H56">
        <f>IFERROR(ROUNDDOWN((VLOOKUP($C56,武器!$1:$998,COLUMN(F$1),FALSE)+IFERROR(VLOOKUP($CJ56,装強!$1:$999,COLUMN(H$1),FALSE),0))*VLOOKUP($D56,素材!$1:$1016,COLUMN($E$1),FALSE),0),"")</f>
        <v>0</v>
      </c>
      <c r="I56">
        <f>IFERROR(ROUNDDOWN((VLOOKUP($C56,武器!$1:$998,COLUMN(G$1),FALSE)+IFERROR(VLOOKUP($CJ56,装強!$1:$999,COLUMN(I$1),FALSE),0))*VLOOKUP($D56,素材!$1:$1016,COLUMN($E$1),FALSE),0),"")</f>
        <v>18</v>
      </c>
      <c r="J56">
        <f>IFERROR(ROUNDDOWN((VLOOKUP($C56,武器!$1:$998,COLUMN(H$1),FALSE)+IFERROR(VLOOKUP($CJ56,装強!$1:$999,COLUMN(J$1),FALSE),0))*VLOOKUP($D56,素材!$1:$1016,COLUMN($E$1),FALSE),0),"")</f>
        <v>15</v>
      </c>
      <c r="K56">
        <f>IFERROR(ROUNDDOWN((VLOOKUP($C56,武器!$1:$998,COLUMN(I$1),FALSE)+IFERROR(VLOOKUP($CJ56,装強!$1:$999,COLUMN(K$1),FALSE),0))*VLOOKUP($D56,素材!$1:$1016,COLUMN($E$1),FALSE),0),"")</f>
        <v>0</v>
      </c>
      <c r="L56">
        <f>IFERROR(VLOOKUP($D56,素材!$1:$1016,COLUMN($F$1),FALSE),"")</f>
        <v>0</v>
      </c>
      <c r="M56">
        <f>IFERROR(VLOOKUP($C56,武器!$1:$998,COLUMN(AA$1),FALSE)*VLOOKUP($D56,素材!$1:$1016,COLUMN($G$1),FALSE),"")</f>
        <v>0</v>
      </c>
      <c r="N56">
        <f>IFERROR(VLOOKUP($C56,武器!$1:$998,COLUMN(I$1),FALSE),"")</f>
        <v>0</v>
      </c>
      <c r="O56" s="23">
        <f>IFERROR((VLOOKUP($C56,武器!$1:$998,COLUMN(K$1),FALSE)+VLOOKUP($D56,素材!$1:$1016,COLUMN(H$1),FALSE))*100+IFERROR(VLOOKUP($CJ56,装強!$1:$999,COLUMN(O$1),FALSE),0),"")</f>
        <v>10</v>
      </c>
      <c r="P56" s="23">
        <f>IFERROR((VLOOKUP($C56,武器!$1:$998,COLUMN(L$1),FALSE)+VLOOKUP($D56,素材!$1:$1016,COLUMN(I$1),FALSE))*100+IFERROR(VLOOKUP($CJ56,装強!$1:$999,COLUMN(P$1),FALSE),0),"")</f>
        <v>150</v>
      </c>
      <c r="Q56">
        <f>IFERROR(ROUNDUP(VLOOKUP($C56,武器!$1:$998,COLUMN(M$1),FALSE)*(VLOOKUP($D56,素材!$1:$1002,COLUMN(D$1),FALSE)/100),1),"")</f>
        <v>-3.8000000000000003</v>
      </c>
      <c r="R56">
        <f>IFERROR(ROUNDUP(VLOOKUP($C56,武器!$1:$998,COLUMN(N$1),FALSE)*(VLOOKUP($D56,素材!$1:$1002,COLUMN(D$1),FALSE)/100),1),"")</f>
        <v>-3.8000000000000003</v>
      </c>
      <c r="S56">
        <f>IFERROR(VLOOKUP($C56,武器!$1:$998,COLUMN(P$1),FALSE),"")</f>
        <v>0</v>
      </c>
      <c r="T56">
        <f>IFERROR(VLOOKUP($C56,武器!$1:$998,COLUMN(Q$1),FALSE),"")</f>
        <v>0</v>
      </c>
      <c r="U56">
        <f>IFERROR(VLOOKUP($C56,武器!$1:$998,COLUMN(R$1),FALSE),"")</f>
        <v>0</v>
      </c>
      <c r="V56">
        <f>IFERROR(VLOOKUP($C56,武器!$1:$998,COLUMN(Q$1),FALSE),"")</f>
        <v>0</v>
      </c>
      <c r="W56" t="str">
        <f>IFERROR(VLOOKUP($C56,武器!$1:$998,COLUMN(T$1),FALSE),"")</f>
        <v>A</v>
      </c>
      <c r="Y56">
        <f>IFERROR(VLOOKUP($C56,武器!$1:$998,COLUMN(U$1),FALSE),"")</f>
        <v>0</v>
      </c>
      <c r="Z56">
        <f>IFERROR(ROUNDUP(VLOOKUP($C56,武器!$1:$998,COLUMN(O$1),FALSE)*VLOOKUP($D56,素材!$1:$1016,COLUMN(E$1),FALSE),1),"")</f>
        <v>0</v>
      </c>
      <c r="AA56">
        <f>IF(ISNUMBER(SEARCH(SUBSTITUTE(AA$1,RIGHT(AA$1,2),""),VLOOKUP($D56,素材!$1:$1016,COLUMN($F$1),FALSE))),VLOOKUP($C56,武器!$1:$998,COLUMN($O$1),FALSE)*VLOOKUP($D56,素材!$1:$1016,COLUMN($E$1),FALSE)/(LEN(VLOOKUP($D56,素材!$1:$1016,COLUMN($F$1),FALSE))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B56">
        <f>IF(ISNUMBER(SEARCH(SUBSTITUTE(AB$1,RIGHT(AB$1,2),""),VLOOKUP($D56,素材!$1:$1016,COLUMN($F$1),FALSE))),VLOOKUP($C56,武器!$1:$998,COLUMN($O$1),FALSE)*VLOOKUP($D56,素材!$1:$1016,COLUMN($E$1),FALSE)/(LEN(VLOOKUP($D56,素材!$1:$1016,COLUMN($F$1),FALSE))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C56">
        <f>IF(ISNUMBER(SEARCH(SUBSTITUTE(AC$1,RIGHT(AC$1,2),""),VLOOKUP($D56,素材!$1:$1016,COLUMN($F$1),FALSE))),VLOOKUP($C56,武器!$1:$998,COLUMN($O$1),FALSE)*VLOOKUP($D56,素材!$1:$1016,COLUMN($E$1),FALSE)/(LEN(VLOOKUP($D56,素材!$1:$1016,COLUMN($F$1),FALSE))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D56">
        <f>IF(ISNUMBER(SEARCH(SUBSTITUTE(AD$1,RIGHT(AD$1,2),""),VLOOKUP($D56,素材!$1:$1016,COLUMN($F$1),FALSE))),VLOOKUP($C56,武器!$1:$998,COLUMN($O$1),FALSE)*VLOOKUP($D56,素材!$1:$1016,COLUMN($E$1),FALSE)/(LEN(VLOOKUP($D56,素材!$1:$1016,COLUMN($F$1),FALSE))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E56">
        <f>IF(ISNUMBER(SEARCH(SUBSTITUTE(AE$1,RIGHT(AE$1,2),""),VLOOKUP($D56,素材!$1:$1016,COLUMN($F$1),FALSE))),VLOOKUP($C56,武器!$1:$998,COLUMN($O$1),FALSE)*VLOOKUP($D56,素材!$1:$1016,COLUMN($E$1),FALSE)/(LEN(VLOOKUP($D56,素材!$1:$1016,COLUMN($F$1),FALSE))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F56">
        <f>IF(ISNUMBER(SEARCH(SUBSTITUTE(AF$1,RIGHT(AF$1,2),""),VLOOKUP($D56,素材!$1:$1016,COLUMN($F$1),FALSE))),VLOOKUP($C56,武器!$1:$998,COLUMN($O$1),FALSE)*VLOOKUP($D56,素材!$1:$1016,COLUMN($E$1),FALSE)/(LEN(VLOOKUP($D56,素材!$1:$1016,COLUMN($F$1),FALSE))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G56">
        <f>IF(ISNUMBER(SEARCH(SUBSTITUTE(AG$1,RIGHT(AG$1,2),""),VLOOKUP($D56,素材!$1:$1016,COLUMN($F$1),FALSE))),VLOOKUP($C56,武器!$1:$998,COLUMN($O$1),FALSE)*VLOOKUP($D56,素材!$1:$1016,COLUMN($E$1),FALSE)/(LEN(VLOOKUP($D56,素材!$1:$1016,COLUMN($F$1),FALSE))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H56">
        <f>IF(ISNUMBER(SEARCH(SUBSTITUTE(AH$1,RIGHT(AH$1,2),""),VLOOKUP($D56,素材!$1:$1016,COLUMN($F$1),FALSE))),VLOOKUP($C56,武器!$1:$998,COLUMN($O$1),FALSE)*VLOOKUP($D56,素材!$1:$1016,COLUMN($E$1),FALSE)/(LEN(VLOOKUP($D56,素材!$1:$1016,COLUMN($F$1),FALSE))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I56">
        <f>IF(ISNUMBER(SEARCH(SUBSTITUTE(AI$1,RIGHT(AI$1,2),""),VLOOKUP($D56,素材!$1:$1016,COLUMN($F$1),FALSE))),VLOOKUP($C56,武器!$1:$998,COLUMN($O$1),FALSE)*VLOOKUP($D56,素材!$1:$1016,COLUMN($E$1),FALSE)/(LEN(VLOOKUP($D56,素材!$1:$1016,COLUMN($F$1),FALSE))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J56">
        <f>IF(ISNUMBER(SEARCH(SUBSTITUTE(AJ$1,RIGHT(AJ$1,2),""),VLOOKUP($D56,素材!$1:$1016,COLUMN($F$1),FALSE))),VLOOKUP($C56,武器!$1:$998,COLUMN($O$1),FALSE)*VLOOKUP($D56,素材!$1:$1016,COLUMN($E$1),FALSE)/(LEN(VLOOKUP($D56,素材!$1:$1016,COLUMN($F$1),FALSE))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K56">
        <f>IF(ISNUMBER(SEARCH(SUBSTITUTE(AK$1,RIGHT(AK$1,2),""),VLOOKUP($D56,素材!$1:$1016,COLUMN($F$1),FALSE))),VLOOKUP($C56,武器!$1:$998,COLUMN($O$1),FALSE)*VLOOKUP($D56,素材!$1:$1016,COLUMN($E$1),FALSE)/(LEN(VLOOKUP($D56,素材!$1:$1016,COLUMN($F$1),FALSE))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L56">
        <f>IF(ISNUMBER(SEARCH(SUBSTITUTE(AL$1,RIGHT(AL$1,2),""),VLOOKUP($D56,素材!$1:$1016,COLUMN($F$1),FALSE))),VLOOKUP($C56,武器!$1:$998,COLUMN($O$1),FALSE)*VLOOKUP($D56,素材!$1:$1016,COLUMN($E$1),FALSE)/(LEN(VLOOKUP($D56,素材!$1:$1016,COLUMN($F$1),FALSE))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M56">
        <f>IF(ISNUMBER(SEARCH(SUBSTITUTE(AM$1,RIGHT(AM$1,2),""),VLOOKUP($D56,素材!$1:$1016,COLUMN($F$1),FALSE))),VLOOKUP($C56,武器!$1:$998,COLUMN($O$1),FALSE)*VLOOKUP($D56,素材!$1:$1016,COLUMN($E$1),FALSE)/(LEN(VLOOKUP($D56,素材!$1:$1016,COLUMN($F$1),FALSE))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N56">
        <f>IF(ISNUMBER(SEARCH(SUBSTITUTE(AN$1,RIGHT(AN$1,2),""),VLOOKUP($D56,素材!$1:$1016,COLUMN($F$1),FALSE))),VLOOKUP($C56,武器!$1:$998,COLUMN($O$1),FALSE)*VLOOKUP($D56,素材!$1:$1016,COLUMN($E$1),FALSE)/(LEN(VLOOKUP($D56,素材!$1:$1016,COLUMN($F$1),FALSE))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O56">
        <f>IF(ISNUMBER(SEARCH(SUBSTITUTE(AO$1,RIGHT(AO$1,2),""),VLOOKUP($D56,素材!$1:$1016,COLUMN($F$1),FALSE))),VLOOKUP($C56,武器!$1:$998,COLUMN($O$1),FALSE)*VLOOKUP($D56,素材!$1:$1016,COLUMN($E$1),FALSE)/(LEN(VLOOKUP($D56,素材!$1:$1016,COLUMN($F$1),FALSE))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P56">
        <f>IF(ISNUMBER(SEARCH(SUBSTITUTE(AP$1,RIGHT(AP$1,2),""),VLOOKUP($D56,素材!$1:$1016,COLUMN($F$1),FALSE))),VLOOKUP($C56,武器!$1:$998,COLUMN($O$1),FALSE)*VLOOKUP($D56,素材!$1:$1016,COLUMN($E$1),FALSE)/(LEN(VLOOKUP($D56,素材!$1:$1016,COLUMN($F$1),FALSE))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Q56">
        <f>IF(ISNUMBER(SEARCH(SUBSTITUTE(AQ$1,RIGHT(AQ$1,2),""),VLOOKUP($D56,素材!$1:$1016,COLUMN($F$1),FALSE))),VLOOKUP($C56,武器!$1:$998,COLUMN($O$1),FALSE)*VLOOKUP($D56,素材!$1:$1016,COLUMN($E$1),FALSE)/(LEN(VLOOKUP($D56,素材!$1:$1016,COLUMN($F$1),FALSE))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R56">
        <f>IF(ISNUMBER(SEARCH(SUBSTITUTE(AR$1,RIGHT(AR$1,2),""),VLOOKUP($D56,素材!$1:$1016,COLUMN($F$1),FALSE))),VLOOKUP($C56,武器!$1:$998,COLUMN($O$1),FALSE)*VLOOKUP($D56,素材!$1:$1016,COLUMN($E$1),FALSE)/(LEN(VLOOKUP($D56,素材!$1:$1016,COLUMN($F$1),FALSE))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S56">
        <f>IF(ISNUMBER(SEARCH(SUBSTITUTE(AS$1,RIGHT(AS$1,2),""),VLOOKUP($D56,素材!$1:$1016,COLUMN($F$1),FALSE))),VLOOKUP($C56,武器!$1:$998,COLUMN($O$1),FALSE)*VLOOKUP($D56,素材!$1:$1016,COLUMN($E$1),FALSE)/(LEN(VLOOKUP($D56,素材!$1:$1016,COLUMN($F$1),FALSE))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T56">
        <f>IF(ISNUMBER(SEARCH(SUBSTITUTE(AT$1,RIGHT(AT$1,2),""),VLOOKUP($D56,素材!$1:$1016,COLUMN($F$1),FALSE))),VLOOKUP($C56,武器!$1:$998,COLUMN($O$1),FALSE)*VLOOKUP($D56,素材!$1:$1016,COLUMN($E$1),FALSE)/(LEN(VLOOKUP($D56,素材!$1:$1016,COLUMN($F$1),FALSE))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U56">
        <f>IF(ISNUMBER(SEARCH(SUBSTITUTE(AU$1,RIGHT(AU$1,2),""),VLOOKUP($D56,素材!$1:$1016,COLUMN($F$1),FALSE))),VLOOKUP($C56,武器!$1:$998,COLUMN($O$1),FALSE)*VLOOKUP($D56,素材!$1:$1016,COLUMN($E$1),FALSE)/(LEN(VLOOKUP($D56,素材!$1:$1016,COLUMN($F$1),FALSE))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V56">
        <f>IF(ISNUMBER(SEARCH(SUBSTITUTE(AV$1,RIGHT(AV$1,2),""),VLOOKUP($D56,素材!$1:$1016,COLUMN($F$1),FALSE))),VLOOKUP($C56,武器!$1:$998,COLUMN($O$1),FALSE)*VLOOKUP($D56,素材!$1:$1016,COLUMN($E$1),FALSE)/(LEN(VLOOKUP($D56,素材!$1:$1016,COLUMN($F$1),FALSE))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W56">
        <f>IF(ISNUMBER(SEARCH(SUBSTITUTE(AW$1,RIGHT(AW$1,2),""),VLOOKUP($D56,素材!$1:$1016,COLUMN($F$1),FALSE))),VLOOKUP($C56,武器!$1:$998,COLUMN($O$1),FALSE)*VLOOKUP($D56,素材!$1:$1016,COLUMN($E$1),FALSE)/(LEN(VLOOKUP($D56,素材!$1:$1016,COLUMN($F$1),FALSE))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X56">
        <f>IF(ISNUMBER(SEARCH(SUBSTITUTE(AX$1,RIGHT(AX$1,2),""),VLOOKUP($D56,素材!$1:$1016,COLUMN($F$1),FALSE))),VLOOKUP($C56,武器!$1:$998,COLUMN($O$1),FALSE)*VLOOKUP($D56,素材!$1:$1016,COLUMN($E$1),FALSE)/(LEN(VLOOKUP($D56,素材!$1:$1016,COLUMN($F$1),FALSE))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Y56">
        <f>IF(ISNUMBER(SEARCH(SUBSTITUTE(AY$1,RIGHT(AY$1,2),""),VLOOKUP($D56,素材!$1:$1016,COLUMN($F$1),FALSE))),VLOOKUP($C56,武器!$1:$998,COLUMN($O$1),FALSE)*VLOOKUP($D56,素材!$1:$1016,COLUMN($E$1),FALSE)/(LEN(VLOOKUP($D56,素材!$1:$1016,COLUMN($F$1),FALSE))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AZ56">
        <f>IF(ISNUMBER(SEARCH(SUBSTITUTE(AZ$1,RIGHT(AZ$1,2),""),VLOOKUP($D56,素材!$1:$1016,COLUMN($F$1),FALSE))),VLOOKUP($C56,武器!$1:$998,COLUMN($O$1),FALSE)*VLOOKUP($D56,素材!$1:$1016,COLUMN($E$1),FALSE)/(LEN(VLOOKUP($D56,素材!$1:$1016,COLUMN($F$1),FALSE))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BA56">
        <f>IF(ISNUMBER(SEARCH(SUBSTITUTE(BA$1,RIGHT(BA$1,2),""),VLOOKUP($D56,素材!$1:$1016,COLUMN($F$1),FALSE))),VLOOKUP($C56,武器!$1:$998,COLUMN($O$1),FALSE)*VLOOKUP($D56,素材!$1:$1016,COLUMN($E$1),FALSE)/(LEN(VLOOKUP($D56,素材!$1:$1016,COLUMN($F$1),FALSE))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BB56">
        <f>IF(ISNUMBER(SEARCH(SUBSTITUTE(BB$1,RIGHT(BB$1,2),""),VLOOKUP($D56,素材!$1:$1016,COLUMN($F$1),FALSE))),VLOOKUP($C56,武器!$1:$998,COLUMN($O$1),FALSE)*VLOOKUP($D56,素材!$1:$1016,COLUMN($E$1),FALSE)/(LEN(VLOOKUP($D56,素材!$1:$1016,COLUMN($F$1),FALSE))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BC56">
        <f>IF(ISNUMBER(SEARCH(SUBSTITUTE(BC$1,RIGHT(BC$1,2),""),VLOOKUP($D56,素材!$1:$1016,COLUMN($F$1),FALSE))),VLOOKUP($C56,武器!$1:$998,COLUMN($O$1),FALSE)*VLOOKUP($D56,素材!$1:$1016,COLUMN($E$1),FALSE)/(LEN(VLOOKUP($D56,素材!$1:$1016,COLUMN($F$1),FALSE))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BD56">
        <f>IF(ISNUMBER(SEARCH(SUBSTITUTE(BD$1,RIGHT(BD$1,2),""),VLOOKUP($D56,素材!$1:$1016,COLUMN($F$1),FALSE))),VLOOKUP($C56,武器!$1:$998,COLUMN($O$1),FALSE)*VLOOKUP($D56,素材!$1:$1016,COLUMN($E$1),FALSE)/(LEN(VLOOKUP($D56,素材!$1:$1016,COLUMN($F$1),FALSE))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BE56">
        <f>IF(ISNUMBER(SEARCH(SUBSTITUTE(BE$1,RIGHT(BE$1,2),""),VLOOKUP($D56,素材!$1:$1016,COLUMN($F$1),FALSE))),VLOOKUP($C56,武器!$1:$998,COLUMN($O$1),FALSE)*VLOOKUP($D56,素材!$1:$1016,COLUMN($E$1),FALSE)/(LEN(VLOOKUP($D56,素材!$1:$1016,COLUMN($F$1),FALSE))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BF56">
        <f>IF(ISNUMBER(SEARCH(SUBSTITUTE(BF$1,RIGHT(BF$1,2),""),VLOOKUP($D56,素材!$1:$1016,COLUMN($F$1),FALSE))),VLOOKUP($C56,武器!$1:$998,COLUMN($O$1),FALSE)*VLOOKUP($D56,素材!$1:$1016,COLUMN($E$1),FALSE)/(LEN(VLOOKUP($D56,素材!$1:$1016,COLUMN($F$1),FALSE)) - LEN(SUBSTITUTE(VLOOKUP($D56,素材!$1:$1016,COLUMN($F$1),FALSE), "・", 0)) + 1), 0)</f>
        <v>0</v>
      </c>
      <c r="CM56">
        <f t="shared" si="3"/>
        <v>18</v>
      </c>
      <c r="CN56" s="22" t="str">
        <f>IF(E56="武器",IF(J56-1&gt;SUM(G56:I56),"盾",IF(MAX(G56:I56)=G56,"切断",IF(MAX(G56:I56)=H56,"貫通",IF(MAX(G56:I56)=I56,"打撃","射撃")))),E56)&amp;".webp"</f>
        <v>打撃.webp</v>
      </c>
      <c r="CO56">
        <f>IFERROR(VLOOKUP($C56,武器!$1:$998,COLUMN(V$1),FALSE)*VLOOKUP($D56,素材!$1:$1016,COLUMN(N$1),FALSE)+IF(CJ56="",0,VLOOKUP($CJ56,装強!$1:$1008,COLUMN($CL$1),FALSE)),"")</f>
        <v>250</v>
      </c>
      <c r="CP56" t="str">
        <f>VLOOKUP(D56,素材!$A:$O,COLUMN(素材!O$1),FALSE)</f>
        <v>一般的な木材。金属より軽いが少し脆い</v>
      </c>
      <c r="CQ56" t="str">
        <f>VLOOKUP(C56,武器!$A:$W,COLUMN(武器!W$1),FALSE)</f>
        <v>戦鎚。重い打撃を与える強力な武器。</v>
      </c>
      <c r="CS56" t="str">
        <f t="shared" si="2"/>
        <v>e_56</v>
      </c>
      <c r="CT56">
        <f t="shared" si="4"/>
        <v>25000</v>
      </c>
    </row>
    <row r="57" spans="1:98" outlineLevel="1" x14ac:dyDescent="0.4">
      <c r="A57" t="str">
        <f t="shared" si="5"/>
        <v>木の鎌</v>
      </c>
      <c r="B57" t="str">
        <f>IFERROR(VLOOKUP($D57,素材!$1:$1016,COLUMN($B$1),FALSE)&amp;"・"&amp;VLOOKUP($C57,武器!$1:$998,COLUMN(B$1),FALSE),"")</f>
        <v>ウッド・シックル</v>
      </c>
      <c r="C57" t="s">
        <v>225</v>
      </c>
      <c r="D57" s="24" t="s">
        <v>255</v>
      </c>
      <c r="E57" t="str">
        <f>IFERROR(VLOOKUP(C57,武器!$1:$998,COLUMN(C$1),FALSE),"")</f>
        <v>武器</v>
      </c>
      <c r="F57">
        <f>IFERROR(ROUNDDOWN((VLOOKUP($C57,武器!$1:$998,COLUMN(D$1),FALSE)+IFERROR(VLOOKUP($CJ57,装強!$1:$999,COLUMN(F$1),FALSE),0))*VLOOKUP($D57,素材!$1:$1016,COLUMN(D$1),FALSE),0),"")</f>
        <v>93</v>
      </c>
      <c r="G57">
        <f>IFERROR(ROUNDDOWN((VLOOKUP($C57,武器!$1:$998,COLUMN(E$1),FALSE)+IFERROR(VLOOKUP($CJ57,装強!$1:$999,COLUMN(G$1),FALSE),0))*VLOOKUP($D57,素材!$1:$1016,COLUMN($E$1),FALSE),0),"")</f>
        <v>6</v>
      </c>
      <c r="H57">
        <f>IFERROR(ROUNDDOWN((VLOOKUP($C57,武器!$1:$998,COLUMN(F$1),FALSE)+IFERROR(VLOOKUP($CJ57,装強!$1:$999,COLUMN(H$1),FALSE),0))*VLOOKUP($D57,素材!$1:$1016,COLUMN($E$1),FALSE),0),"")</f>
        <v>8</v>
      </c>
      <c r="I57">
        <f>IFERROR(ROUNDDOWN((VLOOKUP($C57,武器!$1:$998,COLUMN(G$1),FALSE)+IFERROR(VLOOKUP($CJ57,装強!$1:$999,COLUMN(I$1),FALSE),0))*VLOOKUP($D57,素材!$1:$1016,COLUMN($E$1),FALSE),0),"")</f>
        <v>0</v>
      </c>
      <c r="J57">
        <f>IFERROR(ROUNDDOWN((VLOOKUP($C57,武器!$1:$998,COLUMN(H$1),FALSE)+IFERROR(VLOOKUP($CJ57,装強!$1:$999,COLUMN(J$1),FALSE),0))*VLOOKUP($D57,素材!$1:$1016,COLUMN($E$1),FALSE),0),"")</f>
        <v>12</v>
      </c>
      <c r="K57">
        <f>IFERROR(ROUNDDOWN((VLOOKUP($C57,武器!$1:$998,COLUMN(I$1),FALSE)+IFERROR(VLOOKUP($CJ57,装強!$1:$999,COLUMN(K$1),FALSE),0))*VLOOKUP($D57,素材!$1:$1016,COLUMN($E$1),FALSE),0),"")</f>
        <v>0</v>
      </c>
      <c r="L57">
        <f>IFERROR(VLOOKUP($D57,素材!$1:$1016,COLUMN($F$1),FALSE),"")</f>
        <v>0</v>
      </c>
      <c r="M57">
        <f>IFERROR(VLOOKUP($C57,武器!$1:$998,COLUMN(AA$1),FALSE)*VLOOKUP($D57,素材!$1:$1016,COLUMN($G$1),FALSE),"")</f>
        <v>0</v>
      </c>
      <c r="N57">
        <f>IFERROR(VLOOKUP($C57,武器!$1:$998,COLUMN(I$1),FALSE),"")</f>
        <v>0</v>
      </c>
      <c r="O57" s="23">
        <f>IFERROR((VLOOKUP($C57,武器!$1:$998,COLUMN(K$1),FALSE)+VLOOKUP($D57,素材!$1:$1016,COLUMN(H$1),FALSE))*100+IFERROR(VLOOKUP($CJ57,装強!$1:$999,COLUMN(O$1),FALSE),0),"")</f>
        <v>5</v>
      </c>
      <c r="P57" s="23">
        <f>IFERROR((VLOOKUP($C57,武器!$1:$998,COLUMN(L$1),FALSE)+VLOOKUP($D57,素材!$1:$1016,COLUMN(I$1),FALSE))*100+IFERROR(VLOOKUP($CJ57,装強!$1:$999,COLUMN(P$1),FALSE),0),"")</f>
        <v>200</v>
      </c>
      <c r="Q57">
        <f>IFERROR(ROUNDUP(VLOOKUP($C57,武器!$1:$998,COLUMN(M$1),FALSE)*(VLOOKUP($D57,素材!$1:$1002,COLUMN(D$1),FALSE)/100),1),"")</f>
        <v>0</v>
      </c>
      <c r="R57">
        <f>IFERROR(ROUNDUP(VLOOKUP($C57,武器!$1:$998,COLUMN(N$1),FALSE)*(VLOOKUP($D57,素材!$1:$1002,COLUMN(D$1),FALSE)/100),1),"")</f>
        <v>0</v>
      </c>
      <c r="S57">
        <f>IFERROR(VLOOKUP($C57,武器!$1:$998,COLUMN(P$1),FALSE),"")</f>
        <v>0</v>
      </c>
      <c r="T57">
        <f>IFERROR(VLOOKUP($C57,武器!$1:$998,COLUMN(Q$1),FALSE),"")</f>
        <v>0</v>
      </c>
      <c r="U57">
        <f>IFERROR(VLOOKUP($C57,武器!$1:$998,COLUMN(R$1),FALSE),"")</f>
        <v>0</v>
      </c>
      <c r="V57">
        <f>IFERROR(VLOOKUP($C57,武器!$1:$998,COLUMN(Q$1),FALSE),"")</f>
        <v>0</v>
      </c>
      <c r="W57" t="str">
        <f>IFERROR(VLOOKUP($C57,武器!$1:$998,COLUMN(T$1),FALSE),"")</f>
        <v>A</v>
      </c>
      <c r="Y57" t="str">
        <f>IFERROR(VLOOKUP($C57,武器!$1:$998,COLUMN(U$1),FALSE),"")</f>
        <v>投擲強化、片手適性Ⅰ</v>
      </c>
      <c r="Z57">
        <f>IFERROR(ROUNDUP(VLOOKUP($C57,武器!$1:$998,COLUMN(O$1),FALSE)*VLOOKUP($D57,素材!$1:$1016,COLUMN(E$1),FALSE),1),"")</f>
        <v>0</v>
      </c>
      <c r="AA57">
        <f>IF(ISNUMBER(SEARCH(SUBSTITUTE(AA$1,RIGHT(AA$1,2),""),VLOOKUP($D57,素材!$1:$1016,COLUMN($F$1),FALSE))),VLOOKUP($C57,武器!$1:$998,COLUMN($O$1),FALSE)*VLOOKUP($D57,素材!$1:$1016,COLUMN($E$1),FALSE)/(LEN(VLOOKUP($D57,素材!$1:$1016,COLUMN($F$1),FALSE))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B57">
        <f>IF(ISNUMBER(SEARCH(SUBSTITUTE(AB$1,RIGHT(AB$1,2),""),VLOOKUP($D57,素材!$1:$1016,COLUMN($F$1),FALSE))),VLOOKUP($C57,武器!$1:$998,COLUMN($O$1),FALSE)*VLOOKUP($D57,素材!$1:$1016,COLUMN($E$1),FALSE)/(LEN(VLOOKUP($D57,素材!$1:$1016,COLUMN($F$1),FALSE))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C57">
        <f>IF(ISNUMBER(SEARCH(SUBSTITUTE(AC$1,RIGHT(AC$1,2),""),VLOOKUP($D57,素材!$1:$1016,COLUMN($F$1),FALSE))),VLOOKUP($C57,武器!$1:$998,COLUMN($O$1),FALSE)*VLOOKUP($D57,素材!$1:$1016,COLUMN($E$1),FALSE)/(LEN(VLOOKUP($D57,素材!$1:$1016,COLUMN($F$1),FALSE))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D57">
        <f>IF(ISNUMBER(SEARCH(SUBSTITUTE(AD$1,RIGHT(AD$1,2),""),VLOOKUP($D57,素材!$1:$1016,COLUMN($F$1),FALSE))),VLOOKUP($C57,武器!$1:$998,COLUMN($O$1),FALSE)*VLOOKUP($D57,素材!$1:$1016,COLUMN($E$1),FALSE)/(LEN(VLOOKUP($D57,素材!$1:$1016,COLUMN($F$1),FALSE))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E57">
        <f>IF(ISNUMBER(SEARCH(SUBSTITUTE(AE$1,RIGHT(AE$1,2),""),VLOOKUP($D57,素材!$1:$1016,COLUMN($F$1),FALSE))),VLOOKUP($C57,武器!$1:$998,COLUMN($O$1),FALSE)*VLOOKUP($D57,素材!$1:$1016,COLUMN($E$1),FALSE)/(LEN(VLOOKUP($D57,素材!$1:$1016,COLUMN($F$1),FALSE))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F57">
        <f>IF(ISNUMBER(SEARCH(SUBSTITUTE(AF$1,RIGHT(AF$1,2),""),VLOOKUP($D57,素材!$1:$1016,COLUMN($F$1),FALSE))),VLOOKUP($C57,武器!$1:$998,COLUMN($O$1),FALSE)*VLOOKUP($D57,素材!$1:$1016,COLUMN($E$1),FALSE)/(LEN(VLOOKUP($D57,素材!$1:$1016,COLUMN($F$1),FALSE))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G57">
        <f>IF(ISNUMBER(SEARCH(SUBSTITUTE(AG$1,RIGHT(AG$1,2),""),VLOOKUP($D57,素材!$1:$1016,COLUMN($F$1),FALSE))),VLOOKUP($C57,武器!$1:$998,COLUMN($O$1),FALSE)*VLOOKUP($D57,素材!$1:$1016,COLUMN($E$1),FALSE)/(LEN(VLOOKUP($D57,素材!$1:$1016,COLUMN($F$1),FALSE))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H57">
        <f>IF(ISNUMBER(SEARCH(SUBSTITUTE(AH$1,RIGHT(AH$1,2),""),VLOOKUP($D57,素材!$1:$1016,COLUMN($F$1),FALSE))),VLOOKUP($C57,武器!$1:$998,COLUMN($O$1),FALSE)*VLOOKUP($D57,素材!$1:$1016,COLUMN($E$1),FALSE)/(LEN(VLOOKUP($D57,素材!$1:$1016,COLUMN($F$1),FALSE))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I57">
        <f>IF(ISNUMBER(SEARCH(SUBSTITUTE(AI$1,RIGHT(AI$1,2),""),VLOOKUP($D57,素材!$1:$1016,COLUMN($F$1),FALSE))),VLOOKUP($C57,武器!$1:$998,COLUMN($O$1),FALSE)*VLOOKUP($D57,素材!$1:$1016,COLUMN($E$1),FALSE)/(LEN(VLOOKUP($D57,素材!$1:$1016,COLUMN($F$1),FALSE))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J57">
        <f>IF(ISNUMBER(SEARCH(SUBSTITUTE(AJ$1,RIGHT(AJ$1,2),""),VLOOKUP($D57,素材!$1:$1016,COLUMN($F$1),FALSE))),VLOOKUP($C57,武器!$1:$998,COLUMN($O$1),FALSE)*VLOOKUP($D57,素材!$1:$1016,COLUMN($E$1),FALSE)/(LEN(VLOOKUP($D57,素材!$1:$1016,COLUMN($F$1),FALSE))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K57">
        <f>IF(ISNUMBER(SEARCH(SUBSTITUTE(AK$1,RIGHT(AK$1,2),""),VLOOKUP($D57,素材!$1:$1016,COLUMN($F$1),FALSE))),VLOOKUP($C57,武器!$1:$998,COLUMN($O$1),FALSE)*VLOOKUP($D57,素材!$1:$1016,COLUMN($E$1),FALSE)/(LEN(VLOOKUP($D57,素材!$1:$1016,COLUMN($F$1),FALSE))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L57">
        <f>IF(ISNUMBER(SEARCH(SUBSTITUTE(AL$1,RIGHT(AL$1,2),""),VLOOKUP($D57,素材!$1:$1016,COLUMN($F$1),FALSE))),VLOOKUP($C57,武器!$1:$998,COLUMN($O$1),FALSE)*VLOOKUP($D57,素材!$1:$1016,COLUMN($E$1),FALSE)/(LEN(VLOOKUP($D57,素材!$1:$1016,COLUMN($F$1),FALSE))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M57">
        <f>IF(ISNUMBER(SEARCH(SUBSTITUTE(AM$1,RIGHT(AM$1,2),""),VLOOKUP($D57,素材!$1:$1016,COLUMN($F$1),FALSE))),VLOOKUP($C57,武器!$1:$998,COLUMN($O$1),FALSE)*VLOOKUP($D57,素材!$1:$1016,COLUMN($E$1),FALSE)/(LEN(VLOOKUP($D57,素材!$1:$1016,COLUMN($F$1),FALSE))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N57">
        <f>IF(ISNUMBER(SEARCH(SUBSTITUTE(AN$1,RIGHT(AN$1,2),""),VLOOKUP($D57,素材!$1:$1016,COLUMN($F$1),FALSE))),VLOOKUP($C57,武器!$1:$998,COLUMN($O$1),FALSE)*VLOOKUP($D57,素材!$1:$1016,COLUMN($E$1),FALSE)/(LEN(VLOOKUP($D57,素材!$1:$1016,COLUMN($F$1),FALSE))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O57">
        <f>IF(ISNUMBER(SEARCH(SUBSTITUTE(AO$1,RIGHT(AO$1,2),""),VLOOKUP($D57,素材!$1:$1016,COLUMN($F$1),FALSE))),VLOOKUP($C57,武器!$1:$998,COLUMN($O$1),FALSE)*VLOOKUP($D57,素材!$1:$1016,COLUMN($E$1),FALSE)/(LEN(VLOOKUP($D57,素材!$1:$1016,COLUMN($F$1),FALSE))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P57">
        <f>IF(ISNUMBER(SEARCH(SUBSTITUTE(AP$1,RIGHT(AP$1,2),""),VLOOKUP($D57,素材!$1:$1016,COLUMN($F$1),FALSE))),VLOOKUP($C57,武器!$1:$998,COLUMN($O$1),FALSE)*VLOOKUP($D57,素材!$1:$1016,COLUMN($E$1),FALSE)/(LEN(VLOOKUP($D57,素材!$1:$1016,COLUMN($F$1),FALSE))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Q57">
        <f>IF(ISNUMBER(SEARCH(SUBSTITUTE(AQ$1,RIGHT(AQ$1,2),""),VLOOKUP($D57,素材!$1:$1016,COLUMN($F$1),FALSE))),VLOOKUP($C57,武器!$1:$998,COLUMN($O$1),FALSE)*VLOOKUP($D57,素材!$1:$1016,COLUMN($E$1),FALSE)/(LEN(VLOOKUP($D57,素材!$1:$1016,COLUMN($F$1),FALSE))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R57">
        <f>IF(ISNUMBER(SEARCH(SUBSTITUTE(AR$1,RIGHT(AR$1,2),""),VLOOKUP($D57,素材!$1:$1016,COLUMN($F$1),FALSE))),VLOOKUP($C57,武器!$1:$998,COLUMN($O$1),FALSE)*VLOOKUP($D57,素材!$1:$1016,COLUMN($E$1),FALSE)/(LEN(VLOOKUP($D57,素材!$1:$1016,COLUMN($F$1),FALSE))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S57">
        <f>IF(ISNUMBER(SEARCH(SUBSTITUTE(AS$1,RIGHT(AS$1,2),""),VLOOKUP($D57,素材!$1:$1016,COLUMN($F$1),FALSE))),VLOOKUP($C57,武器!$1:$998,COLUMN($O$1),FALSE)*VLOOKUP($D57,素材!$1:$1016,COLUMN($E$1),FALSE)/(LEN(VLOOKUP($D57,素材!$1:$1016,COLUMN($F$1),FALSE))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T57">
        <f>IF(ISNUMBER(SEARCH(SUBSTITUTE(AT$1,RIGHT(AT$1,2),""),VLOOKUP($D57,素材!$1:$1016,COLUMN($F$1),FALSE))),VLOOKUP($C57,武器!$1:$998,COLUMN($O$1),FALSE)*VLOOKUP($D57,素材!$1:$1016,COLUMN($E$1),FALSE)/(LEN(VLOOKUP($D57,素材!$1:$1016,COLUMN($F$1),FALSE))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U57">
        <f>IF(ISNUMBER(SEARCH(SUBSTITUTE(AU$1,RIGHT(AU$1,2),""),VLOOKUP($D57,素材!$1:$1016,COLUMN($F$1),FALSE))),VLOOKUP($C57,武器!$1:$998,COLUMN($O$1),FALSE)*VLOOKUP($D57,素材!$1:$1016,COLUMN($E$1),FALSE)/(LEN(VLOOKUP($D57,素材!$1:$1016,COLUMN($F$1),FALSE))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V57">
        <f>IF(ISNUMBER(SEARCH(SUBSTITUTE(AV$1,RIGHT(AV$1,2),""),VLOOKUP($D57,素材!$1:$1016,COLUMN($F$1),FALSE))),VLOOKUP($C57,武器!$1:$998,COLUMN($O$1),FALSE)*VLOOKUP($D57,素材!$1:$1016,COLUMN($E$1),FALSE)/(LEN(VLOOKUP($D57,素材!$1:$1016,COLUMN($F$1),FALSE))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W57">
        <f>IF(ISNUMBER(SEARCH(SUBSTITUTE(AW$1,RIGHT(AW$1,2),""),VLOOKUP($D57,素材!$1:$1016,COLUMN($F$1),FALSE))),VLOOKUP($C57,武器!$1:$998,COLUMN($O$1),FALSE)*VLOOKUP($D57,素材!$1:$1016,COLUMN($E$1),FALSE)/(LEN(VLOOKUP($D57,素材!$1:$1016,COLUMN($F$1),FALSE))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X57">
        <f>IF(ISNUMBER(SEARCH(SUBSTITUTE(AX$1,RIGHT(AX$1,2),""),VLOOKUP($D57,素材!$1:$1016,COLUMN($F$1),FALSE))),VLOOKUP($C57,武器!$1:$998,COLUMN($O$1),FALSE)*VLOOKUP($D57,素材!$1:$1016,COLUMN($E$1),FALSE)/(LEN(VLOOKUP($D57,素材!$1:$1016,COLUMN($F$1),FALSE))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Y57">
        <f>IF(ISNUMBER(SEARCH(SUBSTITUTE(AY$1,RIGHT(AY$1,2),""),VLOOKUP($D57,素材!$1:$1016,COLUMN($F$1),FALSE))),VLOOKUP($C57,武器!$1:$998,COLUMN($O$1),FALSE)*VLOOKUP($D57,素材!$1:$1016,COLUMN($E$1),FALSE)/(LEN(VLOOKUP($D57,素材!$1:$1016,COLUMN($F$1),FALSE))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AZ57">
        <f>IF(ISNUMBER(SEARCH(SUBSTITUTE(AZ$1,RIGHT(AZ$1,2),""),VLOOKUP($D57,素材!$1:$1016,COLUMN($F$1),FALSE))),VLOOKUP($C57,武器!$1:$998,COLUMN($O$1),FALSE)*VLOOKUP($D57,素材!$1:$1016,COLUMN($E$1),FALSE)/(LEN(VLOOKUP($D57,素材!$1:$1016,COLUMN($F$1),FALSE))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BA57">
        <f>IF(ISNUMBER(SEARCH(SUBSTITUTE(BA$1,RIGHT(BA$1,2),""),VLOOKUP($D57,素材!$1:$1016,COLUMN($F$1),FALSE))),VLOOKUP($C57,武器!$1:$998,COLUMN($O$1),FALSE)*VLOOKUP($D57,素材!$1:$1016,COLUMN($E$1),FALSE)/(LEN(VLOOKUP($D57,素材!$1:$1016,COLUMN($F$1),FALSE))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BB57">
        <f>IF(ISNUMBER(SEARCH(SUBSTITUTE(BB$1,RIGHT(BB$1,2),""),VLOOKUP($D57,素材!$1:$1016,COLUMN($F$1),FALSE))),VLOOKUP($C57,武器!$1:$998,COLUMN($O$1),FALSE)*VLOOKUP($D57,素材!$1:$1016,COLUMN($E$1),FALSE)/(LEN(VLOOKUP($D57,素材!$1:$1016,COLUMN($F$1),FALSE))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BC57">
        <f>IF(ISNUMBER(SEARCH(SUBSTITUTE(BC$1,RIGHT(BC$1,2),""),VLOOKUP($D57,素材!$1:$1016,COLUMN($F$1),FALSE))),VLOOKUP($C57,武器!$1:$998,COLUMN($O$1),FALSE)*VLOOKUP($D57,素材!$1:$1016,COLUMN($E$1),FALSE)/(LEN(VLOOKUP($D57,素材!$1:$1016,COLUMN($F$1),FALSE))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BD57">
        <f>IF(ISNUMBER(SEARCH(SUBSTITUTE(BD$1,RIGHT(BD$1,2),""),VLOOKUP($D57,素材!$1:$1016,COLUMN($F$1),FALSE))),VLOOKUP($C57,武器!$1:$998,COLUMN($O$1),FALSE)*VLOOKUP($D57,素材!$1:$1016,COLUMN($E$1),FALSE)/(LEN(VLOOKUP($D57,素材!$1:$1016,COLUMN($F$1),FALSE))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BE57">
        <f>IF(ISNUMBER(SEARCH(SUBSTITUTE(BE$1,RIGHT(BE$1,2),""),VLOOKUP($D57,素材!$1:$1016,COLUMN($F$1),FALSE))),VLOOKUP($C57,武器!$1:$998,COLUMN($O$1),FALSE)*VLOOKUP($D57,素材!$1:$1016,COLUMN($E$1),FALSE)/(LEN(VLOOKUP($D57,素材!$1:$1016,COLUMN($F$1),FALSE))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BF57">
        <f>IF(ISNUMBER(SEARCH(SUBSTITUTE(BF$1,RIGHT(BF$1,2),""),VLOOKUP($D57,素材!$1:$1016,COLUMN($F$1),FALSE))),VLOOKUP($C57,武器!$1:$998,COLUMN($O$1),FALSE)*VLOOKUP($D57,素材!$1:$1016,COLUMN($E$1),FALSE)/(LEN(VLOOKUP($D57,素材!$1:$1016,COLUMN($F$1),FALSE)) - LEN(SUBSTITUTE(VLOOKUP($D57,素材!$1:$1016,COLUMN($F$1),FALSE), "・", 0)) + 1), 0)</f>
        <v>0</v>
      </c>
      <c r="CM57">
        <f t="shared" si="3"/>
        <v>14</v>
      </c>
      <c r="CN57" s="22" t="str">
        <f>IF(E57="武器",IF(J57-1&gt;SUM(G57:I57),"盾",IF(MAX(G57:I57)=G57,"切断",IF(MAX(G57:I57)=H57,"貫通",IF(MAX(G57:I57)=I57,"打撃","射撃")))),E57)&amp;".webp"</f>
        <v>貫通.webp</v>
      </c>
      <c r="CO57">
        <f>IFERROR(VLOOKUP($C57,武器!$1:$998,COLUMN(V$1),FALSE)*VLOOKUP($D57,素材!$1:$1016,COLUMN(N$1),FALSE)+IF(CJ57="",0,VLOOKUP($CJ57,装強!$1:$1008,COLUMN($CL$1),FALSE)),"")</f>
        <v>200</v>
      </c>
      <c r="CP57" t="str">
        <f>VLOOKUP(D57,素材!$A:$O,COLUMN(素材!O$1),FALSE)</f>
        <v>一般的な木材。金属より軽いが少し脆い</v>
      </c>
      <c r="CQ57" t="str">
        <f>VLOOKUP(C57,武器!$A:$W,COLUMN(武器!W$1),FALSE)</f>
        <v>鎌。農具を転用した武器で、鋭い斬撃を与える。</v>
      </c>
      <c r="CS57" t="str">
        <f t="shared" si="2"/>
        <v>e_57</v>
      </c>
      <c r="CT57">
        <f t="shared" si="4"/>
        <v>20000</v>
      </c>
    </row>
    <row r="58" spans="1:98" outlineLevel="1" x14ac:dyDescent="0.4">
      <c r="A58" t="str">
        <f t="shared" si="5"/>
        <v>木の戦斧</v>
      </c>
      <c r="B58" t="str">
        <f>IFERROR(VLOOKUP($D58,素材!$1:$1016,COLUMN($B$1),FALSE)&amp;"・"&amp;VLOOKUP($C58,武器!$1:$998,COLUMN(B$1),FALSE),"")</f>
        <v>ウッド・バトルアックス</v>
      </c>
      <c r="C58" t="s">
        <v>224</v>
      </c>
      <c r="D58" s="24" t="s">
        <v>255</v>
      </c>
      <c r="E58" t="str">
        <f>IFERROR(VLOOKUP(C58,武器!$1:$998,COLUMN(C$1),FALSE),"")</f>
        <v>武器</v>
      </c>
      <c r="F58">
        <f>IFERROR(ROUNDDOWN((VLOOKUP($C58,武器!$1:$998,COLUMN(D$1),FALSE)+IFERROR(VLOOKUP($CJ58,装強!$1:$999,COLUMN(F$1),FALSE),0))*VLOOKUP($D58,素材!$1:$1016,COLUMN(D$1),FALSE),0),"")</f>
        <v>86</v>
      </c>
      <c r="G58">
        <f>IFERROR(ROUNDDOWN((VLOOKUP($C58,武器!$1:$998,COLUMN(E$1),FALSE)+IFERROR(VLOOKUP($CJ58,装強!$1:$999,COLUMN(G$1),FALSE),0))*VLOOKUP($D58,素材!$1:$1016,COLUMN($E$1),FALSE),0),"")</f>
        <v>14</v>
      </c>
      <c r="H58">
        <f>IFERROR(ROUNDDOWN((VLOOKUP($C58,武器!$1:$998,COLUMN(F$1),FALSE)+IFERROR(VLOOKUP($CJ58,装強!$1:$999,COLUMN(H$1),FALSE),0))*VLOOKUP($D58,素材!$1:$1016,COLUMN($E$1),FALSE),0),"")</f>
        <v>0</v>
      </c>
      <c r="I58">
        <f>IFERROR(ROUNDDOWN((VLOOKUP($C58,武器!$1:$998,COLUMN(G$1),FALSE)+IFERROR(VLOOKUP($CJ58,装強!$1:$999,COLUMN(I$1),FALSE),0))*VLOOKUP($D58,素材!$1:$1016,COLUMN($E$1),FALSE),0),"")</f>
        <v>4</v>
      </c>
      <c r="J58">
        <f>IFERROR(ROUNDDOWN((VLOOKUP($C58,武器!$1:$998,COLUMN(H$1),FALSE)+IFERROR(VLOOKUP($CJ58,装強!$1:$999,COLUMN(J$1),FALSE),0))*VLOOKUP($D58,素材!$1:$1016,COLUMN($E$1),FALSE),0),"")</f>
        <v>15</v>
      </c>
      <c r="K58">
        <f>IFERROR(ROUNDDOWN((VLOOKUP($C58,武器!$1:$998,COLUMN(I$1),FALSE)+IFERROR(VLOOKUP($CJ58,装強!$1:$999,COLUMN(K$1),FALSE),0))*VLOOKUP($D58,素材!$1:$1016,COLUMN($E$1),FALSE),0),"")</f>
        <v>0</v>
      </c>
      <c r="L58">
        <f>IFERROR(VLOOKUP($D58,素材!$1:$1016,COLUMN($F$1),FALSE),"")</f>
        <v>0</v>
      </c>
      <c r="M58">
        <f>IFERROR(VLOOKUP($C58,武器!$1:$998,COLUMN(AA$1),FALSE)*VLOOKUP($D58,素材!$1:$1016,COLUMN($G$1),FALSE),"")</f>
        <v>0</v>
      </c>
      <c r="N58">
        <f>IFERROR(VLOOKUP($C58,武器!$1:$998,COLUMN(I$1),FALSE),"")</f>
        <v>0</v>
      </c>
      <c r="O58" s="23">
        <f>IFERROR((VLOOKUP($C58,武器!$1:$998,COLUMN(K$1),FALSE)+VLOOKUP($D58,素材!$1:$1016,COLUMN(H$1),FALSE))*100+IFERROR(VLOOKUP($CJ58,装強!$1:$999,COLUMN(O$1),FALSE),0),"")</f>
        <v>5</v>
      </c>
      <c r="P58" s="23">
        <f>IFERROR((VLOOKUP($C58,武器!$1:$998,COLUMN(L$1),FALSE)+VLOOKUP($D58,素材!$1:$1016,COLUMN(I$1),FALSE))*100+IFERROR(VLOOKUP($CJ58,装強!$1:$999,COLUMN(P$1),FALSE),0),"")</f>
        <v>175</v>
      </c>
      <c r="Q58">
        <f>IFERROR(ROUNDUP(VLOOKUP($C58,武器!$1:$998,COLUMN(M$1),FALSE)*(VLOOKUP($D58,素材!$1:$1002,COLUMN(D$1),FALSE)/100),1),"")</f>
        <v>-1.9000000000000001</v>
      </c>
      <c r="R58">
        <f>IFERROR(ROUNDUP(VLOOKUP($C58,武器!$1:$998,COLUMN(N$1),FALSE)*(VLOOKUP($D58,素材!$1:$1002,COLUMN(D$1),FALSE)/100),1),"")</f>
        <v>0</v>
      </c>
      <c r="S58">
        <f>IFERROR(VLOOKUP($C58,武器!$1:$998,COLUMN(P$1),FALSE),"")</f>
        <v>0</v>
      </c>
      <c r="T58">
        <f>IFERROR(VLOOKUP($C58,武器!$1:$998,COLUMN(Q$1),FALSE),"")</f>
        <v>0</v>
      </c>
      <c r="U58">
        <f>IFERROR(VLOOKUP($C58,武器!$1:$998,COLUMN(R$1),FALSE),"")</f>
        <v>0</v>
      </c>
      <c r="V58">
        <f>IFERROR(VLOOKUP($C58,武器!$1:$998,COLUMN(Q$1),FALSE),"")</f>
        <v>0</v>
      </c>
      <c r="W58" t="str">
        <f>IFERROR(VLOOKUP($C58,武器!$1:$998,COLUMN(T$1),FALSE),"")</f>
        <v>A</v>
      </c>
      <c r="Y58">
        <f>IFERROR(VLOOKUP($C58,武器!$1:$998,COLUMN(U$1),FALSE),"")</f>
        <v>0</v>
      </c>
      <c r="Z58">
        <f>IFERROR(ROUNDUP(VLOOKUP($C58,武器!$1:$998,COLUMN(O$1),FALSE)*VLOOKUP($D58,素材!$1:$1016,COLUMN(E$1),FALSE),1),"")</f>
        <v>0</v>
      </c>
      <c r="AA58">
        <f>IF(ISNUMBER(SEARCH(SUBSTITUTE(AA$1,RIGHT(AA$1,2),""),VLOOKUP($D58,素材!$1:$1016,COLUMN($F$1),FALSE))),VLOOKUP($C58,武器!$1:$998,COLUMN($O$1),FALSE)*VLOOKUP($D58,素材!$1:$1016,COLUMN($E$1),FALSE)/(LEN(VLOOKUP($D58,素材!$1:$1016,COLUMN($F$1),FALSE))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B58">
        <f>IF(ISNUMBER(SEARCH(SUBSTITUTE(AB$1,RIGHT(AB$1,2),""),VLOOKUP($D58,素材!$1:$1016,COLUMN($F$1),FALSE))),VLOOKUP($C58,武器!$1:$998,COLUMN($O$1),FALSE)*VLOOKUP($D58,素材!$1:$1016,COLUMN($E$1),FALSE)/(LEN(VLOOKUP($D58,素材!$1:$1016,COLUMN($F$1),FALSE))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C58">
        <f>IF(ISNUMBER(SEARCH(SUBSTITUTE(AC$1,RIGHT(AC$1,2),""),VLOOKUP($D58,素材!$1:$1016,COLUMN($F$1),FALSE))),VLOOKUP($C58,武器!$1:$998,COLUMN($O$1),FALSE)*VLOOKUP($D58,素材!$1:$1016,COLUMN($E$1),FALSE)/(LEN(VLOOKUP($D58,素材!$1:$1016,COLUMN($F$1),FALSE))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D58">
        <f>IF(ISNUMBER(SEARCH(SUBSTITUTE(AD$1,RIGHT(AD$1,2),""),VLOOKUP($D58,素材!$1:$1016,COLUMN($F$1),FALSE))),VLOOKUP($C58,武器!$1:$998,COLUMN($O$1),FALSE)*VLOOKUP($D58,素材!$1:$1016,COLUMN($E$1),FALSE)/(LEN(VLOOKUP($D58,素材!$1:$1016,COLUMN($F$1),FALSE))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E58">
        <f>IF(ISNUMBER(SEARCH(SUBSTITUTE(AE$1,RIGHT(AE$1,2),""),VLOOKUP($D58,素材!$1:$1016,COLUMN($F$1),FALSE))),VLOOKUP($C58,武器!$1:$998,COLUMN($O$1),FALSE)*VLOOKUP($D58,素材!$1:$1016,COLUMN($E$1),FALSE)/(LEN(VLOOKUP($D58,素材!$1:$1016,COLUMN($F$1),FALSE))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F58">
        <f>IF(ISNUMBER(SEARCH(SUBSTITUTE(AF$1,RIGHT(AF$1,2),""),VLOOKUP($D58,素材!$1:$1016,COLUMN($F$1),FALSE))),VLOOKUP($C58,武器!$1:$998,COLUMN($O$1),FALSE)*VLOOKUP($D58,素材!$1:$1016,COLUMN($E$1),FALSE)/(LEN(VLOOKUP($D58,素材!$1:$1016,COLUMN($F$1),FALSE))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G58">
        <f>IF(ISNUMBER(SEARCH(SUBSTITUTE(AG$1,RIGHT(AG$1,2),""),VLOOKUP($D58,素材!$1:$1016,COLUMN($F$1),FALSE))),VLOOKUP($C58,武器!$1:$998,COLUMN($O$1),FALSE)*VLOOKUP($D58,素材!$1:$1016,COLUMN($E$1),FALSE)/(LEN(VLOOKUP($D58,素材!$1:$1016,COLUMN($F$1),FALSE))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H58">
        <f>IF(ISNUMBER(SEARCH(SUBSTITUTE(AH$1,RIGHT(AH$1,2),""),VLOOKUP($D58,素材!$1:$1016,COLUMN($F$1),FALSE))),VLOOKUP($C58,武器!$1:$998,COLUMN($O$1),FALSE)*VLOOKUP($D58,素材!$1:$1016,COLUMN($E$1),FALSE)/(LEN(VLOOKUP($D58,素材!$1:$1016,COLUMN($F$1),FALSE))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I58">
        <f>IF(ISNUMBER(SEARCH(SUBSTITUTE(AI$1,RIGHT(AI$1,2),""),VLOOKUP($D58,素材!$1:$1016,COLUMN($F$1),FALSE))),VLOOKUP($C58,武器!$1:$998,COLUMN($O$1),FALSE)*VLOOKUP($D58,素材!$1:$1016,COLUMN($E$1),FALSE)/(LEN(VLOOKUP($D58,素材!$1:$1016,COLUMN($F$1),FALSE))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J58">
        <f>IF(ISNUMBER(SEARCH(SUBSTITUTE(AJ$1,RIGHT(AJ$1,2),""),VLOOKUP($D58,素材!$1:$1016,COLUMN($F$1),FALSE))),VLOOKUP($C58,武器!$1:$998,COLUMN($O$1),FALSE)*VLOOKUP($D58,素材!$1:$1016,COLUMN($E$1),FALSE)/(LEN(VLOOKUP($D58,素材!$1:$1016,COLUMN($F$1),FALSE))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K58">
        <f>IF(ISNUMBER(SEARCH(SUBSTITUTE(AK$1,RIGHT(AK$1,2),""),VLOOKUP($D58,素材!$1:$1016,COLUMN($F$1),FALSE))),VLOOKUP($C58,武器!$1:$998,COLUMN($O$1),FALSE)*VLOOKUP($D58,素材!$1:$1016,COLUMN($E$1),FALSE)/(LEN(VLOOKUP($D58,素材!$1:$1016,COLUMN($F$1),FALSE))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L58">
        <f>IF(ISNUMBER(SEARCH(SUBSTITUTE(AL$1,RIGHT(AL$1,2),""),VLOOKUP($D58,素材!$1:$1016,COLUMN($F$1),FALSE))),VLOOKUP($C58,武器!$1:$998,COLUMN($O$1),FALSE)*VLOOKUP($D58,素材!$1:$1016,COLUMN($E$1),FALSE)/(LEN(VLOOKUP($D58,素材!$1:$1016,COLUMN($F$1),FALSE))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M58">
        <f>IF(ISNUMBER(SEARCH(SUBSTITUTE(AM$1,RIGHT(AM$1,2),""),VLOOKUP($D58,素材!$1:$1016,COLUMN($F$1),FALSE))),VLOOKUP($C58,武器!$1:$998,COLUMN($O$1),FALSE)*VLOOKUP($D58,素材!$1:$1016,COLUMN($E$1),FALSE)/(LEN(VLOOKUP($D58,素材!$1:$1016,COLUMN($F$1),FALSE))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N58">
        <f>IF(ISNUMBER(SEARCH(SUBSTITUTE(AN$1,RIGHT(AN$1,2),""),VLOOKUP($D58,素材!$1:$1016,COLUMN($F$1),FALSE))),VLOOKUP($C58,武器!$1:$998,COLUMN($O$1),FALSE)*VLOOKUP($D58,素材!$1:$1016,COLUMN($E$1),FALSE)/(LEN(VLOOKUP($D58,素材!$1:$1016,COLUMN($F$1),FALSE))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O58">
        <f>IF(ISNUMBER(SEARCH(SUBSTITUTE(AO$1,RIGHT(AO$1,2),""),VLOOKUP($D58,素材!$1:$1016,COLUMN($F$1),FALSE))),VLOOKUP($C58,武器!$1:$998,COLUMN($O$1),FALSE)*VLOOKUP($D58,素材!$1:$1016,COLUMN($E$1),FALSE)/(LEN(VLOOKUP($D58,素材!$1:$1016,COLUMN($F$1),FALSE))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P58">
        <f>IF(ISNUMBER(SEARCH(SUBSTITUTE(AP$1,RIGHT(AP$1,2),""),VLOOKUP($D58,素材!$1:$1016,COLUMN($F$1),FALSE))),VLOOKUP($C58,武器!$1:$998,COLUMN($O$1),FALSE)*VLOOKUP($D58,素材!$1:$1016,COLUMN($E$1),FALSE)/(LEN(VLOOKUP($D58,素材!$1:$1016,COLUMN($F$1),FALSE))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Q58">
        <f>IF(ISNUMBER(SEARCH(SUBSTITUTE(AQ$1,RIGHT(AQ$1,2),""),VLOOKUP($D58,素材!$1:$1016,COLUMN($F$1),FALSE))),VLOOKUP($C58,武器!$1:$998,COLUMN($O$1),FALSE)*VLOOKUP($D58,素材!$1:$1016,COLUMN($E$1),FALSE)/(LEN(VLOOKUP($D58,素材!$1:$1016,COLUMN($F$1),FALSE))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R58">
        <f>IF(ISNUMBER(SEARCH(SUBSTITUTE(AR$1,RIGHT(AR$1,2),""),VLOOKUP($D58,素材!$1:$1016,COLUMN($F$1),FALSE))),VLOOKUP($C58,武器!$1:$998,COLUMN($O$1),FALSE)*VLOOKUP($D58,素材!$1:$1016,COLUMN($E$1),FALSE)/(LEN(VLOOKUP($D58,素材!$1:$1016,COLUMN($F$1),FALSE))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S58">
        <f>IF(ISNUMBER(SEARCH(SUBSTITUTE(AS$1,RIGHT(AS$1,2),""),VLOOKUP($D58,素材!$1:$1016,COLUMN($F$1),FALSE))),VLOOKUP($C58,武器!$1:$998,COLUMN($O$1),FALSE)*VLOOKUP($D58,素材!$1:$1016,COLUMN($E$1),FALSE)/(LEN(VLOOKUP($D58,素材!$1:$1016,COLUMN($F$1),FALSE))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T58">
        <f>IF(ISNUMBER(SEARCH(SUBSTITUTE(AT$1,RIGHT(AT$1,2),""),VLOOKUP($D58,素材!$1:$1016,COLUMN($F$1),FALSE))),VLOOKUP($C58,武器!$1:$998,COLUMN($O$1),FALSE)*VLOOKUP($D58,素材!$1:$1016,COLUMN($E$1),FALSE)/(LEN(VLOOKUP($D58,素材!$1:$1016,COLUMN($F$1),FALSE))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U58">
        <f>IF(ISNUMBER(SEARCH(SUBSTITUTE(AU$1,RIGHT(AU$1,2),""),VLOOKUP($D58,素材!$1:$1016,COLUMN($F$1),FALSE))),VLOOKUP($C58,武器!$1:$998,COLUMN($O$1),FALSE)*VLOOKUP($D58,素材!$1:$1016,COLUMN($E$1),FALSE)/(LEN(VLOOKUP($D58,素材!$1:$1016,COLUMN($F$1),FALSE))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V58">
        <f>IF(ISNUMBER(SEARCH(SUBSTITUTE(AV$1,RIGHT(AV$1,2),""),VLOOKUP($D58,素材!$1:$1016,COLUMN($F$1),FALSE))),VLOOKUP($C58,武器!$1:$998,COLUMN($O$1),FALSE)*VLOOKUP($D58,素材!$1:$1016,COLUMN($E$1),FALSE)/(LEN(VLOOKUP($D58,素材!$1:$1016,COLUMN($F$1),FALSE))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W58">
        <f>IF(ISNUMBER(SEARCH(SUBSTITUTE(AW$1,RIGHT(AW$1,2),""),VLOOKUP($D58,素材!$1:$1016,COLUMN($F$1),FALSE))),VLOOKUP($C58,武器!$1:$998,COLUMN($O$1),FALSE)*VLOOKUP($D58,素材!$1:$1016,COLUMN($E$1),FALSE)/(LEN(VLOOKUP($D58,素材!$1:$1016,COLUMN($F$1),FALSE))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X58">
        <f>IF(ISNUMBER(SEARCH(SUBSTITUTE(AX$1,RIGHT(AX$1,2),""),VLOOKUP($D58,素材!$1:$1016,COLUMN($F$1),FALSE))),VLOOKUP($C58,武器!$1:$998,COLUMN($O$1),FALSE)*VLOOKUP($D58,素材!$1:$1016,COLUMN($E$1),FALSE)/(LEN(VLOOKUP($D58,素材!$1:$1016,COLUMN($F$1),FALSE))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Y58">
        <f>IF(ISNUMBER(SEARCH(SUBSTITUTE(AY$1,RIGHT(AY$1,2),""),VLOOKUP($D58,素材!$1:$1016,COLUMN($F$1),FALSE))),VLOOKUP($C58,武器!$1:$998,COLUMN($O$1),FALSE)*VLOOKUP($D58,素材!$1:$1016,COLUMN($E$1),FALSE)/(LEN(VLOOKUP($D58,素材!$1:$1016,COLUMN($F$1),FALSE))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AZ58">
        <f>IF(ISNUMBER(SEARCH(SUBSTITUTE(AZ$1,RIGHT(AZ$1,2),""),VLOOKUP($D58,素材!$1:$1016,COLUMN($F$1),FALSE))),VLOOKUP($C58,武器!$1:$998,COLUMN($O$1),FALSE)*VLOOKUP($D58,素材!$1:$1016,COLUMN($E$1),FALSE)/(LEN(VLOOKUP($D58,素材!$1:$1016,COLUMN($F$1),FALSE))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BA58">
        <f>IF(ISNUMBER(SEARCH(SUBSTITUTE(BA$1,RIGHT(BA$1,2),""),VLOOKUP($D58,素材!$1:$1016,COLUMN($F$1),FALSE))),VLOOKUP($C58,武器!$1:$998,COLUMN($O$1),FALSE)*VLOOKUP($D58,素材!$1:$1016,COLUMN($E$1),FALSE)/(LEN(VLOOKUP($D58,素材!$1:$1016,COLUMN($F$1),FALSE))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BB58">
        <f>IF(ISNUMBER(SEARCH(SUBSTITUTE(BB$1,RIGHT(BB$1,2),""),VLOOKUP($D58,素材!$1:$1016,COLUMN($F$1),FALSE))),VLOOKUP($C58,武器!$1:$998,COLUMN($O$1),FALSE)*VLOOKUP($D58,素材!$1:$1016,COLUMN($E$1),FALSE)/(LEN(VLOOKUP($D58,素材!$1:$1016,COLUMN($F$1),FALSE))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BC58">
        <f>IF(ISNUMBER(SEARCH(SUBSTITUTE(BC$1,RIGHT(BC$1,2),""),VLOOKUP($D58,素材!$1:$1016,COLUMN($F$1),FALSE))),VLOOKUP($C58,武器!$1:$998,COLUMN($O$1),FALSE)*VLOOKUP($D58,素材!$1:$1016,COLUMN($E$1),FALSE)/(LEN(VLOOKUP($D58,素材!$1:$1016,COLUMN($F$1),FALSE))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BD58">
        <f>IF(ISNUMBER(SEARCH(SUBSTITUTE(BD$1,RIGHT(BD$1,2),""),VLOOKUP($D58,素材!$1:$1016,COLUMN($F$1),FALSE))),VLOOKUP($C58,武器!$1:$998,COLUMN($O$1),FALSE)*VLOOKUP($D58,素材!$1:$1016,COLUMN($E$1),FALSE)/(LEN(VLOOKUP($D58,素材!$1:$1016,COLUMN($F$1),FALSE))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BE58">
        <f>IF(ISNUMBER(SEARCH(SUBSTITUTE(BE$1,RIGHT(BE$1,2),""),VLOOKUP($D58,素材!$1:$1016,COLUMN($F$1),FALSE))),VLOOKUP($C58,武器!$1:$998,COLUMN($O$1),FALSE)*VLOOKUP($D58,素材!$1:$1016,COLUMN($E$1),FALSE)/(LEN(VLOOKUP($D58,素材!$1:$1016,COLUMN($F$1),FALSE))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BF58">
        <f>IF(ISNUMBER(SEARCH(SUBSTITUTE(BF$1,RIGHT(BF$1,2),""),VLOOKUP($D58,素材!$1:$1016,COLUMN($F$1),FALSE))),VLOOKUP($C58,武器!$1:$998,COLUMN($O$1),FALSE)*VLOOKUP($D58,素材!$1:$1016,COLUMN($E$1),FALSE)/(LEN(VLOOKUP($D58,素材!$1:$1016,COLUMN($F$1),FALSE)) - LEN(SUBSTITUTE(VLOOKUP($D58,素材!$1:$1016,COLUMN($F$1),FALSE), "・", 0)) + 1), 0)</f>
        <v>0</v>
      </c>
      <c r="CM58">
        <f t="shared" si="3"/>
        <v>18</v>
      </c>
      <c r="CN58" s="22" t="str">
        <f>IF(E58="武器",IF(J58-1&gt;SUM(G58:I58),"盾",IF(MAX(G58:I58)=G58,"切断",IF(MAX(G58:I58)=H58,"貫通",IF(MAX(G58:I58)=I58,"打撃","射撃")))),E58)&amp;".webp"</f>
        <v>切断.webp</v>
      </c>
      <c r="CO58">
        <f>IFERROR(VLOOKUP($C58,武器!$1:$998,COLUMN(V$1),FALSE)*VLOOKUP($D58,素材!$1:$1016,COLUMN(N$1),FALSE)+IF(CJ58="",0,VLOOKUP($CJ58,装強!$1:$1008,COLUMN($CL$1),FALSE)),"")</f>
        <v>200</v>
      </c>
      <c r="CP58" t="str">
        <f>VLOOKUP(D58,素材!$A:$O,COLUMN(素材!O$1),FALSE)</f>
        <v>一般的な木材。金属より軽いが少し脆い</v>
      </c>
      <c r="CQ58" t="str">
        <f>VLOOKUP(C58,武器!$A:$W,COLUMN(武器!W$1),FALSE)</f>
        <v>戦斧。攻撃力が高く、重いが信頼性がある武器。</v>
      </c>
      <c r="CS58" t="str">
        <f t="shared" si="2"/>
        <v>e_58</v>
      </c>
      <c r="CT58">
        <f t="shared" si="4"/>
        <v>20000</v>
      </c>
    </row>
    <row r="59" spans="1:98" outlineLevel="1" x14ac:dyDescent="0.4">
      <c r="A59" t="str">
        <f t="shared" si="5"/>
        <v>木の鞭</v>
      </c>
      <c r="B59" t="str">
        <f>IFERROR(VLOOKUP($D59,素材!$1:$1016,COLUMN($B$1),FALSE)&amp;"・"&amp;VLOOKUP($C59,武器!$1:$998,COLUMN(B$1),FALSE),"")</f>
        <v>ウッド・ウィップ</v>
      </c>
      <c r="C59" t="s">
        <v>223</v>
      </c>
      <c r="D59" s="24" t="s">
        <v>255</v>
      </c>
      <c r="E59" t="str">
        <f>IFERROR(VLOOKUP(C59,武器!$1:$998,COLUMN(C$1),FALSE),"")</f>
        <v>武器</v>
      </c>
      <c r="F59">
        <f>IFERROR(ROUNDDOWN((VLOOKUP($C59,武器!$1:$998,COLUMN(D$1),FALSE)+IFERROR(VLOOKUP($CJ59,装強!$1:$999,COLUMN(F$1),FALSE),0))*VLOOKUP($D59,素材!$1:$1016,COLUMN(D$1),FALSE),0),"")</f>
        <v>78</v>
      </c>
      <c r="G59">
        <f>IFERROR(ROUNDDOWN((VLOOKUP($C59,武器!$1:$998,COLUMN(E$1),FALSE)+IFERROR(VLOOKUP($CJ59,装強!$1:$999,COLUMN(G$1),FALSE),0))*VLOOKUP($D59,素材!$1:$1016,COLUMN($E$1),FALSE),0),"")</f>
        <v>13</v>
      </c>
      <c r="H59">
        <f>IFERROR(ROUNDDOWN((VLOOKUP($C59,武器!$1:$998,COLUMN(F$1),FALSE)+IFERROR(VLOOKUP($CJ59,装強!$1:$999,COLUMN(H$1),FALSE),0))*VLOOKUP($D59,素材!$1:$1016,COLUMN($E$1),FALSE),0),"")</f>
        <v>0</v>
      </c>
      <c r="I59">
        <f>IFERROR(ROUNDDOWN((VLOOKUP($C59,武器!$1:$998,COLUMN(G$1),FALSE)+IFERROR(VLOOKUP($CJ59,装強!$1:$999,COLUMN(I$1),FALSE),0))*VLOOKUP($D59,素材!$1:$1016,COLUMN($E$1),FALSE),0),"")</f>
        <v>3</v>
      </c>
      <c r="J59">
        <f>IFERROR(ROUNDDOWN((VLOOKUP($C59,武器!$1:$998,COLUMN(H$1),FALSE)+IFERROR(VLOOKUP($CJ59,装強!$1:$999,COLUMN(J$1),FALSE),0))*VLOOKUP($D59,素材!$1:$1016,COLUMN($E$1),FALSE),0),"")</f>
        <v>8</v>
      </c>
      <c r="K59">
        <f>IFERROR(ROUNDDOWN((VLOOKUP($C59,武器!$1:$998,COLUMN(I$1),FALSE)+IFERROR(VLOOKUP($CJ59,装強!$1:$999,COLUMN(K$1),FALSE),0))*VLOOKUP($D59,素材!$1:$1016,COLUMN($E$1),FALSE),0),"")</f>
        <v>0</v>
      </c>
      <c r="L59">
        <f>IFERROR(VLOOKUP($D59,素材!$1:$1016,COLUMN($F$1),FALSE),"")</f>
        <v>0</v>
      </c>
      <c r="M59">
        <f>IFERROR(VLOOKUP($C59,武器!$1:$998,COLUMN(AA$1),FALSE)*VLOOKUP($D59,素材!$1:$1016,COLUMN($G$1),FALSE),"")</f>
        <v>0</v>
      </c>
      <c r="N59">
        <f>IFERROR(VLOOKUP($C59,武器!$1:$998,COLUMN(I$1),FALSE),"")</f>
        <v>0</v>
      </c>
      <c r="O59" s="23">
        <f>IFERROR((VLOOKUP($C59,武器!$1:$998,COLUMN(K$1),FALSE)+VLOOKUP($D59,素材!$1:$1016,COLUMN(H$1),FALSE))*100+IFERROR(VLOOKUP($CJ59,装強!$1:$999,COLUMN(O$1),FALSE),0),"")</f>
        <v>10</v>
      </c>
      <c r="P59" s="23">
        <f>IFERROR((VLOOKUP($C59,武器!$1:$998,COLUMN(L$1),FALSE)+VLOOKUP($D59,素材!$1:$1016,COLUMN(I$1),FALSE))*100+IFERROR(VLOOKUP($CJ59,装強!$1:$999,COLUMN(P$1),FALSE),0),"")</f>
        <v>150</v>
      </c>
      <c r="Q59">
        <f>IFERROR(ROUNDUP(VLOOKUP($C59,武器!$1:$998,COLUMN(M$1),FALSE)*(VLOOKUP($D59,素材!$1:$1002,COLUMN(D$1),FALSE)/100),1),"")</f>
        <v>0</v>
      </c>
      <c r="R59">
        <f>IFERROR(ROUNDUP(VLOOKUP($C59,武器!$1:$998,COLUMN(N$1),FALSE)*(VLOOKUP($D59,素材!$1:$1002,COLUMN(D$1),FALSE)/100),1),"")</f>
        <v>0</v>
      </c>
      <c r="S59">
        <f>IFERROR(VLOOKUP($C59,武器!$1:$998,COLUMN(P$1),FALSE),"")</f>
        <v>1</v>
      </c>
      <c r="T59">
        <f>IFERROR(VLOOKUP($C59,武器!$1:$998,COLUMN(Q$1),FALSE),"")</f>
        <v>0</v>
      </c>
      <c r="U59">
        <f>IFERROR(VLOOKUP($C59,武器!$1:$998,COLUMN(R$1),FALSE),"")</f>
        <v>0</v>
      </c>
      <c r="V59">
        <f>IFERROR(VLOOKUP($C59,武器!$1:$998,COLUMN(Q$1),FALSE),"")</f>
        <v>0</v>
      </c>
      <c r="W59" t="str">
        <f>IFERROR(VLOOKUP($C59,武器!$1:$998,COLUMN(T$1),FALSE),"")</f>
        <v>A</v>
      </c>
      <c r="Y59">
        <f>IFERROR(VLOOKUP($C59,武器!$1:$998,COLUMN(U$1),FALSE),"")</f>
        <v>0</v>
      </c>
      <c r="Z59">
        <f>IFERROR(ROUNDUP(VLOOKUP($C59,武器!$1:$998,COLUMN(O$1),FALSE)*VLOOKUP($D59,素材!$1:$1016,COLUMN(E$1),FALSE),1),"")</f>
        <v>0</v>
      </c>
      <c r="AA59">
        <f>IF(ISNUMBER(SEARCH(SUBSTITUTE(AA$1,RIGHT(AA$1,2),""),VLOOKUP($D59,素材!$1:$1016,COLUMN($F$1),FALSE))),VLOOKUP($C59,武器!$1:$998,COLUMN($O$1),FALSE)*VLOOKUP($D59,素材!$1:$1016,COLUMN($E$1),FALSE)/(LEN(VLOOKUP($D59,素材!$1:$1016,COLUMN($F$1),FALSE))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B59">
        <f>IF(ISNUMBER(SEARCH(SUBSTITUTE(AB$1,RIGHT(AB$1,2),""),VLOOKUP($D59,素材!$1:$1016,COLUMN($F$1),FALSE))),VLOOKUP($C59,武器!$1:$998,COLUMN($O$1),FALSE)*VLOOKUP($D59,素材!$1:$1016,COLUMN($E$1),FALSE)/(LEN(VLOOKUP($D59,素材!$1:$1016,COLUMN($F$1),FALSE))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C59">
        <f>IF(ISNUMBER(SEARCH(SUBSTITUTE(AC$1,RIGHT(AC$1,2),""),VLOOKUP($D59,素材!$1:$1016,COLUMN($F$1),FALSE))),VLOOKUP($C59,武器!$1:$998,COLUMN($O$1),FALSE)*VLOOKUP($D59,素材!$1:$1016,COLUMN($E$1),FALSE)/(LEN(VLOOKUP($D59,素材!$1:$1016,COLUMN($F$1),FALSE))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D59">
        <f>IF(ISNUMBER(SEARCH(SUBSTITUTE(AD$1,RIGHT(AD$1,2),""),VLOOKUP($D59,素材!$1:$1016,COLUMN($F$1),FALSE))),VLOOKUP($C59,武器!$1:$998,COLUMN($O$1),FALSE)*VLOOKUP($D59,素材!$1:$1016,COLUMN($E$1),FALSE)/(LEN(VLOOKUP($D59,素材!$1:$1016,COLUMN($F$1),FALSE))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E59">
        <f>IF(ISNUMBER(SEARCH(SUBSTITUTE(AE$1,RIGHT(AE$1,2),""),VLOOKUP($D59,素材!$1:$1016,COLUMN($F$1),FALSE))),VLOOKUP($C59,武器!$1:$998,COLUMN($O$1),FALSE)*VLOOKUP($D59,素材!$1:$1016,COLUMN($E$1),FALSE)/(LEN(VLOOKUP($D59,素材!$1:$1016,COLUMN($F$1),FALSE))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F59">
        <f>IF(ISNUMBER(SEARCH(SUBSTITUTE(AF$1,RIGHT(AF$1,2),""),VLOOKUP($D59,素材!$1:$1016,COLUMN($F$1),FALSE))),VLOOKUP($C59,武器!$1:$998,COLUMN($O$1),FALSE)*VLOOKUP($D59,素材!$1:$1016,COLUMN($E$1),FALSE)/(LEN(VLOOKUP($D59,素材!$1:$1016,COLUMN($F$1),FALSE))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G59">
        <f>IF(ISNUMBER(SEARCH(SUBSTITUTE(AG$1,RIGHT(AG$1,2),""),VLOOKUP($D59,素材!$1:$1016,COLUMN($F$1),FALSE))),VLOOKUP($C59,武器!$1:$998,COLUMN($O$1),FALSE)*VLOOKUP($D59,素材!$1:$1016,COLUMN($E$1),FALSE)/(LEN(VLOOKUP($D59,素材!$1:$1016,COLUMN($F$1),FALSE))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H59">
        <f>IF(ISNUMBER(SEARCH(SUBSTITUTE(AH$1,RIGHT(AH$1,2),""),VLOOKUP($D59,素材!$1:$1016,COLUMN($F$1),FALSE))),VLOOKUP($C59,武器!$1:$998,COLUMN($O$1),FALSE)*VLOOKUP($D59,素材!$1:$1016,COLUMN($E$1),FALSE)/(LEN(VLOOKUP($D59,素材!$1:$1016,COLUMN($F$1),FALSE))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I59">
        <f>IF(ISNUMBER(SEARCH(SUBSTITUTE(AI$1,RIGHT(AI$1,2),""),VLOOKUP($D59,素材!$1:$1016,COLUMN($F$1),FALSE))),VLOOKUP($C59,武器!$1:$998,COLUMN($O$1),FALSE)*VLOOKUP($D59,素材!$1:$1016,COLUMN($E$1),FALSE)/(LEN(VLOOKUP($D59,素材!$1:$1016,COLUMN($F$1),FALSE))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J59">
        <f>IF(ISNUMBER(SEARCH(SUBSTITUTE(AJ$1,RIGHT(AJ$1,2),""),VLOOKUP($D59,素材!$1:$1016,COLUMN($F$1),FALSE))),VLOOKUP($C59,武器!$1:$998,COLUMN($O$1),FALSE)*VLOOKUP($D59,素材!$1:$1016,COLUMN($E$1),FALSE)/(LEN(VLOOKUP($D59,素材!$1:$1016,COLUMN($F$1),FALSE))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K59">
        <f>IF(ISNUMBER(SEARCH(SUBSTITUTE(AK$1,RIGHT(AK$1,2),""),VLOOKUP($D59,素材!$1:$1016,COLUMN($F$1),FALSE))),VLOOKUP($C59,武器!$1:$998,COLUMN($O$1),FALSE)*VLOOKUP($D59,素材!$1:$1016,COLUMN($E$1),FALSE)/(LEN(VLOOKUP($D59,素材!$1:$1016,COLUMN($F$1),FALSE))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L59">
        <f>IF(ISNUMBER(SEARCH(SUBSTITUTE(AL$1,RIGHT(AL$1,2),""),VLOOKUP($D59,素材!$1:$1016,COLUMN($F$1),FALSE))),VLOOKUP($C59,武器!$1:$998,COLUMN($O$1),FALSE)*VLOOKUP($D59,素材!$1:$1016,COLUMN($E$1),FALSE)/(LEN(VLOOKUP($D59,素材!$1:$1016,COLUMN($F$1),FALSE))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M59">
        <f>IF(ISNUMBER(SEARCH(SUBSTITUTE(AM$1,RIGHT(AM$1,2),""),VLOOKUP($D59,素材!$1:$1016,COLUMN($F$1),FALSE))),VLOOKUP($C59,武器!$1:$998,COLUMN($O$1),FALSE)*VLOOKUP($D59,素材!$1:$1016,COLUMN($E$1),FALSE)/(LEN(VLOOKUP($D59,素材!$1:$1016,COLUMN($F$1),FALSE))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N59">
        <f>IF(ISNUMBER(SEARCH(SUBSTITUTE(AN$1,RIGHT(AN$1,2),""),VLOOKUP($D59,素材!$1:$1016,COLUMN($F$1),FALSE))),VLOOKUP($C59,武器!$1:$998,COLUMN($O$1),FALSE)*VLOOKUP($D59,素材!$1:$1016,COLUMN($E$1),FALSE)/(LEN(VLOOKUP($D59,素材!$1:$1016,COLUMN($F$1),FALSE))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O59">
        <f>IF(ISNUMBER(SEARCH(SUBSTITUTE(AO$1,RIGHT(AO$1,2),""),VLOOKUP($D59,素材!$1:$1016,COLUMN($F$1),FALSE))),VLOOKUP($C59,武器!$1:$998,COLUMN($O$1),FALSE)*VLOOKUP($D59,素材!$1:$1016,COLUMN($E$1),FALSE)/(LEN(VLOOKUP($D59,素材!$1:$1016,COLUMN($F$1),FALSE))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P59">
        <f>IF(ISNUMBER(SEARCH(SUBSTITUTE(AP$1,RIGHT(AP$1,2),""),VLOOKUP($D59,素材!$1:$1016,COLUMN($F$1),FALSE))),VLOOKUP($C59,武器!$1:$998,COLUMN($O$1),FALSE)*VLOOKUP($D59,素材!$1:$1016,COLUMN($E$1),FALSE)/(LEN(VLOOKUP($D59,素材!$1:$1016,COLUMN($F$1),FALSE))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Q59">
        <f>IF(ISNUMBER(SEARCH(SUBSTITUTE(AQ$1,RIGHT(AQ$1,2),""),VLOOKUP($D59,素材!$1:$1016,COLUMN($F$1),FALSE))),VLOOKUP($C59,武器!$1:$998,COLUMN($O$1),FALSE)*VLOOKUP($D59,素材!$1:$1016,COLUMN($E$1),FALSE)/(LEN(VLOOKUP($D59,素材!$1:$1016,COLUMN($F$1),FALSE))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R59">
        <f>IF(ISNUMBER(SEARCH(SUBSTITUTE(AR$1,RIGHT(AR$1,2),""),VLOOKUP($D59,素材!$1:$1016,COLUMN($F$1),FALSE))),VLOOKUP($C59,武器!$1:$998,COLUMN($O$1),FALSE)*VLOOKUP($D59,素材!$1:$1016,COLUMN($E$1),FALSE)/(LEN(VLOOKUP($D59,素材!$1:$1016,COLUMN($F$1),FALSE))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S59">
        <f>IF(ISNUMBER(SEARCH(SUBSTITUTE(AS$1,RIGHT(AS$1,2),""),VLOOKUP($D59,素材!$1:$1016,COLUMN($F$1),FALSE))),VLOOKUP($C59,武器!$1:$998,COLUMN($O$1),FALSE)*VLOOKUP($D59,素材!$1:$1016,COLUMN($E$1),FALSE)/(LEN(VLOOKUP($D59,素材!$1:$1016,COLUMN($F$1),FALSE))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T59">
        <f>IF(ISNUMBER(SEARCH(SUBSTITUTE(AT$1,RIGHT(AT$1,2),""),VLOOKUP($D59,素材!$1:$1016,COLUMN($F$1),FALSE))),VLOOKUP($C59,武器!$1:$998,COLUMN($O$1),FALSE)*VLOOKUP($D59,素材!$1:$1016,COLUMN($E$1),FALSE)/(LEN(VLOOKUP($D59,素材!$1:$1016,COLUMN($F$1),FALSE))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U59">
        <f>IF(ISNUMBER(SEARCH(SUBSTITUTE(AU$1,RIGHT(AU$1,2),""),VLOOKUP($D59,素材!$1:$1016,COLUMN($F$1),FALSE))),VLOOKUP($C59,武器!$1:$998,COLUMN($O$1),FALSE)*VLOOKUP($D59,素材!$1:$1016,COLUMN($E$1),FALSE)/(LEN(VLOOKUP($D59,素材!$1:$1016,COLUMN($F$1),FALSE))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V59">
        <f>IF(ISNUMBER(SEARCH(SUBSTITUTE(AV$1,RIGHT(AV$1,2),""),VLOOKUP($D59,素材!$1:$1016,COLUMN($F$1),FALSE))),VLOOKUP($C59,武器!$1:$998,COLUMN($O$1),FALSE)*VLOOKUP($D59,素材!$1:$1016,COLUMN($E$1),FALSE)/(LEN(VLOOKUP($D59,素材!$1:$1016,COLUMN($F$1),FALSE))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W59">
        <f>IF(ISNUMBER(SEARCH(SUBSTITUTE(AW$1,RIGHT(AW$1,2),""),VLOOKUP($D59,素材!$1:$1016,COLUMN($F$1),FALSE))),VLOOKUP($C59,武器!$1:$998,COLUMN($O$1),FALSE)*VLOOKUP($D59,素材!$1:$1016,COLUMN($E$1),FALSE)/(LEN(VLOOKUP($D59,素材!$1:$1016,COLUMN($F$1),FALSE))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X59">
        <f>IF(ISNUMBER(SEARCH(SUBSTITUTE(AX$1,RIGHT(AX$1,2),""),VLOOKUP($D59,素材!$1:$1016,COLUMN($F$1),FALSE))),VLOOKUP($C59,武器!$1:$998,COLUMN($O$1),FALSE)*VLOOKUP($D59,素材!$1:$1016,COLUMN($E$1),FALSE)/(LEN(VLOOKUP($D59,素材!$1:$1016,COLUMN($F$1),FALSE))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Y59">
        <f>IF(ISNUMBER(SEARCH(SUBSTITUTE(AY$1,RIGHT(AY$1,2),""),VLOOKUP($D59,素材!$1:$1016,COLUMN($F$1),FALSE))),VLOOKUP($C59,武器!$1:$998,COLUMN($O$1),FALSE)*VLOOKUP($D59,素材!$1:$1016,COLUMN($E$1),FALSE)/(LEN(VLOOKUP($D59,素材!$1:$1016,COLUMN($F$1),FALSE))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AZ59">
        <f>IF(ISNUMBER(SEARCH(SUBSTITUTE(AZ$1,RIGHT(AZ$1,2),""),VLOOKUP($D59,素材!$1:$1016,COLUMN($F$1),FALSE))),VLOOKUP($C59,武器!$1:$998,COLUMN($O$1),FALSE)*VLOOKUP($D59,素材!$1:$1016,COLUMN($E$1),FALSE)/(LEN(VLOOKUP($D59,素材!$1:$1016,COLUMN($F$1),FALSE))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BA59">
        <f>IF(ISNUMBER(SEARCH(SUBSTITUTE(BA$1,RIGHT(BA$1,2),""),VLOOKUP($D59,素材!$1:$1016,COLUMN($F$1),FALSE))),VLOOKUP($C59,武器!$1:$998,COLUMN($O$1),FALSE)*VLOOKUP($D59,素材!$1:$1016,COLUMN($E$1),FALSE)/(LEN(VLOOKUP($D59,素材!$1:$1016,COLUMN($F$1),FALSE))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BB59">
        <f>IF(ISNUMBER(SEARCH(SUBSTITUTE(BB$1,RIGHT(BB$1,2),""),VLOOKUP($D59,素材!$1:$1016,COLUMN($F$1),FALSE))),VLOOKUP($C59,武器!$1:$998,COLUMN($O$1),FALSE)*VLOOKUP($D59,素材!$1:$1016,COLUMN($E$1),FALSE)/(LEN(VLOOKUP($D59,素材!$1:$1016,COLUMN($F$1),FALSE))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BC59">
        <f>IF(ISNUMBER(SEARCH(SUBSTITUTE(BC$1,RIGHT(BC$1,2),""),VLOOKUP($D59,素材!$1:$1016,COLUMN($F$1),FALSE))),VLOOKUP($C59,武器!$1:$998,COLUMN($O$1),FALSE)*VLOOKUP($D59,素材!$1:$1016,COLUMN($E$1),FALSE)/(LEN(VLOOKUP($D59,素材!$1:$1016,COLUMN($F$1),FALSE))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BD59">
        <f>IF(ISNUMBER(SEARCH(SUBSTITUTE(BD$1,RIGHT(BD$1,2),""),VLOOKUP($D59,素材!$1:$1016,COLUMN($F$1),FALSE))),VLOOKUP($C59,武器!$1:$998,COLUMN($O$1),FALSE)*VLOOKUP($D59,素材!$1:$1016,COLUMN($E$1),FALSE)/(LEN(VLOOKUP($D59,素材!$1:$1016,COLUMN($F$1),FALSE))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BE59">
        <f>IF(ISNUMBER(SEARCH(SUBSTITUTE(BE$1,RIGHT(BE$1,2),""),VLOOKUP($D59,素材!$1:$1016,COLUMN($F$1),FALSE))),VLOOKUP($C59,武器!$1:$998,COLUMN($O$1),FALSE)*VLOOKUP($D59,素材!$1:$1016,COLUMN($E$1),FALSE)/(LEN(VLOOKUP($D59,素材!$1:$1016,COLUMN($F$1),FALSE))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BF59">
        <f>IF(ISNUMBER(SEARCH(SUBSTITUTE(BF$1,RIGHT(BF$1,2),""),VLOOKUP($D59,素材!$1:$1016,COLUMN($F$1),FALSE))),VLOOKUP($C59,武器!$1:$998,COLUMN($O$1),FALSE)*VLOOKUP($D59,素材!$1:$1016,COLUMN($E$1),FALSE)/(LEN(VLOOKUP($D59,素材!$1:$1016,COLUMN($F$1),FALSE)) - LEN(SUBSTITUTE(VLOOKUP($D59,素材!$1:$1016,COLUMN($F$1),FALSE), "・", 0)) + 1), 0)</f>
        <v>0</v>
      </c>
      <c r="CM59">
        <f t="shared" si="3"/>
        <v>16</v>
      </c>
      <c r="CN59" s="22" t="str">
        <f>IF(E59="武器",IF(J59-1&gt;SUM(G59:I59),"盾",IF(MAX(G59:I59)=G59,"切断",IF(MAX(G59:I59)=H59,"貫通",IF(MAX(G59:I59)=I59,"打撃","射撃")))),E59)&amp;".webp"</f>
        <v>切断.webp</v>
      </c>
      <c r="CO59">
        <f>IFERROR(VLOOKUP($C59,武器!$1:$998,COLUMN(V$1),FALSE)*VLOOKUP($D59,素材!$1:$1016,COLUMN(N$1),FALSE)+IF(CJ59="",0,VLOOKUP($CJ59,装強!$1:$1008,COLUMN($CL$1),FALSE)),"")</f>
        <v>250</v>
      </c>
      <c r="CP59" t="str">
        <f>VLOOKUP(D59,素材!$A:$O,COLUMN(素材!O$1),FALSE)</f>
        <v>一般的な木材。金属より軽いが少し脆い</v>
      </c>
      <c r="CQ59" t="str">
        <f>VLOOKUP(C59,武器!$A:$W,COLUMN(武器!W$1),FALSE)</f>
        <v>鞭。リーチが長く、敵を絡め取る戦闘に適する。</v>
      </c>
      <c r="CS59" t="str">
        <f t="shared" si="2"/>
        <v>e_59</v>
      </c>
      <c r="CT59">
        <f t="shared" si="4"/>
        <v>25000</v>
      </c>
    </row>
    <row r="60" spans="1:98" outlineLevel="1" x14ac:dyDescent="0.4">
      <c r="A60" t="str">
        <f t="shared" si="5"/>
        <v>木の丸盾</v>
      </c>
      <c r="B60" t="str">
        <f>IFERROR(VLOOKUP($D60,素材!$1:$1016,COLUMN($B$1),FALSE)&amp;"・"&amp;VLOOKUP($C60,武器!$1:$998,COLUMN(B$1),FALSE),"")</f>
        <v>ウッド・バックラー</v>
      </c>
      <c r="C60" t="s">
        <v>222</v>
      </c>
      <c r="D60" s="24" t="s">
        <v>255</v>
      </c>
      <c r="E60" t="str">
        <f>IFERROR(VLOOKUP(C60,武器!$1:$998,COLUMN(C$1),FALSE),"")</f>
        <v>盾</v>
      </c>
      <c r="F60">
        <f>IFERROR(ROUNDDOWN((VLOOKUP($C60,武器!$1:$998,COLUMN(D$1),FALSE)+IFERROR(VLOOKUP($CJ60,装強!$1:$999,COLUMN(F$1),FALSE),0))*VLOOKUP($D60,素材!$1:$1016,COLUMN(D$1),FALSE),0),"")</f>
        <v>75</v>
      </c>
      <c r="G60">
        <f>IFERROR(ROUNDDOWN((VLOOKUP($C60,武器!$1:$998,COLUMN(E$1),FALSE)+IFERROR(VLOOKUP($CJ60,装強!$1:$999,COLUMN(G$1),FALSE),0))*VLOOKUP($D60,素材!$1:$1016,COLUMN($E$1),FALSE),0),"")</f>
        <v>6</v>
      </c>
      <c r="H60">
        <f>IFERROR(ROUNDDOWN((VLOOKUP($C60,武器!$1:$998,COLUMN(F$1),FALSE)+IFERROR(VLOOKUP($CJ60,装強!$1:$999,COLUMN(H$1),FALSE),0))*VLOOKUP($D60,素材!$1:$1016,COLUMN($E$1),FALSE),0),"")</f>
        <v>0</v>
      </c>
      <c r="I60">
        <f>IFERROR(ROUNDDOWN((VLOOKUP($C60,武器!$1:$998,COLUMN(G$1),FALSE)+IFERROR(VLOOKUP($CJ60,装強!$1:$999,COLUMN(I$1),FALSE),0))*VLOOKUP($D60,素材!$1:$1016,COLUMN($E$1),FALSE),0),"")</f>
        <v>6</v>
      </c>
      <c r="J60">
        <f>IFERROR(ROUNDDOWN((VLOOKUP($C60,武器!$1:$998,COLUMN(H$1),FALSE)+IFERROR(VLOOKUP($CJ60,装強!$1:$999,COLUMN(J$1),FALSE),0))*VLOOKUP($D60,素材!$1:$1016,COLUMN($E$1),FALSE),0),"")</f>
        <v>17</v>
      </c>
      <c r="K60">
        <f>IFERROR(ROUNDDOWN((VLOOKUP($C60,武器!$1:$998,COLUMN(I$1),FALSE)+IFERROR(VLOOKUP($CJ60,装強!$1:$999,COLUMN(K$1),FALSE),0))*VLOOKUP($D60,素材!$1:$1016,COLUMN($E$1),FALSE),0),"")</f>
        <v>0</v>
      </c>
      <c r="L60">
        <f>IFERROR(VLOOKUP($D60,素材!$1:$1016,COLUMN($F$1),FALSE),"")</f>
        <v>0</v>
      </c>
      <c r="M60">
        <f>IFERROR(VLOOKUP($C60,武器!$1:$998,COLUMN(AA$1),FALSE)*VLOOKUP($D60,素材!$1:$1016,COLUMN($G$1),FALSE),"")</f>
        <v>0</v>
      </c>
      <c r="N60">
        <f>IFERROR(VLOOKUP($C60,武器!$1:$998,COLUMN(I$1),FALSE),"")</f>
        <v>0</v>
      </c>
      <c r="O60" s="23">
        <f>IFERROR((VLOOKUP($C60,武器!$1:$998,COLUMN(K$1),FALSE)+VLOOKUP($D60,素材!$1:$1016,COLUMN(H$1),FALSE))*100+IFERROR(VLOOKUP($CJ60,装強!$1:$999,COLUMN(O$1),FALSE),0),"")</f>
        <v>5</v>
      </c>
      <c r="P60" s="23">
        <f>IFERROR((VLOOKUP($C60,武器!$1:$998,COLUMN(L$1),FALSE)+VLOOKUP($D60,素材!$1:$1016,COLUMN(I$1),FALSE))*100+IFERROR(VLOOKUP($CJ60,装強!$1:$999,COLUMN(P$1),FALSE),0),"")</f>
        <v>125</v>
      </c>
      <c r="Q60">
        <f>IFERROR(ROUNDUP(VLOOKUP($C60,武器!$1:$998,COLUMN(M$1),FALSE)*(VLOOKUP($D60,素材!$1:$1002,COLUMN(D$1),FALSE)/100),1),"")</f>
        <v>0</v>
      </c>
      <c r="R60">
        <f>IFERROR(ROUNDUP(VLOOKUP($C60,武器!$1:$998,COLUMN(N$1),FALSE)*(VLOOKUP($D60,素材!$1:$1002,COLUMN(D$1),FALSE)/100),1),"")</f>
        <v>0</v>
      </c>
      <c r="S60">
        <f>IFERROR(VLOOKUP($C60,武器!$1:$998,COLUMN(P$1),FALSE),"")</f>
        <v>0</v>
      </c>
      <c r="T60">
        <f>IFERROR(VLOOKUP($C60,武器!$1:$998,COLUMN(Q$1),FALSE),"")</f>
        <v>0</v>
      </c>
      <c r="U60">
        <f>IFERROR(VLOOKUP($C60,武器!$1:$998,COLUMN(R$1),FALSE),"")</f>
        <v>0</v>
      </c>
      <c r="V60">
        <f>IFERROR(VLOOKUP($C60,武器!$1:$998,COLUMN(Q$1),FALSE),"")</f>
        <v>0</v>
      </c>
      <c r="W60" t="str">
        <f>IFERROR(VLOOKUP($C60,武器!$1:$998,COLUMN(T$1),FALSE),"")</f>
        <v>A</v>
      </c>
      <c r="Y60" t="str">
        <f>IFERROR(VLOOKUP($C60,武器!$1:$998,COLUMN(U$1),FALSE),"")</f>
        <v>投擲強化,片手適性Ⅱ</v>
      </c>
      <c r="Z60">
        <f>IFERROR(ROUNDUP(VLOOKUP($C60,武器!$1:$998,COLUMN(O$1),FALSE)*VLOOKUP($D60,素材!$1:$1016,COLUMN(E$1),FALSE),1),"")</f>
        <v>0</v>
      </c>
      <c r="AA60">
        <f>IF(ISNUMBER(SEARCH(SUBSTITUTE(AA$1,RIGHT(AA$1,2),""),VLOOKUP($D60,素材!$1:$1016,COLUMN($F$1),FALSE))),VLOOKUP($C60,武器!$1:$998,COLUMN($O$1),FALSE)*VLOOKUP($D60,素材!$1:$1016,COLUMN($E$1),FALSE)/(LEN(VLOOKUP($D60,素材!$1:$1016,COLUMN($F$1),FALSE))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B60">
        <f>IF(ISNUMBER(SEARCH(SUBSTITUTE(AB$1,RIGHT(AB$1,2),""),VLOOKUP($D60,素材!$1:$1016,COLUMN($F$1),FALSE))),VLOOKUP($C60,武器!$1:$998,COLUMN($O$1),FALSE)*VLOOKUP($D60,素材!$1:$1016,COLUMN($E$1),FALSE)/(LEN(VLOOKUP($D60,素材!$1:$1016,COLUMN($F$1),FALSE))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C60">
        <f>IF(ISNUMBER(SEARCH(SUBSTITUTE(AC$1,RIGHT(AC$1,2),""),VLOOKUP($D60,素材!$1:$1016,COLUMN($F$1),FALSE))),VLOOKUP($C60,武器!$1:$998,COLUMN($O$1),FALSE)*VLOOKUP($D60,素材!$1:$1016,COLUMN($E$1),FALSE)/(LEN(VLOOKUP($D60,素材!$1:$1016,COLUMN($F$1),FALSE))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D60">
        <f>IF(ISNUMBER(SEARCH(SUBSTITUTE(AD$1,RIGHT(AD$1,2),""),VLOOKUP($D60,素材!$1:$1016,COLUMN($F$1),FALSE))),VLOOKUP($C60,武器!$1:$998,COLUMN($O$1),FALSE)*VLOOKUP($D60,素材!$1:$1016,COLUMN($E$1),FALSE)/(LEN(VLOOKUP($D60,素材!$1:$1016,COLUMN($F$1),FALSE))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E60">
        <f>IF(ISNUMBER(SEARCH(SUBSTITUTE(AE$1,RIGHT(AE$1,2),""),VLOOKUP($D60,素材!$1:$1016,COLUMN($F$1),FALSE))),VLOOKUP($C60,武器!$1:$998,COLUMN($O$1),FALSE)*VLOOKUP($D60,素材!$1:$1016,COLUMN($E$1),FALSE)/(LEN(VLOOKUP($D60,素材!$1:$1016,COLUMN($F$1),FALSE))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F60">
        <f>IF(ISNUMBER(SEARCH(SUBSTITUTE(AF$1,RIGHT(AF$1,2),""),VLOOKUP($D60,素材!$1:$1016,COLUMN($F$1),FALSE))),VLOOKUP($C60,武器!$1:$998,COLUMN($O$1),FALSE)*VLOOKUP($D60,素材!$1:$1016,COLUMN($E$1),FALSE)/(LEN(VLOOKUP($D60,素材!$1:$1016,COLUMN($F$1),FALSE))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G60">
        <f>IF(ISNUMBER(SEARCH(SUBSTITUTE(AG$1,RIGHT(AG$1,2),""),VLOOKUP($D60,素材!$1:$1016,COLUMN($F$1),FALSE))),VLOOKUP($C60,武器!$1:$998,COLUMN($O$1),FALSE)*VLOOKUP($D60,素材!$1:$1016,COLUMN($E$1),FALSE)/(LEN(VLOOKUP($D60,素材!$1:$1016,COLUMN($F$1),FALSE))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H60">
        <f>IF(ISNUMBER(SEARCH(SUBSTITUTE(AH$1,RIGHT(AH$1,2),""),VLOOKUP($D60,素材!$1:$1016,COLUMN($F$1),FALSE))),VLOOKUP($C60,武器!$1:$998,COLUMN($O$1),FALSE)*VLOOKUP($D60,素材!$1:$1016,COLUMN($E$1),FALSE)/(LEN(VLOOKUP($D60,素材!$1:$1016,COLUMN($F$1),FALSE))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I60">
        <f>IF(ISNUMBER(SEARCH(SUBSTITUTE(AI$1,RIGHT(AI$1,2),""),VLOOKUP($D60,素材!$1:$1016,COLUMN($F$1),FALSE))),VLOOKUP($C60,武器!$1:$998,COLUMN($O$1),FALSE)*VLOOKUP($D60,素材!$1:$1016,COLUMN($E$1),FALSE)/(LEN(VLOOKUP($D60,素材!$1:$1016,COLUMN($F$1),FALSE))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J60">
        <f>IF(ISNUMBER(SEARCH(SUBSTITUTE(AJ$1,RIGHT(AJ$1,2),""),VLOOKUP($D60,素材!$1:$1016,COLUMN($F$1),FALSE))),VLOOKUP($C60,武器!$1:$998,COLUMN($O$1),FALSE)*VLOOKUP($D60,素材!$1:$1016,COLUMN($E$1),FALSE)/(LEN(VLOOKUP($D60,素材!$1:$1016,COLUMN($F$1),FALSE))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K60">
        <f>IF(ISNUMBER(SEARCH(SUBSTITUTE(AK$1,RIGHT(AK$1,2),""),VLOOKUP($D60,素材!$1:$1016,COLUMN($F$1),FALSE))),VLOOKUP($C60,武器!$1:$998,COLUMN($O$1),FALSE)*VLOOKUP($D60,素材!$1:$1016,COLUMN($E$1),FALSE)/(LEN(VLOOKUP($D60,素材!$1:$1016,COLUMN($F$1),FALSE))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L60">
        <f>IF(ISNUMBER(SEARCH(SUBSTITUTE(AL$1,RIGHT(AL$1,2),""),VLOOKUP($D60,素材!$1:$1016,COLUMN($F$1),FALSE))),VLOOKUP($C60,武器!$1:$998,COLUMN($O$1),FALSE)*VLOOKUP($D60,素材!$1:$1016,COLUMN($E$1),FALSE)/(LEN(VLOOKUP($D60,素材!$1:$1016,COLUMN($F$1),FALSE))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M60">
        <f>IF(ISNUMBER(SEARCH(SUBSTITUTE(AM$1,RIGHT(AM$1,2),""),VLOOKUP($D60,素材!$1:$1016,COLUMN($F$1),FALSE))),VLOOKUP($C60,武器!$1:$998,COLUMN($O$1),FALSE)*VLOOKUP($D60,素材!$1:$1016,COLUMN($E$1),FALSE)/(LEN(VLOOKUP($D60,素材!$1:$1016,COLUMN($F$1),FALSE))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N60">
        <f>IF(ISNUMBER(SEARCH(SUBSTITUTE(AN$1,RIGHT(AN$1,2),""),VLOOKUP($D60,素材!$1:$1016,COLUMN($F$1),FALSE))),VLOOKUP($C60,武器!$1:$998,COLUMN($O$1),FALSE)*VLOOKUP($D60,素材!$1:$1016,COLUMN($E$1),FALSE)/(LEN(VLOOKUP($D60,素材!$1:$1016,COLUMN($F$1),FALSE))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O60">
        <f>IF(ISNUMBER(SEARCH(SUBSTITUTE(AO$1,RIGHT(AO$1,2),""),VLOOKUP($D60,素材!$1:$1016,COLUMN($F$1),FALSE))),VLOOKUP($C60,武器!$1:$998,COLUMN($O$1),FALSE)*VLOOKUP($D60,素材!$1:$1016,COLUMN($E$1),FALSE)/(LEN(VLOOKUP($D60,素材!$1:$1016,COLUMN($F$1),FALSE))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P60">
        <f>IF(ISNUMBER(SEARCH(SUBSTITUTE(AP$1,RIGHT(AP$1,2),""),VLOOKUP($D60,素材!$1:$1016,COLUMN($F$1),FALSE))),VLOOKUP($C60,武器!$1:$998,COLUMN($O$1),FALSE)*VLOOKUP($D60,素材!$1:$1016,COLUMN($E$1),FALSE)/(LEN(VLOOKUP($D60,素材!$1:$1016,COLUMN($F$1),FALSE))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Q60">
        <f>IF(ISNUMBER(SEARCH(SUBSTITUTE(AQ$1,RIGHT(AQ$1,2),""),VLOOKUP($D60,素材!$1:$1016,COLUMN($F$1),FALSE))),VLOOKUP($C60,武器!$1:$998,COLUMN($O$1),FALSE)*VLOOKUP($D60,素材!$1:$1016,COLUMN($E$1),FALSE)/(LEN(VLOOKUP($D60,素材!$1:$1016,COLUMN($F$1),FALSE))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R60">
        <f>IF(ISNUMBER(SEARCH(SUBSTITUTE(AR$1,RIGHT(AR$1,2),""),VLOOKUP($D60,素材!$1:$1016,COLUMN($F$1),FALSE))),VLOOKUP($C60,武器!$1:$998,COLUMN($O$1),FALSE)*VLOOKUP($D60,素材!$1:$1016,COLUMN($E$1),FALSE)/(LEN(VLOOKUP($D60,素材!$1:$1016,COLUMN($F$1),FALSE))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S60">
        <f>IF(ISNUMBER(SEARCH(SUBSTITUTE(AS$1,RIGHT(AS$1,2),""),VLOOKUP($D60,素材!$1:$1016,COLUMN($F$1),FALSE))),VLOOKUP($C60,武器!$1:$998,COLUMN($O$1),FALSE)*VLOOKUP($D60,素材!$1:$1016,COLUMN($E$1),FALSE)/(LEN(VLOOKUP($D60,素材!$1:$1016,COLUMN($F$1),FALSE))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T60">
        <f>IF(ISNUMBER(SEARCH(SUBSTITUTE(AT$1,RIGHT(AT$1,2),""),VLOOKUP($D60,素材!$1:$1016,COLUMN($F$1),FALSE))),VLOOKUP($C60,武器!$1:$998,COLUMN($O$1),FALSE)*VLOOKUP($D60,素材!$1:$1016,COLUMN($E$1),FALSE)/(LEN(VLOOKUP($D60,素材!$1:$1016,COLUMN($F$1),FALSE))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U60">
        <f>IF(ISNUMBER(SEARCH(SUBSTITUTE(AU$1,RIGHT(AU$1,2),""),VLOOKUP($D60,素材!$1:$1016,COLUMN($F$1),FALSE))),VLOOKUP($C60,武器!$1:$998,COLUMN($O$1),FALSE)*VLOOKUP($D60,素材!$1:$1016,COLUMN($E$1),FALSE)/(LEN(VLOOKUP($D60,素材!$1:$1016,COLUMN($F$1),FALSE))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V60">
        <f>IF(ISNUMBER(SEARCH(SUBSTITUTE(AV$1,RIGHT(AV$1,2),""),VLOOKUP($D60,素材!$1:$1016,COLUMN($F$1),FALSE))),VLOOKUP($C60,武器!$1:$998,COLUMN($O$1),FALSE)*VLOOKUP($D60,素材!$1:$1016,COLUMN($E$1),FALSE)/(LEN(VLOOKUP($D60,素材!$1:$1016,COLUMN($F$1),FALSE))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W60">
        <f>IF(ISNUMBER(SEARCH(SUBSTITUTE(AW$1,RIGHT(AW$1,2),""),VLOOKUP($D60,素材!$1:$1016,COLUMN($F$1),FALSE))),VLOOKUP($C60,武器!$1:$998,COLUMN($O$1),FALSE)*VLOOKUP($D60,素材!$1:$1016,COLUMN($E$1),FALSE)/(LEN(VLOOKUP($D60,素材!$1:$1016,COLUMN($F$1),FALSE))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X60">
        <f>IF(ISNUMBER(SEARCH(SUBSTITUTE(AX$1,RIGHT(AX$1,2),""),VLOOKUP($D60,素材!$1:$1016,COLUMN($F$1),FALSE))),VLOOKUP($C60,武器!$1:$998,COLUMN($O$1),FALSE)*VLOOKUP($D60,素材!$1:$1016,COLUMN($E$1),FALSE)/(LEN(VLOOKUP($D60,素材!$1:$1016,COLUMN($F$1),FALSE))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Y60">
        <f>IF(ISNUMBER(SEARCH(SUBSTITUTE(AY$1,RIGHT(AY$1,2),""),VLOOKUP($D60,素材!$1:$1016,COLUMN($F$1),FALSE))),VLOOKUP($C60,武器!$1:$998,COLUMN($O$1),FALSE)*VLOOKUP($D60,素材!$1:$1016,COLUMN($E$1),FALSE)/(LEN(VLOOKUP($D60,素材!$1:$1016,COLUMN($F$1),FALSE))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AZ60">
        <f>IF(ISNUMBER(SEARCH(SUBSTITUTE(AZ$1,RIGHT(AZ$1,2),""),VLOOKUP($D60,素材!$1:$1016,COLUMN($F$1),FALSE))),VLOOKUP($C60,武器!$1:$998,COLUMN($O$1),FALSE)*VLOOKUP($D60,素材!$1:$1016,COLUMN($E$1),FALSE)/(LEN(VLOOKUP($D60,素材!$1:$1016,COLUMN($F$1),FALSE))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BA60">
        <f>IF(ISNUMBER(SEARCH(SUBSTITUTE(BA$1,RIGHT(BA$1,2),""),VLOOKUP($D60,素材!$1:$1016,COLUMN($F$1),FALSE))),VLOOKUP($C60,武器!$1:$998,COLUMN($O$1),FALSE)*VLOOKUP($D60,素材!$1:$1016,COLUMN($E$1),FALSE)/(LEN(VLOOKUP($D60,素材!$1:$1016,COLUMN($F$1),FALSE))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BB60">
        <f>IF(ISNUMBER(SEARCH(SUBSTITUTE(BB$1,RIGHT(BB$1,2),""),VLOOKUP($D60,素材!$1:$1016,COLUMN($F$1),FALSE))),VLOOKUP($C60,武器!$1:$998,COLUMN($O$1),FALSE)*VLOOKUP($D60,素材!$1:$1016,COLUMN($E$1),FALSE)/(LEN(VLOOKUP($D60,素材!$1:$1016,COLUMN($F$1),FALSE))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BC60">
        <f>IF(ISNUMBER(SEARCH(SUBSTITUTE(BC$1,RIGHT(BC$1,2),""),VLOOKUP($D60,素材!$1:$1016,COLUMN($F$1),FALSE))),VLOOKUP($C60,武器!$1:$998,COLUMN($O$1),FALSE)*VLOOKUP($D60,素材!$1:$1016,COLUMN($E$1),FALSE)/(LEN(VLOOKUP($D60,素材!$1:$1016,COLUMN($F$1),FALSE))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BD60">
        <f>IF(ISNUMBER(SEARCH(SUBSTITUTE(BD$1,RIGHT(BD$1,2),""),VLOOKUP($D60,素材!$1:$1016,COLUMN($F$1),FALSE))),VLOOKUP($C60,武器!$1:$998,COLUMN($O$1),FALSE)*VLOOKUP($D60,素材!$1:$1016,COLUMN($E$1),FALSE)/(LEN(VLOOKUP($D60,素材!$1:$1016,COLUMN($F$1),FALSE))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BE60">
        <f>IF(ISNUMBER(SEARCH(SUBSTITUTE(BE$1,RIGHT(BE$1,2),""),VLOOKUP($D60,素材!$1:$1016,COLUMN($F$1),FALSE))),VLOOKUP($C60,武器!$1:$998,COLUMN($O$1),FALSE)*VLOOKUP($D60,素材!$1:$1016,COLUMN($E$1),FALSE)/(LEN(VLOOKUP($D60,素材!$1:$1016,COLUMN($F$1),FALSE))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BF60">
        <f>IF(ISNUMBER(SEARCH(SUBSTITUTE(BF$1,RIGHT(BF$1,2),""),VLOOKUP($D60,素材!$1:$1016,COLUMN($F$1),FALSE))),VLOOKUP($C60,武器!$1:$998,COLUMN($O$1),FALSE)*VLOOKUP($D60,素材!$1:$1016,COLUMN($E$1),FALSE)/(LEN(VLOOKUP($D60,素材!$1:$1016,COLUMN($F$1),FALSE)) - LEN(SUBSTITUTE(VLOOKUP($D60,素材!$1:$1016,COLUMN($F$1),FALSE), "・", 0)) + 1), 0)</f>
        <v>0</v>
      </c>
      <c r="CM60">
        <f t="shared" si="3"/>
        <v>12</v>
      </c>
      <c r="CN60" s="22" t="str">
        <f>IF(E60="武器",IF(J60-1&gt;SUM(G60:I60),"盾",IF(MAX(G60:I60)=G60,"切断",IF(MAX(G60:I60)=H60,"貫通",IF(MAX(G60:I60)=I60,"打撃","射撃")))),E60)&amp;".webp"</f>
        <v>盾.webp</v>
      </c>
      <c r="CO60">
        <f>IFERROR(VLOOKUP($C60,武器!$1:$998,COLUMN(V$1),FALSE)*VLOOKUP($D60,素材!$1:$1016,COLUMN(N$1),FALSE)+IF(CJ60="",0,VLOOKUP($CJ60,装強!$1:$1008,COLUMN($CL$1),FALSE)),"")</f>
        <v>150</v>
      </c>
      <c r="CP60" t="str">
        <f>VLOOKUP(D60,素材!$A:$O,COLUMN(素材!O$1),FALSE)</f>
        <v>一般的な木材。金属より軽いが少し脆い</v>
      </c>
      <c r="CQ60" t="str">
        <f>VLOOKUP(C60,武器!$A:$W,COLUMN(武器!W$1),FALSE)</f>
        <v>丸盾。軽量で投擲にも使える盾。</v>
      </c>
      <c r="CS60" t="str">
        <f t="shared" si="2"/>
        <v>e_60</v>
      </c>
      <c r="CT60">
        <f t="shared" si="4"/>
        <v>15000</v>
      </c>
    </row>
    <row r="61" spans="1:98" outlineLevel="1" x14ac:dyDescent="0.4">
      <c r="A61" t="str">
        <f t="shared" si="5"/>
        <v>木の盾</v>
      </c>
      <c r="B61" t="str">
        <f>IFERROR(VLOOKUP($D61,素材!$1:$1016,COLUMN($B$1),FALSE)&amp;"・"&amp;VLOOKUP($C61,武器!$1:$998,COLUMN(B$1),FALSE),"")</f>
        <v>ウッド・シールド</v>
      </c>
      <c r="C61" t="s">
        <v>221</v>
      </c>
      <c r="D61" s="24" t="s">
        <v>255</v>
      </c>
      <c r="E61" t="str">
        <f>IFERROR(VLOOKUP(C61,武器!$1:$998,COLUMN(C$1),FALSE),"")</f>
        <v>盾</v>
      </c>
      <c r="F61">
        <f>IFERROR(ROUNDDOWN((VLOOKUP($C61,武器!$1:$998,COLUMN(D$1),FALSE)+IFERROR(VLOOKUP($CJ61,装強!$1:$999,COLUMN(F$1),FALSE),0))*VLOOKUP($D61,素材!$1:$1016,COLUMN(D$1),FALSE),0),"")</f>
        <v>75</v>
      </c>
      <c r="G61">
        <f>IFERROR(ROUNDDOWN((VLOOKUP($C61,武器!$1:$998,COLUMN(E$1),FALSE)+IFERROR(VLOOKUP($CJ61,装強!$1:$999,COLUMN(G$1),FALSE),0))*VLOOKUP($D61,素材!$1:$1016,COLUMN($E$1),FALSE),0),"")</f>
        <v>0</v>
      </c>
      <c r="H61">
        <f>IFERROR(ROUNDDOWN((VLOOKUP($C61,武器!$1:$998,COLUMN(F$1),FALSE)+IFERROR(VLOOKUP($CJ61,装強!$1:$999,COLUMN(H$1),FALSE),0))*VLOOKUP($D61,素材!$1:$1016,COLUMN($E$1),FALSE),0),"")</f>
        <v>0</v>
      </c>
      <c r="I61">
        <f>IFERROR(ROUNDDOWN((VLOOKUP($C61,武器!$1:$998,COLUMN(G$1),FALSE)+IFERROR(VLOOKUP($CJ61,装強!$1:$999,COLUMN(I$1),FALSE),0))*VLOOKUP($D61,素材!$1:$1016,COLUMN($E$1),FALSE),0),"")</f>
        <v>12</v>
      </c>
      <c r="J61">
        <f>IFERROR(ROUNDDOWN((VLOOKUP($C61,武器!$1:$998,COLUMN(H$1),FALSE)+IFERROR(VLOOKUP($CJ61,装強!$1:$999,COLUMN(J$1),FALSE),0))*VLOOKUP($D61,素材!$1:$1016,COLUMN($E$1),FALSE),0),"")</f>
        <v>18</v>
      </c>
      <c r="K61">
        <f>IFERROR(ROUNDDOWN((VLOOKUP($C61,武器!$1:$998,COLUMN(I$1),FALSE)+IFERROR(VLOOKUP($CJ61,装強!$1:$999,COLUMN(K$1),FALSE),0))*VLOOKUP($D61,素材!$1:$1016,COLUMN($E$1),FALSE),0),"")</f>
        <v>0</v>
      </c>
      <c r="L61">
        <f>IFERROR(VLOOKUP($D61,素材!$1:$1016,COLUMN($F$1),FALSE),"")</f>
        <v>0</v>
      </c>
      <c r="M61">
        <f>IFERROR(VLOOKUP($C61,武器!$1:$998,COLUMN(AA$1),FALSE)*VLOOKUP($D61,素材!$1:$1016,COLUMN($G$1),FALSE),"")</f>
        <v>0</v>
      </c>
      <c r="N61">
        <f>IFERROR(VLOOKUP($C61,武器!$1:$998,COLUMN(I$1),FALSE),"")</f>
        <v>0</v>
      </c>
      <c r="O61" s="23">
        <f>IFERROR((VLOOKUP($C61,武器!$1:$998,COLUMN(K$1),FALSE)+VLOOKUP($D61,素材!$1:$1016,COLUMN(H$1),FALSE))*100+IFERROR(VLOOKUP($CJ61,装強!$1:$999,COLUMN(O$1),FALSE),0),"")</f>
        <v>5</v>
      </c>
      <c r="P61" s="23">
        <f>IFERROR((VLOOKUP($C61,武器!$1:$998,COLUMN(L$1),FALSE)+VLOOKUP($D61,素材!$1:$1016,COLUMN(I$1),FALSE))*100+IFERROR(VLOOKUP($CJ61,装強!$1:$999,COLUMN(P$1),FALSE),0),"")</f>
        <v>125</v>
      </c>
      <c r="Q61">
        <f>IFERROR(ROUNDUP(VLOOKUP($C61,武器!$1:$998,COLUMN(M$1),FALSE)*(VLOOKUP($D61,素材!$1:$1002,COLUMN(D$1),FALSE)/100),1),"")</f>
        <v>0</v>
      </c>
      <c r="R61">
        <f>IFERROR(ROUNDUP(VLOOKUP($C61,武器!$1:$998,COLUMN(N$1),FALSE)*(VLOOKUP($D61,素材!$1:$1002,COLUMN(D$1),FALSE)/100),1),"")</f>
        <v>0</v>
      </c>
      <c r="S61">
        <f>IFERROR(VLOOKUP($C61,武器!$1:$998,COLUMN(P$1),FALSE),"")</f>
        <v>0</v>
      </c>
      <c r="T61">
        <f>IFERROR(VLOOKUP($C61,武器!$1:$998,COLUMN(Q$1),FALSE),"")</f>
        <v>0</v>
      </c>
      <c r="U61">
        <f>IFERROR(VLOOKUP($C61,武器!$1:$998,COLUMN(R$1),FALSE),"")</f>
        <v>0</v>
      </c>
      <c r="V61">
        <f>IFERROR(VLOOKUP($C61,武器!$1:$998,COLUMN(Q$1),FALSE),"")</f>
        <v>0</v>
      </c>
      <c r="W61" t="str">
        <f>IFERROR(VLOOKUP($C61,武器!$1:$998,COLUMN(T$1),FALSE),"")</f>
        <v>A</v>
      </c>
      <c r="Y61" t="str">
        <f>IFERROR(VLOOKUP($C61,武器!$1:$998,COLUMN(U$1),FALSE),"")</f>
        <v>片手適性Ⅱ</v>
      </c>
      <c r="Z61">
        <f>IFERROR(ROUNDUP(VLOOKUP($C61,武器!$1:$998,COLUMN(O$1),FALSE)*VLOOKUP($D61,素材!$1:$1016,COLUMN(E$1),FALSE),1),"")</f>
        <v>0</v>
      </c>
      <c r="AA61">
        <f>IF(ISNUMBER(SEARCH(SUBSTITUTE(AA$1,RIGHT(AA$1,2),""),VLOOKUP($D61,素材!$1:$1016,COLUMN($F$1),FALSE))),VLOOKUP($C61,武器!$1:$998,COLUMN($O$1),FALSE)*VLOOKUP($D61,素材!$1:$1016,COLUMN($E$1),FALSE)/(LEN(VLOOKUP($D61,素材!$1:$1016,COLUMN($F$1),FALSE))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B61">
        <f>IF(ISNUMBER(SEARCH(SUBSTITUTE(AB$1,RIGHT(AB$1,2),""),VLOOKUP($D61,素材!$1:$1016,COLUMN($F$1),FALSE))),VLOOKUP($C61,武器!$1:$998,COLUMN($O$1),FALSE)*VLOOKUP($D61,素材!$1:$1016,COLUMN($E$1),FALSE)/(LEN(VLOOKUP($D61,素材!$1:$1016,COLUMN($F$1),FALSE))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C61">
        <f>IF(ISNUMBER(SEARCH(SUBSTITUTE(AC$1,RIGHT(AC$1,2),""),VLOOKUP($D61,素材!$1:$1016,COLUMN($F$1),FALSE))),VLOOKUP($C61,武器!$1:$998,COLUMN($O$1),FALSE)*VLOOKUP($D61,素材!$1:$1016,COLUMN($E$1),FALSE)/(LEN(VLOOKUP($D61,素材!$1:$1016,COLUMN($F$1),FALSE))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D61">
        <f>IF(ISNUMBER(SEARCH(SUBSTITUTE(AD$1,RIGHT(AD$1,2),""),VLOOKUP($D61,素材!$1:$1016,COLUMN($F$1),FALSE))),VLOOKUP($C61,武器!$1:$998,COLUMN($O$1),FALSE)*VLOOKUP($D61,素材!$1:$1016,COLUMN($E$1),FALSE)/(LEN(VLOOKUP($D61,素材!$1:$1016,COLUMN($F$1),FALSE))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E61">
        <f>IF(ISNUMBER(SEARCH(SUBSTITUTE(AE$1,RIGHT(AE$1,2),""),VLOOKUP($D61,素材!$1:$1016,COLUMN($F$1),FALSE))),VLOOKUP($C61,武器!$1:$998,COLUMN($O$1),FALSE)*VLOOKUP($D61,素材!$1:$1016,COLUMN($E$1),FALSE)/(LEN(VLOOKUP($D61,素材!$1:$1016,COLUMN($F$1),FALSE))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F61">
        <f>IF(ISNUMBER(SEARCH(SUBSTITUTE(AF$1,RIGHT(AF$1,2),""),VLOOKUP($D61,素材!$1:$1016,COLUMN($F$1),FALSE))),VLOOKUP($C61,武器!$1:$998,COLUMN($O$1),FALSE)*VLOOKUP($D61,素材!$1:$1016,COLUMN($E$1),FALSE)/(LEN(VLOOKUP($D61,素材!$1:$1016,COLUMN($F$1),FALSE))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G61">
        <f>IF(ISNUMBER(SEARCH(SUBSTITUTE(AG$1,RIGHT(AG$1,2),""),VLOOKUP($D61,素材!$1:$1016,COLUMN($F$1),FALSE))),VLOOKUP($C61,武器!$1:$998,COLUMN($O$1),FALSE)*VLOOKUP($D61,素材!$1:$1016,COLUMN($E$1),FALSE)/(LEN(VLOOKUP($D61,素材!$1:$1016,COLUMN($F$1),FALSE))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H61">
        <f>IF(ISNUMBER(SEARCH(SUBSTITUTE(AH$1,RIGHT(AH$1,2),""),VLOOKUP($D61,素材!$1:$1016,COLUMN($F$1),FALSE))),VLOOKUP($C61,武器!$1:$998,COLUMN($O$1),FALSE)*VLOOKUP($D61,素材!$1:$1016,COLUMN($E$1),FALSE)/(LEN(VLOOKUP($D61,素材!$1:$1016,COLUMN($F$1),FALSE))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I61">
        <f>IF(ISNUMBER(SEARCH(SUBSTITUTE(AI$1,RIGHT(AI$1,2),""),VLOOKUP($D61,素材!$1:$1016,COLUMN($F$1),FALSE))),VLOOKUP($C61,武器!$1:$998,COLUMN($O$1),FALSE)*VLOOKUP($D61,素材!$1:$1016,COLUMN($E$1),FALSE)/(LEN(VLOOKUP($D61,素材!$1:$1016,COLUMN($F$1),FALSE))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J61">
        <f>IF(ISNUMBER(SEARCH(SUBSTITUTE(AJ$1,RIGHT(AJ$1,2),""),VLOOKUP($D61,素材!$1:$1016,COLUMN($F$1),FALSE))),VLOOKUP($C61,武器!$1:$998,COLUMN($O$1),FALSE)*VLOOKUP($D61,素材!$1:$1016,COLUMN($E$1),FALSE)/(LEN(VLOOKUP($D61,素材!$1:$1016,COLUMN($F$1),FALSE))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K61">
        <f>IF(ISNUMBER(SEARCH(SUBSTITUTE(AK$1,RIGHT(AK$1,2),""),VLOOKUP($D61,素材!$1:$1016,COLUMN($F$1),FALSE))),VLOOKUP($C61,武器!$1:$998,COLUMN($O$1),FALSE)*VLOOKUP($D61,素材!$1:$1016,COLUMN($E$1),FALSE)/(LEN(VLOOKUP($D61,素材!$1:$1016,COLUMN($F$1),FALSE))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L61">
        <f>IF(ISNUMBER(SEARCH(SUBSTITUTE(AL$1,RIGHT(AL$1,2),""),VLOOKUP($D61,素材!$1:$1016,COLUMN($F$1),FALSE))),VLOOKUP($C61,武器!$1:$998,COLUMN($O$1),FALSE)*VLOOKUP($D61,素材!$1:$1016,COLUMN($E$1),FALSE)/(LEN(VLOOKUP($D61,素材!$1:$1016,COLUMN($F$1),FALSE))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M61">
        <f>IF(ISNUMBER(SEARCH(SUBSTITUTE(AM$1,RIGHT(AM$1,2),""),VLOOKUP($D61,素材!$1:$1016,COLUMN($F$1),FALSE))),VLOOKUP($C61,武器!$1:$998,COLUMN($O$1),FALSE)*VLOOKUP($D61,素材!$1:$1016,COLUMN($E$1),FALSE)/(LEN(VLOOKUP($D61,素材!$1:$1016,COLUMN($F$1),FALSE))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N61">
        <f>IF(ISNUMBER(SEARCH(SUBSTITUTE(AN$1,RIGHT(AN$1,2),""),VLOOKUP($D61,素材!$1:$1016,COLUMN($F$1),FALSE))),VLOOKUP($C61,武器!$1:$998,COLUMN($O$1),FALSE)*VLOOKUP($D61,素材!$1:$1016,COLUMN($E$1),FALSE)/(LEN(VLOOKUP($D61,素材!$1:$1016,COLUMN($F$1),FALSE))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O61">
        <f>IF(ISNUMBER(SEARCH(SUBSTITUTE(AO$1,RIGHT(AO$1,2),""),VLOOKUP($D61,素材!$1:$1016,COLUMN($F$1),FALSE))),VLOOKUP($C61,武器!$1:$998,COLUMN($O$1),FALSE)*VLOOKUP($D61,素材!$1:$1016,COLUMN($E$1),FALSE)/(LEN(VLOOKUP($D61,素材!$1:$1016,COLUMN($F$1),FALSE))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P61">
        <f>IF(ISNUMBER(SEARCH(SUBSTITUTE(AP$1,RIGHT(AP$1,2),""),VLOOKUP($D61,素材!$1:$1016,COLUMN($F$1),FALSE))),VLOOKUP($C61,武器!$1:$998,COLUMN($O$1),FALSE)*VLOOKUP($D61,素材!$1:$1016,COLUMN($E$1),FALSE)/(LEN(VLOOKUP($D61,素材!$1:$1016,COLUMN($F$1),FALSE))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Q61">
        <f>IF(ISNUMBER(SEARCH(SUBSTITUTE(AQ$1,RIGHT(AQ$1,2),""),VLOOKUP($D61,素材!$1:$1016,COLUMN($F$1),FALSE))),VLOOKUP($C61,武器!$1:$998,COLUMN($O$1),FALSE)*VLOOKUP($D61,素材!$1:$1016,COLUMN($E$1),FALSE)/(LEN(VLOOKUP($D61,素材!$1:$1016,COLUMN($F$1),FALSE))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R61">
        <f>IF(ISNUMBER(SEARCH(SUBSTITUTE(AR$1,RIGHT(AR$1,2),""),VLOOKUP($D61,素材!$1:$1016,COLUMN($F$1),FALSE))),VLOOKUP($C61,武器!$1:$998,COLUMN($O$1),FALSE)*VLOOKUP($D61,素材!$1:$1016,COLUMN($E$1),FALSE)/(LEN(VLOOKUP($D61,素材!$1:$1016,COLUMN($F$1),FALSE))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S61">
        <f>IF(ISNUMBER(SEARCH(SUBSTITUTE(AS$1,RIGHT(AS$1,2),""),VLOOKUP($D61,素材!$1:$1016,COLUMN($F$1),FALSE))),VLOOKUP($C61,武器!$1:$998,COLUMN($O$1),FALSE)*VLOOKUP($D61,素材!$1:$1016,COLUMN($E$1),FALSE)/(LEN(VLOOKUP($D61,素材!$1:$1016,COLUMN($F$1),FALSE))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T61">
        <f>IF(ISNUMBER(SEARCH(SUBSTITUTE(AT$1,RIGHT(AT$1,2),""),VLOOKUP($D61,素材!$1:$1016,COLUMN($F$1),FALSE))),VLOOKUP($C61,武器!$1:$998,COLUMN($O$1),FALSE)*VLOOKUP($D61,素材!$1:$1016,COLUMN($E$1),FALSE)/(LEN(VLOOKUP($D61,素材!$1:$1016,COLUMN($F$1),FALSE))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U61">
        <f>IF(ISNUMBER(SEARCH(SUBSTITUTE(AU$1,RIGHT(AU$1,2),""),VLOOKUP($D61,素材!$1:$1016,COLUMN($F$1),FALSE))),VLOOKUP($C61,武器!$1:$998,COLUMN($O$1),FALSE)*VLOOKUP($D61,素材!$1:$1016,COLUMN($E$1),FALSE)/(LEN(VLOOKUP($D61,素材!$1:$1016,COLUMN($F$1),FALSE))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V61">
        <f>IF(ISNUMBER(SEARCH(SUBSTITUTE(AV$1,RIGHT(AV$1,2),""),VLOOKUP($D61,素材!$1:$1016,COLUMN($F$1),FALSE))),VLOOKUP($C61,武器!$1:$998,COLUMN($O$1),FALSE)*VLOOKUP($D61,素材!$1:$1016,COLUMN($E$1),FALSE)/(LEN(VLOOKUP($D61,素材!$1:$1016,COLUMN($F$1),FALSE))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W61">
        <f>IF(ISNUMBER(SEARCH(SUBSTITUTE(AW$1,RIGHT(AW$1,2),""),VLOOKUP($D61,素材!$1:$1016,COLUMN($F$1),FALSE))),VLOOKUP($C61,武器!$1:$998,COLUMN($O$1),FALSE)*VLOOKUP($D61,素材!$1:$1016,COLUMN($E$1),FALSE)/(LEN(VLOOKUP($D61,素材!$1:$1016,COLUMN($F$1),FALSE))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X61">
        <f>IF(ISNUMBER(SEARCH(SUBSTITUTE(AX$1,RIGHT(AX$1,2),""),VLOOKUP($D61,素材!$1:$1016,COLUMN($F$1),FALSE))),VLOOKUP($C61,武器!$1:$998,COLUMN($O$1),FALSE)*VLOOKUP($D61,素材!$1:$1016,COLUMN($E$1),FALSE)/(LEN(VLOOKUP($D61,素材!$1:$1016,COLUMN($F$1),FALSE))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Y61">
        <f>IF(ISNUMBER(SEARCH(SUBSTITUTE(AY$1,RIGHT(AY$1,2),""),VLOOKUP($D61,素材!$1:$1016,COLUMN($F$1),FALSE))),VLOOKUP($C61,武器!$1:$998,COLUMN($O$1),FALSE)*VLOOKUP($D61,素材!$1:$1016,COLUMN($E$1),FALSE)/(LEN(VLOOKUP($D61,素材!$1:$1016,COLUMN($F$1),FALSE))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AZ61">
        <f>IF(ISNUMBER(SEARCH(SUBSTITUTE(AZ$1,RIGHT(AZ$1,2),""),VLOOKUP($D61,素材!$1:$1016,COLUMN($F$1),FALSE))),VLOOKUP($C61,武器!$1:$998,COLUMN($O$1),FALSE)*VLOOKUP($D61,素材!$1:$1016,COLUMN($E$1),FALSE)/(LEN(VLOOKUP($D61,素材!$1:$1016,COLUMN($F$1),FALSE))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BA61">
        <f>IF(ISNUMBER(SEARCH(SUBSTITUTE(BA$1,RIGHT(BA$1,2),""),VLOOKUP($D61,素材!$1:$1016,COLUMN($F$1),FALSE))),VLOOKUP($C61,武器!$1:$998,COLUMN($O$1),FALSE)*VLOOKUP($D61,素材!$1:$1016,COLUMN($E$1),FALSE)/(LEN(VLOOKUP($D61,素材!$1:$1016,COLUMN($F$1),FALSE))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BB61">
        <f>IF(ISNUMBER(SEARCH(SUBSTITUTE(BB$1,RIGHT(BB$1,2),""),VLOOKUP($D61,素材!$1:$1016,COLUMN($F$1),FALSE))),VLOOKUP($C61,武器!$1:$998,COLUMN($O$1),FALSE)*VLOOKUP($D61,素材!$1:$1016,COLUMN($E$1),FALSE)/(LEN(VLOOKUP($D61,素材!$1:$1016,COLUMN($F$1),FALSE))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BC61">
        <f>IF(ISNUMBER(SEARCH(SUBSTITUTE(BC$1,RIGHT(BC$1,2),""),VLOOKUP($D61,素材!$1:$1016,COLUMN($F$1),FALSE))),VLOOKUP($C61,武器!$1:$998,COLUMN($O$1),FALSE)*VLOOKUP($D61,素材!$1:$1016,COLUMN($E$1),FALSE)/(LEN(VLOOKUP($D61,素材!$1:$1016,COLUMN($F$1),FALSE))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BD61">
        <f>IF(ISNUMBER(SEARCH(SUBSTITUTE(BD$1,RIGHT(BD$1,2),""),VLOOKUP($D61,素材!$1:$1016,COLUMN($F$1),FALSE))),VLOOKUP($C61,武器!$1:$998,COLUMN($O$1),FALSE)*VLOOKUP($D61,素材!$1:$1016,COLUMN($E$1),FALSE)/(LEN(VLOOKUP($D61,素材!$1:$1016,COLUMN($F$1),FALSE))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BE61">
        <f>IF(ISNUMBER(SEARCH(SUBSTITUTE(BE$1,RIGHT(BE$1,2),""),VLOOKUP($D61,素材!$1:$1016,COLUMN($F$1),FALSE))),VLOOKUP($C61,武器!$1:$998,COLUMN($O$1),FALSE)*VLOOKUP($D61,素材!$1:$1016,COLUMN($E$1),FALSE)/(LEN(VLOOKUP($D61,素材!$1:$1016,COLUMN($F$1),FALSE))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BF61">
        <f>IF(ISNUMBER(SEARCH(SUBSTITUTE(BF$1,RIGHT(BF$1,2),""),VLOOKUP($D61,素材!$1:$1016,COLUMN($F$1),FALSE))),VLOOKUP($C61,武器!$1:$998,COLUMN($O$1),FALSE)*VLOOKUP($D61,素材!$1:$1016,COLUMN($E$1),FALSE)/(LEN(VLOOKUP($D61,素材!$1:$1016,COLUMN($F$1),FALSE)) - LEN(SUBSTITUTE(VLOOKUP($D61,素材!$1:$1016,COLUMN($F$1),FALSE), "・", 0)) + 1), 0)</f>
        <v>0</v>
      </c>
      <c r="CM61">
        <f t="shared" si="3"/>
        <v>12</v>
      </c>
      <c r="CN61" s="22" t="str">
        <f>IF(E61="武器",IF(J61-1&gt;SUM(G61:I61),"盾",IF(MAX(G61:I61)=G61,"切断",IF(MAX(G61:I61)=H61,"貫通",IF(MAX(G61:I61)=I61,"打撃","射撃")))),E61)&amp;".webp"</f>
        <v>盾.webp</v>
      </c>
      <c r="CO61">
        <f>IFERROR(VLOOKUP($C61,武器!$1:$998,COLUMN(V$1),FALSE)*VLOOKUP($D61,素材!$1:$1016,COLUMN(N$1),FALSE)+IF(CJ61="",0,VLOOKUP($CJ61,装強!$1:$1008,COLUMN($CL$1),FALSE)),"")</f>
        <v>150</v>
      </c>
      <c r="CP61" t="str">
        <f>VLOOKUP(D61,素材!$A:$O,COLUMN(素材!O$1),FALSE)</f>
        <v>一般的な木材。金属より軽いが少し脆い</v>
      </c>
      <c r="CQ61" t="str">
        <f>VLOOKUP(C61,武器!$A:$W,COLUMN(武器!W$1),FALSE)</f>
        <v>盾。防御力が高く、汎用性がある防具。</v>
      </c>
      <c r="CS61" t="str">
        <f t="shared" si="2"/>
        <v>e_61</v>
      </c>
      <c r="CT61">
        <f t="shared" si="4"/>
        <v>15000</v>
      </c>
    </row>
    <row r="62" spans="1:98" outlineLevel="1" x14ac:dyDescent="0.4">
      <c r="A62" t="str">
        <f t="shared" si="5"/>
        <v>木の丸大盾</v>
      </c>
      <c r="B62" t="str">
        <f>IFERROR(VLOOKUP($D62,素材!$1:$1016,COLUMN($B$1),FALSE)&amp;"・"&amp;VLOOKUP($C62,武器!$1:$998,COLUMN(B$1),FALSE),"")</f>
        <v>ウッド・ラウンドシールド</v>
      </c>
      <c r="C62" t="s">
        <v>220</v>
      </c>
      <c r="D62" s="24" t="s">
        <v>255</v>
      </c>
      <c r="E62" t="str">
        <f>IFERROR(VLOOKUP(C62,武器!$1:$998,COLUMN(C$1),FALSE),"")</f>
        <v>盾</v>
      </c>
      <c r="F62">
        <f>IFERROR(ROUNDDOWN((VLOOKUP($C62,武器!$1:$998,COLUMN(D$1),FALSE)+IFERROR(VLOOKUP($CJ62,装強!$1:$999,COLUMN(F$1),FALSE),0))*VLOOKUP($D62,素材!$1:$1016,COLUMN(D$1),FALSE),0),"")</f>
        <v>82</v>
      </c>
      <c r="G62">
        <f>IFERROR(ROUNDDOWN((VLOOKUP($C62,武器!$1:$998,COLUMN(E$1),FALSE)+IFERROR(VLOOKUP($CJ62,装強!$1:$999,COLUMN(G$1),FALSE),0))*VLOOKUP($D62,素材!$1:$1016,COLUMN($E$1),FALSE),0),"")</f>
        <v>6</v>
      </c>
      <c r="H62">
        <f>IFERROR(ROUNDDOWN((VLOOKUP($C62,武器!$1:$998,COLUMN(F$1),FALSE)+IFERROR(VLOOKUP($CJ62,装強!$1:$999,COLUMN(H$1),FALSE),0))*VLOOKUP($D62,素材!$1:$1016,COLUMN($E$1),FALSE),0),"")</f>
        <v>0</v>
      </c>
      <c r="I62">
        <f>IFERROR(ROUNDDOWN((VLOOKUP($C62,武器!$1:$998,COLUMN(G$1),FALSE)+IFERROR(VLOOKUP($CJ62,装強!$1:$999,COLUMN(I$1),FALSE),0))*VLOOKUP($D62,素材!$1:$1016,COLUMN($E$1),FALSE),0),"")</f>
        <v>6</v>
      </c>
      <c r="J62">
        <f>IFERROR(ROUNDDOWN((VLOOKUP($C62,武器!$1:$998,COLUMN(H$1),FALSE)+IFERROR(VLOOKUP($CJ62,装強!$1:$999,COLUMN(J$1),FALSE),0))*VLOOKUP($D62,素材!$1:$1016,COLUMN($E$1),FALSE),0),"")</f>
        <v>18</v>
      </c>
      <c r="K62">
        <f>IFERROR(ROUNDDOWN((VLOOKUP($C62,武器!$1:$998,COLUMN(I$1),FALSE)+IFERROR(VLOOKUP($CJ62,装強!$1:$999,COLUMN(K$1),FALSE),0))*VLOOKUP($D62,素材!$1:$1016,COLUMN($E$1),FALSE),0),"")</f>
        <v>0</v>
      </c>
      <c r="L62">
        <f>IFERROR(VLOOKUP($D62,素材!$1:$1016,COLUMN($F$1),FALSE),"")</f>
        <v>0</v>
      </c>
      <c r="M62">
        <f>IFERROR(VLOOKUP($C62,武器!$1:$998,COLUMN(AA$1),FALSE)*VLOOKUP($D62,素材!$1:$1016,COLUMN($G$1),FALSE),"")</f>
        <v>0</v>
      </c>
      <c r="N62">
        <f>IFERROR(VLOOKUP($C62,武器!$1:$998,COLUMN(I$1),FALSE),"")</f>
        <v>0</v>
      </c>
      <c r="O62" s="23">
        <f>IFERROR((VLOOKUP($C62,武器!$1:$998,COLUMN(K$1),FALSE)+VLOOKUP($D62,素材!$1:$1016,COLUMN(H$1),FALSE))*100+IFERROR(VLOOKUP($CJ62,装強!$1:$999,COLUMN(O$1),FALSE),0),"")</f>
        <v>5</v>
      </c>
      <c r="P62" s="23">
        <f>IFERROR((VLOOKUP($C62,武器!$1:$998,COLUMN(L$1),FALSE)+VLOOKUP($D62,素材!$1:$1016,COLUMN(I$1),FALSE))*100+IFERROR(VLOOKUP($CJ62,装強!$1:$999,COLUMN(P$1),FALSE),0),"")</f>
        <v>125</v>
      </c>
      <c r="Q62">
        <f>IFERROR(ROUNDUP(VLOOKUP($C62,武器!$1:$998,COLUMN(M$1),FALSE)*(VLOOKUP($D62,素材!$1:$1002,COLUMN(D$1),FALSE)/100),1),"")</f>
        <v>-3.8000000000000003</v>
      </c>
      <c r="R62">
        <f>IFERROR(ROUNDUP(VLOOKUP($C62,武器!$1:$998,COLUMN(N$1),FALSE)*(VLOOKUP($D62,素材!$1:$1002,COLUMN(D$1),FALSE)/100),1),"")</f>
        <v>0</v>
      </c>
      <c r="S62">
        <f>IFERROR(VLOOKUP($C62,武器!$1:$998,COLUMN(P$1),FALSE),"")</f>
        <v>0</v>
      </c>
      <c r="T62">
        <f>IFERROR(VLOOKUP($C62,武器!$1:$998,COLUMN(Q$1),FALSE),"")</f>
        <v>0</v>
      </c>
      <c r="U62">
        <f>IFERROR(VLOOKUP($C62,武器!$1:$998,COLUMN(R$1),FALSE),"")</f>
        <v>0</v>
      </c>
      <c r="V62">
        <f>IFERROR(VLOOKUP($C62,武器!$1:$998,COLUMN(Q$1),FALSE),"")</f>
        <v>0</v>
      </c>
      <c r="W62" t="str">
        <f>IFERROR(VLOOKUP($C62,武器!$1:$998,COLUMN(T$1),FALSE),"")</f>
        <v>A</v>
      </c>
      <c r="Y62" t="str">
        <f>IFERROR(VLOOKUP($C62,武器!$1:$998,COLUMN(U$1),FALSE),"")</f>
        <v>投擲強化,片手適正Ⅰ</v>
      </c>
      <c r="Z62">
        <f>IFERROR(ROUNDUP(VLOOKUP($C62,武器!$1:$998,COLUMN(O$1),FALSE)*VLOOKUP($D62,素材!$1:$1016,COLUMN(E$1),FALSE),1),"")</f>
        <v>0</v>
      </c>
      <c r="AA62">
        <f>IF(ISNUMBER(SEARCH(SUBSTITUTE(AA$1,RIGHT(AA$1,2),""),VLOOKUP($D62,素材!$1:$1016,COLUMN($F$1),FALSE))),VLOOKUP($C62,武器!$1:$998,COLUMN($O$1),FALSE)*VLOOKUP($D62,素材!$1:$1016,COLUMN($E$1),FALSE)/(LEN(VLOOKUP($D62,素材!$1:$1016,COLUMN($F$1),FALSE))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B62">
        <f>IF(ISNUMBER(SEARCH(SUBSTITUTE(AB$1,RIGHT(AB$1,2),""),VLOOKUP($D62,素材!$1:$1016,COLUMN($F$1),FALSE))),VLOOKUP($C62,武器!$1:$998,COLUMN($O$1),FALSE)*VLOOKUP($D62,素材!$1:$1016,COLUMN($E$1),FALSE)/(LEN(VLOOKUP($D62,素材!$1:$1016,COLUMN($F$1),FALSE))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C62">
        <f>IF(ISNUMBER(SEARCH(SUBSTITUTE(AC$1,RIGHT(AC$1,2),""),VLOOKUP($D62,素材!$1:$1016,COLUMN($F$1),FALSE))),VLOOKUP($C62,武器!$1:$998,COLUMN($O$1),FALSE)*VLOOKUP($D62,素材!$1:$1016,COLUMN($E$1),FALSE)/(LEN(VLOOKUP($D62,素材!$1:$1016,COLUMN($F$1),FALSE))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D62">
        <f>IF(ISNUMBER(SEARCH(SUBSTITUTE(AD$1,RIGHT(AD$1,2),""),VLOOKUP($D62,素材!$1:$1016,COLUMN($F$1),FALSE))),VLOOKUP($C62,武器!$1:$998,COLUMN($O$1),FALSE)*VLOOKUP($D62,素材!$1:$1016,COLUMN($E$1),FALSE)/(LEN(VLOOKUP($D62,素材!$1:$1016,COLUMN($F$1),FALSE))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E62">
        <f>IF(ISNUMBER(SEARCH(SUBSTITUTE(AE$1,RIGHT(AE$1,2),""),VLOOKUP($D62,素材!$1:$1016,COLUMN($F$1),FALSE))),VLOOKUP($C62,武器!$1:$998,COLUMN($O$1),FALSE)*VLOOKUP($D62,素材!$1:$1016,COLUMN($E$1),FALSE)/(LEN(VLOOKUP($D62,素材!$1:$1016,COLUMN($F$1),FALSE))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F62">
        <f>IF(ISNUMBER(SEARCH(SUBSTITUTE(AF$1,RIGHT(AF$1,2),""),VLOOKUP($D62,素材!$1:$1016,COLUMN($F$1),FALSE))),VLOOKUP($C62,武器!$1:$998,COLUMN($O$1),FALSE)*VLOOKUP($D62,素材!$1:$1016,COLUMN($E$1),FALSE)/(LEN(VLOOKUP($D62,素材!$1:$1016,COLUMN($F$1),FALSE))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G62">
        <f>IF(ISNUMBER(SEARCH(SUBSTITUTE(AG$1,RIGHT(AG$1,2),""),VLOOKUP($D62,素材!$1:$1016,COLUMN($F$1),FALSE))),VLOOKUP($C62,武器!$1:$998,COLUMN($O$1),FALSE)*VLOOKUP($D62,素材!$1:$1016,COLUMN($E$1),FALSE)/(LEN(VLOOKUP($D62,素材!$1:$1016,COLUMN($F$1),FALSE))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H62">
        <f>IF(ISNUMBER(SEARCH(SUBSTITUTE(AH$1,RIGHT(AH$1,2),""),VLOOKUP($D62,素材!$1:$1016,COLUMN($F$1),FALSE))),VLOOKUP($C62,武器!$1:$998,COLUMN($O$1),FALSE)*VLOOKUP($D62,素材!$1:$1016,COLUMN($E$1),FALSE)/(LEN(VLOOKUP($D62,素材!$1:$1016,COLUMN($F$1),FALSE))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I62">
        <f>IF(ISNUMBER(SEARCH(SUBSTITUTE(AI$1,RIGHT(AI$1,2),""),VLOOKUP($D62,素材!$1:$1016,COLUMN($F$1),FALSE))),VLOOKUP($C62,武器!$1:$998,COLUMN($O$1),FALSE)*VLOOKUP($D62,素材!$1:$1016,COLUMN($E$1),FALSE)/(LEN(VLOOKUP($D62,素材!$1:$1016,COLUMN($F$1),FALSE))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J62">
        <f>IF(ISNUMBER(SEARCH(SUBSTITUTE(AJ$1,RIGHT(AJ$1,2),""),VLOOKUP($D62,素材!$1:$1016,COLUMN($F$1),FALSE))),VLOOKUP($C62,武器!$1:$998,COLUMN($O$1),FALSE)*VLOOKUP($D62,素材!$1:$1016,COLUMN($E$1),FALSE)/(LEN(VLOOKUP($D62,素材!$1:$1016,COLUMN($F$1),FALSE))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K62">
        <f>IF(ISNUMBER(SEARCH(SUBSTITUTE(AK$1,RIGHT(AK$1,2),""),VLOOKUP($D62,素材!$1:$1016,COLUMN($F$1),FALSE))),VLOOKUP($C62,武器!$1:$998,COLUMN($O$1),FALSE)*VLOOKUP($D62,素材!$1:$1016,COLUMN($E$1),FALSE)/(LEN(VLOOKUP($D62,素材!$1:$1016,COLUMN($F$1),FALSE))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L62">
        <f>IF(ISNUMBER(SEARCH(SUBSTITUTE(AL$1,RIGHT(AL$1,2),""),VLOOKUP($D62,素材!$1:$1016,COLUMN($F$1),FALSE))),VLOOKUP($C62,武器!$1:$998,COLUMN($O$1),FALSE)*VLOOKUP($D62,素材!$1:$1016,COLUMN($E$1),FALSE)/(LEN(VLOOKUP($D62,素材!$1:$1016,COLUMN($F$1),FALSE))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M62">
        <f>IF(ISNUMBER(SEARCH(SUBSTITUTE(AM$1,RIGHT(AM$1,2),""),VLOOKUP($D62,素材!$1:$1016,COLUMN($F$1),FALSE))),VLOOKUP($C62,武器!$1:$998,COLUMN($O$1),FALSE)*VLOOKUP($D62,素材!$1:$1016,COLUMN($E$1),FALSE)/(LEN(VLOOKUP($D62,素材!$1:$1016,COLUMN($F$1),FALSE))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N62">
        <f>IF(ISNUMBER(SEARCH(SUBSTITUTE(AN$1,RIGHT(AN$1,2),""),VLOOKUP($D62,素材!$1:$1016,COLUMN($F$1),FALSE))),VLOOKUP($C62,武器!$1:$998,COLUMN($O$1),FALSE)*VLOOKUP($D62,素材!$1:$1016,COLUMN($E$1),FALSE)/(LEN(VLOOKUP($D62,素材!$1:$1016,COLUMN($F$1),FALSE))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O62">
        <f>IF(ISNUMBER(SEARCH(SUBSTITUTE(AO$1,RIGHT(AO$1,2),""),VLOOKUP($D62,素材!$1:$1016,COLUMN($F$1),FALSE))),VLOOKUP($C62,武器!$1:$998,COLUMN($O$1),FALSE)*VLOOKUP($D62,素材!$1:$1016,COLUMN($E$1),FALSE)/(LEN(VLOOKUP($D62,素材!$1:$1016,COLUMN($F$1),FALSE))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P62">
        <f>IF(ISNUMBER(SEARCH(SUBSTITUTE(AP$1,RIGHT(AP$1,2),""),VLOOKUP($D62,素材!$1:$1016,COLUMN($F$1),FALSE))),VLOOKUP($C62,武器!$1:$998,COLUMN($O$1),FALSE)*VLOOKUP($D62,素材!$1:$1016,COLUMN($E$1),FALSE)/(LEN(VLOOKUP($D62,素材!$1:$1016,COLUMN($F$1),FALSE))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Q62">
        <f>IF(ISNUMBER(SEARCH(SUBSTITUTE(AQ$1,RIGHT(AQ$1,2),""),VLOOKUP($D62,素材!$1:$1016,COLUMN($F$1),FALSE))),VLOOKUP($C62,武器!$1:$998,COLUMN($O$1),FALSE)*VLOOKUP($D62,素材!$1:$1016,COLUMN($E$1),FALSE)/(LEN(VLOOKUP($D62,素材!$1:$1016,COLUMN($F$1),FALSE))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R62">
        <f>IF(ISNUMBER(SEARCH(SUBSTITUTE(AR$1,RIGHT(AR$1,2),""),VLOOKUP($D62,素材!$1:$1016,COLUMN($F$1),FALSE))),VLOOKUP($C62,武器!$1:$998,COLUMN($O$1),FALSE)*VLOOKUP($D62,素材!$1:$1016,COLUMN($E$1),FALSE)/(LEN(VLOOKUP($D62,素材!$1:$1016,COLUMN($F$1),FALSE))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S62">
        <f>IF(ISNUMBER(SEARCH(SUBSTITUTE(AS$1,RIGHT(AS$1,2),""),VLOOKUP($D62,素材!$1:$1016,COLUMN($F$1),FALSE))),VLOOKUP($C62,武器!$1:$998,COLUMN($O$1),FALSE)*VLOOKUP($D62,素材!$1:$1016,COLUMN($E$1),FALSE)/(LEN(VLOOKUP($D62,素材!$1:$1016,COLUMN($F$1),FALSE))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T62">
        <f>IF(ISNUMBER(SEARCH(SUBSTITUTE(AT$1,RIGHT(AT$1,2),""),VLOOKUP($D62,素材!$1:$1016,COLUMN($F$1),FALSE))),VLOOKUP($C62,武器!$1:$998,COLUMN($O$1),FALSE)*VLOOKUP($D62,素材!$1:$1016,COLUMN($E$1),FALSE)/(LEN(VLOOKUP($D62,素材!$1:$1016,COLUMN($F$1),FALSE))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U62">
        <f>IF(ISNUMBER(SEARCH(SUBSTITUTE(AU$1,RIGHT(AU$1,2),""),VLOOKUP($D62,素材!$1:$1016,COLUMN($F$1),FALSE))),VLOOKUP($C62,武器!$1:$998,COLUMN($O$1),FALSE)*VLOOKUP($D62,素材!$1:$1016,COLUMN($E$1),FALSE)/(LEN(VLOOKUP($D62,素材!$1:$1016,COLUMN($F$1),FALSE))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V62">
        <f>IF(ISNUMBER(SEARCH(SUBSTITUTE(AV$1,RIGHT(AV$1,2),""),VLOOKUP($D62,素材!$1:$1016,COLUMN($F$1),FALSE))),VLOOKUP($C62,武器!$1:$998,COLUMN($O$1),FALSE)*VLOOKUP($D62,素材!$1:$1016,COLUMN($E$1),FALSE)/(LEN(VLOOKUP($D62,素材!$1:$1016,COLUMN($F$1),FALSE))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W62">
        <f>IF(ISNUMBER(SEARCH(SUBSTITUTE(AW$1,RIGHT(AW$1,2),""),VLOOKUP($D62,素材!$1:$1016,COLUMN($F$1),FALSE))),VLOOKUP($C62,武器!$1:$998,COLUMN($O$1),FALSE)*VLOOKUP($D62,素材!$1:$1016,COLUMN($E$1),FALSE)/(LEN(VLOOKUP($D62,素材!$1:$1016,COLUMN($F$1),FALSE))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X62">
        <f>IF(ISNUMBER(SEARCH(SUBSTITUTE(AX$1,RIGHT(AX$1,2),""),VLOOKUP($D62,素材!$1:$1016,COLUMN($F$1),FALSE))),VLOOKUP($C62,武器!$1:$998,COLUMN($O$1),FALSE)*VLOOKUP($D62,素材!$1:$1016,COLUMN($E$1),FALSE)/(LEN(VLOOKUP($D62,素材!$1:$1016,COLUMN($F$1),FALSE))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Y62">
        <f>IF(ISNUMBER(SEARCH(SUBSTITUTE(AY$1,RIGHT(AY$1,2),""),VLOOKUP($D62,素材!$1:$1016,COLUMN($F$1),FALSE))),VLOOKUP($C62,武器!$1:$998,COLUMN($O$1),FALSE)*VLOOKUP($D62,素材!$1:$1016,COLUMN($E$1),FALSE)/(LEN(VLOOKUP($D62,素材!$1:$1016,COLUMN($F$1),FALSE))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AZ62">
        <f>IF(ISNUMBER(SEARCH(SUBSTITUTE(AZ$1,RIGHT(AZ$1,2),""),VLOOKUP($D62,素材!$1:$1016,COLUMN($F$1),FALSE))),VLOOKUP($C62,武器!$1:$998,COLUMN($O$1),FALSE)*VLOOKUP($D62,素材!$1:$1016,COLUMN($E$1),FALSE)/(LEN(VLOOKUP($D62,素材!$1:$1016,COLUMN($F$1),FALSE))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BA62">
        <f>IF(ISNUMBER(SEARCH(SUBSTITUTE(BA$1,RIGHT(BA$1,2),""),VLOOKUP($D62,素材!$1:$1016,COLUMN($F$1),FALSE))),VLOOKUP($C62,武器!$1:$998,COLUMN($O$1),FALSE)*VLOOKUP($D62,素材!$1:$1016,COLUMN($E$1),FALSE)/(LEN(VLOOKUP($D62,素材!$1:$1016,COLUMN($F$1),FALSE))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BB62">
        <f>IF(ISNUMBER(SEARCH(SUBSTITUTE(BB$1,RIGHT(BB$1,2),""),VLOOKUP($D62,素材!$1:$1016,COLUMN($F$1),FALSE))),VLOOKUP($C62,武器!$1:$998,COLUMN($O$1),FALSE)*VLOOKUP($D62,素材!$1:$1016,COLUMN($E$1),FALSE)/(LEN(VLOOKUP($D62,素材!$1:$1016,COLUMN($F$1),FALSE))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BC62">
        <f>IF(ISNUMBER(SEARCH(SUBSTITUTE(BC$1,RIGHT(BC$1,2),""),VLOOKUP($D62,素材!$1:$1016,COLUMN($F$1),FALSE))),VLOOKUP($C62,武器!$1:$998,COLUMN($O$1),FALSE)*VLOOKUP($D62,素材!$1:$1016,COLUMN($E$1),FALSE)/(LEN(VLOOKUP($D62,素材!$1:$1016,COLUMN($F$1),FALSE))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BD62">
        <f>IF(ISNUMBER(SEARCH(SUBSTITUTE(BD$1,RIGHT(BD$1,2),""),VLOOKUP($D62,素材!$1:$1016,COLUMN($F$1),FALSE))),VLOOKUP($C62,武器!$1:$998,COLUMN($O$1),FALSE)*VLOOKUP($D62,素材!$1:$1016,COLUMN($E$1),FALSE)/(LEN(VLOOKUP($D62,素材!$1:$1016,COLUMN($F$1),FALSE))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BE62">
        <f>IF(ISNUMBER(SEARCH(SUBSTITUTE(BE$1,RIGHT(BE$1,2),""),VLOOKUP($D62,素材!$1:$1016,COLUMN($F$1),FALSE))),VLOOKUP($C62,武器!$1:$998,COLUMN($O$1),FALSE)*VLOOKUP($D62,素材!$1:$1016,COLUMN($E$1),FALSE)/(LEN(VLOOKUP($D62,素材!$1:$1016,COLUMN($F$1),FALSE))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BF62">
        <f>IF(ISNUMBER(SEARCH(SUBSTITUTE(BF$1,RIGHT(BF$1,2),""),VLOOKUP($D62,素材!$1:$1016,COLUMN($F$1),FALSE))),VLOOKUP($C62,武器!$1:$998,COLUMN($O$1),FALSE)*VLOOKUP($D62,素材!$1:$1016,COLUMN($E$1),FALSE)/(LEN(VLOOKUP($D62,素材!$1:$1016,COLUMN($F$1),FALSE)) - LEN(SUBSTITUTE(VLOOKUP($D62,素材!$1:$1016,COLUMN($F$1),FALSE), "・", 0)) + 1), 0)</f>
        <v>0</v>
      </c>
      <c r="CM62">
        <f t="shared" si="3"/>
        <v>12</v>
      </c>
      <c r="CN62" s="22" t="str">
        <f>IF(E62="武器",IF(J62-1&gt;SUM(G62:I62),"盾",IF(MAX(G62:I62)=G62,"切断",IF(MAX(G62:I62)=H62,"貫通",IF(MAX(G62:I62)=I62,"打撃","射撃")))),E62)&amp;".webp"</f>
        <v>盾.webp</v>
      </c>
      <c r="CO62">
        <f>IFERROR(VLOOKUP($C62,武器!$1:$998,COLUMN(V$1),FALSE)*VLOOKUP($D62,素材!$1:$1016,COLUMN(N$1),FALSE)+IF(CJ62="",0,VLOOKUP($CJ62,装強!$1:$1008,COLUMN($CL$1),FALSE)),"")</f>
        <v>200</v>
      </c>
      <c r="CP62" t="str">
        <f>VLOOKUP(D62,素材!$A:$O,COLUMN(素材!O$1),FALSE)</f>
        <v>一般的な木材。金属より軽いが少し脆い</v>
      </c>
      <c r="CQ62" t="str">
        <f>VLOOKUP(C62,武器!$A:$W,COLUMN(武器!W$1),FALSE)</f>
        <v>丸大盾。防御範囲が広く、投擲も可能。</v>
      </c>
      <c r="CS62" t="str">
        <f t="shared" si="2"/>
        <v>e_62</v>
      </c>
      <c r="CT62">
        <f t="shared" si="4"/>
        <v>20000</v>
      </c>
    </row>
    <row r="63" spans="1:98" outlineLevel="1" x14ac:dyDescent="0.4">
      <c r="A63" t="str">
        <f t="shared" si="5"/>
        <v>木の大盾</v>
      </c>
      <c r="B63" t="str">
        <f>IFERROR(VLOOKUP($D63,素材!$1:$1016,COLUMN($B$1),FALSE)&amp;"・"&amp;VLOOKUP($C63,武器!$1:$998,COLUMN(B$1),FALSE),"")</f>
        <v>ウッド・ラージシールド</v>
      </c>
      <c r="C63" t="s">
        <v>219</v>
      </c>
      <c r="D63" s="24" t="s">
        <v>255</v>
      </c>
      <c r="E63" t="str">
        <f>IFERROR(VLOOKUP(C63,武器!$1:$998,COLUMN(C$1),FALSE),"")</f>
        <v>盾</v>
      </c>
      <c r="F63">
        <f>IFERROR(ROUNDDOWN((VLOOKUP($C63,武器!$1:$998,COLUMN(D$1),FALSE)+IFERROR(VLOOKUP($CJ63,装強!$1:$999,COLUMN(F$1),FALSE),0))*VLOOKUP($D63,素材!$1:$1016,COLUMN(D$1),FALSE),0),"")</f>
        <v>86</v>
      </c>
      <c r="G63">
        <f>IFERROR(ROUNDDOWN((VLOOKUP($C63,武器!$1:$998,COLUMN(E$1),FALSE)+IFERROR(VLOOKUP($CJ63,装強!$1:$999,COLUMN(G$1),FALSE),0))*VLOOKUP($D63,素材!$1:$1016,COLUMN($E$1),FALSE),0),"")</f>
        <v>0</v>
      </c>
      <c r="H63">
        <f>IFERROR(ROUNDDOWN((VLOOKUP($C63,武器!$1:$998,COLUMN(F$1),FALSE)+IFERROR(VLOOKUP($CJ63,装強!$1:$999,COLUMN(H$1),FALSE),0))*VLOOKUP($D63,素材!$1:$1016,COLUMN($E$1),FALSE),0),"")</f>
        <v>0</v>
      </c>
      <c r="I63">
        <f>IFERROR(ROUNDDOWN((VLOOKUP($C63,武器!$1:$998,COLUMN(G$1),FALSE)+IFERROR(VLOOKUP($CJ63,装強!$1:$999,COLUMN(I$1),FALSE),0))*VLOOKUP($D63,素材!$1:$1016,COLUMN($E$1),FALSE),0),"")</f>
        <v>12</v>
      </c>
      <c r="J63">
        <f>IFERROR(ROUNDDOWN((VLOOKUP($C63,武器!$1:$998,COLUMN(H$1),FALSE)+IFERROR(VLOOKUP($CJ63,装強!$1:$999,COLUMN(J$1),FALSE),0))*VLOOKUP($D63,素材!$1:$1016,COLUMN($E$1),FALSE),0),"")</f>
        <v>20</v>
      </c>
      <c r="K63">
        <f>IFERROR(ROUNDDOWN((VLOOKUP($C63,武器!$1:$998,COLUMN(I$1),FALSE)+IFERROR(VLOOKUP($CJ63,装強!$1:$999,COLUMN(K$1),FALSE),0))*VLOOKUP($D63,素材!$1:$1016,COLUMN($E$1),FALSE),0),"")</f>
        <v>0</v>
      </c>
      <c r="L63">
        <f>IFERROR(VLOOKUP($D63,素材!$1:$1016,COLUMN($F$1),FALSE),"")</f>
        <v>0</v>
      </c>
      <c r="M63">
        <f>IFERROR(VLOOKUP($C63,武器!$1:$998,COLUMN(AA$1),FALSE)*VLOOKUP($D63,素材!$1:$1016,COLUMN($G$1),FALSE),"")</f>
        <v>0</v>
      </c>
      <c r="N63">
        <f>IFERROR(VLOOKUP($C63,武器!$1:$998,COLUMN(I$1),FALSE),"")</f>
        <v>0</v>
      </c>
      <c r="O63" s="23">
        <f>IFERROR((VLOOKUP($C63,武器!$1:$998,COLUMN(K$1),FALSE)+VLOOKUP($D63,素材!$1:$1016,COLUMN(H$1),FALSE))*100+IFERROR(VLOOKUP($CJ63,装強!$1:$999,COLUMN(O$1),FALSE),0),"")</f>
        <v>5</v>
      </c>
      <c r="P63" s="23">
        <f>IFERROR((VLOOKUP($C63,武器!$1:$998,COLUMN(L$1),FALSE)+VLOOKUP($D63,素材!$1:$1016,COLUMN(I$1),FALSE))*100+IFERROR(VLOOKUP($CJ63,装強!$1:$999,COLUMN(P$1),FALSE),0),"")</f>
        <v>125</v>
      </c>
      <c r="Q63">
        <f>IFERROR(ROUNDUP(VLOOKUP($C63,武器!$1:$998,COLUMN(M$1),FALSE)*(VLOOKUP($D63,素材!$1:$1002,COLUMN(D$1),FALSE)/100),1),"")</f>
        <v>-3.8000000000000003</v>
      </c>
      <c r="R63">
        <f>IFERROR(ROUNDUP(VLOOKUP($C63,武器!$1:$998,COLUMN(N$1),FALSE)*(VLOOKUP($D63,素材!$1:$1002,COLUMN(D$1),FALSE)/100),1),"")</f>
        <v>0</v>
      </c>
      <c r="S63">
        <f>IFERROR(VLOOKUP($C63,武器!$1:$998,COLUMN(P$1),FALSE),"")</f>
        <v>0</v>
      </c>
      <c r="T63">
        <f>IFERROR(VLOOKUP($C63,武器!$1:$998,COLUMN(Q$1),FALSE),"")</f>
        <v>0</v>
      </c>
      <c r="U63">
        <f>IFERROR(VLOOKUP($C63,武器!$1:$998,COLUMN(R$1),FALSE),"")</f>
        <v>0</v>
      </c>
      <c r="V63">
        <f>IFERROR(VLOOKUP($C63,武器!$1:$998,COLUMN(Q$1),FALSE),"")</f>
        <v>0</v>
      </c>
      <c r="W63" t="str">
        <f>IFERROR(VLOOKUP($C63,武器!$1:$998,COLUMN(T$1),FALSE),"")</f>
        <v>A</v>
      </c>
      <c r="Y63" t="str">
        <f>IFERROR(VLOOKUP($C63,武器!$1:$998,COLUMN(U$1),FALSE),"")</f>
        <v>片手適正Ⅰ</v>
      </c>
      <c r="Z63">
        <f>IFERROR(ROUNDUP(VLOOKUP($C63,武器!$1:$998,COLUMN(O$1),FALSE)*VLOOKUP($D63,素材!$1:$1016,COLUMN(E$1),FALSE),1),"")</f>
        <v>0</v>
      </c>
      <c r="AA63">
        <f>IF(ISNUMBER(SEARCH(SUBSTITUTE(AA$1,RIGHT(AA$1,2),""),VLOOKUP($D63,素材!$1:$1016,COLUMN($F$1),FALSE))),VLOOKUP($C63,武器!$1:$998,COLUMN($O$1),FALSE)*VLOOKUP($D63,素材!$1:$1016,COLUMN($E$1),FALSE)/(LEN(VLOOKUP($D63,素材!$1:$1016,COLUMN($F$1),FALSE))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B63">
        <f>IF(ISNUMBER(SEARCH(SUBSTITUTE(AB$1,RIGHT(AB$1,2),""),VLOOKUP($D63,素材!$1:$1016,COLUMN($F$1),FALSE))),VLOOKUP($C63,武器!$1:$998,COLUMN($O$1),FALSE)*VLOOKUP($D63,素材!$1:$1016,COLUMN($E$1),FALSE)/(LEN(VLOOKUP($D63,素材!$1:$1016,COLUMN($F$1),FALSE))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C63">
        <f>IF(ISNUMBER(SEARCH(SUBSTITUTE(AC$1,RIGHT(AC$1,2),""),VLOOKUP($D63,素材!$1:$1016,COLUMN($F$1),FALSE))),VLOOKUP($C63,武器!$1:$998,COLUMN($O$1),FALSE)*VLOOKUP($D63,素材!$1:$1016,COLUMN($E$1),FALSE)/(LEN(VLOOKUP($D63,素材!$1:$1016,COLUMN($F$1),FALSE))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D63">
        <f>IF(ISNUMBER(SEARCH(SUBSTITUTE(AD$1,RIGHT(AD$1,2),""),VLOOKUP($D63,素材!$1:$1016,COLUMN($F$1),FALSE))),VLOOKUP($C63,武器!$1:$998,COLUMN($O$1),FALSE)*VLOOKUP($D63,素材!$1:$1016,COLUMN($E$1),FALSE)/(LEN(VLOOKUP($D63,素材!$1:$1016,COLUMN($F$1),FALSE))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E63">
        <f>IF(ISNUMBER(SEARCH(SUBSTITUTE(AE$1,RIGHT(AE$1,2),""),VLOOKUP($D63,素材!$1:$1016,COLUMN($F$1),FALSE))),VLOOKUP($C63,武器!$1:$998,COLUMN($O$1),FALSE)*VLOOKUP($D63,素材!$1:$1016,COLUMN($E$1),FALSE)/(LEN(VLOOKUP($D63,素材!$1:$1016,COLUMN($F$1),FALSE))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F63">
        <f>IF(ISNUMBER(SEARCH(SUBSTITUTE(AF$1,RIGHT(AF$1,2),""),VLOOKUP($D63,素材!$1:$1016,COLUMN($F$1),FALSE))),VLOOKUP($C63,武器!$1:$998,COLUMN($O$1),FALSE)*VLOOKUP($D63,素材!$1:$1016,COLUMN($E$1),FALSE)/(LEN(VLOOKUP($D63,素材!$1:$1016,COLUMN($F$1),FALSE))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G63">
        <f>IF(ISNUMBER(SEARCH(SUBSTITUTE(AG$1,RIGHT(AG$1,2),""),VLOOKUP($D63,素材!$1:$1016,COLUMN($F$1),FALSE))),VLOOKUP($C63,武器!$1:$998,COLUMN($O$1),FALSE)*VLOOKUP($D63,素材!$1:$1016,COLUMN($E$1),FALSE)/(LEN(VLOOKUP($D63,素材!$1:$1016,COLUMN($F$1),FALSE))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H63">
        <f>IF(ISNUMBER(SEARCH(SUBSTITUTE(AH$1,RIGHT(AH$1,2),""),VLOOKUP($D63,素材!$1:$1016,COLUMN($F$1),FALSE))),VLOOKUP($C63,武器!$1:$998,COLUMN($O$1),FALSE)*VLOOKUP($D63,素材!$1:$1016,COLUMN($E$1),FALSE)/(LEN(VLOOKUP($D63,素材!$1:$1016,COLUMN($F$1),FALSE))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I63">
        <f>IF(ISNUMBER(SEARCH(SUBSTITUTE(AI$1,RIGHT(AI$1,2),""),VLOOKUP($D63,素材!$1:$1016,COLUMN($F$1),FALSE))),VLOOKUP($C63,武器!$1:$998,COLUMN($O$1),FALSE)*VLOOKUP($D63,素材!$1:$1016,COLUMN($E$1),FALSE)/(LEN(VLOOKUP($D63,素材!$1:$1016,COLUMN($F$1),FALSE))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J63">
        <f>IF(ISNUMBER(SEARCH(SUBSTITUTE(AJ$1,RIGHT(AJ$1,2),""),VLOOKUP($D63,素材!$1:$1016,COLUMN($F$1),FALSE))),VLOOKUP($C63,武器!$1:$998,COLUMN($O$1),FALSE)*VLOOKUP($D63,素材!$1:$1016,COLUMN($E$1),FALSE)/(LEN(VLOOKUP($D63,素材!$1:$1016,COLUMN($F$1),FALSE))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K63">
        <f>IF(ISNUMBER(SEARCH(SUBSTITUTE(AK$1,RIGHT(AK$1,2),""),VLOOKUP($D63,素材!$1:$1016,COLUMN($F$1),FALSE))),VLOOKUP($C63,武器!$1:$998,COLUMN($O$1),FALSE)*VLOOKUP($D63,素材!$1:$1016,COLUMN($E$1),FALSE)/(LEN(VLOOKUP($D63,素材!$1:$1016,COLUMN($F$1),FALSE))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L63">
        <f>IF(ISNUMBER(SEARCH(SUBSTITUTE(AL$1,RIGHT(AL$1,2),""),VLOOKUP($D63,素材!$1:$1016,COLUMN($F$1),FALSE))),VLOOKUP($C63,武器!$1:$998,COLUMN($O$1),FALSE)*VLOOKUP($D63,素材!$1:$1016,COLUMN($E$1),FALSE)/(LEN(VLOOKUP($D63,素材!$1:$1016,COLUMN($F$1),FALSE))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M63">
        <f>IF(ISNUMBER(SEARCH(SUBSTITUTE(AM$1,RIGHT(AM$1,2),""),VLOOKUP($D63,素材!$1:$1016,COLUMN($F$1),FALSE))),VLOOKUP($C63,武器!$1:$998,COLUMN($O$1),FALSE)*VLOOKUP($D63,素材!$1:$1016,COLUMN($E$1),FALSE)/(LEN(VLOOKUP($D63,素材!$1:$1016,COLUMN($F$1),FALSE))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N63">
        <f>IF(ISNUMBER(SEARCH(SUBSTITUTE(AN$1,RIGHT(AN$1,2),""),VLOOKUP($D63,素材!$1:$1016,COLUMN($F$1),FALSE))),VLOOKUP($C63,武器!$1:$998,COLUMN($O$1),FALSE)*VLOOKUP($D63,素材!$1:$1016,COLUMN($E$1),FALSE)/(LEN(VLOOKUP($D63,素材!$1:$1016,COLUMN($F$1),FALSE))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O63">
        <f>IF(ISNUMBER(SEARCH(SUBSTITUTE(AO$1,RIGHT(AO$1,2),""),VLOOKUP($D63,素材!$1:$1016,COLUMN($F$1),FALSE))),VLOOKUP($C63,武器!$1:$998,COLUMN($O$1),FALSE)*VLOOKUP($D63,素材!$1:$1016,COLUMN($E$1),FALSE)/(LEN(VLOOKUP($D63,素材!$1:$1016,COLUMN($F$1),FALSE))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P63">
        <f>IF(ISNUMBER(SEARCH(SUBSTITUTE(AP$1,RIGHT(AP$1,2),""),VLOOKUP($D63,素材!$1:$1016,COLUMN($F$1),FALSE))),VLOOKUP($C63,武器!$1:$998,COLUMN($O$1),FALSE)*VLOOKUP($D63,素材!$1:$1016,COLUMN($E$1),FALSE)/(LEN(VLOOKUP($D63,素材!$1:$1016,COLUMN($F$1),FALSE))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Q63">
        <f>IF(ISNUMBER(SEARCH(SUBSTITUTE(AQ$1,RIGHT(AQ$1,2),""),VLOOKUP($D63,素材!$1:$1016,COLUMN($F$1),FALSE))),VLOOKUP($C63,武器!$1:$998,COLUMN($O$1),FALSE)*VLOOKUP($D63,素材!$1:$1016,COLUMN($E$1),FALSE)/(LEN(VLOOKUP($D63,素材!$1:$1016,COLUMN($F$1),FALSE))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R63">
        <f>IF(ISNUMBER(SEARCH(SUBSTITUTE(AR$1,RIGHT(AR$1,2),""),VLOOKUP($D63,素材!$1:$1016,COLUMN($F$1),FALSE))),VLOOKUP($C63,武器!$1:$998,COLUMN($O$1),FALSE)*VLOOKUP($D63,素材!$1:$1016,COLUMN($E$1),FALSE)/(LEN(VLOOKUP($D63,素材!$1:$1016,COLUMN($F$1),FALSE))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S63">
        <f>IF(ISNUMBER(SEARCH(SUBSTITUTE(AS$1,RIGHT(AS$1,2),""),VLOOKUP($D63,素材!$1:$1016,COLUMN($F$1),FALSE))),VLOOKUP($C63,武器!$1:$998,COLUMN($O$1),FALSE)*VLOOKUP($D63,素材!$1:$1016,COLUMN($E$1),FALSE)/(LEN(VLOOKUP($D63,素材!$1:$1016,COLUMN($F$1),FALSE))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T63">
        <f>IF(ISNUMBER(SEARCH(SUBSTITUTE(AT$1,RIGHT(AT$1,2),""),VLOOKUP($D63,素材!$1:$1016,COLUMN($F$1),FALSE))),VLOOKUP($C63,武器!$1:$998,COLUMN($O$1),FALSE)*VLOOKUP($D63,素材!$1:$1016,COLUMN($E$1),FALSE)/(LEN(VLOOKUP($D63,素材!$1:$1016,COLUMN($F$1),FALSE))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U63">
        <f>IF(ISNUMBER(SEARCH(SUBSTITUTE(AU$1,RIGHT(AU$1,2),""),VLOOKUP($D63,素材!$1:$1016,COLUMN($F$1),FALSE))),VLOOKUP($C63,武器!$1:$998,COLUMN($O$1),FALSE)*VLOOKUP($D63,素材!$1:$1016,COLUMN($E$1),FALSE)/(LEN(VLOOKUP($D63,素材!$1:$1016,COLUMN($F$1),FALSE))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V63">
        <f>IF(ISNUMBER(SEARCH(SUBSTITUTE(AV$1,RIGHT(AV$1,2),""),VLOOKUP($D63,素材!$1:$1016,COLUMN($F$1),FALSE))),VLOOKUP($C63,武器!$1:$998,COLUMN($O$1),FALSE)*VLOOKUP($D63,素材!$1:$1016,COLUMN($E$1),FALSE)/(LEN(VLOOKUP($D63,素材!$1:$1016,COLUMN($F$1),FALSE))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W63">
        <f>IF(ISNUMBER(SEARCH(SUBSTITUTE(AW$1,RIGHT(AW$1,2),""),VLOOKUP($D63,素材!$1:$1016,COLUMN($F$1),FALSE))),VLOOKUP($C63,武器!$1:$998,COLUMN($O$1),FALSE)*VLOOKUP($D63,素材!$1:$1016,COLUMN($E$1),FALSE)/(LEN(VLOOKUP($D63,素材!$1:$1016,COLUMN($F$1),FALSE))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X63">
        <f>IF(ISNUMBER(SEARCH(SUBSTITUTE(AX$1,RIGHT(AX$1,2),""),VLOOKUP($D63,素材!$1:$1016,COLUMN($F$1),FALSE))),VLOOKUP($C63,武器!$1:$998,COLUMN($O$1),FALSE)*VLOOKUP($D63,素材!$1:$1016,COLUMN($E$1),FALSE)/(LEN(VLOOKUP($D63,素材!$1:$1016,COLUMN($F$1),FALSE))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Y63">
        <f>IF(ISNUMBER(SEARCH(SUBSTITUTE(AY$1,RIGHT(AY$1,2),""),VLOOKUP($D63,素材!$1:$1016,COLUMN($F$1),FALSE))),VLOOKUP($C63,武器!$1:$998,COLUMN($O$1),FALSE)*VLOOKUP($D63,素材!$1:$1016,COLUMN($E$1),FALSE)/(LEN(VLOOKUP($D63,素材!$1:$1016,COLUMN($F$1),FALSE))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AZ63">
        <f>IF(ISNUMBER(SEARCH(SUBSTITUTE(AZ$1,RIGHT(AZ$1,2),""),VLOOKUP($D63,素材!$1:$1016,COLUMN($F$1),FALSE))),VLOOKUP($C63,武器!$1:$998,COLUMN($O$1),FALSE)*VLOOKUP($D63,素材!$1:$1016,COLUMN($E$1),FALSE)/(LEN(VLOOKUP($D63,素材!$1:$1016,COLUMN($F$1),FALSE))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BA63">
        <f>IF(ISNUMBER(SEARCH(SUBSTITUTE(BA$1,RIGHT(BA$1,2),""),VLOOKUP($D63,素材!$1:$1016,COLUMN($F$1),FALSE))),VLOOKUP($C63,武器!$1:$998,COLUMN($O$1),FALSE)*VLOOKUP($D63,素材!$1:$1016,COLUMN($E$1),FALSE)/(LEN(VLOOKUP($D63,素材!$1:$1016,COLUMN($F$1),FALSE))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BB63">
        <f>IF(ISNUMBER(SEARCH(SUBSTITUTE(BB$1,RIGHT(BB$1,2),""),VLOOKUP($D63,素材!$1:$1016,COLUMN($F$1),FALSE))),VLOOKUP($C63,武器!$1:$998,COLUMN($O$1),FALSE)*VLOOKUP($D63,素材!$1:$1016,COLUMN($E$1),FALSE)/(LEN(VLOOKUP($D63,素材!$1:$1016,COLUMN($F$1),FALSE))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BC63">
        <f>IF(ISNUMBER(SEARCH(SUBSTITUTE(BC$1,RIGHT(BC$1,2),""),VLOOKUP($D63,素材!$1:$1016,COLUMN($F$1),FALSE))),VLOOKUP($C63,武器!$1:$998,COLUMN($O$1),FALSE)*VLOOKUP($D63,素材!$1:$1016,COLUMN($E$1),FALSE)/(LEN(VLOOKUP($D63,素材!$1:$1016,COLUMN($F$1),FALSE))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BD63">
        <f>IF(ISNUMBER(SEARCH(SUBSTITUTE(BD$1,RIGHT(BD$1,2),""),VLOOKUP($D63,素材!$1:$1016,COLUMN($F$1),FALSE))),VLOOKUP($C63,武器!$1:$998,COLUMN($O$1),FALSE)*VLOOKUP($D63,素材!$1:$1016,COLUMN($E$1),FALSE)/(LEN(VLOOKUP($D63,素材!$1:$1016,COLUMN($F$1),FALSE))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BE63">
        <f>IF(ISNUMBER(SEARCH(SUBSTITUTE(BE$1,RIGHT(BE$1,2),""),VLOOKUP($D63,素材!$1:$1016,COLUMN($F$1),FALSE))),VLOOKUP($C63,武器!$1:$998,COLUMN($O$1),FALSE)*VLOOKUP($D63,素材!$1:$1016,COLUMN($E$1),FALSE)/(LEN(VLOOKUP($D63,素材!$1:$1016,COLUMN($F$1),FALSE))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BF63">
        <f>IF(ISNUMBER(SEARCH(SUBSTITUTE(BF$1,RIGHT(BF$1,2),""),VLOOKUP($D63,素材!$1:$1016,COLUMN($F$1),FALSE))),VLOOKUP($C63,武器!$1:$998,COLUMN($O$1),FALSE)*VLOOKUP($D63,素材!$1:$1016,COLUMN($E$1),FALSE)/(LEN(VLOOKUP($D63,素材!$1:$1016,COLUMN($F$1),FALSE)) - LEN(SUBSTITUTE(VLOOKUP($D63,素材!$1:$1016,COLUMN($F$1),FALSE), "・", 0)) + 1), 0)</f>
        <v>0</v>
      </c>
      <c r="CM63">
        <f t="shared" si="3"/>
        <v>12</v>
      </c>
      <c r="CN63" s="22" t="str">
        <f>IF(E63="武器",IF(J63-1&gt;SUM(G63:I63),"盾",IF(MAX(G63:I63)=G63,"切断",IF(MAX(G63:I63)=H63,"貫通",IF(MAX(G63:I63)=I63,"打撃","射撃")))),E63)&amp;".webp"</f>
        <v>盾.webp</v>
      </c>
      <c r="CO63">
        <f>IFERROR(VLOOKUP($C63,武器!$1:$998,COLUMN(V$1),FALSE)*VLOOKUP($D63,素材!$1:$1016,COLUMN(N$1),FALSE)+IF(CJ63="",0,VLOOKUP($CJ63,装強!$1:$1008,COLUMN($CL$1),FALSE)),"")</f>
        <v>200</v>
      </c>
      <c r="CP63" t="str">
        <f>VLOOKUP(D63,素材!$A:$O,COLUMN(素材!O$1),FALSE)</f>
        <v>一般的な木材。金属より軽いが少し脆い</v>
      </c>
      <c r="CQ63" t="str">
        <f>VLOOKUP(C63,武器!$A:$W,COLUMN(武器!W$1),FALSE)</f>
        <v>大盾。さらに大きな盾で、高い防御力を持つ。</v>
      </c>
      <c r="CS63" t="str">
        <f t="shared" si="2"/>
        <v>e_63</v>
      </c>
      <c r="CT63">
        <f t="shared" si="4"/>
        <v>20000</v>
      </c>
    </row>
    <row r="64" spans="1:98" outlineLevel="1" x14ac:dyDescent="0.4">
      <c r="A64" t="str">
        <f t="shared" si="5"/>
        <v>木の短弓</v>
      </c>
      <c r="B64" t="str">
        <f>IFERROR(VLOOKUP($D64,素材!$1:$1016,COLUMN($B$1),FALSE)&amp;"・"&amp;VLOOKUP($C64,武器!$1:$998,COLUMN(B$1),FALSE),"")</f>
        <v>ウッド・ボウ</v>
      </c>
      <c r="C64" t="s">
        <v>218</v>
      </c>
      <c r="D64" s="24" t="s">
        <v>255</v>
      </c>
      <c r="E64" t="str">
        <f>IFERROR(VLOOKUP(C64,武器!$1:$998,COLUMN(C$1),FALSE),"")</f>
        <v>武器</v>
      </c>
      <c r="F64">
        <f>IFERROR(ROUNDDOWN((VLOOKUP($C64,武器!$1:$998,COLUMN(D$1),FALSE)+IFERROR(VLOOKUP($CJ64,装強!$1:$999,COLUMN(F$1),FALSE),0))*VLOOKUP($D64,素材!$1:$1016,COLUMN(D$1),FALSE),0),"")</f>
        <v>82</v>
      </c>
      <c r="G64">
        <f>IFERROR(ROUNDDOWN((VLOOKUP($C64,武器!$1:$998,COLUMN(E$1),FALSE)+IFERROR(VLOOKUP($CJ64,装強!$1:$999,COLUMN(G$1),FALSE),0))*VLOOKUP($D64,素材!$1:$1016,COLUMN($E$1),FALSE),0),"")</f>
        <v>3</v>
      </c>
      <c r="H64">
        <f>IFERROR(ROUNDDOWN((VLOOKUP($C64,武器!$1:$998,COLUMN(F$1),FALSE)+IFERROR(VLOOKUP($CJ64,装強!$1:$999,COLUMN(H$1),FALSE),0))*VLOOKUP($D64,素材!$1:$1016,COLUMN($E$1),FALSE),0),"")</f>
        <v>3</v>
      </c>
      <c r="I64">
        <f>IFERROR(ROUNDDOWN((VLOOKUP($C64,武器!$1:$998,COLUMN(G$1),FALSE)+IFERROR(VLOOKUP($CJ64,装強!$1:$999,COLUMN(I$1),FALSE),0))*VLOOKUP($D64,素材!$1:$1016,COLUMN($E$1),FALSE),0),"")</f>
        <v>0</v>
      </c>
      <c r="J64">
        <f>IFERROR(ROUNDDOWN((VLOOKUP($C64,武器!$1:$998,COLUMN(H$1),FALSE)+IFERROR(VLOOKUP($CJ64,装強!$1:$999,COLUMN(J$1),FALSE),0))*VLOOKUP($D64,素材!$1:$1016,COLUMN($E$1),FALSE),0),"")</f>
        <v>0</v>
      </c>
      <c r="K64">
        <f>IFERROR(ROUNDDOWN((VLOOKUP($C64,武器!$1:$998,COLUMN(I$1),FALSE)+IFERROR(VLOOKUP($CJ64,装強!$1:$999,COLUMN(K$1),FALSE),0))*VLOOKUP($D64,素材!$1:$1016,COLUMN($E$1),FALSE),0),"")</f>
        <v>15</v>
      </c>
      <c r="L64">
        <f>IFERROR(VLOOKUP($D64,素材!$1:$1016,COLUMN($F$1),FALSE),"")</f>
        <v>0</v>
      </c>
      <c r="M64">
        <f>IFERROR(VLOOKUP($C64,武器!$1:$998,COLUMN(AA$1),FALSE)*VLOOKUP($D64,素材!$1:$1016,COLUMN($G$1),FALSE),"")</f>
        <v>0</v>
      </c>
      <c r="N64">
        <f>IFERROR(VLOOKUP($C64,武器!$1:$998,COLUMN(I$1),FALSE),"")</f>
        <v>1</v>
      </c>
      <c r="O64" s="23">
        <f>IFERROR((VLOOKUP($C64,武器!$1:$998,COLUMN(K$1),FALSE)+VLOOKUP($D64,素材!$1:$1016,COLUMN(H$1),FALSE))*100+IFERROR(VLOOKUP($CJ64,装強!$1:$999,COLUMN(O$1),FALSE),0),"")</f>
        <v>10</v>
      </c>
      <c r="P64" s="23">
        <f>IFERROR((VLOOKUP($C64,武器!$1:$998,COLUMN(L$1),FALSE)+VLOOKUP($D64,素材!$1:$1016,COLUMN(I$1),FALSE))*100+IFERROR(VLOOKUP($CJ64,装強!$1:$999,COLUMN(P$1),FALSE),0),"")</f>
        <v>130</v>
      </c>
      <c r="Q64">
        <f>IFERROR(ROUNDUP(VLOOKUP($C64,武器!$1:$998,COLUMN(M$1),FALSE)*(VLOOKUP($D64,素材!$1:$1002,COLUMN(D$1),FALSE)/100),1),"")</f>
        <v>-1.9000000000000001</v>
      </c>
      <c r="R64">
        <f>IFERROR(ROUNDUP(VLOOKUP($C64,武器!$1:$998,COLUMN(N$1),FALSE)*(VLOOKUP($D64,素材!$1:$1002,COLUMN(D$1),FALSE)/100),1),"")</f>
        <v>0</v>
      </c>
      <c r="S64">
        <f>IFERROR(VLOOKUP($C64,武器!$1:$998,COLUMN(P$1),FALSE),"")</f>
        <v>2</v>
      </c>
      <c r="T64">
        <f>IFERROR(VLOOKUP($C64,武器!$1:$998,COLUMN(Q$1),FALSE),"")</f>
        <v>0</v>
      </c>
      <c r="U64">
        <f>IFERROR(VLOOKUP($C64,武器!$1:$998,COLUMN(R$1),FALSE),"")</f>
        <v>0</v>
      </c>
      <c r="V64">
        <f>IFERROR(VLOOKUP($C64,武器!$1:$998,COLUMN(Q$1),FALSE),"")</f>
        <v>0</v>
      </c>
      <c r="W64" t="str">
        <f>IFERROR(VLOOKUP($C64,武器!$1:$998,COLUMN(T$1),FALSE),"")</f>
        <v>A</v>
      </c>
      <c r="Y64">
        <f>IFERROR(VLOOKUP($C64,武器!$1:$998,COLUMN(U$1),FALSE),"")</f>
        <v>0</v>
      </c>
      <c r="Z64">
        <f>IFERROR(ROUNDUP(VLOOKUP($C64,武器!$1:$998,COLUMN(O$1),FALSE)*VLOOKUP($D64,素材!$1:$1016,COLUMN(E$1),FALSE),1),"")</f>
        <v>0</v>
      </c>
      <c r="AA64">
        <f>IF(ISNUMBER(SEARCH(SUBSTITUTE(AA$1,RIGHT(AA$1,2),""),VLOOKUP($D64,素材!$1:$1016,COLUMN($F$1),FALSE))),VLOOKUP($C64,武器!$1:$998,COLUMN($O$1),FALSE)*VLOOKUP($D64,素材!$1:$1016,COLUMN($E$1),FALSE)/(LEN(VLOOKUP($D64,素材!$1:$1016,COLUMN($F$1),FALSE))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B64">
        <f>IF(ISNUMBER(SEARCH(SUBSTITUTE(AB$1,RIGHT(AB$1,2),""),VLOOKUP($D64,素材!$1:$1016,COLUMN($F$1),FALSE))),VLOOKUP($C64,武器!$1:$998,COLUMN($O$1),FALSE)*VLOOKUP($D64,素材!$1:$1016,COLUMN($E$1),FALSE)/(LEN(VLOOKUP($D64,素材!$1:$1016,COLUMN($F$1),FALSE))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C64">
        <f>IF(ISNUMBER(SEARCH(SUBSTITUTE(AC$1,RIGHT(AC$1,2),""),VLOOKUP($D64,素材!$1:$1016,COLUMN($F$1),FALSE))),VLOOKUP($C64,武器!$1:$998,COLUMN($O$1),FALSE)*VLOOKUP($D64,素材!$1:$1016,COLUMN($E$1),FALSE)/(LEN(VLOOKUP($D64,素材!$1:$1016,COLUMN($F$1),FALSE))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D64">
        <f>IF(ISNUMBER(SEARCH(SUBSTITUTE(AD$1,RIGHT(AD$1,2),""),VLOOKUP($D64,素材!$1:$1016,COLUMN($F$1),FALSE))),VLOOKUP($C64,武器!$1:$998,COLUMN($O$1),FALSE)*VLOOKUP($D64,素材!$1:$1016,COLUMN($E$1),FALSE)/(LEN(VLOOKUP($D64,素材!$1:$1016,COLUMN($F$1),FALSE))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E64">
        <f>IF(ISNUMBER(SEARCH(SUBSTITUTE(AE$1,RIGHT(AE$1,2),""),VLOOKUP($D64,素材!$1:$1016,COLUMN($F$1),FALSE))),VLOOKUP($C64,武器!$1:$998,COLUMN($O$1),FALSE)*VLOOKUP($D64,素材!$1:$1016,COLUMN($E$1),FALSE)/(LEN(VLOOKUP($D64,素材!$1:$1016,COLUMN($F$1),FALSE))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F64">
        <f>IF(ISNUMBER(SEARCH(SUBSTITUTE(AF$1,RIGHT(AF$1,2),""),VLOOKUP($D64,素材!$1:$1016,COLUMN($F$1),FALSE))),VLOOKUP($C64,武器!$1:$998,COLUMN($O$1),FALSE)*VLOOKUP($D64,素材!$1:$1016,COLUMN($E$1),FALSE)/(LEN(VLOOKUP($D64,素材!$1:$1016,COLUMN($F$1),FALSE))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G64">
        <f>IF(ISNUMBER(SEARCH(SUBSTITUTE(AG$1,RIGHT(AG$1,2),""),VLOOKUP($D64,素材!$1:$1016,COLUMN($F$1),FALSE))),VLOOKUP($C64,武器!$1:$998,COLUMN($O$1),FALSE)*VLOOKUP($D64,素材!$1:$1016,COLUMN($E$1),FALSE)/(LEN(VLOOKUP($D64,素材!$1:$1016,COLUMN($F$1),FALSE))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H64">
        <f>IF(ISNUMBER(SEARCH(SUBSTITUTE(AH$1,RIGHT(AH$1,2),""),VLOOKUP($D64,素材!$1:$1016,COLUMN($F$1),FALSE))),VLOOKUP($C64,武器!$1:$998,COLUMN($O$1),FALSE)*VLOOKUP($D64,素材!$1:$1016,COLUMN($E$1),FALSE)/(LEN(VLOOKUP($D64,素材!$1:$1016,COLUMN($F$1),FALSE))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I64">
        <f>IF(ISNUMBER(SEARCH(SUBSTITUTE(AI$1,RIGHT(AI$1,2),""),VLOOKUP($D64,素材!$1:$1016,COLUMN($F$1),FALSE))),VLOOKUP($C64,武器!$1:$998,COLUMN($O$1),FALSE)*VLOOKUP($D64,素材!$1:$1016,COLUMN($E$1),FALSE)/(LEN(VLOOKUP($D64,素材!$1:$1016,COLUMN($F$1),FALSE))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J64">
        <f>IF(ISNUMBER(SEARCH(SUBSTITUTE(AJ$1,RIGHT(AJ$1,2),""),VLOOKUP($D64,素材!$1:$1016,COLUMN($F$1),FALSE))),VLOOKUP($C64,武器!$1:$998,COLUMN($O$1),FALSE)*VLOOKUP($D64,素材!$1:$1016,COLUMN($E$1),FALSE)/(LEN(VLOOKUP($D64,素材!$1:$1016,COLUMN($F$1),FALSE))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K64">
        <f>IF(ISNUMBER(SEARCH(SUBSTITUTE(AK$1,RIGHT(AK$1,2),""),VLOOKUP($D64,素材!$1:$1016,COLUMN($F$1),FALSE))),VLOOKUP($C64,武器!$1:$998,COLUMN($O$1),FALSE)*VLOOKUP($D64,素材!$1:$1016,COLUMN($E$1),FALSE)/(LEN(VLOOKUP($D64,素材!$1:$1016,COLUMN($F$1),FALSE))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L64">
        <f>IF(ISNUMBER(SEARCH(SUBSTITUTE(AL$1,RIGHT(AL$1,2),""),VLOOKUP($D64,素材!$1:$1016,COLUMN($F$1),FALSE))),VLOOKUP($C64,武器!$1:$998,COLUMN($O$1),FALSE)*VLOOKUP($D64,素材!$1:$1016,COLUMN($E$1),FALSE)/(LEN(VLOOKUP($D64,素材!$1:$1016,COLUMN($F$1),FALSE))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M64">
        <f>IF(ISNUMBER(SEARCH(SUBSTITUTE(AM$1,RIGHT(AM$1,2),""),VLOOKUP($D64,素材!$1:$1016,COLUMN($F$1),FALSE))),VLOOKUP($C64,武器!$1:$998,COLUMN($O$1),FALSE)*VLOOKUP($D64,素材!$1:$1016,COLUMN($E$1),FALSE)/(LEN(VLOOKUP($D64,素材!$1:$1016,COLUMN($F$1),FALSE))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N64">
        <f>IF(ISNUMBER(SEARCH(SUBSTITUTE(AN$1,RIGHT(AN$1,2),""),VLOOKUP($D64,素材!$1:$1016,COLUMN($F$1),FALSE))),VLOOKUP($C64,武器!$1:$998,COLUMN($O$1),FALSE)*VLOOKUP($D64,素材!$1:$1016,COLUMN($E$1),FALSE)/(LEN(VLOOKUP($D64,素材!$1:$1016,COLUMN($F$1),FALSE))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O64">
        <f>IF(ISNUMBER(SEARCH(SUBSTITUTE(AO$1,RIGHT(AO$1,2),""),VLOOKUP($D64,素材!$1:$1016,COLUMN($F$1),FALSE))),VLOOKUP($C64,武器!$1:$998,COLUMN($O$1),FALSE)*VLOOKUP($D64,素材!$1:$1016,COLUMN($E$1),FALSE)/(LEN(VLOOKUP($D64,素材!$1:$1016,COLUMN($F$1),FALSE))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P64">
        <f>IF(ISNUMBER(SEARCH(SUBSTITUTE(AP$1,RIGHT(AP$1,2),""),VLOOKUP($D64,素材!$1:$1016,COLUMN($F$1),FALSE))),VLOOKUP($C64,武器!$1:$998,COLUMN($O$1),FALSE)*VLOOKUP($D64,素材!$1:$1016,COLUMN($E$1),FALSE)/(LEN(VLOOKUP($D64,素材!$1:$1016,COLUMN($F$1),FALSE))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Q64">
        <f>IF(ISNUMBER(SEARCH(SUBSTITUTE(AQ$1,RIGHT(AQ$1,2),""),VLOOKUP($D64,素材!$1:$1016,COLUMN($F$1),FALSE))),VLOOKUP($C64,武器!$1:$998,COLUMN($O$1),FALSE)*VLOOKUP($D64,素材!$1:$1016,COLUMN($E$1),FALSE)/(LEN(VLOOKUP($D64,素材!$1:$1016,COLUMN($F$1),FALSE))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R64">
        <f>IF(ISNUMBER(SEARCH(SUBSTITUTE(AR$1,RIGHT(AR$1,2),""),VLOOKUP($D64,素材!$1:$1016,COLUMN($F$1),FALSE))),VLOOKUP($C64,武器!$1:$998,COLUMN($O$1),FALSE)*VLOOKUP($D64,素材!$1:$1016,COLUMN($E$1),FALSE)/(LEN(VLOOKUP($D64,素材!$1:$1016,COLUMN($F$1),FALSE))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S64">
        <f>IF(ISNUMBER(SEARCH(SUBSTITUTE(AS$1,RIGHT(AS$1,2),""),VLOOKUP($D64,素材!$1:$1016,COLUMN($F$1),FALSE))),VLOOKUP($C64,武器!$1:$998,COLUMN($O$1),FALSE)*VLOOKUP($D64,素材!$1:$1016,COLUMN($E$1),FALSE)/(LEN(VLOOKUP($D64,素材!$1:$1016,COLUMN($F$1),FALSE))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T64">
        <f>IF(ISNUMBER(SEARCH(SUBSTITUTE(AT$1,RIGHT(AT$1,2),""),VLOOKUP($D64,素材!$1:$1016,COLUMN($F$1),FALSE))),VLOOKUP($C64,武器!$1:$998,COLUMN($O$1),FALSE)*VLOOKUP($D64,素材!$1:$1016,COLUMN($E$1),FALSE)/(LEN(VLOOKUP($D64,素材!$1:$1016,COLUMN($F$1),FALSE))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U64">
        <f>IF(ISNUMBER(SEARCH(SUBSTITUTE(AU$1,RIGHT(AU$1,2),""),VLOOKUP($D64,素材!$1:$1016,COLUMN($F$1),FALSE))),VLOOKUP($C64,武器!$1:$998,COLUMN($O$1),FALSE)*VLOOKUP($D64,素材!$1:$1016,COLUMN($E$1),FALSE)/(LEN(VLOOKUP($D64,素材!$1:$1016,COLUMN($F$1),FALSE))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V64">
        <f>IF(ISNUMBER(SEARCH(SUBSTITUTE(AV$1,RIGHT(AV$1,2),""),VLOOKUP($D64,素材!$1:$1016,COLUMN($F$1),FALSE))),VLOOKUP($C64,武器!$1:$998,COLUMN($O$1),FALSE)*VLOOKUP($D64,素材!$1:$1016,COLUMN($E$1),FALSE)/(LEN(VLOOKUP($D64,素材!$1:$1016,COLUMN($F$1),FALSE))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W64">
        <f>IF(ISNUMBER(SEARCH(SUBSTITUTE(AW$1,RIGHT(AW$1,2),""),VLOOKUP($D64,素材!$1:$1016,COLUMN($F$1),FALSE))),VLOOKUP($C64,武器!$1:$998,COLUMN($O$1),FALSE)*VLOOKUP($D64,素材!$1:$1016,COLUMN($E$1),FALSE)/(LEN(VLOOKUP($D64,素材!$1:$1016,COLUMN($F$1),FALSE))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X64">
        <f>IF(ISNUMBER(SEARCH(SUBSTITUTE(AX$1,RIGHT(AX$1,2),""),VLOOKUP($D64,素材!$1:$1016,COLUMN($F$1),FALSE))),VLOOKUP($C64,武器!$1:$998,COLUMN($O$1),FALSE)*VLOOKUP($D64,素材!$1:$1016,COLUMN($E$1),FALSE)/(LEN(VLOOKUP($D64,素材!$1:$1016,COLUMN($F$1),FALSE))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Y64">
        <f>IF(ISNUMBER(SEARCH(SUBSTITUTE(AY$1,RIGHT(AY$1,2),""),VLOOKUP($D64,素材!$1:$1016,COLUMN($F$1),FALSE))),VLOOKUP($C64,武器!$1:$998,COLUMN($O$1),FALSE)*VLOOKUP($D64,素材!$1:$1016,COLUMN($E$1),FALSE)/(LEN(VLOOKUP($D64,素材!$1:$1016,COLUMN($F$1),FALSE))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AZ64">
        <f>IF(ISNUMBER(SEARCH(SUBSTITUTE(AZ$1,RIGHT(AZ$1,2),""),VLOOKUP($D64,素材!$1:$1016,COLUMN($F$1),FALSE))),VLOOKUP($C64,武器!$1:$998,COLUMN($O$1),FALSE)*VLOOKUP($D64,素材!$1:$1016,COLUMN($E$1),FALSE)/(LEN(VLOOKUP($D64,素材!$1:$1016,COLUMN($F$1),FALSE))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BA64">
        <f>IF(ISNUMBER(SEARCH(SUBSTITUTE(BA$1,RIGHT(BA$1,2),""),VLOOKUP($D64,素材!$1:$1016,COLUMN($F$1),FALSE))),VLOOKUP($C64,武器!$1:$998,COLUMN($O$1),FALSE)*VLOOKUP($D64,素材!$1:$1016,COLUMN($E$1),FALSE)/(LEN(VLOOKUP($D64,素材!$1:$1016,COLUMN($F$1),FALSE))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BB64">
        <f>IF(ISNUMBER(SEARCH(SUBSTITUTE(BB$1,RIGHT(BB$1,2),""),VLOOKUP($D64,素材!$1:$1016,COLUMN($F$1),FALSE))),VLOOKUP($C64,武器!$1:$998,COLUMN($O$1),FALSE)*VLOOKUP($D64,素材!$1:$1016,COLUMN($E$1),FALSE)/(LEN(VLOOKUP($D64,素材!$1:$1016,COLUMN($F$1),FALSE))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BC64">
        <f>IF(ISNUMBER(SEARCH(SUBSTITUTE(BC$1,RIGHT(BC$1,2),""),VLOOKUP($D64,素材!$1:$1016,COLUMN($F$1),FALSE))),VLOOKUP($C64,武器!$1:$998,COLUMN($O$1),FALSE)*VLOOKUP($D64,素材!$1:$1016,COLUMN($E$1),FALSE)/(LEN(VLOOKUP($D64,素材!$1:$1016,COLUMN($F$1),FALSE))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BD64">
        <f>IF(ISNUMBER(SEARCH(SUBSTITUTE(BD$1,RIGHT(BD$1,2),""),VLOOKUP($D64,素材!$1:$1016,COLUMN($F$1),FALSE))),VLOOKUP($C64,武器!$1:$998,COLUMN($O$1),FALSE)*VLOOKUP($D64,素材!$1:$1016,COLUMN($E$1),FALSE)/(LEN(VLOOKUP($D64,素材!$1:$1016,COLUMN($F$1),FALSE))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BE64">
        <f>IF(ISNUMBER(SEARCH(SUBSTITUTE(BE$1,RIGHT(BE$1,2),""),VLOOKUP($D64,素材!$1:$1016,COLUMN($F$1),FALSE))),VLOOKUP($C64,武器!$1:$998,COLUMN($O$1),FALSE)*VLOOKUP($D64,素材!$1:$1016,COLUMN($E$1),FALSE)/(LEN(VLOOKUP($D64,素材!$1:$1016,COLUMN($F$1),FALSE))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BF64">
        <f>IF(ISNUMBER(SEARCH(SUBSTITUTE(BF$1,RIGHT(BF$1,2),""),VLOOKUP($D64,素材!$1:$1016,COLUMN($F$1),FALSE))),VLOOKUP($C64,武器!$1:$998,COLUMN($O$1),FALSE)*VLOOKUP($D64,素材!$1:$1016,COLUMN($E$1),FALSE)/(LEN(VLOOKUP($D64,素材!$1:$1016,COLUMN($F$1),FALSE)) - LEN(SUBSTITUTE(VLOOKUP($D64,素材!$1:$1016,COLUMN($F$1),FALSE), "・", 0)) + 1), 0)</f>
        <v>0</v>
      </c>
      <c r="CM64">
        <f t="shared" si="3"/>
        <v>6</v>
      </c>
      <c r="CN64" s="22" t="str">
        <f>IF(E64="武器",IF(J64-1&gt;SUM(G64:I64),"盾",IF(MAX(G64:I64)=G64,"切断",IF(MAX(G64:I64)=H64,"貫通",IF(MAX(G64:I64)=I64,"打撃","射撃")))),E64)&amp;".webp"</f>
        <v>切断.webp</v>
      </c>
      <c r="CO64">
        <f>IFERROR(VLOOKUP($C64,武器!$1:$998,COLUMN(V$1),FALSE)*VLOOKUP($D64,素材!$1:$1016,COLUMN(N$1),FALSE)+IF(CJ64="",0,VLOOKUP($CJ64,装強!$1:$1008,COLUMN($CL$1),FALSE)),"")</f>
        <v>150</v>
      </c>
      <c r="CP64" t="str">
        <f>VLOOKUP(D64,素材!$A:$O,COLUMN(素材!O$1),FALSE)</f>
        <v>一般的な木材。金属より軽いが少し脆い</v>
      </c>
      <c r="CQ64" t="str">
        <f>VLOOKUP(C64,武器!$A:$W,COLUMN(武器!W$1),FALSE)</f>
        <v>短弓。軽量で扱いやすい遠距離武器。</v>
      </c>
      <c r="CS64" t="str">
        <f t="shared" si="2"/>
        <v>e_64</v>
      </c>
      <c r="CT64">
        <f t="shared" si="4"/>
        <v>15000</v>
      </c>
    </row>
    <row r="65" spans="1:98" outlineLevel="1" x14ac:dyDescent="0.4">
      <c r="A65" t="str">
        <f t="shared" si="5"/>
        <v>木の長弓</v>
      </c>
      <c r="B65" t="str">
        <f>IFERROR(VLOOKUP($D65,素材!$1:$1016,COLUMN($B$1),FALSE)&amp;"・"&amp;VLOOKUP($C65,武器!$1:$998,COLUMN(B$1),FALSE),"")</f>
        <v>ウッド・ロングボウ</v>
      </c>
      <c r="C65" t="s">
        <v>217</v>
      </c>
      <c r="D65" s="24" t="s">
        <v>255</v>
      </c>
      <c r="E65" t="str">
        <f>IFERROR(VLOOKUP(C65,武器!$1:$998,COLUMN(C$1),FALSE),"")</f>
        <v>武器</v>
      </c>
      <c r="F65">
        <f>IFERROR(ROUNDDOWN((VLOOKUP($C65,武器!$1:$998,COLUMN(D$1),FALSE)+IFERROR(VLOOKUP($CJ65,装強!$1:$999,COLUMN(F$1),FALSE),0))*VLOOKUP($D65,素材!$1:$1016,COLUMN(D$1),FALSE),0),"")</f>
        <v>90</v>
      </c>
      <c r="G65">
        <f>IFERROR(ROUNDDOWN((VLOOKUP($C65,武器!$1:$998,COLUMN(E$1),FALSE)+IFERROR(VLOOKUP($CJ65,装強!$1:$999,COLUMN(G$1),FALSE),0))*VLOOKUP($D65,素材!$1:$1016,COLUMN($E$1),FALSE),0),"")</f>
        <v>3</v>
      </c>
      <c r="H65">
        <f>IFERROR(ROUNDDOWN((VLOOKUP($C65,武器!$1:$998,COLUMN(F$1),FALSE)+IFERROR(VLOOKUP($CJ65,装強!$1:$999,COLUMN(H$1),FALSE),0))*VLOOKUP($D65,素材!$1:$1016,COLUMN($E$1),FALSE),0),"")</f>
        <v>3</v>
      </c>
      <c r="I65">
        <f>IFERROR(ROUNDDOWN((VLOOKUP($C65,武器!$1:$998,COLUMN(G$1),FALSE)+IFERROR(VLOOKUP($CJ65,装強!$1:$999,COLUMN(I$1),FALSE),0))*VLOOKUP($D65,素材!$1:$1016,COLUMN($E$1),FALSE),0),"")</f>
        <v>0</v>
      </c>
      <c r="J65">
        <f>IFERROR(ROUNDDOWN((VLOOKUP($C65,武器!$1:$998,COLUMN(H$1),FALSE)+IFERROR(VLOOKUP($CJ65,装強!$1:$999,COLUMN(J$1),FALSE),0))*VLOOKUP($D65,素材!$1:$1016,COLUMN($E$1),FALSE),0),"")</f>
        <v>0</v>
      </c>
      <c r="K65">
        <f>IFERROR(ROUNDDOWN((VLOOKUP($C65,武器!$1:$998,COLUMN(I$1),FALSE)+IFERROR(VLOOKUP($CJ65,装強!$1:$999,COLUMN(K$1),FALSE),0))*VLOOKUP($D65,素材!$1:$1016,COLUMN($E$1),FALSE),0),"")</f>
        <v>17</v>
      </c>
      <c r="L65">
        <f>IFERROR(VLOOKUP($D65,素材!$1:$1016,COLUMN($F$1),FALSE),"")</f>
        <v>0</v>
      </c>
      <c r="M65">
        <f>IFERROR(VLOOKUP($C65,武器!$1:$998,COLUMN(AA$1),FALSE)*VLOOKUP($D65,素材!$1:$1016,COLUMN($G$1),FALSE),"")</f>
        <v>0</v>
      </c>
      <c r="N65">
        <f>IFERROR(VLOOKUP($C65,武器!$1:$998,COLUMN(I$1),FALSE),"")</f>
        <v>1.1499999999999999</v>
      </c>
      <c r="O65" s="23">
        <f>IFERROR((VLOOKUP($C65,武器!$1:$998,COLUMN(K$1),FALSE)+VLOOKUP($D65,素材!$1:$1016,COLUMN(H$1),FALSE))*100+IFERROR(VLOOKUP($CJ65,装強!$1:$999,COLUMN(O$1),FALSE),0),"")</f>
        <v>10</v>
      </c>
      <c r="P65" s="23">
        <f>IFERROR((VLOOKUP($C65,武器!$1:$998,COLUMN(L$1),FALSE)+VLOOKUP($D65,素材!$1:$1016,COLUMN(I$1),FALSE))*100+IFERROR(VLOOKUP($CJ65,装強!$1:$999,COLUMN(P$1),FALSE),0),"")</f>
        <v>130</v>
      </c>
      <c r="Q65">
        <f>IFERROR(ROUNDUP(VLOOKUP($C65,武器!$1:$998,COLUMN(M$1),FALSE)*(VLOOKUP($D65,素材!$1:$1002,COLUMN(D$1),FALSE)/100),1),"")</f>
        <v>-3.8000000000000003</v>
      </c>
      <c r="R65">
        <f>IFERROR(ROUNDUP(VLOOKUP($C65,武器!$1:$998,COLUMN(N$1),FALSE)*(VLOOKUP($D65,素材!$1:$1002,COLUMN(D$1),FALSE)/100),1),"")</f>
        <v>-1.9000000000000001</v>
      </c>
      <c r="S65">
        <f>IFERROR(VLOOKUP($C65,武器!$1:$998,COLUMN(P$1),FALSE),"")</f>
        <v>2</v>
      </c>
      <c r="T65">
        <f>IFERROR(VLOOKUP($C65,武器!$1:$998,COLUMN(Q$1),FALSE),"")</f>
        <v>0</v>
      </c>
      <c r="U65">
        <f>IFERROR(VLOOKUP($C65,武器!$1:$998,COLUMN(R$1),FALSE),"")</f>
        <v>0</v>
      </c>
      <c r="V65">
        <f>IFERROR(VLOOKUP($C65,武器!$1:$998,COLUMN(Q$1),FALSE),"")</f>
        <v>0</v>
      </c>
      <c r="W65" t="str">
        <f>IFERROR(VLOOKUP($C65,武器!$1:$998,COLUMN(T$1),FALSE),"")</f>
        <v>A</v>
      </c>
      <c r="Y65">
        <f>IFERROR(VLOOKUP($C65,武器!$1:$998,COLUMN(U$1),FALSE),"")</f>
        <v>0</v>
      </c>
      <c r="Z65">
        <f>IFERROR(ROUNDUP(VLOOKUP($C65,武器!$1:$998,COLUMN(O$1),FALSE)*VLOOKUP($D65,素材!$1:$1016,COLUMN(E$1),FALSE),1),"")</f>
        <v>0</v>
      </c>
      <c r="AA65">
        <f>IF(ISNUMBER(SEARCH(SUBSTITUTE(AA$1,RIGHT(AA$1,2),""),VLOOKUP($D65,素材!$1:$1016,COLUMN($F$1),FALSE))),VLOOKUP($C65,武器!$1:$998,COLUMN($O$1),FALSE)*VLOOKUP($D65,素材!$1:$1016,COLUMN($E$1),FALSE)/(LEN(VLOOKUP($D65,素材!$1:$1016,COLUMN($F$1),FALSE))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B65">
        <f>IF(ISNUMBER(SEARCH(SUBSTITUTE(AB$1,RIGHT(AB$1,2),""),VLOOKUP($D65,素材!$1:$1016,COLUMN($F$1),FALSE))),VLOOKUP($C65,武器!$1:$998,COLUMN($O$1),FALSE)*VLOOKUP($D65,素材!$1:$1016,COLUMN($E$1),FALSE)/(LEN(VLOOKUP($D65,素材!$1:$1016,COLUMN($F$1),FALSE))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C65">
        <f>IF(ISNUMBER(SEARCH(SUBSTITUTE(AC$1,RIGHT(AC$1,2),""),VLOOKUP($D65,素材!$1:$1016,COLUMN($F$1),FALSE))),VLOOKUP($C65,武器!$1:$998,COLUMN($O$1),FALSE)*VLOOKUP($D65,素材!$1:$1016,COLUMN($E$1),FALSE)/(LEN(VLOOKUP($D65,素材!$1:$1016,COLUMN($F$1),FALSE))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D65">
        <f>IF(ISNUMBER(SEARCH(SUBSTITUTE(AD$1,RIGHT(AD$1,2),""),VLOOKUP($D65,素材!$1:$1016,COLUMN($F$1),FALSE))),VLOOKUP($C65,武器!$1:$998,COLUMN($O$1),FALSE)*VLOOKUP($D65,素材!$1:$1016,COLUMN($E$1),FALSE)/(LEN(VLOOKUP($D65,素材!$1:$1016,COLUMN($F$1),FALSE))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E65">
        <f>IF(ISNUMBER(SEARCH(SUBSTITUTE(AE$1,RIGHT(AE$1,2),""),VLOOKUP($D65,素材!$1:$1016,COLUMN($F$1),FALSE))),VLOOKUP($C65,武器!$1:$998,COLUMN($O$1),FALSE)*VLOOKUP($D65,素材!$1:$1016,COLUMN($E$1),FALSE)/(LEN(VLOOKUP($D65,素材!$1:$1016,COLUMN($F$1),FALSE))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F65">
        <f>IF(ISNUMBER(SEARCH(SUBSTITUTE(AF$1,RIGHT(AF$1,2),""),VLOOKUP($D65,素材!$1:$1016,COLUMN($F$1),FALSE))),VLOOKUP($C65,武器!$1:$998,COLUMN($O$1),FALSE)*VLOOKUP($D65,素材!$1:$1016,COLUMN($E$1),FALSE)/(LEN(VLOOKUP($D65,素材!$1:$1016,COLUMN($F$1),FALSE))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G65">
        <f>IF(ISNUMBER(SEARCH(SUBSTITUTE(AG$1,RIGHT(AG$1,2),""),VLOOKUP($D65,素材!$1:$1016,COLUMN($F$1),FALSE))),VLOOKUP($C65,武器!$1:$998,COLUMN($O$1),FALSE)*VLOOKUP($D65,素材!$1:$1016,COLUMN($E$1),FALSE)/(LEN(VLOOKUP($D65,素材!$1:$1016,COLUMN($F$1),FALSE))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H65">
        <f>IF(ISNUMBER(SEARCH(SUBSTITUTE(AH$1,RIGHT(AH$1,2),""),VLOOKUP($D65,素材!$1:$1016,COLUMN($F$1),FALSE))),VLOOKUP($C65,武器!$1:$998,COLUMN($O$1),FALSE)*VLOOKUP($D65,素材!$1:$1016,COLUMN($E$1),FALSE)/(LEN(VLOOKUP($D65,素材!$1:$1016,COLUMN($F$1),FALSE))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I65">
        <f>IF(ISNUMBER(SEARCH(SUBSTITUTE(AI$1,RIGHT(AI$1,2),""),VLOOKUP($D65,素材!$1:$1016,COLUMN($F$1),FALSE))),VLOOKUP($C65,武器!$1:$998,COLUMN($O$1),FALSE)*VLOOKUP($D65,素材!$1:$1016,COLUMN($E$1),FALSE)/(LEN(VLOOKUP($D65,素材!$1:$1016,COLUMN($F$1),FALSE))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J65">
        <f>IF(ISNUMBER(SEARCH(SUBSTITUTE(AJ$1,RIGHT(AJ$1,2),""),VLOOKUP($D65,素材!$1:$1016,COLUMN($F$1),FALSE))),VLOOKUP($C65,武器!$1:$998,COLUMN($O$1),FALSE)*VLOOKUP($D65,素材!$1:$1016,COLUMN($E$1),FALSE)/(LEN(VLOOKUP($D65,素材!$1:$1016,COLUMN($F$1),FALSE))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K65">
        <f>IF(ISNUMBER(SEARCH(SUBSTITUTE(AK$1,RIGHT(AK$1,2),""),VLOOKUP($D65,素材!$1:$1016,COLUMN($F$1),FALSE))),VLOOKUP($C65,武器!$1:$998,COLUMN($O$1),FALSE)*VLOOKUP($D65,素材!$1:$1016,COLUMN($E$1),FALSE)/(LEN(VLOOKUP($D65,素材!$1:$1016,COLUMN($F$1),FALSE))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L65">
        <f>IF(ISNUMBER(SEARCH(SUBSTITUTE(AL$1,RIGHT(AL$1,2),""),VLOOKUP($D65,素材!$1:$1016,COLUMN($F$1),FALSE))),VLOOKUP($C65,武器!$1:$998,COLUMN($O$1),FALSE)*VLOOKUP($D65,素材!$1:$1016,COLUMN($E$1),FALSE)/(LEN(VLOOKUP($D65,素材!$1:$1016,COLUMN($F$1),FALSE))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M65">
        <f>IF(ISNUMBER(SEARCH(SUBSTITUTE(AM$1,RIGHT(AM$1,2),""),VLOOKUP($D65,素材!$1:$1016,COLUMN($F$1),FALSE))),VLOOKUP($C65,武器!$1:$998,COLUMN($O$1),FALSE)*VLOOKUP($D65,素材!$1:$1016,COLUMN($E$1),FALSE)/(LEN(VLOOKUP($D65,素材!$1:$1016,COLUMN($F$1),FALSE))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N65">
        <f>IF(ISNUMBER(SEARCH(SUBSTITUTE(AN$1,RIGHT(AN$1,2),""),VLOOKUP($D65,素材!$1:$1016,COLUMN($F$1),FALSE))),VLOOKUP($C65,武器!$1:$998,COLUMN($O$1),FALSE)*VLOOKUP($D65,素材!$1:$1016,COLUMN($E$1),FALSE)/(LEN(VLOOKUP($D65,素材!$1:$1016,COLUMN($F$1),FALSE))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O65">
        <f>IF(ISNUMBER(SEARCH(SUBSTITUTE(AO$1,RIGHT(AO$1,2),""),VLOOKUP($D65,素材!$1:$1016,COLUMN($F$1),FALSE))),VLOOKUP($C65,武器!$1:$998,COLUMN($O$1),FALSE)*VLOOKUP($D65,素材!$1:$1016,COLUMN($E$1),FALSE)/(LEN(VLOOKUP($D65,素材!$1:$1016,COLUMN($F$1),FALSE))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P65">
        <f>IF(ISNUMBER(SEARCH(SUBSTITUTE(AP$1,RIGHT(AP$1,2),""),VLOOKUP($D65,素材!$1:$1016,COLUMN($F$1),FALSE))),VLOOKUP($C65,武器!$1:$998,COLUMN($O$1),FALSE)*VLOOKUP($D65,素材!$1:$1016,COLUMN($E$1),FALSE)/(LEN(VLOOKUP($D65,素材!$1:$1016,COLUMN($F$1),FALSE))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Q65">
        <f>IF(ISNUMBER(SEARCH(SUBSTITUTE(AQ$1,RIGHT(AQ$1,2),""),VLOOKUP($D65,素材!$1:$1016,COLUMN($F$1),FALSE))),VLOOKUP($C65,武器!$1:$998,COLUMN($O$1),FALSE)*VLOOKUP($D65,素材!$1:$1016,COLUMN($E$1),FALSE)/(LEN(VLOOKUP($D65,素材!$1:$1016,COLUMN($F$1),FALSE))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R65">
        <f>IF(ISNUMBER(SEARCH(SUBSTITUTE(AR$1,RIGHT(AR$1,2),""),VLOOKUP($D65,素材!$1:$1016,COLUMN($F$1),FALSE))),VLOOKUP($C65,武器!$1:$998,COLUMN($O$1),FALSE)*VLOOKUP($D65,素材!$1:$1016,COLUMN($E$1),FALSE)/(LEN(VLOOKUP($D65,素材!$1:$1016,COLUMN($F$1),FALSE))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S65">
        <f>IF(ISNUMBER(SEARCH(SUBSTITUTE(AS$1,RIGHT(AS$1,2),""),VLOOKUP($D65,素材!$1:$1016,COLUMN($F$1),FALSE))),VLOOKUP($C65,武器!$1:$998,COLUMN($O$1),FALSE)*VLOOKUP($D65,素材!$1:$1016,COLUMN($E$1),FALSE)/(LEN(VLOOKUP($D65,素材!$1:$1016,COLUMN($F$1),FALSE))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T65">
        <f>IF(ISNUMBER(SEARCH(SUBSTITUTE(AT$1,RIGHT(AT$1,2),""),VLOOKUP($D65,素材!$1:$1016,COLUMN($F$1),FALSE))),VLOOKUP($C65,武器!$1:$998,COLUMN($O$1),FALSE)*VLOOKUP($D65,素材!$1:$1016,COLUMN($E$1),FALSE)/(LEN(VLOOKUP($D65,素材!$1:$1016,COLUMN($F$1),FALSE))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U65">
        <f>IF(ISNUMBER(SEARCH(SUBSTITUTE(AU$1,RIGHT(AU$1,2),""),VLOOKUP($D65,素材!$1:$1016,COLUMN($F$1),FALSE))),VLOOKUP($C65,武器!$1:$998,COLUMN($O$1),FALSE)*VLOOKUP($D65,素材!$1:$1016,COLUMN($E$1),FALSE)/(LEN(VLOOKUP($D65,素材!$1:$1016,COLUMN($F$1),FALSE))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V65">
        <f>IF(ISNUMBER(SEARCH(SUBSTITUTE(AV$1,RIGHT(AV$1,2),""),VLOOKUP($D65,素材!$1:$1016,COLUMN($F$1),FALSE))),VLOOKUP($C65,武器!$1:$998,COLUMN($O$1),FALSE)*VLOOKUP($D65,素材!$1:$1016,COLUMN($E$1),FALSE)/(LEN(VLOOKUP($D65,素材!$1:$1016,COLUMN($F$1),FALSE))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W65">
        <f>IF(ISNUMBER(SEARCH(SUBSTITUTE(AW$1,RIGHT(AW$1,2),""),VLOOKUP($D65,素材!$1:$1016,COLUMN($F$1),FALSE))),VLOOKUP($C65,武器!$1:$998,COLUMN($O$1),FALSE)*VLOOKUP($D65,素材!$1:$1016,COLUMN($E$1),FALSE)/(LEN(VLOOKUP($D65,素材!$1:$1016,COLUMN($F$1),FALSE))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X65">
        <f>IF(ISNUMBER(SEARCH(SUBSTITUTE(AX$1,RIGHT(AX$1,2),""),VLOOKUP($D65,素材!$1:$1016,COLUMN($F$1),FALSE))),VLOOKUP($C65,武器!$1:$998,COLUMN($O$1),FALSE)*VLOOKUP($D65,素材!$1:$1016,COLUMN($E$1),FALSE)/(LEN(VLOOKUP($D65,素材!$1:$1016,COLUMN($F$1),FALSE))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Y65">
        <f>IF(ISNUMBER(SEARCH(SUBSTITUTE(AY$1,RIGHT(AY$1,2),""),VLOOKUP($D65,素材!$1:$1016,COLUMN($F$1),FALSE))),VLOOKUP($C65,武器!$1:$998,COLUMN($O$1),FALSE)*VLOOKUP($D65,素材!$1:$1016,COLUMN($E$1),FALSE)/(LEN(VLOOKUP($D65,素材!$1:$1016,COLUMN($F$1),FALSE))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AZ65">
        <f>IF(ISNUMBER(SEARCH(SUBSTITUTE(AZ$1,RIGHT(AZ$1,2),""),VLOOKUP($D65,素材!$1:$1016,COLUMN($F$1),FALSE))),VLOOKUP($C65,武器!$1:$998,COLUMN($O$1),FALSE)*VLOOKUP($D65,素材!$1:$1016,COLUMN($E$1),FALSE)/(LEN(VLOOKUP($D65,素材!$1:$1016,COLUMN($F$1),FALSE))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BA65">
        <f>IF(ISNUMBER(SEARCH(SUBSTITUTE(BA$1,RIGHT(BA$1,2),""),VLOOKUP($D65,素材!$1:$1016,COLUMN($F$1),FALSE))),VLOOKUP($C65,武器!$1:$998,COLUMN($O$1),FALSE)*VLOOKUP($D65,素材!$1:$1016,COLUMN($E$1),FALSE)/(LEN(VLOOKUP($D65,素材!$1:$1016,COLUMN($F$1),FALSE))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BB65">
        <f>IF(ISNUMBER(SEARCH(SUBSTITUTE(BB$1,RIGHT(BB$1,2),""),VLOOKUP($D65,素材!$1:$1016,COLUMN($F$1),FALSE))),VLOOKUP($C65,武器!$1:$998,COLUMN($O$1),FALSE)*VLOOKUP($D65,素材!$1:$1016,COLUMN($E$1),FALSE)/(LEN(VLOOKUP($D65,素材!$1:$1016,COLUMN($F$1),FALSE))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BC65">
        <f>IF(ISNUMBER(SEARCH(SUBSTITUTE(BC$1,RIGHT(BC$1,2),""),VLOOKUP($D65,素材!$1:$1016,COLUMN($F$1),FALSE))),VLOOKUP($C65,武器!$1:$998,COLUMN($O$1),FALSE)*VLOOKUP($D65,素材!$1:$1016,COLUMN($E$1),FALSE)/(LEN(VLOOKUP($D65,素材!$1:$1016,COLUMN($F$1),FALSE))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BD65">
        <f>IF(ISNUMBER(SEARCH(SUBSTITUTE(BD$1,RIGHT(BD$1,2),""),VLOOKUP($D65,素材!$1:$1016,COLUMN($F$1),FALSE))),VLOOKUP($C65,武器!$1:$998,COLUMN($O$1),FALSE)*VLOOKUP($D65,素材!$1:$1016,COLUMN($E$1),FALSE)/(LEN(VLOOKUP($D65,素材!$1:$1016,COLUMN($F$1),FALSE))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BE65">
        <f>IF(ISNUMBER(SEARCH(SUBSTITUTE(BE$1,RIGHT(BE$1,2),""),VLOOKUP($D65,素材!$1:$1016,COLUMN($F$1),FALSE))),VLOOKUP($C65,武器!$1:$998,COLUMN($O$1),FALSE)*VLOOKUP($D65,素材!$1:$1016,COLUMN($E$1),FALSE)/(LEN(VLOOKUP($D65,素材!$1:$1016,COLUMN($F$1),FALSE))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BF65">
        <f>IF(ISNUMBER(SEARCH(SUBSTITUTE(BF$1,RIGHT(BF$1,2),""),VLOOKUP($D65,素材!$1:$1016,COLUMN($F$1),FALSE))),VLOOKUP($C65,武器!$1:$998,COLUMN($O$1),FALSE)*VLOOKUP($D65,素材!$1:$1016,COLUMN($E$1),FALSE)/(LEN(VLOOKUP($D65,素材!$1:$1016,COLUMN($F$1),FALSE)) - LEN(SUBSTITUTE(VLOOKUP($D65,素材!$1:$1016,COLUMN($F$1),FALSE), "・", 0)) + 1), 0)</f>
        <v>0</v>
      </c>
      <c r="CM65">
        <f t="shared" si="3"/>
        <v>6</v>
      </c>
      <c r="CN65" s="22" t="str">
        <f>IF(E65="武器",IF(J65-1&gt;SUM(G65:I65),"盾",IF(MAX(G65:I65)=G65,"切断",IF(MAX(G65:I65)=H65,"貫通",IF(MAX(G65:I65)=I65,"打撃","射撃")))),E65)&amp;".webp"</f>
        <v>切断.webp</v>
      </c>
      <c r="CO65">
        <f>IFERROR(VLOOKUP($C65,武器!$1:$998,COLUMN(V$1),FALSE)*VLOOKUP($D65,素材!$1:$1016,COLUMN(N$1),FALSE)+IF(CJ65="",0,VLOOKUP($CJ65,装強!$1:$1008,COLUMN($CL$1),FALSE)),"")</f>
        <v>200</v>
      </c>
      <c r="CP65" t="str">
        <f>VLOOKUP(D65,素材!$A:$O,COLUMN(素材!O$1),FALSE)</f>
        <v>一般的な木材。金属より軽いが少し脆い</v>
      </c>
      <c r="CQ65" t="str">
        <f>VLOOKUP(C65,武器!$A:$W,COLUMN(武器!W$1),FALSE)</f>
        <v>長弓。射程が長く、高い威力を持つ。</v>
      </c>
      <c r="CS65" t="str">
        <f t="shared" si="2"/>
        <v>e_65</v>
      </c>
      <c r="CT65">
        <f t="shared" si="4"/>
        <v>20000</v>
      </c>
    </row>
    <row r="66" spans="1:98" outlineLevel="1" x14ac:dyDescent="0.4">
      <c r="A66" t="str">
        <f t="shared" si="5"/>
        <v>木の杖</v>
      </c>
      <c r="B66" t="str">
        <f>IFERROR(VLOOKUP($D66,素材!$1:$1016,COLUMN($B$1),FALSE)&amp;"・"&amp;VLOOKUP($C66,武器!$1:$998,COLUMN(B$1),FALSE),"")</f>
        <v>ウッド・ロッド</v>
      </c>
      <c r="C66" t="s">
        <v>216</v>
      </c>
      <c r="D66" s="24" t="s">
        <v>255</v>
      </c>
      <c r="E66" t="str">
        <f>IFERROR(VLOOKUP(C66,武器!$1:$998,COLUMN(C$1),FALSE),"")</f>
        <v>杖</v>
      </c>
      <c r="F66">
        <f>IFERROR(ROUNDDOWN((VLOOKUP($C66,武器!$1:$998,COLUMN(D$1),FALSE)+IFERROR(VLOOKUP($CJ66,装強!$1:$999,COLUMN(F$1),FALSE),0))*VLOOKUP($D66,素材!$1:$1016,COLUMN(D$1),FALSE),0),"")</f>
        <v>82</v>
      </c>
      <c r="G66">
        <f>IFERROR(ROUNDDOWN((VLOOKUP($C66,武器!$1:$998,COLUMN(E$1),FALSE)+IFERROR(VLOOKUP($CJ66,装強!$1:$999,COLUMN(G$1),FALSE),0))*VLOOKUP($D66,素材!$1:$1016,COLUMN($E$1),FALSE),0),"")</f>
        <v>0</v>
      </c>
      <c r="H66">
        <f>IFERROR(ROUNDDOWN((VLOOKUP($C66,武器!$1:$998,COLUMN(F$1),FALSE)+IFERROR(VLOOKUP($CJ66,装強!$1:$999,COLUMN(H$1),FALSE),0))*VLOOKUP($D66,素材!$1:$1016,COLUMN($E$1),FALSE),0),"")</f>
        <v>3</v>
      </c>
      <c r="I66">
        <f>IFERROR(ROUNDDOWN((VLOOKUP($C66,武器!$1:$998,COLUMN(G$1),FALSE)+IFERROR(VLOOKUP($CJ66,装強!$1:$999,COLUMN(I$1),FALSE),0))*VLOOKUP($D66,素材!$1:$1016,COLUMN($E$1),FALSE),0),"")</f>
        <v>10</v>
      </c>
      <c r="J66">
        <f>IFERROR(ROUNDDOWN((VLOOKUP($C66,武器!$1:$998,COLUMN(H$1),FALSE)+IFERROR(VLOOKUP($CJ66,装強!$1:$999,COLUMN(J$1),FALSE),0))*VLOOKUP($D66,素材!$1:$1016,COLUMN($E$1),FALSE),0),"")</f>
        <v>13</v>
      </c>
      <c r="K66">
        <f>IFERROR(ROUNDDOWN((VLOOKUP($C66,武器!$1:$998,COLUMN(I$1),FALSE)+IFERROR(VLOOKUP($CJ66,装強!$1:$999,COLUMN(K$1),FALSE),0))*VLOOKUP($D66,素材!$1:$1016,COLUMN($E$1),FALSE),0),"")</f>
        <v>0</v>
      </c>
      <c r="L66">
        <f>IFERROR(VLOOKUP($D66,素材!$1:$1016,COLUMN($F$1),FALSE),"")</f>
        <v>0</v>
      </c>
      <c r="M66">
        <f>IFERROR(VLOOKUP($C66,武器!$1:$998,COLUMN(AA$1),FALSE)*VLOOKUP($D66,素材!$1:$1016,COLUMN($G$1),FALSE),"")</f>
        <v>0</v>
      </c>
      <c r="N66">
        <f>IFERROR(VLOOKUP($C66,武器!$1:$998,COLUMN(I$1),FALSE),"")</f>
        <v>0</v>
      </c>
      <c r="O66" s="23">
        <f>IFERROR((VLOOKUP($C66,武器!$1:$998,COLUMN(K$1),FALSE)+VLOOKUP($D66,素材!$1:$1016,COLUMN(H$1),FALSE))*100+IFERROR(VLOOKUP($CJ66,装強!$1:$999,COLUMN(O$1),FALSE),0),"")</f>
        <v>5</v>
      </c>
      <c r="P66" s="23">
        <f>IFERROR((VLOOKUP($C66,武器!$1:$998,COLUMN(L$1),FALSE)+VLOOKUP($D66,素材!$1:$1016,COLUMN(I$1),FALSE))*100+IFERROR(VLOOKUP($CJ66,装強!$1:$999,COLUMN(P$1),FALSE),0),"")</f>
        <v>150</v>
      </c>
      <c r="Q66">
        <f>IFERROR(ROUNDUP(VLOOKUP($C66,武器!$1:$998,COLUMN(M$1),FALSE)*(VLOOKUP($D66,素材!$1:$1002,COLUMN(D$1),FALSE)/100),1),"")</f>
        <v>0</v>
      </c>
      <c r="R66">
        <f>IFERROR(ROUNDUP(VLOOKUP($C66,武器!$1:$998,COLUMN(N$1),FALSE)*(VLOOKUP($D66,素材!$1:$1002,COLUMN(D$1),FALSE)/100),1),"")</f>
        <v>0</v>
      </c>
      <c r="S66">
        <f>IFERROR(VLOOKUP($C66,武器!$1:$998,COLUMN(P$1),FALSE),"")</f>
        <v>0</v>
      </c>
      <c r="T66">
        <f>IFERROR(VLOOKUP($C66,武器!$1:$998,COLUMN(Q$1),FALSE),"")</f>
        <v>0</v>
      </c>
      <c r="U66">
        <f>IFERROR(VLOOKUP($C66,武器!$1:$998,COLUMN(R$1),FALSE),"")</f>
        <v>0</v>
      </c>
      <c r="V66">
        <f>IFERROR(VLOOKUP($C66,武器!$1:$998,COLUMN(Q$1),FALSE),"")</f>
        <v>0</v>
      </c>
      <c r="W66" t="str">
        <f>IFERROR(VLOOKUP($C66,武器!$1:$998,COLUMN(T$1),FALSE),"")</f>
        <v>A</v>
      </c>
      <c r="Y66" t="str">
        <f>IFERROR(VLOOKUP($C66,武器!$1:$998,COLUMN(U$1),FALSE),"")</f>
        <v>魔法無詠唱Ⅱ</v>
      </c>
      <c r="Z66">
        <f>IFERROR(ROUNDUP(VLOOKUP($C66,武器!$1:$998,COLUMN(O$1),FALSE)*VLOOKUP($D66,素材!$1:$1016,COLUMN(E$1),FALSE),1),"")</f>
        <v>0</v>
      </c>
      <c r="AA66">
        <f>IF(ISNUMBER(SEARCH(SUBSTITUTE(AA$1,RIGHT(AA$1,2),""),VLOOKUP($D66,素材!$1:$1016,COLUMN($F$1),FALSE))),VLOOKUP($C66,武器!$1:$998,COLUMN($O$1),FALSE)*VLOOKUP($D66,素材!$1:$1016,COLUMN($E$1),FALSE)/(LEN(VLOOKUP($D66,素材!$1:$1016,COLUMN($F$1),FALSE))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B66">
        <f>IF(ISNUMBER(SEARCH(SUBSTITUTE(AB$1,RIGHT(AB$1,2),""),VLOOKUP($D66,素材!$1:$1016,COLUMN($F$1),FALSE))),VLOOKUP($C66,武器!$1:$998,COLUMN($O$1),FALSE)*VLOOKUP($D66,素材!$1:$1016,COLUMN($E$1),FALSE)/(LEN(VLOOKUP($D66,素材!$1:$1016,COLUMN($F$1),FALSE))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C66">
        <f>IF(ISNUMBER(SEARCH(SUBSTITUTE(AC$1,RIGHT(AC$1,2),""),VLOOKUP($D66,素材!$1:$1016,COLUMN($F$1),FALSE))),VLOOKUP($C66,武器!$1:$998,COLUMN($O$1),FALSE)*VLOOKUP($D66,素材!$1:$1016,COLUMN($E$1),FALSE)/(LEN(VLOOKUP($D66,素材!$1:$1016,COLUMN($F$1),FALSE))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D66">
        <f>IF(ISNUMBER(SEARCH(SUBSTITUTE(AD$1,RIGHT(AD$1,2),""),VLOOKUP($D66,素材!$1:$1016,COLUMN($F$1),FALSE))),VLOOKUP($C66,武器!$1:$998,COLUMN($O$1),FALSE)*VLOOKUP($D66,素材!$1:$1016,COLUMN($E$1),FALSE)/(LEN(VLOOKUP($D66,素材!$1:$1016,COLUMN($F$1),FALSE))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E66">
        <f>IF(ISNUMBER(SEARCH(SUBSTITUTE(AE$1,RIGHT(AE$1,2),""),VLOOKUP($D66,素材!$1:$1016,COLUMN($F$1),FALSE))),VLOOKUP($C66,武器!$1:$998,COLUMN($O$1),FALSE)*VLOOKUP($D66,素材!$1:$1016,COLUMN($E$1),FALSE)/(LEN(VLOOKUP($D66,素材!$1:$1016,COLUMN($F$1),FALSE))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F66">
        <f>IF(ISNUMBER(SEARCH(SUBSTITUTE(AF$1,RIGHT(AF$1,2),""),VLOOKUP($D66,素材!$1:$1016,COLUMN($F$1),FALSE))),VLOOKUP($C66,武器!$1:$998,COLUMN($O$1),FALSE)*VLOOKUP($D66,素材!$1:$1016,COLUMN($E$1),FALSE)/(LEN(VLOOKUP($D66,素材!$1:$1016,COLUMN($F$1),FALSE))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G66">
        <f>IF(ISNUMBER(SEARCH(SUBSTITUTE(AG$1,RIGHT(AG$1,2),""),VLOOKUP($D66,素材!$1:$1016,COLUMN($F$1),FALSE))),VLOOKUP($C66,武器!$1:$998,COLUMN($O$1),FALSE)*VLOOKUP($D66,素材!$1:$1016,COLUMN($E$1),FALSE)/(LEN(VLOOKUP($D66,素材!$1:$1016,COLUMN($F$1),FALSE))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H66">
        <f>IF(ISNUMBER(SEARCH(SUBSTITUTE(AH$1,RIGHT(AH$1,2),""),VLOOKUP($D66,素材!$1:$1016,COLUMN($F$1),FALSE))),VLOOKUP($C66,武器!$1:$998,COLUMN($O$1),FALSE)*VLOOKUP($D66,素材!$1:$1016,COLUMN($E$1),FALSE)/(LEN(VLOOKUP($D66,素材!$1:$1016,COLUMN($F$1),FALSE))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I66">
        <f>IF(ISNUMBER(SEARCH(SUBSTITUTE(AI$1,RIGHT(AI$1,2),""),VLOOKUP($D66,素材!$1:$1016,COLUMN($F$1),FALSE))),VLOOKUP($C66,武器!$1:$998,COLUMN($O$1),FALSE)*VLOOKUP($D66,素材!$1:$1016,COLUMN($E$1),FALSE)/(LEN(VLOOKUP($D66,素材!$1:$1016,COLUMN($F$1),FALSE))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J66">
        <f>IF(ISNUMBER(SEARCH(SUBSTITUTE(AJ$1,RIGHT(AJ$1,2),""),VLOOKUP($D66,素材!$1:$1016,COLUMN($F$1),FALSE))),VLOOKUP($C66,武器!$1:$998,COLUMN($O$1),FALSE)*VLOOKUP($D66,素材!$1:$1016,COLUMN($E$1),FALSE)/(LEN(VLOOKUP($D66,素材!$1:$1016,COLUMN($F$1),FALSE))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K66">
        <f>IF(ISNUMBER(SEARCH(SUBSTITUTE(AK$1,RIGHT(AK$1,2),""),VLOOKUP($D66,素材!$1:$1016,COLUMN($F$1),FALSE))),VLOOKUP($C66,武器!$1:$998,COLUMN($O$1),FALSE)*VLOOKUP($D66,素材!$1:$1016,COLUMN($E$1),FALSE)/(LEN(VLOOKUP($D66,素材!$1:$1016,COLUMN($F$1),FALSE))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L66">
        <f>IF(ISNUMBER(SEARCH(SUBSTITUTE(AL$1,RIGHT(AL$1,2),""),VLOOKUP($D66,素材!$1:$1016,COLUMN($F$1),FALSE))),VLOOKUP($C66,武器!$1:$998,COLUMN($O$1),FALSE)*VLOOKUP($D66,素材!$1:$1016,COLUMN($E$1),FALSE)/(LEN(VLOOKUP($D66,素材!$1:$1016,COLUMN($F$1),FALSE))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M66">
        <f>IF(ISNUMBER(SEARCH(SUBSTITUTE(AM$1,RIGHT(AM$1,2),""),VLOOKUP($D66,素材!$1:$1016,COLUMN($F$1),FALSE))),VLOOKUP($C66,武器!$1:$998,COLUMN($O$1),FALSE)*VLOOKUP($D66,素材!$1:$1016,COLUMN($E$1),FALSE)/(LEN(VLOOKUP($D66,素材!$1:$1016,COLUMN($F$1),FALSE))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N66">
        <f>IF(ISNUMBER(SEARCH(SUBSTITUTE(AN$1,RIGHT(AN$1,2),""),VLOOKUP($D66,素材!$1:$1016,COLUMN($F$1),FALSE))),VLOOKUP($C66,武器!$1:$998,COLUMN($O$1),FALSE)*VLOOKUP($D66,素材!$1:$1016,COLUMN($E$1),FALSE)/(LEN(VLOOKUP($D66,素材!$1:$1016,COLUMN($F$1),FALSE))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O66">
        <f>IF(ISNUMBER(SEARCH(SUBSTITUTE(AO$1,RIGHT(AO$1,2),""),VLOOKUP($D66,素材!$1:$1016,COLUMN($F$1),FALSE))),VLOOKUP($C66,武器!$1:$998,COLUMN($O$1),FALSE)*VLOOKUP($D66,素材!$1:$1016,COLUMN($E$1),FALSE)/(LEN(VLOOKUP($D66,素材!$1:$1016,COLUMN($F$1),FALSE))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P66">
        <f>IF(ISNUMBER(SEARCH(SUBSTITUTE(AP$1,RIGHT(AP$1,2),""),VLOOKUP($D66,素材!$1:$1016,COLUMN($F$1),FALSE))),VLOOKUP($C66,武器!$1:$998,COLUMN($O$1),FALSE)*VLOOKUP($D66,素材!$1:$1016,COLUMN($E$1),FALSE)/(LEN(VLOOKUP($D66,素材!$1:$1016,COLUMN($F$1),FALSE))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Q66">
        <f>IF(ISNUMBER(SEARCH(SUBSTITUTE(AQ$1,RIGHT(AQ$1,2),""),VLOOKUP($D66,素材!$1:$1016,COLUMN($F$1),FALSE))),VLOOKUP($C66,武器!$1:$998,COLUMN($O$1),FALSE)*VLOOKUP($D66,素材!$1:$1016,COLUMN($E$1),FALSE)/(LEN(VLOOKUP($D66,素材!$1:$1016,COLUMN($F$1),FALSE))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R66">
        <f>IF(ISNUMBER(SEARCH(SUBSTITUTE(AR$1,RIGHT(AR$1,2),""),VLOOKUP($D66,素材!$1:$1016,COLUMN($F$1),FALSE))),VLOOKUP($C66,武器!$1:$998,COLUMN($O$1),FALSE)*VLOOKUP($D66,素材!$1:$1016,COLUMN($E$1),FALSE)/(LEN(VLOOKUP($D66,素材!$1:$1016,COLUMN($F$1),FALSE))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S66">
        <f>IF(ISNUMBER(SEARCH(SUBSTITUTE(AS$1,RIGHT(AS$1,2),""),VLOOKUP($D66,素材!$1:$1016,COLUMN($F$1),FALSE))),VLOOKUP($C66,武器!$1:$998,COLUMN($O$1),FALSE)*VLOOKUP($D66,素材!$1:$1016,COLUMN($E$1),FALSE)/(LEN(VLOOKUP($D66,素材!$1:$1016,COLUMN($F$1),FALSE))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T66">
        <f>IF(ISNUMBER(SEARCH(SUBSTITUTE(AT$1,RIGHT(AT$1,2),""),VLOOKUP($D66,素材!$1:$1016,COLUMN($F$1),FALSE))),VLOOKUP($C66,武器!$1:$998,COLUMN($O$1),FALSE)*VLOOKUP($D66,素材!$1:$1016,COLUMN($E$1),FALSE)/(LEN(VLOOKUP($D66,素材!$1:$1016,COLUMN($F$1),FALSE))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U66">
        <f>IF(ISNUMBER(SEARCH(SUBSTITUTE(AU$1,RIGHT(AU$1,2),""),VLOOKUP($D66,素材!$1:$1016,COLUMN($F$1),FALSE))),VLOOKUP($C66,武器!$1:$998,COLUMN($O$1),FALSE)*VLOOKUP($D66,素材!$1:$1016,COLUMN($E$1),FALSE)/(LEN(VLOOKUP($D66,素材!$1:$1016,COLUMN($F$1),FALSE))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V66">
        <f>IF(ISNUMBER(SEARCH(SUBSTITUTE(AV$1,RIGHT(AV$1,2),""),VLOOKUP($D66,素材!$1:$1016,COLUMN($F$1),FALSE))),VLOOKUP($C66,武器!$1:$998,COLUMN($O$1),FALSE)*VLOOKUP($D66,素材!$1:$1016,COLUMN($E$1),FALSE)/(LEN(VLOOKUP($D66,素材!$1:$1016,COLUMN($F$1),FALSE))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W66">
        <f>IF(ISNUMBER(SEARCH(SUBSTITUTE(AW$1,RIGHT(AW$1,2),""),VLOOKUP($D66,素材!$1:$1016,COLUMN($F$1),FALSE))),VLOOKUP($C66,武器!$1:$998,COLUMN($O$1),FALSE)*VLOOKUP($D66,素材!$1:$1016,COLUMN($E$1),FALSE)/(LEN(VLOOKUP($D66,素材!$1:$1016,COLUMN($F$1),FALSE))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X66">
        <f>IF(ISNUMBER(SEARCH(SUBSTITUTE(AX$1,RIGHT(AX$1,2),""),VLOOKUP($D66,素材!$1:$1016,COLUMN($F$1),FALSE))),VLOOKUP($C66,武器!$1:$998,COLUMN($O$1),FALSE)*VLOOKUP($D66,素材!$1:$1016,COLUMN($E$1),FALSE)/(LEN(VLOOKUP($D66,素材!$1:$1016,COLUMN($F$1),FALSE))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Y66">
        <f>IF(ISNUMBER(SEARCH(SUBSTITUTE(AY$1,RIGHT(AY$1,2),""),VLOOKUP($D66,素材!$1:$1016,COLUMN($F$1),FALSE))),VLOOKUP($C66,武器!$1:$998,COLUMN($O$1),FALSE)*VLOOKUP($D66,素材!$1:$1016,COLUMN($E$1),FALSE)/(LEN(VLOOKUP($D66,素材!$1:$1016,COLUMN($F$1),FALSE))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AZ66">
        <f>IF(ISNUMBER(SEARCH(SUBSTITUTE(AZ$1,RIGHT(AZ$1,2),""),VLOOKUP($D66,素材!$1:$1016,COLUMN($F$1),FALSE))),VLOOKUP($C66,武器!$1:$998,COLUMN($O$1),FALSE)*VLOOKUP($D66,素材!$1:$1016,COLUMN($E$1),FALSE)/(LEN(VLOOKUP($D66,素材!$1:$1016,COLUMN($F$1),FALSE))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BA66">
        <f>IF(ISNUMBER(SEARCH(SUBSTITUTE(BA$1,RIGHT(BA$1,2),""),VLOOKUP($D66,素材!$1:$1016,COLUMN($F$1),FALSE))),VLOOKUP($C66,武器!$1:$998,COLUMN($O$1),FALSE)*VLOOKUP($D66,素材!$1:$1016,COLUMN($E$1),FALSE)/(LEN(VLOOKUP($D66,素材!$1:$1016,COLUMN($F$1),FALSE))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BB66">
        <f>IF(ISNUMBER(SEARCH(SUBSTITUTE(BB$1,RIGHT(BB$1,2),""),VLOOKUP($D66,素材!$1:$1016,COLUMN($F$1),FALSE))),VLOOKUP($C66,武器!$1:$998,COLUMN($O$1),FALSE)*VLOOKUP($D66,素材!$1:$1016,COLUMN($E$1),FALSE)/(LEN(VLOOKUP($D66,素材!$1:$1016,COLUMN($F$1),FALSE))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BC66">
        <f>IF(ISNUMBER(SEARCH(SUBSTITUTE(BC$1,RIGHT(BC$1,2),""),VLOOKUP($D66,素材!$1:$1016,COLUMN($F$1),FALSE))),VLOOKUP($C66,武器!$1:$998,COLUMN($O$1),FALSE)*VLOOKUP($D66,素材!$1:$1016,COLUMN($E$1),FALSE)/(LEN(VLOOKUP($D66,素材!$1:$1016,COLUMN($F$1),FALSE))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BD66">
        <f>IF(ISNUMBER(SEARCH(SUBSTITUTE(BD$1,RIGHT(BD$1,2),""),VLOOKUP($D66,素材!$1:$1016,COLUMN($F$1),FALSE))),VLOOKUP($C66,武器!$1:$998,COLUMN($O$1),FALSE)*VLOOKUP($D66,素材!$1:$1016,COLUMN($E$1),FALSE)/(LEN(VLOOKUP($D66,素材!$1:$1016,COLUMN($F$1),FALSE))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BE66">
        <f>IF(ISNUMBER(SEARCH(SUBSTITUTE(BE$1,RIGHT(BE$1,2),""),VLOOKUP($D66,素材!$1:$1016,COLUMN($F$1),FALSE))),VLOOKUP($C66,武器!$1:$998,COLUMN($O$1),FALSE)*VLOOKUP($D66,素材!$1:$1016,COLUMN($E$1),FALSE)/(LEN(VLOOKUP($D66,素材!$1:$1016,COLUMN($F$1),FALSE))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BF66">
        <f>IF(ISNUMBER(SEARCH(SUBSTITUTE(BF$1,RIGHT(BF$1,2),""),VLOOKUP($D66,素材!$1:$1016,COLUMN($F$1),FALSE))),VLOOKUP($C66,武器!$1:$998,COLUMN($O$1),FALSE)*VLOOKUP($D66,素材!$1:$1016,COLUMN($E$1),FALSE)/(LEN(VLOOKUP($D66,素材!$1:$1016,COLUMN($F$1),FALSE)) - LEN(SUBSTITUTE(VLOOKUP($D66,素材!$1:$1016,COLUMN($F$1),FALSE), "・", 0)) + 1), 0)</f>
        <v>0</v>
      </c>
      <c r="CM66">
        <f t="shared" si="3"/>
        <v>13</v>
      </c>
      <c r="CN66" s="22" t="str">
        <f>IF(E66="武器",IF(J66-1&gt;SUM(G66:I66),"盾",IF(MAX(G66:I66)=G66,"切断",IF(MAX(G66:I66)=H66,"貫通",IF(MAX(G66:I66)=I66,"打撃","射撃")))),E66)&amp;".webp"</f>
        <v>杖.webp</v>
      </c>
      <c r="CO66">
        <f>IFERROR(VLOOKUP($C66,武器!$1:$998,COLUMN(V$1),FALSE)*VLOOKUP($D66,素材!$1:$1016,COLUMN(N$1),FALSE)+IF(CJ66="",0,VLOOKUP($CJ66,装強!$1:$1008,COLUMN($CL$1),FALSE)),"")</f>
        <v>200</v>
      </c>
      <c r="CP66" t="str">
        <f>VLOOKUP(D66,素材!$A:$O,COLUMN(素材!O$1),FALSE)</f>
        <v>一般的な木材。金属より軽いが少し脆い</v>
      </c>
      <c r="CQ66" t="str">
        <f>VLOOKUP(C66,武器!$A:$W,COLUMN(武器!W$1),FALSE)</f>
        <v>杖。バランスの取れた魔法武器。</v>
      </c>
      <c r="CS66" t="str">
        <f t="shared" si="2"/>
        <v>e_66</v>
      </c>
      <c r="CT66">
        <f t="shared" si="4"/>
        <v>20000</v>
      </c>
    </row>
    <row r="67" spans="1:98" outlineLevel="1" x14ac:dyDescent="0.4">
      <c r="A67" t="str">
        <f t="shared" ref="A67:A98" si="6">D67&amp;"の"&amp;C67</f>
        <v>木の長杖</v>
      </c>
      <c r="B67" t="str">
        <f>IFERROR(VLOOKUP($D67,素材!$1:$1016,COLUMN($B$1),FALSE)&amp;"・"&amp;VLOOKUP($C67,武器!$1:$998,COLUMN(B$1),FALSE),"")</f>
        <v>ウッド・スタッフ</v>
      </c>
      <c r="C67" t="s">
        <v>215</v>
      </c>
      <c r="D67" s="24" t="s">
        <v>255</v>
      </c>
      <c r="E67" t="str">
        <f>IFERROR(VLOOKUP(C67,武器!$1:$998,COLUMN(C$1),FALSE),"")</f>
        <v>杖</v>
      </c>
      <c r="F67">
        <f>IFERROR(ROUNDDOWN((VLOOKUP($C67,武器!$1:$998,COLUMN(D$1),FALSE)+IFERROR(VLOOKUP($CJ67,装強!$1:$999,COLUMN(F$1),FALSE),0))*VLOOKUP($D67,素材!$1:$1016,COLUMN(D$1),FALSE),0),"")</f>
        <v>86</v>
      </c>
      <c r="G67">
        <f>IFERROR(ROUNDDOWN((VLOOKUP($C67,武器!$1:$998,COLUMN(E$1),FALSE)+IFERROR(VLOOKUP($CJ67,装強!$1:$999,COLUMN(G$1),FALSE),0))*VLOOKUP($D67,素材!$1:$1016,COLUMN($E$1),FALSE),0),"")</f>
        <v>0</v>
      </c>
      <c r="H67">
        <f>IFERROR(ROUNDDOWN((VLOOKUP($C67,武器!$1:$998,COLUMN(F$1),FALSE)+IFERROR(VLOOKUP($CJ67,装強!$1:$999,COLUMN(H$1),FALSE),0))*VLOOKUP($D67,素材!$1:$1016,COLUMN($E$1),FALSE),0),"")</f>
        <v>4</v>
      </c>
      <c r="I67">
        <f>IFERROR(ROUNDDOWN((VLOOKUP($C67,武器!$1:$998,COLUMN(G$1),FALSE)+IFERROR(VLOOKUP($CJ67,装強!$1:$999,COLUMN(I$1),FALSE),0))*VLOOKUP($D67,素材!$1:$1016,COLUMN($E$1),FALSE),0),"")</f>
        <v>12</v>
      </c>
      <c r="J67">
        <f>IFERROR(ROUNDDOWN((VLOOKUP($C67,武器!$1:$998,COLUMN(H$1),FALSE)+IFERROR(VLOOKUP($CJ67,装強!$1:$999,COLUMN(J$1),FALSE),0))*VLOOKUP($D67,素材!$1:$1016,COLUMN($E$1),FALSE),0),"")</f>
        <v>14</v>
      </c>
      <c r="K67">
        <f>IFERROR(ROUNDDOWN((VLOOKUP($C67,武器!$1:$998,COLUMN(I$1),FALSE)+IFERROR(VLOOKUP($CJ67,装強!$1:$999,COLUMN(K$1),FALSE),0))*VLOOKUP($D67,素材!$1:$1016,COLUMN($E$1),FALSE),0),"")</f>
        <v>0</v>
      </c>
      <c r="L67">
        <f>IFERROR(VLOOKUP($D67,素材!$1:$1016,COLUMN($F$1),FALSE),"")</f>
        <v>0</v>
      </c>
      <c r="M67">
        <f>IFERROR(VLOOKUP($C67,武器!$1:$998,COLUMN(AA$1),FALSE)*VLOOKUP($D67,素材!$1:$1016,COLUMN($G$1),FALSE),"")</f>
        <v>0</v>
      </c>
      <c r="N67">
        <f>IFERROR(VLOOKUP($C67,武器!$1:$998,COLUMN(I$1),FALSE),"")</f>
        <v>0</v>
      </c>
      <c r="O67" s="23">
        <f>IFERROR((VLOOKUP($C67,武器!$1:$998,COLUMN(K$1),FALSE)+VLOOKUP($D67,素材!$1:$1016,COLUMN(H$1),FALSE))*100+IFERROR(VLOOKUP($CJ67,装強!$1:$999,COLUMN(O$1),FALSE),0),"")</f>
        <v>5</v>
      </c>
      <c r="P67" s="23">
        <f>IFERROR((VLOOKUP($C67,武器!$1:$998,COLUMN(L$1),FALSE)+VLOOKUP($D67,素材!$1:$1016,COLUMN(I$1),FALSE))*100+IFERROR(VLOOKUP($CJ67,装強!$1:$999,COLUMN(P$1),FALSE),0),"")</f>
        <v>150</v>
      </c>
      <c r="Q67">
        <f>IFERROR(ROUNDUP(VLOOKUP($C67,武器!$1:$998,COLUMN(M$1),FALSE)*(VLOOKUP($D67,素材!$1:$1002,COLUMN(D$1),FALSE)/100),1),"")</f>
        <v>-3</v>
      </c>
      <c r="R67">
        <f>IFERROR(ROUNDUP(VLOOKUP($C67,武器!$1:$998,COLUMN(N$1),FALSE)*(VLOOKUP($D67,素材!$1:$1002,COLUMN(D$1),FALSE)/100),1),"")</f>
        <v>-3</v>
      </c>
      <c r="S67">
        <f>IFERROR(VLOOKUP($C67,武器!$1:$998,COLUMN(P$1),FALSE),"")</f>
        <v>0</v>
      </c>
      <c r="T67">
        <f>IFERROR(VLOOKUP($C67,武器!$1:$998,COLUMN(Q$1),FALSE),"")</f>
        <v>0</v>
      </c>
      <c r="U67">
        <f>IFERROR(VLOOKUP($C67,武器!$1:$998,COLUMN(R$1),FALSE),"")</f>
        <v>0</v>
      </c>
      <c r="V67">
        <f>IFERROR(VLOOKUP($C67,武器!$1:$998,COLUMN(Q$1),FALSE),"")</f>
        <v>0</v>
      </c>
      <c r="W67" t="str">
        <f>IFERROR(VLOOKUP($C67,武器!$1:$998,COLUMN(T$1),FALSE),"")</f>
        <v>A</v>
      </c>
      <c r="Y67" t="str">
        <f>IFERROR(VLOOKUP($C67,武器!$1:$998,COLUMN(U$1),FALSE),"")</f>
        <v>魔法無詠唱Ⅲ</v>
      </c>
      <c r="Z67">
        <f>IFERROR(ROUNDUP(VLOOKUP($C67,武器!$1:$998,COLUMN(O$1),FALSE)*VLOOKUP($D67,素材!$1:$1016,COLUMN(E$1),FALSE),1),"")</f>
        <v>0</v>
      </c>
      <c r="AA67">
        <f>IF(ISNUMBER(SEARCH(SUBSTITUTE(AA$1,RIGHT(AA$1,2),""),VLOOKUP($D67,素材!$1:$1016,COLUMN($F$1),FALSE))),VLOOKUP($C67,武器!$1:$998,COLUMN($O$1),FALSE)*VLOOKUP($D67,素材!$1:$1016,COLUMN($E$1),FALSE)/(LEN(VLOOKUP($D67,素材!$1:$1016,COLUMN($F$1),FALSE))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B67">
        <f>IF(ISNUMBER(SEARCH(SUBSTITUTE(AB$1,RIGHT(AB$1,2),""),VLOOKUP($D67,素材!$1:$1016,COLUMN($F$1),FALSE))),VLOOKUP($C67,武器!$1:$998,COLUMN($O$1),FALSE)*VLOOKUP($D67,素材!$1:$1016,COLUMN($E$1),FALSE)/(LEN(VLOOKUP($D67,素材!$1:$1016,COLUMN($F$1),FALSE))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C67">
        <f>IF(ISNUMBER(SEARCH(SUBSTITUTE(AC$1,RIGHT(AC$1,2),""),VLOOKUP($D67,素材!$1:$1016,COLUMN($F$1),FALSE))),VLOOKUP($C67,武器!$1:$998,COLUMN($O$1),FALSE)*VLOOKUP($D67,素材!$1:$1016,COLUMN($E$1),FALSE)/(LEN(VLOOKUP($D67,素材!$1:$1016,COLUMN($F$1),FALSE))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D67">
        <f>IF(ISNUMBER(SEARCH(SUBSTITUTE(AD$1,RIGHT(AD$1,2),""),VLOOKUP($D67,素材!$1:$1016,COLUMN($F$1),FALSE))),VLOOKUP($C67,武器!$1:$998,COLUMN($O$1),FALSE)*VLOOKUP($D67,素材!$1:$1016,COLUMN($E$1),FALSE)/(LEN(VLOOKUP($D67,素材!$1:$1016,COLUMN($F$1),FALSE))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E67">
        <f>IF(ISNUMBER(SEARCH(SUBSTITUTE(AE$1,RIGHT(AE$1,2),""),VLOOKUP($D67,素材!$1:$1016,COLUMN($F$1),FALSE))),VLOOKUP($C67,武器!$1:$998,COLUMN($O$1),FALSE)*VLOOKUP($D67,素材!$1:$1016,COLUMN($E$1),FALSE)/(LEN(VLOOKUP($D67,素材!$1:$1016,COLUMN($F$1),FALSE))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F67">
        <f>IF(ISNUMBER(SEARCH(SUBSTITUTE(AF$1,RIGHT(AF$1,2),""),VLOOKUP($D67,素材!$1:$1016,COLUMN($F$1),FALSE))),VLOOKUP($C67,武器!$1:$998,COLUMN($O$1),FALSE)*VLOOKUP($D67,素材!$1:$1016,COLUMN($E$1),FALSE)/(LEN(VLOOKUP($D67,素材!$1:$1016,COLUMN($F$1),FALSE))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G67">
        <f>IF(ISNUMBER(SEARCH(SUBSTITUTE(AG$1,RIGHT(AG$1,2),""),VLOOKUP($D67,素材!$1:$1016,COLUMN($F$1),FALSE))),VLOOKUP($C67,武器!$1:$998,COLUMN($O$1),FALSE)*VLOOKUP($D67,素材!$1:$1016,COLUMN($E$1),FALSE)/(LEN(VLOOKUP($D67,素材!$1:$1016,COLUMN($F$1),FALSE))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H67">
        <f>IF(ISNUMBER(SEARCH(SUBSTITUTE(AH$1,RIGHT(AH$1,2),""),VLOOKUP($D67,素材!$1:$1016,COLUMN($F$1),FALSE))),VLOOKUP($C67,武器!$1:$998,COLUMN($O$1),FALSE)*VLOOKUP($D67,素材!$1:$1016,COLUMN($E$1),FALSE)/(LEN(VLOOKUP($D67,素材!$1:$1016,COLUMN($F$1),FALSE))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I67">
        <f>IF(ISNUMBER(SEARCH(SUBSTITUTE(AI$1,RIGHT(AI$1,2),""),VLOOKUP($D67,素材!$1:$1016,COLUMN($F$1),FALSE))),VLOOKUP($C67,武器!$1:$998,COLUMN($O$1),FALSE)*VLOOKUP($D67,素材!$1:$1016,COLUMN($E$1),FALSE)/(LEN(VLOOKUP($D67,素材!$1:$1016,COLUMN($F$1),FALSE))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J67">
        <f>IF(ISNUMBER(SEARCH(SUBSTITUTE(AJ$1,RIGHT(AJ$1,2),""),VLOOKUP($D67,素材!$1:$1016,COLUMN($F$1),FALSE))),VLOOKUP($C67,武器!$1:$998,COLUMN($O$1),FALSE)*VLOOKUP($D67,素材!$1:$1016,COLUMN($E$1),FALSE)/(LEN(VLOOKUP($D67,素材!$1:$1016,COLUMN($F$1),FALSE))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K67">
        <f>IF(ISNUMBER(SEARCH(SUBSTITUTE(AK$1,RIGHT(AK$1,2),""),VLOOKUP($D67,素材!$1:$1016,COLUMN($F$1),FALSE))),VLOOKUP($C67,武器!$1:$998,COLUMN($O$1),FALSE)*VLOOKUP($D67,素材!$1:$1016,COLUMN($E$1),FALSE)/(LEN(VLOOKUP($D67,素材!$1:$1016,COLUMN($F$1),FALSE))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L67">
        <f>IF(ISNUMBER(SEARCH(SUBSTITUTE(AL$1,RIGHT(AL$1,2),""),VLOOKUP($D67,素材!$1:$1016,COLUMN($F$1),FALSE))),VLOOKUP($C67,武器!$1:$998,COLUMN($O$1),FALSE)*VLOOKUP($D67,素材!$1:$1016,COLUMN($E$1),FALSE)/(LEN(VLOOKUP($D67,素材!$1:$1016,COLUMN($F$1),FALSE))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M67">
        <f>IF(ISNUMBER(SEARCH(SUBSTITUTE(AM$1,RIGHT(AM$1,2),""),VLOOKUP($D67,素材!$1:$1016,COLUMN($F$1),FALSE))),VLOOKUP($C67,武器!$1:$998,COLUMN($O$1),FALSE)*VLOOKUP($D67,素材!$1:$1016,COLUMN($E$1),FALSE)/(LEN(VLOOKUP($D67,素材!$1:$1016,COLUMN($F$1),FALSE))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N67">
        <f>IF(ISNUMBER(SEARCH(SUBSTITUTE(AN$1,RIGHT(AN$1,2),""),VLOOKUP($D67,素材!$1:$1016,COLUMN($F$1),FALSE))),VLOOKUP($C67,武器!$1:$998,COLUMN($O$1),FALSE)*VLOOKUP($D67,素材!$1:$1016,COLUMN($E$1),FALSE)/(LEN(VLOOKUP($D67,素材!$1:$1016,COLUMN($F$1),FALSE))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O67">
        <f>IF(ISNUMBER(SEARCH(SUBSTITUTE(AO$1,RIGHT(AO$1,2),""),VLOOKUP($D67,素材!$1:$1016,COLUMN($F$1),FALSE))),VLOOKUP($C67,武器!$1:$998,COLUMN($O$1),FALSE)*VLOOKUP($D67,素材!$1:$1016,COLUMN($E$1),FALSE)/(LEN(VLOOKUP($D67,素材!$1:$1016,COLUMN($F$1),FALSE))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P67">
        <f>IF(ISNUMBER(SEARCH(SUBSTITUTE(AP$1,RIGHT(AP$1,2),""),VLOOKUP($D67,素材!$1:$1016,COLUMN($F$1),FALSE))),VLOOKUP($C67,武器!$1:$998,COLUMN($O$1),FALSE)*VLOOKUP($D67,素材!$1:$1016,COLUMN($E$1),FALSE)/(LEN(VLOOKUP($D67,素材!$1:$1016,COLUMN($F$1),FALSE))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Q67">
        <f>IF(ISNUMBER(SEARCH(SUBSTITUTE(AQ$1,RIGHT(AQ$1,2),""),VLOOKUP($D67,素材!$1:$1016,COLUMN($F$1),FALSE))),VLOOKUP($C67,武器!$1:$998,COLUMN($O$1),FALSE)*VLOOKUP($D67,素材!$1:$1016,COLUMN($E$1),FALSE)/(LEN(VLOOKUP($D67,素材!$1:$1016,COLUMN($F$1),FALSE))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R67">
        <f>IF(ISNUMBER(SEARCH(SUBSTITUTE(AR$1,RIGHT(AR$1,2),""),VLOOKUP($D67,素材!$1:$1016,COLUMN($F$1),FALSE))),VLOOKUP($C67,武器!$1:$998,COLUMN($O$1),FALSE)*VLOOKUP($D67,素材!$1:$1016,COLUMN($E$1),FALSE)/(LEN(VLOOKUP($D67,素材!$1:$1016,COLUMN($F$1),FALSE))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S67">
        <f>IF(ISNUMBER(SEARCH(SUBSTITUTE(AS$1,RIGHT(AS$1,2),""),VLOOKUP($D67,素材!$1:$1016,COLUMN($F$1),FALSE))),VLOOKUP($C67,武器!$1:$998,COLUMN($O$1),FALSE)*VLOOKUP($D67,素材!$1:$1016,COLUMN($E$1),FALSE)/(LEN(VLOOKUP($D67,素材!$1:$1016,COLUMN($F$1),FALSE))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T67">
        <f>IF(ISNUMBER(SEARCH(SUBSTITUTE(AT$1,RIGHT(AT$1,2),""),VLOOKUP($D67,素材!$1:$1016,COLUMN($F$1),FALSE))),VLOOKUP($C67,武器!$1:$998,COLUMN($O$1),FALSE)*VLOOKUP($D67,素材!$1:$1016,COLUMN($E$1),FALSE)/(LEN(VLOOKUP($D67,素材!$1:$1016,COLUMN($F$1),FALSE))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U67">
        <f>IF(ISNUMBER(SEARCH(SUBSTITUTE(AU$1,RIGHT(AU$1,2),""),VLOOKUP($D67,素材!$1:$1016,COLUMN($F$1),FALSE))),VLOOKUP($C67,武器!$1:$998,COLUMN($O$1),FALSE)*VLOOKUP($D67,素材!$1:$1016,COLUMN($E$1),FALSE)/(LEN(VLOOKUP($D67,素材!$1:$1016,COLUMN($F$1),FALSE))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V67">
        <f>IF(ISNUMBER(SEARCH(SUBSTITUTE(AV$1,RIGHT(AV$1,2),""),VLOOKUP($D67,素材!$1:$1016,COLUMN($F$1),FALSE))),VLOOKUP($C67,武器!$1:$998,COLUMN($O$1),FALSE)*VLOOKUP($D67,素材!$1:$1016,COLUMN($E$1),FALSE)/(LEN(VLOOKUP($D67,素材!$1:$1016,COLUMN($F$1),FALSE))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W67">
        <f>IF(ISNUMBER(SEARCH(SUBSTITUTE(AW$1,RIGHT(AW$1,2),""),VLOOKUP($D67,素材!$1:$1016,COLUMN($F$1),FALSE))),VLOOKUP($C67,武器!$1:$998,COLUMN($O$1),FALSE)*VLOOKUP($D67,素材!$1:$1016,COLUMN($E$1),FALSE)/(LEN(VLOOKUP($D67,素材!$1:$1016,COLUMN($F$1),FALSE))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X67">
        <f>IF(ISNUMBER(SEARCH(SUBSTITUTE(AX$1,RIGHT(AX$1,2),""),VLOOKUP($D67,素材!$1:$1016,COLUMN($F$1),FALSE))),VLOOKUP($C67,武器!$1:$998,COLUMN($O$1),FALSE)*VLOOKUP($D67,素材!$1:$1016,COLUMN($E$1),FALSE)/(LEN(VLOOKUP($D67,素材!$1:$1016,COLUMN($F$1),FALSE))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Y67">
        <f>IF(ISNUMBER(SEARCH(SUBSTITUTE(AY$1,RIGHT(AY$1,2),""),VLOOKUP($D67,素材!$1:$1016,COLUMN($F$1),FALSE))),VLOOKUP($C67,武器!$1:$998,COLUMN($O$1),FALSE)*VLOOKUP($D67,素材!$1:$1016,COLUMN($E$1),FALSE)/(LEN(VLOOKUP($D67,素材!$1:$1016,COLUMN($F$1),FALSE))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AZ67">
        <f>IF(ISNUMBER(SEARCH(SUBSTITUTE(AZ$1,RIGHT(AZ$1,2),""),VLOOKUP($D67,素材!$1:$1016,COLUMN($F$1),FALSE))),VLOOKUP($C67,武器!$1:$998,COLUMN($O$1),FALSE)*VLOOKUP($D67,素材!$1:$1016,COLUMN($E$1),FALSE)/(LEN(VLOOKUP($D67,素材!$1:$1016,COLUMN($F$1),FALSE))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BA67">
        <f>IF(ISNUMBER(SEARCH(SUBSTITUTE(BA$1,RIGHT(BA$1,2),""),VLOOKUP($D67,素材!$1:$1016,COLUMN($F$1),FALSE))),VLOOKUP($C67,武器!$1:$998,COLUMN($O$1),FALSE)*VLOOKUP($D67,素材!$1:$1016,COLUMN($E$1),FALSE)/(LEN(VLOOKUP($D67,素材!$1:$1016,COLUMN($F$1),FALSE))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BB67">
        <f>IF(ISNUMBER(SEARCH(SUBSTITUTE(BB$1,RIGHT(BB$1,2),""),VLOOKUP($D67,素材!$1:$1016,COLUMN($F$1),FALSE))),VLOOKUP($C67,武器!$1:$998,COLUMN($O$1),FALSE)*VLOOKUP($D67,素材!$1:$1016,COLUMN($E$1),FALSE)/(LEN(VLOOKUP($D67,素材!$1:$1016,COLUMN($F$1),FALSE))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BC67">
        <f>IF(ISNUMBER(SEARCH(SUBSTITUTE(BC$1,RIGHT(BC$1,2),""),VLOOKUP($D67,素材!$1:$1016,COLUMN($F$1),FALSE))),VLOOKUP($C67,武器!$1:$998,COLUMN($O$1),FALSE)*VLOOKUP($D67,素材!$1:$1016,COLUMN($E$1),FALSE)/(LEN(VLOOKUP($D67,素材!$1:$1016,COLUMN($F$1),FALSE))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BD67">
        <f>IF(ISNUMBER(SEARCH(SUBSTITUTE(BD$1,RIGHT(BD$1,2),""),VLOOKUP($D67,素材!$1:$1016,COLUMN($F$1),FALSE))),VLOOKUP($C67,武器!$1:$998,COLUMN($O$1),FALSE)*VLOOKUP($D67,素材!$1:$1016,COLUMN($E$1),FALSE)/(LEN(VLOOKUP($D67,素材!$1:$1016,COLUMN($F$1),FALSE))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BE67">
        <f>IF(ISNUMBER(SEARCH(SUBSTITUTE(BE$1,RIGHT(BE$1,2),""),VLOOKUP($D67,素材!$1:$1016,COLUMN($F$1),FALSE))),VLOOKUP($C67,武器!$1:$998,COLUMN($O$1),FALSE)*VLOOKUP($D67,素材!$1:$1016,COLUMN($E$1),FALSE)/(LEN(VLOOKUP($D67,素材!$1:$1016,COLUMN($F$1),FALSE))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BF67">
        <f>IF(ISNUMBER(SEARCH(SUBSTITUTE(BF$1,RIGHT(BF$1,2),""),VLOOKUP($D67,素材!$1:$1016,COLUMN($F$1),FALSE))),VLOOKUP($C67,武器!$1:$998,COLUMN($O$1),FALSE)*VLOOKUP($D67,素材!$1:$1016,COLUMN($E$1),FALSE)/(LEN(VLOOKUP($D67,素材!$1:$1016,COLUMN($F$1),FALSE)) - LEN(SUBSTITUTE(VLOOKUP($D67,素材!$1:$1016,COLUMN($F$1),FALSE), "・", 0)) + 1), 0)</f>
        <v>0</v>
      </c>
      <c r="CM67">
        <f t="shared" si="3"/>
        <v>16</v>
      </c>
      <c r="CN67" s="22" t="str">
        <f>IF(E67="武器",IF(J67-1&gt;SUM(G67:I67),"盾",IF(MAX(G67:I67)=G67,"切断",IF(MAX(G67:I67)=H67,"貫通",IF(MAX(G67:I67)=I67,"打撃","射撃")))),E67)&amp;".webp"</f>
        <v>杖.webp</v>
      </c>
      <c r="CO67">
        <f>IFERROR(VLOOKUP($C67,武器!$1:$998,COLUMN(V$1),FALSE)*VLOOKUP($D67,素材!$1:$1016,COLUMN(N$1),FALSE)+IF(CJ67="",0,VLOOKUP($CJ67,装強!$1:$1008,COLUMN($CL$1),FALSE)),"")</f>
        <v>300</v>
      </c>
      <c r="CP67" t="str">
        <f>VLOOKUP(D67,素材!$A:$O,COLUMN(素材!O$1),FALSE)</f>
        <v>一般的な木材。金属より軽いが少し脆い</v>
      </c>
      <c r="CQ67" t="str">
        <f>VLOOKUP(C67,武器!$A:$W,COLUMN(武器!W$1),FALSE)</f>
        <v>長杖。強力な魔法を扱える杖だが、重い。</v>
      </c>
      <c r="CS67" t="str">
        <f t="shared" ref="CS67:CS134" si="7">"e_"&amp;ROW(CS67)</f>
        <v>e_67</v>
      </c>
      <c r="CT67">
        <f t="shared" si="4"/>
        <v>30000</v>
      </c>
    </row>
    <row r="68" spans="1:98" outlineLevel="1" x14ac:dyDescent="0.4">
      <c r="A68" t="str">
        <f t="shared" si="6"/>
        <v>木の軽射出弓</v>
      </c>
      <c r="B68" t="str">
        <f>IFERROR(VLOOKUP($D68,素材!$1:$1016,COLUMN($B$1),FALSE)&amp;"・"&amp;VLOOKUP($C68,武器!$1:$998,COLUMN(B$1),FALSE),"")</f>
        <v>ウッド・ライトクロスボウ</v>
      </c>
      <c r="C68" t="s">
        <v>214</v>
      </c>
      <c r="D68" s="24" t="s">
        <v>255</v>
      </c>
      <c r="E68" t="str">
        <f>IFERROR(VLOOKUP(C68,武器!$1:$998,COLUMN(C$1),FALSE),"")</f>
        <v>銃</v>
      </c>
      <c r="F68">
        <f>IFERROR(ROUNDDOWN((VLOOKUP($C68,武器!$1:$998,COLUMN(D$1),FALSE)+IFERROR(VLOOKUP($CJ68,装強!$1:$999,COLUMN(F$1),FALSE),0))*VLOOKUP($D68,素材!$1:$1016,COLUMN(D$1),FALSE),0),"")</f>
        <v>0</v>
      </c>
      <c r="G68">
        <f>IFERROR(ROUNDDOWN((VLOOKUP($C68,武器!$1:$998,COLUMN(E$1),FALSE)+IFERROR(VLOOKUP($CJ68,装強!$1:$999,COLUMN(G$1),FALSE),0))*VLOOKUP($D68,素材!$1:$1016,COLUMN($E$1),FALSE),0),"")</f>
        <v>0</v>
      </c>
      <c r="H68">
        <f>IFERROR(ROUNDDOWN((VLOOKUP($C68,武器!$1:$998,COLUMN(F$1),FALSE)+IFERROR(VLOOKUP($CJ68,装強!$1:$999,COLUMN(H$1),FALSE),0))*VLOOKUP($D68,素材!$1:$1016,COLUMN($E$1),FALSE),0),"")</f>
        <v>0</v>
      </c>
      <c r="I68">
        <f>IFERROR(ROUNDDOWN((VLOOKUP($C68,武器!$1:$998,COLUMN(G$1),FALSE)+IFERROR(VLOOKUP($CJ68,装強!$1:$999,COLUMN(I$1),FALSE),0))*VLOOKUP($D68,素材!$1:$1016,COLUMN($E$1),FALSE),0),"")</f>
        <v>0</v>
      </c>
      <c r="J68">
        <f>IFERROR(ROUNDDOWN((VLOOKUP($C68,武器!$1:$998,COLUMN(H$1),FALSE)+IFERROR(VLOOKUP($CJ68,装強!$1:$999,COLUMN(J$1),FALSE),0))*VLOOKUP($D68,素材!$1:$1016,COLUMN($E$1),FALSE),0),"")</f>
        <v>0</v>
      </c>
      <c r="K68">
        <f>IFERROR(ROUNDDOWN((VLOOKUP($C68,武器!$1:$998,COLUMN(I$1),FALSE)+IFERROR(VLOOKUP($CJ68,装強!$1:$999,COLUMN(K$1),FALSE),0))*VLOOKUP($D68,素材!$1:$1016,COLUMN($E$1),FALSE),0),"")</f>
        <v>40</v>
      </c>
      <c r="L68">
        <f>IFERROR(VLOOKUP($D68,素材!$1:$1016,COLUMN($F$1),FALSE),"")</f>
        <v>0</v>
      </c>
      <c r="M68">
        <f>IFERROR(VLOOKUP($C68,武器!$1:$998,COLUMN(AA$1),FALSE)*VLOOKUP($D68,素材!$1:$1016,COLUMN($G$1),FALSE),"")</f>
        <v>0</v>
      </c>
      <c r="N68">
        <f>IFERROR(VLOOKUP($C68,武器!$1:$998,COLUMN(I$1),FALSE),"")</f>
        <v>2.7</v>
      </c>
      <c r="O68" s="23">
        <f>IFERROR((VLOOKUP($C68,武器!$1:$998,COLUMN(K$1),FALSE)+VLOOKUP($D68,素材!$1:$1016,COLUMN(H$1),FALSE))*100+IFERROR(VLOOKUP($CJ68,装強!$1:$999,COLUMN(O$1),FALSE),0),"")</f>
        <v>10</v>
      </c>
      <c r="P68" s="23">
        <f>IFERROR((VLOOKUP($C68,武器!$1:$998,COLUMN(L$1),FALSE)+VLOOKUP($D68,素材!$1:$1016,COLUMN(I$1),FALSE))*100+IFERROR(VLOOKUP($CJ68,装強!$1:$999,COLUMN(P$1),FALSE),0),"")</f>
        <v>150</v>
      </c>
      <c r="Q68">
        <f>IFERROR(ROUNDUP(VLOOKUP($C68,武器!$1:$998,COLUMN(M$1),FALSE)*(VLOOKUP($D68,素材!$1:$1002,COLUMN(D$1),FALSE)/100),1),"")</f>
        <v>0</v>
      </c>
      <c r="R68">
        <f>IFERROR(ROUNDUP(VLOOKUP($C68,武器!$1:$998,COLUMN(N$1),FALSE)*(VLOOKUP($D68,素材!$1:$1002,COLUMN(D$1),FALSE)/100),1),"")</f>
        <v>0</v>
      </c>
      <c r="S68">
        <f>IFERROR(VLOOKUP($C68,武器!$1:$998,COLUMN(P$1),FALSE),"")</f>
        <v>0</v>
      </c>
      <c r="T68">
        <f>IFERROR(VLOOKUP($C68,武器!$1:$998,COLUMN(Q$1),FALSE),"")</f>
        <v>1</v>
      </c>
      <c r="U68">
        <f>IFERROR(VLOOKUP($C68,武器!$1:$998,COLUMN(R$1),FALSE),"")</f>
        <v>1</v>
      </c>
      <c r="V68">
        <f>IFERROR(VLOOKUP($C68,武器!$1:$998,COLUMN(Q$1),FALSE),"")</f>
        <v>1</v>
      </c>
      <c r="W68" t="str">
        <f>IFERROR(VLOOKUP($C68,武器!$1:$998,COLUMN(T$1),FALSE),"")</f>
        <v>Q</v>
      </c>
      <c r="Y68">
        <f>IFERROR(VLOOKUP($C68,武器!$1:$998,COLUMN(U$1),FALSE),"")</f>
        <v>0</v>
      </c>
      <c r="Z68">
        <f>IFERROR(ROUNDUP(VLOOKUP($C68,武器!$1:$998,COLUMN(O$1),FALSE)*VLOOKUP($D68,素材!$1:$1016,COLUMN(E$1),FALSE),1),"")</f>
        <v>0</v>
      </c>
      <c r="AA68">
        <f>IF(ISNUMBER(SEARCH(SUBSTITUTE(AA$1,RIGHT(AA$1,2),""),VLOOKUP($D68,素材!$1:$1016,COLUMN($F$1),FALSE))),VLOOKUP($C68,武器!$1:$998,COLUMN($O$1),FALSE)*VLOOKUP($D68,素材!$1:$1016,COLUMN($E$1),FALSE)/(LEN(VLOOKUP($D68,素材!$1:$1016,COLUMN($F$1),FALSE))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B68">
        <f>IF(ISNUMBER(SEARCH(SUBSTITUTE(AB$1,RIGHT(AB$1,2),""),VLOOKUP($D68,素材!$1:$1016,COLUMN($F$1),FALSE))),VLOOKUP($C68,武器!$1:$998,COLUMN($O$1),FALSE)*VLOOKUP($D68,素材!$1:$1016,COLUMN($E$1),FALSE)/(LEN(VLOOKUP($D68,素材!$1:$1016,COLUMN($F$1),FALSE))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C68">
        <f>IF(ISNUMBER(SEARCH(SUBSTITUTE(AC$1,RIGHT(AC$1,2),""),VLOOKUP($D68,素材!$1:$1016,COLUMN($F$1),FALSE))),VLOOKUP($C68,武器!$1:$998,COLUMN($O$1),FALSE)*VLOOKUP($D68,素材!$1:$1016,COLUMN($E$1),FALSE)/(LEN(VLOOKUP($D68,素材!$1:$1016,COLUMN($F$1),FALSE))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D68">
        <f>IF(ISNUMBER(SEARCH(SUBSTITUTE(AD$1,RIGHT(AD$1,2),""),VLOOKUP($D68,素材!$1:$1016,COLUMN($F$1),FALSE))),VLOOKUP($C68,武器!$1:$998,COLUMN($O$1),FALSE)*VLOOKUP($D68,素材!$1:$1016,COLUMN($E$1),FALSE)/(LEN(VLOOKUP($D68,素材!$1:$1016,COLUMN($F$1),FALSE))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E68">
        <f>IF(ISNUMBER(SEARCH(SUBSTITUTE(AE$1,RIGHT(AE$1,2),""),VLOOKUP($D68,素材!$1:$1016,COLUMN($F$1),FALSE))),VLOOKUP($C68,武器!$1:$998,COLUMN($O$1),FALSE)*VLOOKUP($D68,素材!$1:$1016,COLUMN($E$1),FALSE)/(LEN(VLOOKUP($D68,素材!$1:$1016,COLUMN($F$1),FALSE))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F68">
        <f>IF(ISNUMBER(SEARCH(SUBSTITUTE(AF$1,RIGHT(AF$1,2),""),VLOOKUP($D68,素材!$1:$1016,COLUMN($F$1),FALSE))),VLOOKUP($C68,武器!$1:$998,COLUMN($O$1),FALSE)*VLOOKUP($D68,素材!$1:$1016,COLUMN($E$1),FALSE)/(LEN(VLOOKUP($D68,素材!$1:$1016,COLUMN($F$1),FALSE))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G68">
        <f>IF(ISNUMBER(SEARCH(SUBSTITUTE(AG$1,RIGHT(AG$1,2),""),VLOOKUP($D68,素材!$1:$1016,COLUMN($F$1),FALSE))),VLOOKUP($C68,武器!$1:$998,COLUMN($O$1),FALSE)*VLOOKUP($D68,素材!$1:$1016,COLUMN($E$1),FALSE)/(LEN(VLOOKUP($D68,素材!$1:$1016,COLUMN($F$1),FALSE))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H68">
        <f>IF(ISNUMBER(SEARCH(SUBSTITUTE(AH$1,RIGHT(AH$1,2),""),VLOOKUP($D68,素材!$1:$1016,COLUMN($F$1),FALSE))),VLOOKUP($C68,武器!$1:$998,COLUMN($O$1),FALSE)*VLOOKUP($D68,素材!$1:$1016,COLUMN($E$1),FALSE)/(LEN(VLOOKUP($D68,素材!$1:$1016,COLUMN($F$1),FALSE))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I68">
        <f>IF(ISNUMBER(SEARCH(SUBSTITUTE(AI$1,RIGHT(AI$1,2),""),VLOOKUP($D68,素材!$1:$1016,COLUMN($F$1),FALSE))),VLOOKUP($C68,武器!$1:$998,COLUMN($O$1),FALSE)*VLOOKUP($D68,素材!$1:$1016,COLUMN($E$1),FALSE)/(LEN(VLOOKUP($D68,素材!$1:$1016,COLUMN($F$1),FALSE))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J68">
        <f>IF(ISNUMBER(SEARCH(SUBSTITUTE(AJ$1,RIGHT(AJ$1,2),""),VLOOKUP($D68,素材!$1:$1016,COLUMN($F$1),FALSE))),VLOOKUP($C68,武器!$1:$998,COLUMN($O$1),FALSE)*VLOOKUP($D68,素材!$1:$1016,COLUMN($E$1),FALSE)/(LEN(VLOOKUP($D68,素材!$1:$1016,COLUMN($F$1),FALSE))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K68">
        <f>IF(ISNUMBER(SEARCH(SUBSTITUTE(AK$1,RIGHT(AK$1,2),""),VLOOKUP($D68,素材!$1:$1016,COLUMN($F$1),FALSE))),VLOOKUP($C68,武器!$1:$998,COLUMN($O$1),FALSE)*VLOOKUP($D68,素材!$1:$1016,COLUMN($E$1),FALSE)/(LEN(VLOOKUP($D68,素材!$1:$1016,COLUMN($F$1),FALSE))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L68">
        <f>IF(ISNUMBER(SEARCH(SUBSTITUTE(AL$1,RIGHT(AL$1,2),""),VLOOKUP($D68,素材!$1:$1016,COLUMN($F$1),FALSE))),VLOOKUP($C68,武器!$1:$998,COLUMN($O$1),FALSE)*VLOOKUP($D68,素材!$1:$1016,COLUMN($E$1),FALSE)/(LEN(VLOOKUP($D68,素材!$1:$1016,COLUMN($F$1),FALSE))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M68">
        <f>IF(ISNUMBER(SEARCH(SUBSTITUTE(AM$1,RIGHT(AM$1,2),""),VLOOKUP($D68,素材!$1:$1016,COLUMN($F$1),FALSE))),VLOOKUP($C68,武器!$1:$998,COLUMN($O$1),FALSE)*VLOOKUP($D68,素材!$1:$1016,COLUMN($E$1),FALSE)/(LEN(VLOOKUP($D68,素材!$1:$1016,COLUMN($F$1),FALSE))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N68">
        <f>IF(ISNUMBER(SEARCH(SUBSTITUTE(AN$1,RIGHT(AN$1,2),""),VLOOKUP($D68,素材!$1:$1016,COLUMN($F$1),FALSE))),VLOOKUP($C68,武器!$1:$998,COLUMN($O$1),FALSE)*VLOOKUP($D68,素材!$1:$1016,COLUMN($E$1),FALSE)/(LEN(VLOOKUP($D68,素材!$1:$1016,COLUMN($F$1),FALSE))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O68">
        <f>IF(ISNUMBER(SEARCH(SUBSTITUTE(AO$1,RIGHT(AO$1,2),""),VLOOKUP($D68,素材!$1:$1016,COLUMN($F$1),FALSE))),VLOOKUP($C68,武器!$1:$998,COLUMN($O$1),FALSE)*VLOOKUP($D68,素材!$1:$1016,COLUMN($E$1),FALSE)/(LEN(VLOOKUP($D68,素材!$1:$1016,COLUMN($F$1),FALSE))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P68">
        <f>IF(ISNUMBER(SEARCH(SUBSTITUTE(AP$1,RIGHT(AP$1,2),""),VLOOKUP($D68,素材!$1:$1016,COLUMN($F$1),FALSE))),VLOOKUP($C68,武器!$1:$998,COLUMN($O$1),FALSE)*VLOOKUP($D68,素材!$1:$1016,COLUMN($E$1),FALSE)/(LEN(VLOOKUP($D68,素材!$1:$1016,COLUMN($F$1),FALSE))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Q68">
        <f>IF(ISNUMBER(SEARCH(SUBSTITUTE(AQ$1,RIGHT(AQ$1,2),""),VLOOKUP($D68,素材!$1:$1016,COLUMN($F$1),FALSE))),VLOOKUP($C68,武器!$1:$998,COLUMN($O$1),FALSE)*VLOOKUP($D68,素材!$1:$1016,COLUMN($E$1),FALSE)/(LEN(VLOOKUP($D68,素材!$1:$1016,COLUMN($F$1),FALSE))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R68">
        <f>IF(ISNUMBER(SEARCH(SUBSTITUTE(AR$1,RIGHT(AR$1,2),""),VLOOKUP($D68,素材!$1:$1016,COLUMN($F$1),FALSE))),VLOOKUP($C68,武器!$1:$998,COLUMN($O$1),FALSE)*VLOOKUP($D68,素材!$1:$1016,COLUMN($E$1),FALSE)/(LEN(VLOOKUP($D68,素材!$1:$1016,COLUMN($F$1),FALSE))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S68">
        <f>IF(ISNUMBER(SEARCH(SUBSTITUTE(AS$1,RIGHT(AS$1,2),""),VLOOKUP($D68,素材!$1:$1016,COLUMN($F$1),FALSE))),VLOOKUP($C68,武器!$1:$998,COLUMN($O$1),FALSE)*VLOOKUP($D68,素材!$1:$1016,COLUMN($E$1),FALSE)/(LEN(VLOOKUP($D68,素材!$1:$1016,COLUMN($F$1),FALSE))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T68">
        <f>IF(ISNUMBER(SEARCH(SUBSTITUTE(AT$1,RIGHT(AT$1,2),""),VLOOKUP($D68,素材!$1:$1016,COLUMN($F$1),FALSE))),VLOOKUP($C68,武器!$1:$998,COLUMN($O$1),FALSE)*VLOOKUP($D68,素材!$1:$1016,COLUMN($E$1),FALSE)/(LEN(VLOOKUP($D68,素材!$1:$1016,COLUMN($F$1),FALSE))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U68">
        <f>IF(ISNUMBER(SEARCH(SUBSTITUTE(AU$1,RIGHT(AU$1,2),""),VLOOKUP($D68,素材!$1:$1016,COLUMN($F$1),FALSE))),VLOOKUP($C68,武器!$1:$998,COLUMN($O$1),FALSE)*VLOOKUP($D68,素材!$1:$1016,COLUMN($E$1),FALSE)/(LEN(VLOOKUP($D68,素材!$1:$1016,COLUMN($F$1),FALSE))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V68">
        <f>IF(ISNUMBER(SEARCH(SUBSTITUTE(AV$1,RIGHT(AV$1,2),""),VLOOKUP($D68,素材!$1:$1016,COLUMN($F$1),FALSE))),VLOOKUP($C68,武器!$1:$998,COLUMN($O$1),FALSE)*VLOOKUP($D68,素材!$1:$1016,COLUMN($E$1),FALSE)/(LEN(VLOOKUP($D68,素材!$1:$1016,COLUMN($F$1),FALSE))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W68">
        <f>IF(ISNUMBER(SEARCH(SUBSTITUTE(AW$1,RIGHT(AW$1,2),""),VLOOKUP($D68,素材!$1:$1016,COLUMN($F$1),FALSE))),VLOOKUP($C68,武器!$1:$998,COLUMN($O$1),FALSE)*VLOOKUP($D68,素材!$1:$1016,COLUMN($E$1),FALSE)/(LEN(VLOOKUP($D68,素材!$1:$1016,COLUMN($F$1),FALSE))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X68">
        <f>IF(ISNUMBER(SEARCH(SUBSTITUTE(AX$1,RIGHT(AX$1,2),""),VLOOKUP($D68,素材!$1:$1016,COLUMN($F$1),FALSE))),VLOOKUP($C68,武器!$1:$998,COLUMN($O$1),FALSE)*VLOOKUP($D68,素材!$1:$1016,COLUMN($E$1),FALSE)/(LEN(VLOOKUP($D68,素材!$1:$1016,COLUMN($F$1),FALSE))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Y68">
        <f>IF(ISNUMBER(SEARCH(SUBSTITUTE(AY$1,RIGHT(AY$1,2),""),VLOOKUP($D68,素材!$1:$1016,COLUMN($F$1),FALSE))),VLOOKUP($C68,武器!$1:$998,COLUMN($O$1),FALSE)*VLOOKUP($D68,素材!$1:$1016,COLUMN($E$1),FALSE)/(LEN(VLOOKUP($D68,素材!$1:$1016,COLUMN($F$1),FALSE))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AZ68">
        <f>IF(ISNUMBER(SEARCH(SUBSTITUTE(AZ$1,RIGHT(AZ$1,2),""),VLOOKUP($D68,素材!$1:$1016,COLUMN($F$1),FALSE))),VLOOKUP($C68,武器!$1:$998,COLUMN($O$1),FALSE)*VLOOKUP($D68,素材!$1:$1016,COLUMN($E$1),FALSE)/(LEN(VLOOKUP($D68,素材!$1:$1016,COLUMN($F$1),FALSE))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BA68">
        <f>IF(ISNUMBER(SEARCH(SUBSTITUTE(BA$1,RIGHT(BA$1,2),""),VLOOKUP($D68,素材!$1:$1016,COLUMN($F$1),FALSE))),VLOOKUP($C68,武器!$1:$998,COLUMN($O$1),FALSE)*VLOOKUP($D68,素材!$1:$1016,COLUMN($E$1),FALSE)/(LEN(VLOOKUP($D68,素材!$1:$1016,COLUMN($F$1),FALSE))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BB68">
        <f>IF(ISNUMBER(SEARCH(SUBSTITUTE(BB$1,RIGHT(BB$1,2),""),VLOOKUP($D68,素材!$1:$1016,COLUMN($F$1),FALSE))),VLOOKUP($C68,武器!$1:$998,COLUMN($O$1),FALSE)*VLOOKUP($D68,素材!$1:$1016,COLUMN($E$1),FALSE)/(LEN(VLOOKUP($D68,素材!$1:$1016,COLUMN($F$1),FALSE))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BC68">
        <f>IF(ISNUMBER(SEARCH(SUBSTITUTE(BC$1,RIGHT(BC$1,2),""),VLOOKUP($D68,素材!$1:$1016,COLUMN($F$1),FALSE))),VLOOKUP($C68,武器!$1:$998,COLUMN($O$1),FALSE)*VLOOKUP($D68,素材!$1:$1016,COLUMN($E$1),FALSE)/(LEN(VLOOKUP($D68,素材!$1:$1016,COLUMN($F$1),FALSE))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BD68">
        <f>IF(ISNUMBER(SEARCH(SUBSTITUTE(BD$1,RIGHT(BD$1,2),""),VLOOKUP($D68,素材!$1:$1016,COLUMN($F$1),FALSE))),VLOOKUP($C68,武器!$1:$998,COLUMN($O$1),FALSE)*VLOOKUP($D68,素材!$1:$1016,COLUMN($E$1),FALSE)/(LEN(VLOOKUP($D68,素材!$1:$1016,COLUMN($F$1),FALSE))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BE68">
        <f>IF(ISNUMBER(SEARCH(SUBSTITUTE(BE$1,RIGHT(BE$1,2),""),VLOOKUP($D68,素材!$1:$1016,COLUMN($F$1),FALSE))),VLOOKUP($C68,武器!$1:$998,COLUMN($O$1),FALSE)*VLOOKUP($D68,素材!$1:$1016,COLUMN($E$1),FALSE)/(LEN(VLOOKUP($D68,素材!$1:$1016,COLUMN($F$1),FALSE))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BF68">
        <f>IF(ISNUMBER(SEARCH(SUBSTITUTE(BF$1,RIGHT(BF$1,2),""),VLOOKUP($D68,素材!$1:$1016,COLUMN($F$1),FALSE))),VLOOKUP($C68,武器!$1:$998,COLUMN($O$1),FALSE)*VLOOKUP($D68,素材!$1:$1016,COLUMN($E$1),FALSE)/(LEN(VLOOKUP($D68,素材!$1:$1016,COLUMN($F$1),FALSE)) - LEN(SUBSTITUTE(VLOOKUP($D68,素材!$1:$1016,COLUMN($F$1),FALSE), "・", 0)) + 1), 0)</f>
        <v>0</v>
      </c>
      <c r="CM68">
        <f t="shared" ref="CM68:CM131" si="8">SUM(G68:I68)</f>
        <v>0</v>
      </c>
      <c r="CN68" s="22" t="str">
        <f>IF(E68="武器",IF(J68-1&gt;SUM(G68:I68),"盾",IF(MAX(G68:I68)=G68,"切断",IF(MAX(G68:I68)=H68,"貫通",IF(MAX(G68:I68)=I68,"打撃","射撃")))),E68)&amp;".webp"</f>
        <v>銃.webp</v>
      </c>
      <c r="CO68">
        <f>IFERROR(VLOOKUP($C68,武器!$1:$998,COLUMN(V$1),FALSE)*VLOOKUP($D68,素材!$1:$1016,COLUMN(N$1),FALSE)+IF(CJ68="",0,VLOOKUP($CJ68,装強!$1:$1008,COLUMN($CL$1),FALSE)),"")</f>
        <v>250</v>
      </c>
      <c r="CP68" t="str">
        <f>VLOOKUP(D68,素材!$A:$O,COLUMN(素材!O$1),FALSE)</f>
        <v>一般的な木材。金属より軽いが少し脆い</v>
      </c>
      <c r="CQ68" t="str">
        <f>VLOOKUP(C68,武器!$A:$W,COLUMN(武器!W$1),FALSE)</f>
        <v/>
      </c>
      <c r="CS68" t="str">
        <f t="shared" si="7"/>
        <v>e_68</v>
      </c>
      <c r="CT68">
        <f t="shared" ref="CT68:CT135" si="9">CO68*100</f>
        <v>25000</v>
      </c>
    </row>
    <row r="69" spans="1:98" outlineLevel="1" x14ac:dyDescent="0.4">
      <c r="A69" t="str">
        <f t="shared" si="6"/>
        <v>木の射出弓</v>
      </c>
      <c r="B69" t="str">
        <f>IFERROR(VLOOKUP($D69,素材!$1:$1016,COLUMN($B$1),FALSE)&amp;"・"&amp;VLOOKUP($C69,武器!$1:$998,COLUMN(B$1),FALSE),"")</f>
        <v>ウッド・クロスボウ</v>
      </c>
      <c r="C69" t="s">
        <v>213</v>
      </c>
      <c r="D69" s="24" t="s">
        <v>255</v>
      </c>
      <c r="E69" t="str">
        <f>IFERROR(VLOOKUP(C69,武器!$1:$998,COLUMN(C$1),FALSE),"")</f>
        <v>銃</v>
      </c>
      <c r="F69">
        <f>IFERROR(ROUNDDOWN((VLOOKUP($C69,武器!$1:$998,COLUMN(D$1),FALSE)+IFERROR(VLOOKUP($CJ69,装強!$1:$999,COLUMN(F$1),FALSE),0))*VLOOKUP($D69,素材!$1:$1016,COLUMN(D$1),FALSE),0),"")</f>
        <v>0</v>
      </c>
      <c r="G69">
        <f>IFERROR(ROUNDDOWN((VLOOKUP($C69,武器!$1:$998,COLUMN(E$1),FALSE)+IFERROR(VLOOKUP($CJ69,装強!$1:$999,COLUMN(G$1),FALSE),0))*VLOOKUP($D69,素材!$1:$1016,COLUMN($E$1),FALSE),0),"")</f>
        <v>0</v>
      </c>
      <c r="H69">
        <f>IFERROR(ROUNDDOWN((VLOOKUP($C69,武器!$1:$998,COLUMN(F$1),FALSE)+IFERROR(VLOOKUP($CJ69,装強!$1:$999,COLUMN(H$1),FALSE),0))*VLOOKUP($D69,素材!$1:$1016,COLUMN($E$1),FALSE),0),"")</f>
        <v>0</v>
      </c>
      <c r="I69">
        <f>IFERROR(ROUNDDOWN((VLOOKUP($C69,武器!$1:$998,COLUMN(G$1),FALSE)+IFERROR(VLOOKUP($CJ69,装強!$1:$999,COLUMN(I$1),FALSE),0))*VLOOKUP($D69,素材!$1:$1016,COLUMN($E$1),FALSE),0),"")</f>
        <v>0</v>
      </c>
      <c r="J69">
        <f>IFERROR(ROUNDDOWN((VLOOKUP($C69,武器!$1:$998,COLUMN(H$1),FALSE)+IFERROR(VLOOKUP($CJ69,装強!$1:$999,COLUMN(J$1),FALSE),0))*VLOOKUP($D69,素材!$1:$1016,COLUMN($E$1),FALSE),0),"")</f>
        <v>0</v>
      </c>
      <c r="K69">
        <f>IFERROR(ROUNDDOWN((VLOOKUP($C69,武器!$1:$998,COLUMN(I$1),FALSE)+IFERROR(VLOOKUP($CJ69,装強!$1:$999,COLUMN(K$1),FALSE),0))*VLOOKUP($D69,素材!$1:$1016,COLUMN($E$1),FALSE),0),"")</f>
        <v>58</v>
      </c>
      <c r="L69">
        <f>IFERROR(VLOOKUP($D69,素材!$1:$1016,COLUMN($F$1),FALSE),"")</f>
        <v>0</v>
      </c>
      <c r="M69">
        <f>IFERROR(VLOOKUP($C69,武器!$1:$998,COLUMN(AA$1),FALSE)*VLOOKUP($D69,素材!$1:$1016,COLUMN($G$1),FALSE),"")</f>
        <v>0</v>
      </c>
      <c r="N69">
        <f>IFERROR(VLOOKUP($C69,武器!$1:$998,COLUMN(I$1),FALSE),"")</f>
        <v>3.9</v>
      </c>
      <c r="O69" s="23">
        <f>IFERROR((VLOOKUP($C69,武器!$1:$998,COLUMN(K$1),FALSE)+VLOOKUP($D69,素材!$1:$1016,COLUMN(H$1),FALSE))*100+IFERROR(VLOOKUP($CJ69,装強!$1:$999,COLUMN(O$1),FALSE),0),"")</f>
        <v>10</v>
      </c>
      <c r="P69" s="23">
        <f>IFERROR((VLOOKUP($C69,武器!$1:$998,COLUMN(L$1),FALSE)+VLOOKUP($D69,素材!$1:$1016,COLUMN(I$1),FALSE))*100+IFERROR(VLOOKUP($CJ69,装強!$1:$999,COLUMN(P$1),FALSE),0),"")</f>
        <v>150</v>
      </c>
      <c r="Q69">
        <f>IFERROR(ROUNDUP(VLOOKUP($C69,武器!$1:$998,COLUMN(M$1),FALSE)*(VLOOKUP($D69,素材!$1:$1002,COLUMN(D$1),FALSE)/100),1),"")</f>
        <v>0</v>
      </c>
      <c r="R69">
        <f>IFERROR(ROUNDUP(VLOOKUP($C69,武器!$1:$998,COLUMN(N$1),FALSE)*(VLOOKUP($D69,素材!$1:$1002,COLUMN(D$1),FALSE)/100),1),"")</f>
        <v>0</v>
      </c>
      <c r="S69">
        <f>IFERROR(VLOOKUP($C69,武器!$1:$998,COLUMN(P$1),FALSE),"")</f>
        <v>0</v>
      </c>
      <c r="T69">
        <f>IFERROR(VLOOKUP($C69,武器!$1:$998,COLUMN(Q$1),FALSE),"")</f>
        <v>1</v>
      </c>
      <c r="U69">
        <f>IFERROR(VLOOKUP($C69,武器!$1:$998,COLUMN(R$1),FALSE),"")</f>
        <v>1</v>
      </c>
      <c r="V69">
        <f>IFERROR(VLOOKUP($C69,武器!$1:$998,COLUMN(Q$1),FALSE),"")</f>
        <v>1</v>
      </c>
      <c r="W69" t="str">
        <f>IFERROR(VLOOKUP($C69,武器!$1:$998,COLUMN(T$1),FALSE),"")</f>
        <v>S</v>
      </c>
      <c r="Y69">
        <f>IFERROR(VLOOKUP($C69,武器!$1:$998,COLUMN(U$1),FALSE),"")</f>
        <v>0</v>
      </c>
      <c r="Z69">
        <f>IFERROR(ROUNDUP(VLOOKUP($C69,武器!$1:$998,COLUMN(O$1),FALSE)*VLOOKUP($D69,素材!$1:$1016,COLUMN(E$1),FALSE),1),"")</f>
        <v>0</v>
      </c>
      <c r="AA69">
        <f>IF(ISNUMBER(SEARCH(SUBSTITUTE(AA$1,RIGHT(AA$1,2),""),VLOOKUP($D69,素材!$1:$1016,COLUMN($F$1),FALSE))),VLOOKUP($C69,武器!$1:$998,COLUMN($O$1),FALSE)*VLOOKUP($D69,素材!$1:$1016,COLUMN($E$1),FALSE)/(LEN(VLOOKUP($D69,素材!$1:$1016,COLUMN($F$1),FALSE))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B69">
        <f>IF(ISNUMBER(SEARCH(SUBSTITUTE(AB$1,RIGHT(AB$1,2),""),VLOOKUP($D69,素材!$1:$1016,COLUMN($F$1),FALSE))),VLOOKUP($C69,武器!$1:$998,COLUMN($O$1),FALSE)*VLOOKUP($D69,素材!$1:$1016,COLUMN($E$1),FALSE)/(LEN(VLOOKUP($D69,素材!$1:$1016,COLUMN($F$1),FALSE))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C69">
        <f>IF(ISNUMBER(SEARCH(SUBSTITUTE(AC$1,RIGHT(AC$1,2),""),VLOOKUP($D69,素材!$1:$1016,COLUMN($F$1),FALSE))),VLOOKUP($C69,武器!$1:$998,COLUMN($O$1),FALSE)*VLOOKUP($D69,素材!$1:$1016,COLUMN($E$1),FALSE)/(LEN(VLOOKUP($D69,素材!$1:$1016,COLUMN($F$1),FALSE))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D69">
        <f>IF(ISNUMBER(SEARCH(SUBSTITUTE(AD$1,RIGHT(AD$1,2),""),VLOOKUP($D69,素材!$1:$1016,COLUMN($F$1),FALSE))),VLOOKUP($C69,武器!$1:$998,COLUMN($O$1),FALSE)*VLOOKUP($D69,素材!$1:$1016,COLUMN($E$1),FALSE)/(LEN(VLOOKUP($D69,素材!$1:$1016,COLUMN($F$1),FALSE))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E69">
        <f>IF(ISNUMBER(SEARCH(SUBSTITUTE(AE$1,RIGHT(AE$1,2),""),VLOOKUP($D69,素材!$1:$1016,COLUMN($F$1),FALSE))),VLOOKUP($C69,武器!$1:$998,COLUMN($O$1),FALSE)*VLOOKUP($D69,素材!$1:$1016,COLUMN($E$1),FALSE)/(LEN(VLOOKUP($D69,素材!$1:$1016,COLUMN($F$1),FALSE))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F69">
        <f>IF(ISNUMBER(SEARCH(SUBSTITUTE(AF$1,RIGHT(AF$1,2),""),VLOOKUP($D69,素材!$1:$1016,COLUMN($F$1),FALSE))),VLOOKUP($C69,武器!$1:$998,COLUMN($O$1),FALSE)*VLOOKUP($D69,素材!$1:$1016,COLUMN($E$1),FALSE)/(LEN(VLOOKUP($D69,素材!$1:$1016,COLUMN($F$1),FALSE))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G69">
        <f>IF(ISNUMBER(SEARCH(SUBSTITUTE(AG$1,RIGHT(AG$1,2),""),VLOOKUP($D69,素材!$1:$1016,COLUMN($F$1),FALSE))),VLOOKUP($C69,武器!$1:$998,COLUMN($O$1),FALSE)*VLOOKUP($D69,素材!$1:$1016,COLUMN($E$1),FALSE)/(LEN(VLOOKUP($D69,素材!$1:$1016,COLUMN($F$1),FALSE))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H69">
        <f>IF(ISNUMBER(SEARCH(SUBSTITUTE(AH$1,RIGHT(AH$1,2),""),VLOOKUP($D69,素材!$1:$1016,COLUMN($F$1),FALSE))),VLOOKUP($C69,武器!$1:$998,COLUMN($O$1),FALSE)*VLOOKUP($D69,素材!$1:$1016,COLUMN($E$1),FALSE)/(LEN(VLOOKUP($D69,素材!$1:$1016,COLUMN($F$1),FALSE))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I69">
        <f>IF(ISNUMBER(SEARCH(SUBSTITUTE(AI$1,RIGHT(AI$1,2),""),VLOOKUP($D69,素材!$1:$1016,COLUMN($F$1),FALSE))),VLOOKUP($C69,武器!$1:$998,COLUMN($O$1),FALSE)*VLOOKUP($D69,素材!$1:$1016,COLUMN($E$1),FALSE)/(LEN(VLOOKUP($D69,素材!$1:$1016,COLUMN($F$1),FALSE))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J69">
        <f>IF(ISNUMBER(SEARCH(SUBSTITUTE(AJ$1,RIGHT(AJ$1,2),""),VLOOKUP($D69,素材!$1:$1016,COLUMN($F$1),FALSE))),VLOOKUP($C69,武器!$1:$998,COLUMN($O$1),FALSE)*VLOOKUP($D69,素材!$1:$1016,COLUMN($E$1),FALSE)/(LEN(VLOOKUP($D69,素材!$1:$1016,COLUMN($F$1),FALSE))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K69">
        <f>IF(ISNUMBER(SEARCH(SUBSTITUTE(AK$1,RIGHT(AK$1,2),""),VLOOKUP($D69,素材!$1:$1016,COLUMN($F$1),FALSE))),VLOOKUP($C69,武器!$1:$998,COLUMN($O$1),FALSE)*VLOOKUP($D69,素材!$1:$1016,COLUMN($E$1),FALSE)/(LEN(VLOOKUP($D69,素材!$1:$1016,COLUMN($F$1),FALSE))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L69">
        <f>IF(ISNUMBER(SEARCH(SUBSTITUTE(AL$1,RIGHT(AL$1,2),""),VLOOKUP($D69,素材!$1:$1016,COLUMN($F$1),FALSE))),VLOOKUP($C69,武器!$1:$998,COLUMN($O$1),FALSE)*VLOOKUP($D69,素材!$1:$1016,COLUMN($E$1),FALSE)/(LEN(VLOOKUP($D69,素材!$1:$1016,COLUMN($F$1),FALSE))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M69">
        <f>IF(ISNUMBER(SEARCH(SUBSTITUTE(AM$1,RIGHT(AM$1,2),""),VLOOKUP($D69,素材!$1:$1016,COLUMN($F$1),FALSE))),VLOOKUP($C69,武器!$1:$998,COLUMN($O$1),FALSE)*VLOOKUP($D69,素材!$1:$1016,COLUMN($E$1),FALSE)/(LEN(VLOOKUP($D69,素材!$1:$1016,COLUMN($F$1),FALSE))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N69">
        <f>IF(ISNUMBER(SEARCH(SUBSTITUTE(AN$1,RIGHT(AN$1,2),""),VLOOKUP($D69,素材!$1:$1016,COLUMN($F$1),FALSE))),VLOOKUP($C69,武器!$1:$998,COLUMN($O$1),FALSE)*VLOOKUP($D69,素材!$1:$1016,COLUMN($E$1),FALSE)/(LEN(VLOOKUP($D69,素材!$1:$1016,COLUMN($F$1),FALSE))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O69">
        <f>IF(ISNUMBER(SEARCH(SUBSTITUTE(AO$1,RIGHT(AO$1,2),""),VLOOKUP($D69,素材!$1:$1016,COLUMN($F$1),FALSE))),VLOOKUP($C69,武器!$1:$998,COLUMN($O$1),FALSE)*VLOOKUP($D69,素材!$1:$1016,COLUMN($E$1),FALSE)/(LEN(VLOOKUP($D69,素材!$1:$1016,COLUMN($F$1),FALSE))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P69">
        <f>IF(ISNUMBER(SEARCH(SUBSTITUTE(AP$1,RIGHT(AP$1,2),""),VLOOKUP($D69,素材!$1:$1016,COLUMN($F$1),FALSE))),VLOOKUP($C69,武器!$1:$998,COLUMN($O$1),FALSE)*VLOOKUP($D69,素材!$1:$1016,COLUMN($E$1),FALSE)/(LEN(VLOOKUP($D69,素材!$1:$1016,COLUMN($F$1),FALSE))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Q69">
        <f>IF(ISNUMBER(SEARCH(SUBSTITUTE(AQ$1,RIGHT(AQ$1,2),""),VLOOKUP($D69,素材!$1:$1016,COLUMN($F$1),FALSE))),VLOOKUP($C69,武器!$1:$998,COLUMN($O$1),FALSE)*VLOOKUP($D69,素材!$1:$1016,COLUMN($E$1),FALSE)/(LEN(VLOOKUP($D69,素材!$1:$1016,COLUMN($F$1),FALSE))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R69">
        <f>IF(ISNUMBER(SEARCH(SUBSTITUTE(AR$1,RIGHT(AR$1,2),""),VLOOKUP($D69,素材!$1:$1016,COLUMN($F$1),FALSE))),VLOOKUP($C69,武器!$1:$998,COLUMN($O$1),FALSE)*VLOOKUP($D69,素材!$1:$1016,COLUMN($E$1),FALSE)/(LEN(VLOOKUP($D69,素材!$1:$1016,COLUMN($F$1),FALSE))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S69">
        <f>IF(ISNUMBER(SEARCH(SUBSTITUTE(AS$1,RIGHT(AS$1,2),""),VLOOKUP($D69,素材!$1:$1016,COLUMN($F$1),FALSE))),VLOOKUP($C69,武器!$1:$998,COLUMN($O$1),FALSE)*VLOOKUP($D69,素材!$1:$1016,COLUMN($E$1),FALSE)/(LEN(VLOOKUP($D69,素材!$1:$1016,COLUMN($F$1),FALSE))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T69">
        <f>IF(ISNUMBER(SEARCH(SUBSTITUTE(AT$1,RIGHT(AT$1,2),""),VLOOKUP($D69,素材!$1:$1016,COLUMN($F$1),FALSE))),VLOOKUP($C69,武器!$1:$998,COLUMN($O$1),FALSE)*VLOOKUP($D69,素材!$1:$1016,COLUMN($E$1),FALSE)/(LEN(VLOOKUP($D69,素材!$1:$1016,COLUMN($F$1),FALSE))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U69">
        <f>IF(ISNUMBER(SEARCH(SUBSTITUTE(AU$1,RIGHT(AU$1,2),""),VLOOKUP($D69,素材!$1:$1016,COLUMN($F$1),FALSE))),VLOOKUP($C69,武器!$1:$998,COLUMN($O$1),FALSE)*VLOOKUP($D69,素材!$1:$1016,COLUMN($E$1),FALSE)/(LEN(VLOOKUP($D69,素材!$1:$1016,COLUMN($F$1),FALSE))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V69">
        <f>IF(ISNUMBER(SEARCH(SUBSTITUTE(AV$1,RIGHT(AV$1,2),""),VLOOKUP($D69,素材!$1:$1016,COLUMN($F$1),FALSE))),VLOOKUP($C69,武器!$1:$998,COLUMN($O$1),FALSE)*VLOOKUP($D69,素材!$1:$1016,COLUMN($E$1),FALSE)/(LEN(VLOOKUP($D69,素材!$1:$1016,COLUMN($F$1),FALSE))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W69">
        <f>IF(ISNUMBER(SEARCH(SUBSTITUTE(AW$1,RIGHT(AW$1,2),""),VLOOKUP($D69,素材!$1:$1016,COLUMN($F$1),FALSE))),VLOOKUP($C69,武器!$1:$998,COLUMN($O$1),FALSE)*VLOOKUP($D69,素材!$1:$1016,COLUMN($E$1),FALSE)/(LEN(VLOOKUP($D69,素材!$1:$1016,COLUMN($F$1),FALSE))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X69">
        <f>IF(ISNUMBER(SEARCH(SUBSTITUTE(AX$1,RIGHT(AX$1,2),""),VLOOKUP($D69,素材!$1:$1016,COLUMN($F$1),FALSE))),VLOOKUP($C69,武器!$1:$998,COLUMN($O$1),FALSE)*VLOOKUP($D69,素材!$1:$1016,COLUMN($E$1),FALSE)/(LEN(VLOOKUP($D69,素材!$1:$1016,COLUMN($F$1),FALSE))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Y69">
        <f>IF(ISNUMBER(SEARCH(SUBSTITUTE(AY$1,RIGHT(AY$1,2),""),VLOOKUP($D69,素材!$1:$1016,COLUMN($F$1),FALSE))),VLOOKUP($C69,武器!$1:$998,COLUMN($O$1),FALSE)*VLOOKUP($D69,素材!$1:$1016,COLUMN($E$1),FALSE)/(LEN(VLOOKUP($D69,素材!$1:$1016,COLUMN($F$1),FALSE))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AZ69">
        <f>IF(ISNUMBER(SEARCH(SUBSTITUTE(AZ$1,RIGHT(AZ$1,2),""),VLOOKUP($D69,素材!$1:$1016,COLUMN($F$1),FALSE))),VLOOKUP($C69,武器!$1:$998,COLUMN($O$1),FALSE)*VLOOKUP($D69,素材!$1:$1016,COLUMN($E$1),FALSE)/(LEN(VLOOKUP($D69,素材!$1:$1016,COLUMN($F$1),FALSE))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BA69">
        <f>IF(ISNUMBER(SEARCH(SUBSTITUTE(BA$1,RIGHT(BA$1,2),""),VLOOKUP($D69,素材!$1:$1016,COLUMN($F$1),FALSE))),VLOOKUP($C69,武器!$1:$998,COLUMN($O$1),FALSE)*VLOOKUP($D69,素材!$1:$1016,COLUMN($E$1),FALSE)/(LEN(VLOOKUP($D69,素材!$1:$1016,COLUMN($F$1),FALSE))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BB69">
        <f>IF(ISNUMBER(SEARCH(SUBSTITUTE(BB$1,RIGHT(BB$1,2),""),VLOOKUP($D69,素材!$1:$1016,COLUMN($F$1),FALSE))),VLOOKUP($C69,武器!$1:$998,COLUMN($O$1),FALSE)*VLOOKUP($D69,素材!$1:$1016,COLUMN($E$1),FALSE)/(LEN(VLOOKUP($D69,素材!$1:$1016,COLUMN($F$1),FALSE))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BC69">
        <f>IF(ISNUMBER(SEARCH(SUBSTITUTE(BC$1,RIGHT(BC$1,2),""),VLOOKUP($D69,素材!$1:$1016,COLUMN($F$1),FALSE))),VLOOKUP($C69,武器!$1:$998,COLUMN($O$1),FALSE)*VLOOKUP($D69,素材!$1:$1016,COLUMN($E$1),FALSE)/(LEN(VLOOKUP($D69,素材!$1:$1016,COLUMN($F$1),FALSE))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BD69">
        <f>IF(ISNUMBER(SEARCH(SUBSTITUTE(BD$1,RIGHT(BD$1,2),""),VLOOKUP($D69,素材!$1:$1016,COLUMN($F$1),FALSE))),VLOOKUP($C69,武器!$1:$998,COLUMN($O$1),FALSE)*VLOOKUP($D69,素材!$1:$1016,COLUMN($E$1),FALSE)/(LEN(VLOOKUP($D69,素材!$1:$1016,COLUMN($F$1),FALSE))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BE69">
        <f>IF(ISNUMBER(SEARCH(SUBSTITUTE(BE$1,RIGHT(BE$1,2),""),VLOOKUP($D69,素材!$1:$1016,COLUMN($F$1),FALSE))),VLOOKUP($C69,武器!$1:$998,COLUMN($O$1),FALSE)*VLOOKUP($D69,素材!$1:$1016,COLUMN($E$1),FALSE)/(LEN(VLOOKUP($D69,素材!$1:$1016,COLUMN($F$1),FALSE))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BF69">
        <f>IF(ISNUMBER(SEARCH(SUBSTITUTE(BF$1,RIGHT(BF$1,2),""),VLOOKUP($D69,素材!$1:$1016,COLUMN($F$1),FALSE))),VLOOKUP($C69,武器!$1:$998,COLUMN($O$1),FALSE)*VLOOKUP($D69,素材!$1:$1016,COLUMN($E$1),FALSE)/(LEN(VLOOKUP($D69,素材!$1:$1016,COLUMN($F$1),FALSE)) - LEN(SUBSTITUTE(VLOOKUP($D69,素材!$1:$1016,COLUMN($F$1),FALSE), "・", 0)) + 1), 0)</f>
        <v>0</v>
      </c>
      <c r="CM69">
        <f t="shared" si="8"/>
        <v>0</v>
      </c>
      <c r="CN69" s="22" t="str">
        <f>IF(E69="武器",IF(J69-1&gt;SUM(G69:I69),"盾",IF(MAX(G69:I69)=G69,"切断",IF(MAX(G69:I69)=H69,"貫通",IF(MAX(G69:I69)=I69,"打撃","射撃")))),E69)&amp;".webp"</f>
        <v>銃.webp</v>
      </c>
      <c r="CO69">
        <f>IFERROR(VLOOKUP($C69,武器!$1:$998,COLUMN(V$1),FALSE)*VLOOKUP($D69,素材!$1:$1016,COLUMN(N$1),FALSE)+IF(CJ69="",0,VLOOKUP($CJ69,装強!$1:$1008,COLUMN($CL$1),FALSE)),"")</f>
        <v>300</v>
      </c>
      <c r="CP69" t="str">
        <f>VLOOKUP(D69,素材!$A:$O,COLUMN(素材!O$1),FALSE)</f>
        <v>一般的な木材。金属より軽いが少し脆い</v>
      </c>
      <c r="CQ69" t="str">
        <f>VLOOKUP(C69,武器!$A:$W,COLUMN(武器!W$1),FALSE)</f>
        <v/>
      </c>
      <c r="CS69" t="str">
        <f t="shared" si="7"/>
        <v>e_69</v>
      </c>
      <c r="CT69">
        <f t="shared" si="9"/>
        <v>30000</v>
      </c>
    </row>
    <row r="70" spans="1:98" outlineLevel="1" x14ac:dyDescent="0.4">
      <c r="A70" t="str">
        <f t="shared" si="6"/>
        <v>木の回転式拳銃</v>
      </c>
      <c r="B70" t="str">
        <f>IFERROR(VLOOKUP($D70,素材!$1:$1016,COLUMN($B$1),FALSE)&amp;"・"&amp;VLOOKUP($C70,武器!$1:$998,COLUMN(B$1),FALSE),"")</f>
        <v>ウッド・リボルバー</v>
      </c>
      <c r="C70" t="s">
        <v>212</v>
      </c>
      <c r="D70" s="24" t="s">
        <v>255</v>
      </c>
      <c r="E70" t="str">
        <f>IFERROR(VLOOKUP(C70,武器!$1:$998,COLUMN(C$1),FALSE),"")</f>
        <v>銃</v>
      </c>
      <c r="F70">
        <f>IFERROR(ROUNDDOWN((VLOOKUP($C70,武器!$1:$998,COLUMN(D$1),FALSE)+IFERROR(VLOOKUP($CJ70,装強!$1:$999,COLUMN(F$1),FALSE),0))*VLOOKUP($D70,素材!$1:$1016,COLUMN(D$1),FALSE),0),"")</f>
        <v>0</v>
      </c>
      <c r="G70">
        <f>IFERROR(ROUNDDOWN((VLOOKUP($C70,武器!$1:$998,COLUMN(E$1),FALSE)+IFERROR(VLOOKUP($CJ70,装強!$1:$999,COLUMN(G$1),FALSE),0))*VLOOKUP($D70,素材!$1:$1016,COLUMN($E$1),FALSE),0),"")</f>
        <v>0</v>
      </c>
      <c r="H70">
        <f>IFERROR(ROUNDDOWN((VLOOKUP($C70,武器!$1:$998,COLUMN(F$1),FALSE)+IFERROR(VLOOKUP($CJ70,装強!$1:$999,COLUMN(H$1),FALSE),0))*VLOOKUP($D70,素材!$1:$1016,COLUMN($E$1),FALSE),0),"")</f>
        <v>0</v>
      </c>
      <c r="I70">
        <f>IFERROR(ROUNDDOWN((VLOOKUP($C70,武器!$1:$998,COLUMN(G$1),FALSE)+IFERROR(VLOOKUP($CJ70,装強!$1:$999,COLUMN(I$1),FALSE),0))*VLOOKUP($D70,素材!$1:$1016,COLUMN($E$1),FALSE),0),"")</f>
        <v>0</v>
      </c>
      <c r="J70">
        <f>IFERROR(ROUNDDOWN((VLOOKUP($C70,武器!$1:$998,COLUMN(H$1),FALSE)+IFERROR(VLOOKUP($CJ70,装強!$1:$999,COLUMN(J$1),FALSE),0))*VLOOKUP($D70,素材!$1:$1016,COLUMN($E$1),FALSE),0),"")</f>
        <v>0</v>
      </c>
      <c r="K70">
        <f>IFERROR(ROUNDDOWN((VLOOKUP($C70,武器!$1:$998,COLUMN(I$1),FALSE)+IFERROR(VLOOKUP($CJ70,装強!$1:$999,COLUMN(K$1),FALSE),0))*VLOOKUP($D70,素材!$1:$1016,COLUMN($E$1),FALSE),0),"")</f>
        <v>38</v>
      </c>
      <c r="L70">
        <f>IFERROR(VLOOKUP($D70,素材!$1:$1016,COLUMN($F$1),FALSE),"")</f>
        <v>0</v>
      </c>
      <c r="M70">
        <f>IFERROR(VLOOKUP($C70,武器!$1:$998,COLUMN(AA$1),FALSE)*VLOOKUP($D70,素材!$1:$1016,COLUMN($G$1),FALSE),"")</f>
        <v>0</v>
      </c>
      <c r="N70">
        <f>IFERROR(VLOOKUP($C70,武器!$1:$998,COLUMN(I$1),FALSE),"")</f>
        <v>2.5700000000000003</v>
      </c>
      <c r="O70" s="23">
        <f>IFERROR((VLOOKUP($C70,武器!$1:$998,COLUMN(K$1),FALSE)+VLOOKUP($D70,素材!$1:$1016,COLUMN(H$1),FALSE))*100+IFERROR(VLOOKUP($CJ70,装強!$1:$999,COLUMN(O$1),FALSE),0),"")</f>
        <v>10</v>
      </c>
      <c r="P70" s="23">
        <f>IFERROR((VLOOKUP($C70,武器!$1:$998,COLUMN(L$1),FALSE)+VLOOKUP($D70,素材!$1:$1016,COLUMN(I$1),FALSE))*100+IFERROR(VLOOKUP($CJ70,装強!$1:$999,COLUMN(P$1),FALSE),0),"")</f>
        <v>140</v>
      </c>
      <c r="Q70">
        <f>IFERROR(ROUNDUP(VLOOKUP($C70,武器!$1:$998,COLUMN(M$1),FALSE)*(VLOOKUP($D70,素材!$1:$1002,COLUMN(D$1),FALSE)/100),1),"")</f>
        <v>0</v>
      </c>
      <c r="R70">
        <f>IFERROR(ROUNDUP(VLOOKUP($C70,武器!$1:$998,COLUMN(N$1),FALSE)*(VLOOKUP($D70,素材!$1:$1002,COLUMN(D$1),FALSE)/100),1),"")</f>
        <v>-11.299999999999999</v>
      </c>
      <c r="S70">
        <f>IFERROR(VLOOKUP($C70,武器!$1:$998,COLUMN(P$1),FALSE),"")</f>
        <v>0</v>
      </c>
      <c r="T70">
        <f>IFERROR(VLOOKUP($C70,武器!$1:$998,COLUMN(Q$1),FALSE),"")</f>
        <v>2</v>
      </c>
      <c r="U70">
        <f>IFERROR(VLOOKUP($C70,武器!$1:$998,COLUMN(R$1),FALSE),"")</f>
        <v>6</v>
      </c>
      <c r="V70">
        <f>IFERROR(VLOOKUP($C70,武器!$1:$998,COLUMN(Q$1),FALSE),"")</f>
        <v>2</v>
      </c>
      <c r="W70">
        <f>IFERROR(VLOOKUP($C70,武器!$1:$998,COLUMN(T$1),FALSE),"")</f>
        <v>0</v>
      </c>
      <c r="Y70">
        <f>IFERROR(VLOOKUP($C70,武器!$1:$998,COLUMN(U$1),FALSE),"")</f>
        <v>0</v>
      </c>
      <c r="Z70">
        <f>IFERROR(ROUNDUP(VLOOKUP($C70,武器!$1:$998,COLUMN(O$1),FALSE)*VLOOKUP($D70,素材!$1:$1016,COLUMN(E$1),FALSE),1),"")</f>
        <v>0</v>
      </c>
      <c r="AA70">
        <f>IF(ISNUMBER(SEARCH(SUBSTITUTE(AA$1,RIGHT(AA$1,2),""),VLOOKUP($D70,素材!$1:$1016,COLUMN($F$1),FALSE))),VLOOKUP($C70,武器!$1:$998,COLUMN($O$1),FALSE)*VLOOKUP($D70,素材!$1:$1016,COLUMN($E$1),FALSE)/(LEN(VLOOKUP($D70,素材!$1:$1016,COLUMN($F$1),FALSE))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B70">
        <f>IF(ISNUMBER(SEARCH(SUBSTITUTE(AB$1,RIGHT(AB$1,2),""),VLOOKUP($D70,素材!$1:$1016,COLUMN($F$1),FALSE))),VLOOKUP($C70,武器!$1:$998,COLUMN($O$1),FALSE)*VLOOKUP($D70,素材!$1:$1016,COLUMN($E$1),FALSE)/(LEN(VLOOKUP($D70,素材!$1:$1016,COLUMN($F$1),FALSE))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C70">
        <f>IF(ISNUMBER(SEARCH(SUBSTITUTE(AC$1,RIGHT(AC$1,2),""),VLOOKUP($D70,素材!$1:$1016,COLUMN($F$1),FALSE))),VLOOKUP($C70,武器!$1:$998,COLUMN($O$1),FALSE)*VLOOKUP($D70,素材!$1:$1016,COLUMN($E$1),FALSE)/(LEN(VLOOKUP($D70,素材!$1:$1016,COLUMN($F$1),FALSE))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D70">
        <f>IF(ISNUMBER(SEARCH(SUBSTITUTE(AD$1,RIGHT(AD$1,2),""),VLOOKUP($D70,素材!$1:$1016,COLUMN($F$1),FALSE))),VLOOKUP($C70,武器!$1:$998,COLUMN($O$1),FALSE)*VLOOKUP($D70,素材!$1:$1016,COLUMN($E$1),FALSE)/(LEN(VLOOKUP($D70,素材!$1:$1016,COLUMN($F$1),FALSE))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E70">
        <f>IF(ISNUMBER(SEARCH(SUBSTITUTE(AE$1,RIGHT(AE$1,2),""),VLOOKUP($D70,素材!$1:$1016,COLUMN($F$1),FALSE))),VLOOKUP($C70,武器!$1:$998,COLUMN($O$1),FALSE)*VLOOKUP($D70,素材!$1:$1016,COLUMN($E$1),FALSE)/(LEN(VLOOKUP($D70,素材!$1:$1016,COLUMN($F$1),FALSE))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F70">
        <f>IF(ISNUMBER(SEARCH(SUBSTITUTE(AF$1,RIGHT(AF$1,2),""),VLOOKUP($D70,素材!$1:$1016,COLUMN($F$1),FALSE))),VLOOKUP($C70,武器!$1:$998,COLUMN($O$1),FALSE)*VLOOKUP($D70,素材!$1:$1016,COLUMN($E$1),FALSE)/(LEN(VLOOKUP($D70,素材!$1:$1016,COLUMN($F$1),FALSE))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G70">
        <f>IF(ISNUMBER(SEARCH(SUBSTITUTE(AG$1,RIGHT(AG$1,2),""),VLOOKUP($D70,素材!$1:$1016,COLUMN($F$1),FALSE))),VLOOKUP($C70,武器!$1:$998,COLUMN($O$1),FALSE)*VLOOKUP($D70,素材!$1:$1016,COLUMN($E$1),FALSE)/(LEN(VLOOKUP($D70,素材!$1:$1016,COLUMN($F$1),FALSE))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H70">
        <f>IF(ISNUMBER(SEARCH(SUBSTITUTE(AH$1,RIGHT(AH$1,2),""),VLOOKUP($D70,素材!$1:$1016,COLUMN($F$1),FALSE))),VLOOKUP($C70,武器!$1:$998,COLUMN($O$1),FALSE)*VLOOKUP($D70,素材!$1:$1016,COLUMN($E$1),FALSE)/(LEN(VLOOKUP($D70,素材!$1:$1016,COLUMN($F$1),FALSE))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I70">
        <f>IF(ISNUMBER(SEARCH(SUBSTITUTE(AI$1,RIGHT(AI$1,2),""),VLOOKUP($D70,素材!$1:$1016,COLUMN($F$1),FALSE))),VLOOKUP($C70,武器!$1:$998,COLUMN($O$1),FALSE)*VLOOKUP($D70,素材!$1:$1016,COLUMN($E$1),FALSE)/(LEN(VLOOKUP($D70,素材!$1:$1016,COLUMN($F$1),FALSE))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J70">
        <f>IF(ISNUMBER(SEARCH(SUBSTITUTE(AJ$1,RIGHT(AJ$1,2),""),VLOOKUP($D70,素材!$1:$1016,COLUMN($F$1),FALSE))),VLOOKUP($C70,武器!$1:$998,COLUMN($O$1),FALSE)*VLOOKUP($D70,素材!$1:$1016,COLUMN($E$1),FALSE)/(LEN(VLOOKUP($D70,素材!$1:$1016,COLUMN($F$1),FALSE))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K70">
        <f>IF(ISNUMBER(SEARCH(SUBSTITUTE(AK$1,RIGHT(AK$1,2),""),VLOOKUP($D70,素材!$1:$1016,COLUMN($F$1),FALSE))),VLOOKUP($C70,武器!$1:$998,COLUMN($O$1),FALSE)*VLOOKUP($D70,素材!$1:$1016,COLUMN($E$1),FALSE)/(LEN(VLOOKUP($D70,素材!$1:$1016,COLUMN($F$1),FALSE))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L70">
        <f>IF(ISNUMBER(SEARCH(SUBSTITUTE(AL$1,RIGHT(AL$1,2),""),VLOOKUP($D70,素材!$1:$1016,COLUMN($F$1),FALSE))),VLOOKUP($C70,武器!$1:$998,COLUMN($O$1),FALSE)*VLOOKUP($D70,素材!$1:$1016,COLUMN($E$1),FALSE)/(LEN(VLOOKUP($D70,素材!$1:$1016,COLUMN($F$1),FALSE))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M70">
        <f>IF(ISNUMBER(SEARCH(SUBSTITUTE(AM$1,RIGHT(AM$1,2),""),VLOOKUP($D70,素材!$1:$1016,COLUMN($F$1),FALSE))),VLOOKUP($C70,武器!$1:$998,COLUMN($O$1),FALSE)*VLOOKUP($D70,素材!$1:$1016,COLUMN($E$1),FALSE)/(LEN(VLOOKUP($D70,素材!$1:$1016,COLUMN($F$1),FALSE))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N70">
        <f>IF(ISNUMBER(SEARCH(SUBSTITUTE(AN$1,RIGHT(AN$1,2),""),VLOOKUP($D70,素材!$1:$1016,COLUMN($F$1),FALSE))),VLOOKUP($C70,武器!$1:$998,COLUMN($O$1),FALSE)*VLOOKUP($D70,素材!$1:$1016,COLUMN($E$1),FALSE)/(LEN(VLOOKUP($D70,素材!$1:$1016,COLUMN($F$1),FALSE))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O70">
        <f>IF(ISNUMBER(SEARCH(SUBSTITUTE(AO$1,RIGHT(AO$1,2),""),VLOOKUP($D70,素材!$1:$1016,COLUMN($F$1),FALSE))),VLOOKUP($C70,武器!$1:$998,COLUMN($O$1),FALSE)*VLOOKUP($D70,素材!$1:$1016,COLUMN($E$1),FALSE)/(LEN(VLOOKUP($D70,素材!$1:$1016,COLUMN($F$1),FALSE))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P70">
        <f>IF(ISNUMBER(SEARCH(SUBSTITUTE(AP$1,RIGHT(AP$1,2),""),VLOOKUP($D70,素材!$1:$1016,COLUMN($F$1),FALSE))),VLOOKUP($C70,武器!$1:$998,COLUMN($O$1),FALSE)*VLOOKUP($D70,素材!$1:$1016,COLUMN($E$1),FALSE)/(LEN(VLOOKUP($D70,素材!$1:$1016,COLUMN($F$1),FALSE))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Q70">
        <f>IF(ISNUMBER(SEARCH(SUBSTITUTE(AQ$1,RIGHT(AQ$1,2),""),VLOOKUP($D70,素材!$1:$1016,COLUMN($F$1),FALSE))),VLOOKUP($C70,武器!$1:$998,COLUMN($O$1),FALSE)*VLOOKUP($D70,素材!$1:$1016,COLUMN($E$1),FALSE)/(LEN(VLOOKUP($D70,素材!$1:$1016,COLUMN($F$1),FALSE))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R70">
        <f>IF(ISNUMBER(SEARCH(SUBSTITUTE(AR$1,RIGHT(AR$1,2),""),VLOOKUP($D70,素材!$1:$1016,COLUMN($F$1),FALSE))),VLOOKUP($C70,武器!$1:$998,COLUMN($O$1),FALSE)*VLOOKUP($D70,素材!$1:$1016,COLUMN($E$1),FALSE)/(LEN(VLOOKUP($D70,素材!$1:$1016,COLUMN($F$1),FALSE))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S70">
        <f>IF(ISNUMBER(SEARCH(SUBSTITUTE(AS$1,RIGHT(AS$1,2),""),VLOOKUP($D70,素材!$1:$1016,COLUMN($F$1),FALSE))),VLOOKUP($C70,武器!$1:$998,COLUMN($O$1),FALSE)*VLOOKUP($D70,素材!$1:$1016,COLUMN($E$1),FALSE)/(LEN(VLOOKUP($D70,素材!$1:$1016,COLUMN($F$1),FALSE))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T70">
        <f>IF(ISNUMBER(SEARCH(SUBSTITUTE(AT$1,RIGHT(AT$1,2),""),VLOOKUP($D70,素材!$1:$1016,COLUMN($F$1),FALSE))),VLOOKUP($C70,武器!$1:$998,COLUMN($O$1),FALSE)*VLOOKUP($D70,素材!$1:$1016,COLUMN($E$1),FALSE)/(LEN(VLOOKUP($D70,素材!$1:$1016,COLUMN($F$1),FALSE))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U70">
        <f>IF(ISNUMBER(SEARCH(SUBSTITUTE(AU$1,RIGHT(AU$1,2),""),VLOOKUP($D70,素材!$1:$1016,COLUMN($F$1),FALSE))),VLOOKUP($C70,武器!$1:$998,COLUMN($O$1),FALSE)*VLOOKUP($D70,素材!$1:$1016,COLUMN($E$1),FALSE)/(LEN(VLOOKUP($D70,素材!$1:$1016,COLUMN($F$1),FALSE))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V70">
        <f>IF(ISNUMBER(SEARCH(SUBSTITUTE(AV$1,RIGHT(AV$1,2),""),VLOOKUP($D70,素材!$1:$1016,COLUMN($F$1),FALSE))),VLOOKUP($C70,武器!$1:$998,COLUMN($O$1),FALSE)*VLOOKUP($D70,素材!$1:$1016,COLUMN($E$1),FALSE)/(LEN(VLOOKUP($D70,素材!$1:$1016,COLUMN($F$1),FALSE))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W70">
        <f>IF(ISNUMBER(SEARCH(SUBSTITUTE(AW$1,RIGHT(AW$1,2),""),VLOOKUP($D70,素材!$1:$1016,COLUMN($F$1),FALSE))),VLOOKUP($C70,武器!$1:$998,COLUMN($O$1),FALSE)*VLOOKUP($D70,素材!$1:$1016,COLUMN($E$1),FALSE)/(LEN(VLOOKUP($D70,素材!$1:$1016,COLUMN($F$1),FALSE))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X70">
        <f>IF(ISNUMBER(SEARCH(SUBSTITUTE(AX$1,RIGHT(AX$1,2),""),VLOOKUP($D70,素材!$1:$1016,COLUMN($F$1),FALSE))),VLOOKUP($C70,武器!$1:$998,COLUMN($O$1),FALSE)*VLOOKUP($D70,素材!$1:$1016,COLUMN($E$1),FALSE)/(LEN(VLOOKUP($D70,素材!$1:$1016,COLUMN($F$1),FALSE))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Y70">
        <f>IF(ISNUMBER(SEARCH(SUBSTITUTE(AY$1,RIGHT(AY$1,2),""),VLOOKUP($D70,素材!$1:$1016,COLUMN($F$1),FALSE))),VLOOKUP($C70,武器!$1:$998,COLUMN($O$1),FALSE)*VLOOKUP($D70,素材!$1:$1016,COLUMN($E$1),FALSE)/(LEN(VLOOKUP($D70,素材!$1:$1016,COLUMN($F$1),FALSE))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AZ70">
        <f>IF(ISNUMBER(SEARCH(SUBSTITUTE(AZ$1,RIGHT(AZ$1,2),""),VLOOKUP($D70,素材!$1:$1016,COLUMN($F$1),FALSE))),VLOOKUP($C70,武器!$1:$998,COLUMN($O$1),FALSE)*VLOOKUP($D70,素材!$1:$1016,COLUMN($E$1),FALSE)/(LEN(VLOOKUP($D70,素材!$1:$1016,COLUMN($F$1),FALSE))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BA70">
        <f>IF(ISNUMBER(SEARCH(SUBSTITUTE(BA$1,RIGHT(BA$1,2),""),VLOOKUP($D70,素材!$1:$1016,COLUMN($F$1),FALSE))),VLOOKUP($C70,武器!$1:$998,COLUMN($O$1),FALSE)*VLOOKUP($D70,素材!$1:$1016,COLUMN($E$1),FALSE)/(LEN(VLOOKUP($D70,素材!$1:$1016,COLUMN($F$1),FALSE))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BB70">
        <f>IF(ISNUMBER(SEARCH(SUBSTITUTE(BB$1,RIGHT(BB$1,2),""),VLOOKUP($D70,素材!$1:$1016,COLUMN($F$1),FALSE))),VLOOKUP($C70,武器!$1:$998,COLUMN($O$1),FALSE)*VLOOKUP($D70,素材!$1:$1016,COLUMN($E$1),FALSE)/(LEN(VLOOKUP($D70,素材!$1:$1016,COLUMN($F$1),FALSE))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BC70">
        <f>IF(ISNUMBER(SEARCH(SUBSTITUTE(BC$1,RIGHT(BC$1,2),""),VLOOKUP($D70,素材!$1:$1016,COLUMN($F$1),FALSE))),VLOOKUP($C70,武器!$1:$998,COLUMN($O$1),FALSE)*VLOOKUP($D70,素材!$1:$1016,COLUMN($E$1),FALSE)/(LEN(VLOOKUP($D70,素材!$1:$1016,COLUMN($F$1),FALSE))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BD70">
        <f>IF(ISNUMBER(SEARCH(SUBSTITUTE(BD$1,RIGHT(BD$1,2),""),VLOOKUP($D70,素材!$1:$1016,COLUMN($F$1),FALSE))),VLOOKUP($C70,武器!$1:$998,COLUMN($O$1),FALSE)*VLOOKUP($D70,素材!$1:$1016,COLUMN($E$1),FALSE)/(LEN(VLOOKUP($D70,素材!$1:$1016,COLUMN($F$1),FALSE))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BE70">
        <f>IF(ISNUMBER(SEARCH(SUBSTITUTE(BE$1,RIGHT(BE$1,2),""),VLOOKUP($D70,素材!$1:$1016,COLUMN($F$1),FALSE))),VLOOKUP($C70,武器!$1:$998,COLUMN($O$1),FALSE)*VLOOKUP($D70,素材!$1:$1016,COLUMN($E$1),FALSE)/(LEN(VLOOKUP($D70,素材!$1:$1016,COLUMN($F$1),FALSE))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BF70">
        <f>IF(ISNUMBER(SEARCH(SUBSTITUTE(BF$1,RIGHT(BF$1,2),""),VLOOKUP($D70,素材!$1:$1016,COLUMN($F$1),FALSE))),VLOOKUP($C70,武器!$1:$998,COLUMN($O$1),FALSE)*VLOOKUP($D70,素材!$1:$1016,COLUMN($E$1),FALSE)/(LEN(VLOOKUP($D70,素材!$1:$1016,COLUMN($F$1),FALSE)) - LEN(SUBSTITUTE(VLOOKUP($D70,素材!$1:$1016,COLUMN($F$1),FALSE), "・", 0)) + 1), 0)</f>
        <v>0</v>
      </c>
      <c r="CM70">
        <f t="shared" si="8"/>
        <v>0</v>
      </c>
      <c r="CN70" s="22" t="str">
        <f>IF(E70="武器",IF(J70-1&gt;SUM(G70:I70),"盾",IF(MAX(G70:I70)=G70,"切断",IF(MAX(G70:I70)=H70,"貫通",IF(MAX(G70:I70)=I70,"打撃","射撃")))),E70)&amp;".webp"</f>
        <v>銃.webp</v>
      </c>
      <c r="CO70">
        <f>IFERROR(VLOOKUP($C70,武器!$1:$998,COLUMN(V$1),FALSE)*VLOOKUP($D70,素材!$1:$1016,COLUMN(N$1),FALSE)+IF(CJ70="",0,VLOOKUP($CJ70,装強!$1:$1008,COLUMN($CL$1),FALSE)),"")</f>
        <v>200</v>
      </c>
      <c r="CP70" t="str">
        <f>VLOOKUP(D70,素材!$A:$O,COLUMN(素材!O$1),FALSE)</f>
        <v>一般的な木材。金属より軽いが少し脆い</v>
      </c>
      <c r="CQ70" t="str">
        <f>VLOOKUP(C70,武器!$A:$W,COLUMN(武器!W$1),FALSE)</f>
        <v/>
      </c>
      <c r="CS70" t="str">
        <f t="shared" si="7"/>
        <v>e_70</v>
      </c>
      <c r="CT70">
        <f t="shared" si="9"/>
        <v>20000</v>
      </c>
    </row>
    <row r="71" spans="1:98" outlineLevel="1" x14ac:dyDescent="0.4">
      <c r="A71" t="str">
        <f t="shared" si="6"/>
        <v>木の拳銃</v>
      </c>
      <c r="B71" t="str">
        <f>IFERROR(VLOOKUP($D71,素材!$1:$1016,COLUMN($B$1),FALSE)&amp;"・"&amp;VLOOKUP($C71,武器!$1:$998,COLUMN(B$1),FALSE),"")</f>
        <v>ウッド・ハンドガン</v>
      </c>
      <c r="C71" t="s">
        <v>211</v>
      </c>
      <c r="D71" s="24" t="s">
        <v>255</v>
      </c>
      <c r="E71" t="str">
        <f>IFERROR(VLOOKUP(C71,武器!$1:$998,COLUMN(C$1),FALSE),"")</f>
        <v>銃</v>
      </c>
      <c r="F71">
        <f>IFERROR(ROUNDDOWN((VLOOKUP($C71,武器!$1:$998,COLUMN(D$1),FALSE)+IFERROR(VLOOKUP($CJ71,装強!$1:$999,COLUMN(F$1),FALSE),0))*VLOOKUP($D71,素材!$1:$1016,COLUMN(D$1),FALSE),0),"")</f>
        <v>0</v>
      </c>
      <c r="G71">
        <f>IFERROR(ROUNDDOWN((VLOOKUP($C71,武器!$1:$998,COLUMN(E$1),FALSE)+IFERROR(VLOOKUP($CJ71,装強!$1:$999,COLUMN(G$1),FALSE),0))*VLOOKUP($D71,素材!$1:$1016,COLUMN($E$1),FALSE),0),"")</f>
        <v>0</v>
      </c>
      <c r="H71">
        <f>IFERROR(ROUNDDOWN((VLOOKUP($C71,武器!$1:$998,COLUMN(F$1),FALSE)+IFERROR(VLOOKUP($CJ71,装強!$1:$999,COLUMN(H$1),FALSE),0))*VLOOKUP($D71,素材!$1:$1016,COLUMN($E$1),FALSE),0),"")</f>
        <v>0</v>
      </c>
      <c r="I71">
        <f>IFERROR(ROUNDDOWN((VLOOKUP($C71,武器!$1:$998,COLUMN(G$1),FALSE)+IFERROR(VLOOKUP($CJ71,装強!$1:$999,COLUMN(I$1),FALSE),0))*VLOOKUP($D71,素材!$1:$1016,COLUMN($E$1),FALSE),0),"")</f>
        <v>0</v>
      </c>
      <c r="J71">
        <f>IFERROR(ROUNDDOWN((VLOOKUP($C71,武器!$1:$998,COLUMN(H$1),FALSE)+IFERROR(VLOOKUP($CJ71,装強!$1:$999,COLUMN(J$1),FALSE),0))*VLOOKUP($D71,素材!$1:$1016,COLUMN($E$1),FALSE),0),"")</f>
        <v>0</v>
      </c>
      <c r="K71">
        <f>IFERROR(ROUNDDOWN((VLOOKUP($C71,武器!$1:$998,COLUMN(I$1),FALSE)+IFERROR(VLOOKUP($CJ71,装強!$1:$999,COLUMN(K$1),FALSE),0))*VLOOKUP($D71,素材!$1:$1016,COLUMN($E$1),FALSE),0),"")</f>
        <v>27</v>
      </c>
      <c r="L71">
        <f>IFERROR(VLOOKUP($D71,素材!$1:$1016,COLUMN($F$1),FALSE),"")</f>
        <v>0</v>
      </c>
      <c r="M71">
        <f>IFERROR(VLOOKUP($C71,武器!$1:$998,COLUMN(AA$1),FALSE)*VLOOKUP($D71,素材!$1:$1016,COLUMN($G$1),FALSE),"")</f>
        <v>0</v>
      </c>
      <c r="N71">
        <f>IFERROR(VLOOKUP($C71,武器!$1:$998,COLUMN(I$1),FALSE),"")</f>
        <v>1.8</v>
      </c>
      <c r="O71" s="23">
        <f>IFERROR((VLOOKUP($C71,武器!$1:$998,COLUMN(K$1),FALSE)+VLOOKUP($D71,素材!$1:$1016,COLUMN(H$1),FALSE))*100+IFERROR(VLOOKUP($CJ71,装強!$1:$999,COLUMN(O$1),FALSE),0),"")</f>
        <v>15</v>
      </c>
      <c r="P71" s="23">
        <f>IFERROR((VLOOKUP($C71,武器!$1:$998,COLUMN(L$1),FALSE)+VLOOKUP($D71,素材!$1:$1016,COLUMN(I$1),FALSE))*100+IFERROR(VLOOKUP($CJ71,装強!$1:$999,COLUMN(P$1),FALSE),0),"")</f>
        <v>175</v>
      </c>
      <c r="Q71">
        <f>IFERROR(ROUNDUP(VLOOKUP($C71,武器!$1:$998,COLUMN(M$1),FALSE)*(VLOOKUP($D71,素材!$1:$1002,COLUMN(D$1),FALSE)/100),1),"")</f>
        <v>0</v>
      </c>
      <c r="R71">
        <f>IFERROR(ROUNDUP(VLOOKUP($C71,武器!$1:$998,COLUMN(N$1),FALSE)*(VLOOKUP($D71,素材!$1:$1002,COLUMN(D$1),FALSE)/100),1),"")</f>
        <v>0</v>
      </c>
      <c r="S71">
        <f>IFERROR(VLOOKUP($C71,武器!$1:$998,COLUMN(P$1),FALSE),"")</f>
        <v>0</v>
      </c>
      <c r="T71">
        <f>IFERROR(VLOOKUP($C71,武器!$1:$998,COLUMN(Q$1),FALSE),"")</f>
        <v>3</v>
      </c>
      <c r="U71">
        <f>IFERROR(VLOOKUP($C71,武器!$1:$998,COLUMN(R$1),FALSE),"")</f>
        <v>1</v>
      </c>
      <c r="V71">
        <f>IFERROR(VLOOKUP($C71,武器!$1:$998,COLUMN(Q$1),FALSE),"")</f>
        <v>3</v>
      </c>
      <c r="W71">
        <f>IFERROR(VLOOKUP($C71,武器!$1:$998,COLUMN(T$1),FALSE),"")</f>
        <v>0</v>
      </c>
      <c r="Y71">
        <f>IFERROR(VLOOKUP($C71,武器!$1:$998,COLUMN(U$1),FALSE),"")</f>
        <v>0</v>
      </c>
      <c r="Z71">
        <f>IFERROR(ROUNDUP(VLOOKUP($C71,武器!$1:$998,COLUMN(O$1),FALSE)*VLOOKUP($D71,素材!$1:$1016,COLUMN(E$1),FALSE),1),"")</f>
        <v>0</v>
      </c>
      <c r="AA71">
        <f>IF(ISNUMBER(SEARCH(SUBSTITUTE(AA$1,RIGHT(AA$1,2),""),VLOOKUP($D71,素材!$1:$1016,COLUMN($F$1),FALSE))),VLOOKUP($C71,武器!$1:$998,COLUMN($O$1),FALSE)*VLOOKUP($D71,素材!$1:$1016,COLUMN($E$1),FALSE)/(LEN(VLOOKUP($D71,素材!$1:$1016,COLUMN($F$1),FALSE))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B71">
        <f>IF(ISNUMBER(SEARCH(SUBSTITUTE(AB$1,RIGHT(AB$1,2),""),VLOOKUP($D71,素材!$1:$1016,COLUMN($F$1),FALSE))),VLOOKUP($C71,武器!$1:$998,COLUMN($O$1),FALSE)*VLOOKUP($D71,素材!$1:$1016,COLUMN($E$1),FALSE)/(LEN(VLOOKUP($D71,素材!$1:$1016,COLUMN($F$1),FALSE))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C71">
        <f>IF(ISNUMBER(SEARCH(SUBSTITUTE(AC$1,RIGHT(AC$1,2),""),VLOOKUP($D71,素材!$1:$1016,COLUMN($F$1),FALSE))),VLOOKUP($C71,武器!$1:$998,COLUMN($O$1),FALSE)*VLOOKUP($D71,素材!$1:$1016,COLUMN($E$1),FALSE)/(LEN(VLOOKUP($D71,素材!$1:$1016,COLUMN($F$1),FALSE))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D71">
        <f>IF(ISNUMBER(SEARCH(SUBSTITUTE(AD$1,RIGHT(AD$1,2),""),VLOOKUP($D71,素材!$1:$1016,COLUMN($F$1),FALSE))),VLOOKUP($C71,武器!$1:$998,COLUMN($O$1),FALSE)*VLOOKUP($D71,素材!$1:$1016,COLUMN($E$1),FALSE)/(LEN(VLOOKUP($D71,素材!$1:$1016,COLUMN($F$1),FALSE))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E71">
        <f>IF(ISNUMBER(SEARCH(SUBSTITUTE(AE$1,RIGHT(AE$1,2),""),VLOOKUP($D71,素材!$1:$1016,COLUMN($F$1),FALSE))),VLOOKUP($C71,武器!$1:$998,COLUMN($O$1),FALSE)*VLOOKUP($D71,素材!$1:$1016,COLUMN($E$1),FALSE)/(LEN(VLOOKUP($D71,素材!$1:$1016,COLUMN($F$1),FALSE))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F71">
        <f>IF(ISNUMBER(SEARCH(SUBSTITUTE(AF$1,RIGHT(AF$1,2),""),VLOOKUP($D71,素材!$1:$1016,COLUMN($F$1),FALSE))),VLOOKUP($C71,武器!$1:$998,COLUMN($O$1),FALSE)*VLOOKUP($D71,素材!$1:$1016,COLUMN($E$1),FALSE)/(LEN(VLOOKUP($D71,素材!$1:$1016,COLUMN($F$1),FALSE))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G71">
        <f>IF(ISNUMBER(SEARCH(SUBSTITUTE(AG$1,RIGHT(AG$1,2),""),VLOOKUP($D71,素材!$1:$1016,COLUMN($F$1),FALSE))),VLOOKUP($C71,武器!$1:$998,COLUMN($O$1),FALSE)*VLOOKUP($D71,素材!$1:$1016,COLUMN($E$1),FALSE)/(LEN(VLOOKUP($D71,素材!$1:$1016,COLUMN($F$1),FALSE))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H71">
        <f>IF(ISNUMBER(SEARCH(SUBSTITUTE(AH$1,RIGHT(AH$1,2),""),VLOOKUP($D71,素材!$1:$1016,COLUMN($F$1),FALSE))),VLOOKUP($C71,武器!$1:$998,COLUMN($O$1),FALSE)*VLOOKUP($D71,素材!$1:$1016,COLUMN($E$1),FALSE)/(LEN(VLOOKUP($D71,素材!$1:$1016,COLUMN($F$1),FALSE))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I71">
        <f>IF(ISNUMBER(SEARCH(SUBSTITUTE(AI$1,RIGHT(AI$1,2),""),VLOOKUP($D71,素材!$1:$1016,COLUMN($F$1),FALSE))),VLOOKUP($C71,武器!$1:$998,COLUMN($O$1),FALSE)*VLOOKUP($D71,素材!$1:$1016,COLUMN($E$1),FALSE)/(LEN(VLOOKUP($D71,素材!$1:$1016,COLUMN($F$1),FALSE))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J71">
        <f>IF(ISNUMBER(SEARCH(SUBSTITUTE(AJ$1,RIGHT(AJ$1,2),""),VLOOKUP($D71,素材!$1:$1016,COLUMN($F$1),FALSE))),VLOOKUP($C71,武器!$1:$998,COLUMN($O$1),FALSE)*VLOOKUP($D71,素材!$1:$1016,COLUMN($E$1),FALSE)/(LEN(VLOOKUP($D71,素材!$1:$1016,COLUMN($F$1),FALSE))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K71">
        <f>IF(ISNUMBER(SEARCH(SUBSTITUTE(AK$1,RIGHT(AK$1,2),""),VLOOKUP($D71,素材!$1:$1016,COLUMN($F$1),FALSE))),VLOOKUP($C71,武器!$1:$998,COLUMN($O$1),FALSE)*VLOOKUP($D71,素材!$1:$1016,COLUMN($E$1),FALSE)/(LEN(VLOOKUP($D71,素材!$1:$1016,COLUMN($F$1),FALSE))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L71">
        <f>IF(ISNUMBER(SEARCH(SUBSTITUTE(AL$1,RIGHT(AL$1,2),""),VLOOKUP($D71,素材!$1:$1016,COLUMN($F$1),FALSE))),VLOOKUP($C71,武器!$1:$998,COLUMN($O$1),FALSE)*VLOOKUP($D71,素材!$1:$1016,COLUMN($E$1),FALSE)/(LEN(VLOOKUP($D71,素材!$1:$1016,COLUMN($F$1),FALSE))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M71">
        <f>IF(ISNUMBER(SEARCH(SUBSTITUTE(AM$1,RIGHT(AM$1,2),""),VLOOKUP($D71,素材!$1:$1016,COLUMN($F$1),FALSE))),VLOOKUP($C71,武器!$1:$998,COLUMN($O$1),FALSE)*VLOOKUP($D71,素材!$1:$1016,COLUMN($E$1),FALSE)/(LEN(VLOOKUP($D71,素材!$1:$1016,COLUMN($F$1),FALSE))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N71">
        <f>IF(ISNUMBER(SEARCH(SUBSTITUTE(AN$1,RIGHT(AN$1,2),""),VLOOKUP($D71,素材!$1:$1016,COLUMN($F$1),FALSE))),VLOOKUP($C71,武器!$1:$998,COLUMN($O$1),FALSE)*VLOOKUP($D71,素材!$1:$1016,COLUMN($E$1),FALSE)/(LEN(VLOOKUP($D71,素材!$1:$1016,COLUMN($F$1),FALSE))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O71">
        <f>IF(ISNUMBER(SEARCH(SUBSTITUTE(AO$1,RIGHT(AO$1,2),""),VLOOKUP($D71,素材!$1:$1016,COLUMN($F$1),FALSE))),VLOOKUP($C71,武器!$1:$998,COLUMN($O$1),FALSE)*VLOOKUP($D71,素材!$1:$1016,COLUMN($E$1),FALSE)/(LEN(VLOOKUP($D71,素材!$1:$1016,COLUMN($F$1),FALSE))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P71">
        <f>IF(ISNUMBER(SEARCH(SUBSTITUTE(AP$1,RIGHT(AP$1,2),""),VLOOKUP($D71,素材!$1:$1016,COLUMN($F$1),FALSE))),VLOOKUP($C71,武器!$1:$998,COLUMN($O$1),FALSE)*VLOOKUP($D71,素材!$1:$1016,COLUMN($E$1),FALSE)/(LEN(VLOOKUP($D71,素材!$1:$1016,COLUMN($F$1),FALSE))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Q71">
        <f>IF(ISNUMBER(SEARCH(SUBSTITUTE(AQ$1,RIGHT(AQ$1,2),""),VLOOKUP($D71,素材!$1:$1016,COLUMN($F$1),FALSE))),VLOOKUP($C71,武器!$1:$998,COLUMN($O$1),FALSE)*VLOOKUP($D71,素材!$1:$1016,COLUMN($E$1),FALSE)/(LEN(VLOOKUP($D71,素材!$1:$1016,COLUMN($F$1),FALSE))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R71">
        <f>IF(ISNUMBER(SEARCH(SUBSTITUTE(AR$1,RIGHT(AR$1,2),""),VLOOKUP($D71,素材!$1:$1016,COLUMN($F$1),FALSE))),VLOOKUP($C71,武器!$1:$998,COLUMN($O$1),FALSE)*VLOOKUP($D71,素材!$1:$1016,COLUMN($E$1),FALSE)/(LEN(VLOOKUP($D71,素材!$1:$1016,COLUMN($F$1),FALSE))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S71">
        <f>IF(ISNUMBER(SEARCH(SUBSTITUTE(AS$1,RIGHT(AS$1,2),""),VLOOKUP($D71,素材!$1:$1016,COLUMN($F$1),FALSE))),VLOOKUP($C71,武器!$1:$998,COLUMN($O$1),FALSE)*VLOOKUP($D71,素材!$1:$1016,COLUMN($E$1),FALSE)/(LEN(VLOOKUP($D71,素材!$1:$1016,COLUMN($F$1),FALSE))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T71">
        <f>IF(ISNUMBER(SEARCH(SUBSTITUTE(AT$1,RIGHT(AT$1,2),""),VLOOKUP($D71,素材!$1:$1016,COLUMN($F$1),FALSE))),VLOOKUP($C71,武器!$1:$998,COLUMN($O$1),FALSE)*VLOOKUP($D71,素材!$1:$1016,COLUMN($E$1),FALSE)/(LEN(VLOOKUP($D71,素材!$1:$1016,COLUMN($F$1),FALSE))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U71">
        <f>IF(ISNUMBER(SEARCH(SUBSTITUTE(AU$1,RIGHT(AU$1,2),""),VLOOKUP($D71,素材!$1:$1016,COLUMN($F$1),FALSE))),VLOOKUP($C71,武器!$1:$998,COLUMN($O$1),FALSE)*VLOOKUP($D71,素材!$1:$1016,COLUMN($E$1),FALSE)/(LEN(VLOOKUP($D71,素材!$1:$1016,COLUMN($F$1),FALSE))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V71">
        <f>IF(ISNUMBER(SEARCH(SUBSTITUTE(AV$1,RIGHT(AV$1,2),""),VLOOKUP($D71,素材!$1:$1016,COLUMN($F$1),FALSE))),VLOOKUP($C71,武器!$1:$998,COLUMN($O$1),FALSE)*VLOOKUP($D71,素材!$1:$1016,COLUMN($E$1),FALSE)/(LEN(VLOOKUP($D71,素材!$1:$1016,COLUMN($F$1),FALSE))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W71">
        <f>IF(ISNUMBER(SEARCH(SUBSTITUTE(AW$1,RIGHT(AW$1,2),""),VLOOKUP($D71,素材!$1:$1016,COLUMN($F$1),FALSE))),VLOOKUP($C71,武器!$1:$998,COLUMN($O$1),FALSE)*VLOOKUP($D71,素材!$1:$1016,COLUMN($E$1),FALSE)/(LEN(VLOOKUP($D71,素材!$1:$1016,COLUMN($F$1),FALSE))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X71">
        <f>IF(ISNUMBER(SEARCH(SUBSTITUTE(AX$1,RIGHT(AX$1,2),""),VLOOKUP($D71,素材!$1:$1016,COLUMN($F$1),FALSE))),VLOOKUP($C71,武器!$1:$998,COLUMN($O$1),FALSE)*VLOOKUP($D71,素材!$1:$1016,COLUMN($E$1),FALSE)/(LEN(VLOOKUP($D71,素材!$1:$1016,COLUMN($F$1),FALSE))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Y71">
        <f>IF(ISNUMBER(SEARCH(SUBSTITUTE(AY$1,RIGHT(AY$1,2),""),VLOOKUP($D71,素材!$1:$1016,COLUMN($F$1),FALSE))),VLOOKUP($C71,武器!$1:$998,COLUMN($O$1),FALSE)*VLOOKUP($D71,素材!$1:$1016,COLUMN($E$1),FALSE)/(LEN(VLOOKUP($D71,素材!$1:$1016,COLUMN($F$1),FALSE))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AZ71">
        <f>IF(ISNUMBER(SEARCH(SUBSTITUTE(AZ$1,RIGHT(AZ$1,2),""),VLOOKUP($D71,素材!$1:$1016,COLUMN($F$1),FALSE))),VLOOKUP($C71,武器!$1:$998,COLUMN($O$1),FALSE)*VLOOKUP($D71,素材!$1:$1016,COLUMN($E$1),FALSE)/(LEN(VLOOKUP($D71,素材!$1:$1016,COLUMN($F$1),FALSE))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BA71">
        <f>IF(ISNUMBER(SEARCH(SUBSTITUTE(BA$1,RIGHT(BA$1,2),""),VLOOKUP($D71,素材!$1:$1016,COLUMN($F$1),FALSE))),VLOOKUP($C71,武器!$1:$998,COLUMN($O$1),FALSE)*VLOOKUP($D71,素材!$1:$1016,COLUMN($E$1),FALSE)/(LEN(VLOOKUP($D71,素材!$1:$1016,COLUMN($F$1),FALSE))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BB71">
        <f>IF(ISNUMBER(SEARCH(SUBSTITUTE(BB$1,RIGHT(BB$1,2),""),VLOOKUP($D71,素材!$1:$1016,COLUMN($F$1),FALSE))),VLOOKUP($C71,武器!$1:$998,COLUMN($O$1),FALSE)*VLOOKUP($D71,素材!$1:$1016,COLUMN($E$1),FALSE)/(LEN(VLOOKUP($D71,素材!$1:$1016,COLUMN($F$1),FALSE))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BC71">
        <f>IF(ISNUMBER(SEARCH(SUBSTITUTE(BC$1,RIGHT(BC$1,2),""),VLOOKUP($D71,素材!$1:$1016,COLUMN($F$1),FALSE))),VLOOKUP($C71,武器!$1:$998,COLUMN($O$1),FALSE)*VLOOKUP($D71,素材!$1:$1016,COLUMN($E$1),FALSE)/(LEN(VLOOKUP($D71,素材!$1:$1016,COLUMN($F$1),FALSE))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BD71">
        <f>IF(ISNUMBER(SEARCH(SUBSTITUTE(BD$1,RIGHT(BD$1,2),""),VLOOKUP($D71,素材!$1:$1016,COLUMN($F$1),FALSE))),VLOOKUP($C71,武器!$1:$998,COLUMN($O$1),FALSE)*VLOOKUP($D71,素材!$1:$1016,COLUMN($E$1),FALSE)/(LEN(VLOOKUP($D71,素材!$1:$1016,COLUMN($F$1),FALSE))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BE71">
        <f>IF(ISNUMBER(SEARCH(SUBSTITUTE(BE$1,RIGHT(BE$1,2),""),VLOOKUP($D71,素材!$1:$1016,COLUMN($F$1),FALSE))),VLOOKUP($C71,武器!$1:$998,COLUMN($O$1),FALSE)*VLOOKUP($D71,素材!$1:$1016,COLUMN($E$1),FALSE)/(LEN(VLOOKUP($D71,素材!$1:$1016,COLUMN($F$1),FALSE))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BF71">
        <f>IF(ISNUMBER(SEARCH(SUBSTITUTE(BF$1,RIGHT(BF$1,2),""),VLOOKUP($D71,素材!$1:$1016,COLUMN($F$1),FALSE))),VLOOKUP($C71,武器!$1:$998,COLUMN($O$1),FALSE)*VLOOKUP($D71,素材!$1:$1016,COLUMN($E$1),FALSE)/(LEN(VLOOKUP($D71,素材!$1:$1016,COLUMN($F$1),FALSE)) - LEN(SUBSTITUTE(VLOOKUP($D71,素材!$1:$1016,COLUMN($F$1),FALSE), "・", 0)) + 1), 0)</f>
        <v>0</v>
      </c>
      <c r="CM71">
        <f t="shared" si="8"/>
        <v>0</v>
      </c>
      <c r="CN71" s="22" t="str">
        <f>IF(E71="武器",IF(J71-1&gt;SUM(G71:I71),"盾",IF(MAX(G71:I71)=G71,"切断",IF(MAX(G71:I71)=H71,"貫通",IF(MAX(G71:I71)=I71,"打撃","射撃")))),E71)&amp;".webp"</f>
        <v>銃.webp</v>
      </c>
      <c r="CO71">
        <f>IFERROR(VLOOKUP($C71,武器!$1:$998,COLUMN(V$1),FALSE)*VLOOKUP($D71,素材!$1:$1016,COLUMN(N$1),FALSE)+IF(CJ71="",0,VLOOKUP($CJ71,装強!$1:$1008,COLUMN($CL$1),FALSE)),"")</f>
        <v>200</v>
      </c>
      <c r="CP71" t="str">
        <f>VLOOKUP(D71,素材!$A:$O,COLUMN(素材!O$1),FALSE)</f>
        <v>一般的な木材。金属より軽いが少し脆い</v>
      </c>
      <c r="CQ71" t="str">
        <f>VLOOKUP(C71,武器!$A:$W,COLUMN(武器!W$1),FALSE)</f>
        <v/>
      </c>
      <c r="CS71" t="str">
        <f t="shared" si="7"/>
        <v>e_71</v>
      </c>
      <c r="CT71">
        <f t="shared" si="9"/>
        <v>20000</v>
      </c>
    </row>
    <row r="72" spans="1:98" outlineLevel="1" x14ac:dyDescent="0.4">
      <c r="A72" t="str">
        <f t="shared" si="6"/>
        <v>木の面兜</v>
      </c>
      <c r="B72" t="str">
        <f>IFERROR(VLOOKUP($D72,素材!$1:$1016,COLUMN($B$1),FALSE)&amp;"・"&amp;VLOOKUP($C72,武器!$1:$998,COLUMN(B$1),FALSE),"")</f>
        <v>ウッド・バイザーヘルム</v>
      </c>
      <c r="C72" t="s">
        <v>210</v>
      </c>
      <c r="D72" s="24" t="s">
        <v>255</v>
      </c>
      <c r="E72" t="str">
        <f>IFERROR(VLOOKUP(C72,武器!$1:$998,COLUMN(C$1),FALSE),"")</f>
        <v>頭</v>
      </c>
      <c r="F72">
        <f>IFERROR(ROUNDDOWN((VLOOKUP($C72,武器!$1:$998,COLUMN(D$1),FALSE)+IFERROR(VLOOKUP($CJ72,装強!$1:$999,COLUMN(F$1),FALSE),0))*VLOOKUP($D72,素材!$1:$1016,COLUMN(D$1),FALSE),0),"")</f>
        <v>0</v>
      </c>
      <c r="G72">
        <f>IFERROR(ROUNDDOWN((VLOOKUP($C72,武器!$1:$998,COLUMN(E$1),FALSE)+IFERROR(VLOOKUP($CJ72,装強!$1:$999,COLUMN(G$1),FALSE),0))*VLOOKUP($D72,素材!$1:$1016,COLUMN($E$1),FALSE),0),"")</f>
        <v>0</v>
      </c>
      <c r="H72">
        <f>IFERROR(ROUNDDOWN((VLOOKUP($C72,武器!$1:$998,COLUMN(F$1),FALSE)+IFERROR(VLOOKUP($CJ72,装強!$1:$999,COLUMN(H$1),FALSE),0))*VLOOKUP($D72,素材!$1:$1016,COLUMN($E$1),FALSE),0),"")</f>
        <v>0</v>
      </c>
      <c r="I72">
        <f>IFERROR(ROUNDDOWN((VLOOKUP($C72,武器!$1:$998,COLUMN(G$1),FALSE)+IFERROR(VLOOKUP($CJ72,装強!$1:$999,COLUMN(I$1),FALSE),0))*VLOOKUP($D72,素材!$1:$1016,COLUMN($E$1),FALSE),0),"")</f>
        <v>12</v>
      </c>
      <c r="J72">
        <f>IFERROR(ROUNDDOWN((VLOOKUP($C72,武器!$1:$998,COLUMN(H$1),FALSE)+IFERROR(VLOOKUP($CJ72,装強!$1:$999,COLUMN(J$1),FALSE),0))*VLOOKUP($D72,素材!$1:$1016,COLUMN($E$1),FALSE),0),"")</f>
        <v>0</v>
      </c>
      <c r="K72">
        <f>IFERROR(ROUNDDOWN((VLOOKUP($C72,武器!$1:$998,COLUMN(I$1),FALSE)+IFERROR(VLOOKUP($CJ72,装強!$1:$999,COLUMN(K$1),FALSE),0))*VLOOKUP($D72,素材!$1:$1016,COLUMN($E$1),FALSE),0),"")</f>
        <v>0</v>
      </c>
      <c r="L72">
        <f>IFERROR(VLOOKUP($D72,素材!$1:$1016,COLUMN($F$1),FALSE),"")</f>
        <v>0</v>
      </c>
      <c r="M72">
        <f>IFERROR(VLOOKUP($C72,武器!$1:$998,COLUMN(AA$1),FALSE)*VLOOKUP($D72,素材!$1:$1016,COLUMN($G$1),FALSE),"")</f>
        <v>0</v>
      </c>
      <c r="N72">
        <f>IFERROR(VLOOKUP($C72,武器!$1:$998,COLUMN(I$1),FALSE),"")</f>
        <v>0</v>
      </c>
      <c r="O72" s="23">
        <f>IFERROR((VLOOKUP($C72,武器!$1:$998,COLUMN(K$1),FALSE)+VLOOKUP($D72,素材!$1:$1016,COLUMN(H$1),FALSE))*100+IFERROR(VLOOKUP($CJ72,装強!$1:$999,COLUMN(O$1),FALSE),0),"")</f>
        <v>5</v>
      </c>
      <c r="P72" s="23">
        <f>IFERROR((VLOOKUP($C72,武器!$1:$998,COLUMN(L$1),FALSE)+VLOOKUP($D72,素材!$1:$1016,COLUMN(I$1),FALSE))*100+IFERROR(VLOOKUP($CJ72,装強!$1:$999,COLUMN(P$1),FALSE),0),"")</f>
        <v>125</v>
      </c>
      <c r="Q72">
        <f>IFERROR(ROUNDUP(VLOOKUP($C72,武器!$1:$998,COLUMN(M$1),FALSE)*(VLOOKUP($D72,素材!$1:$1002,COLUMN(D$1),FALSE)/100),1),"")</f>
        <v>-5.6999999999999993</v>
      </c>
      <c r="R72">
        <f>IFERROR(ROUNDUP(VLOOKUP($C72,武器!$1:$998,COLUMN(N$1),FALSE)*(VLOOKUP($D72,素材!$1:$1002,COLUMN(D$1),FALSE)/100),1),"")</f>
        <v>0</v>
      </c>
      <c r="S72">
        <f>IFERROR(VLOOKUP($C72,武器!$1:$998,COLUMN(P$1),FALSE),"")</f>
        <v>0</v>
      </c>
      <c r="T72">
        <f>IFERROR(VLOOKUP($C72,武器!$1:$998,COLUMN(Q$1),FALSE),"")</f>
        <v>0</v>
      </c>
      <c r="U72">
        <f>IFERROR(VLOOKUP($C72,武器!$1:$998,COLUMN(R$1),FALSE),"")</f>
        <v>0</v>
      </c>
      <c r="V72">
        <f>IFERROR(VLOOKUP($C72,武器!$1:$998,COLUMN(Q$1),FALSE),"")</f>
        <v>0</v>
      </c>
      <c r="W72">
        <f>IFERROR(VLOOKUP($C72,武器!$1:$998,COLUMN(T$1),FALSE),"")</f>
        <v>0</v>
      </c>
      <c r="Y72">
        <f>IFERROR(VLOOKUP($C72,武器!$1:$998,COLUMN(U$1),FALSE),"")</f>
        <v>0</v>
      </c>
      <c r="Z72">
        <f>IFERROR(ROUNDUP(VLOOKUP($C72,武器!$1:$998,COLUMN(O$1),FALSE)*VLOOKUP($D72,素材!$1:$1016,COLUMN(E$1),FALSE),1),"")</f>
        <v>5.3</v>
      </c>
      <c r="AA72">
        <f>IF(ISNUMBER(SEARCH(SUBSTITUTE(AA$1,RIGHT(AA$1,2),""),VLOOKUP($D72,素材!$1:$1016,COLUMN($F$1),FALSE))),VLOOKUP($C72,武器!$1:$998,COLUMN($O$1),FALSE)*VLOOKUP($D72,素材!$1:$1016,COLUMN($E$1),FALSE)/(LEN(VLOOKUP($D72,素材!$1:$1016,COLUMN($F$1),FALSE))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B72">
        <f>IF(ISNUMBER(SEARCH(SUBSTITUTE(AB$1,RIGHT(AB$1,2),""),VLOOKUP($D72,素材!$1:$1016,COLUMN($F$1),FALSE))),VLOOKUP($C72,武器!$1:$998,COLUMN($O$1),FALSE)*VLOOKUP($D72,素材!$1:$1016,COLUMN($E$1),FALSE)/(LEN(VLOOKUP($D72,素材!$1:$1016,COLUMN($F$1),FALSE))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C72">
        <f>IF(ISNUMBER(SEARCH(SUBSTITUTE(AC$1,RIGHT(AC$1,2),""),VLOOKUP($D72,素材!$1:$1016,COLUMN($F$1),FALSE))),VLOOKUP($C72,武器!$1:$998,COLUMN($O$1),FALSE)*VLOOKUP($D72,素材!$1:$1016,COLUMN($E$1),FALSE)/(LEN(VLOOKUP($D72,素材!$1:$1016,COLUMN($F$1),FALSE))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D72">
        <f>IF(ISNUMBER(SEARCH(SUBSTITUTE(AD$1,RIGHT(AD$1,2),""),VLOOKUP($D72,素材!$1:$1016,COLUMN($F$1),FALSE))),VLOOKUP($C72,武器!$1:$998,COLUMN($O$1),FALSE)*VLOOKUP($D72,素材!$1:$1016,COLUMN($E$1),FALSE)/(LEN(VLOOKUP($D72,素材!$1:$1016,COLUMN($F$1),FALSE))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E72">
        <f>IF(ISNUMBER(SEARCH(SUBSTITUTE(AE$1,RIGHT(AE$1,2),""),VLOOKUP($D72,素材!$1:$1016,COLUMN($F$1),FALSE))),VLOOKUP($C72,武器!$1:$998,COLUMN($O$1),FALSE)*VLOOKUP($D72,素材!$1:$1016,COLUMN($E$1),FALSE)/(LEN(VLOOKUP($D72,素材!$1:$1016,COLUMN($F$1),FALSE))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F72">
        <f>IF(ISNUMBER(SEARCH(SUBSTITUTE(AF$1,RIGHT(AF$1,2),""),VLOOKUP($D72,素材!$1:$1016,COLUMN($F$1),FALSE))),VLOOKUP($C72,武器!$1:$998,COLUMN($O$1),FALSE)*VLOOKUP($D72,素材!$1:$1016,COLUMN($E$1),FALSE)/(LEN(VLOOKUP($D72,素材!$1:$1016,COLUMN($F$1),FALSE))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G72">
        <f>IF(ISNUMBER(SEARCH(SUBSTITUTE(AG$1,RIGHT(AG$1,2),""),VLOOKUP($D72,素材!$1:$1016,COLUMN($F$1),FALSE))),VLOOKUP($C72,武器!$1:$998,COLUMN($O$1),FALSE)*VLOOKUP($D72,素材!$1:$1016,COLUMN($E$1),FALSE)/(LEN(VLOOKUP($D72,素材!$1:$1016,COLUMN($F$1),FALSE))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H72">
        <f>IF(ISNUMBER(SEARCH(SUBSTITUTE(AH$1,RIGHT(AH$1,2),""),VLOOKUP($D72,素材!$1:$1016,COLUMN($F$1),FALSE))),VLOOKUP($C72,武器!$1:$998,COLUMN($O$1),FALSE)*VLOOKUP($D72,素材!$1:$1016,COLUMN($E$1),FALSE)/(LEN(VLOOKUP($D72,素材!$1:$1016,COLUMN($F$1),FALSE))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I72">
        <f>IF(ISNUMBER(SEARCH(SUBSTITUTE(AI$1,RIGHT(AI$1,2),""),VLOOKUP($D72,素材!$1:$1016,COLUMN($F$1),FALSE))),VLOOKUP($C72,武器!$1:$998,COLUMN($O$1),FALSE)*VLOOKUP($D72,素材!$1:$1016,COLUMN($E$1),FALSE)/(LEN(VLOOKUP($D72,素材!$1:$1016,COLUMN($F$1),FALSE))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J72">
        <f>IF(ISNUMBER(SEARCH(SUBSTITUTE(AJ$1,RIGHT(AJ$1,2),""),VLOOKUP($D72,素材!$1:$1016,COLUMN($F$1),FALSE))),VLOOKUP($C72,武器!$1:$998,COLUMN($O$1),FALSE)*VLOOKUP($D72,素材!$1:$1016,COLUMN($E$1),FALSE)/(LEN(VLOOKUP($D72,素材!$1:$1016,COLUMN($F$1),FALSE))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K72">
        <f>IF(ISNUMBER(SEARCH(SUBSTITUTE(AK$1,RIGHT(AK$1,2),""),VLOOKUP($D72,素材!$1:$1016,COLUMN($F$1),FALSE))),VLOOKUP($C72,武器!$1:$998,COLUMN($O$1),FALSE)*VLOOKUP($D72,素材!$1:$1016,COLUMN($E$1),FALSE)/(LEN(VLOOKUP($D72,素材!$1:$1016,COLUMN($F$1),FALSE))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L72">
        <f>IF(ISNUMBER(SEARCH(SUBSTITUTE(AL$1,RIGHT(AL$1,2),""),VLOOKUP($D72,素材!$1:$1016,COLUMN($F$1),FALSE))),VLOOKUP($C72,武器!$1:$998,COLUMN($O$1),FALSE)*VLOOKUP($D72,素材!$1:$1016,COLUMN($E$1),FALSE)/(LEN(VLOOKUP($D72,素材!$1:$1016,COLUMN($F$1),FALSE))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M72">
        <f>IF(ISNUMBER(SEARCH(SUBSTITUTE(AM$1,RIGHT(AM$1,2),""),VLOOKUP($D72,素材!$1:$1016,COLUMN($F$1),FALSE))),VLOOKUP($C72,武器!$1:$998,COLUMN($O$1),FALSE)*VLOOKUP($D72,素材!$1:$1016,COLUMN($E$1),FALSE)/(LEN(VLOOKUP($D72,素材!$1:$1016,COLUMN($F$1),FALSE))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N72">
        <f>IF(ISNUMBER(SEARCH(SUBSTITUTE(AN$1,RIGHT(AN$1,2),""),VLOOKUP($D72,素材!$1:$1016,COLUMN($F$1),FALSE))),VLOOKUP($C72,武器!$1:$998,COLUMN($O$1),FALSE)*VLOOKUP($D72,素材!$1:$1016,COLUMN($E$1),FALSE)/(LEN(VLOOKUP($D72,素材!$1:$1016,COLUMN($F$1),FALSE))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O72">
        <f>IF(ISNUMBER(SEARCH(SUBSTITUTE(AO$1,RIGHT(AO$1,2),""),VLOOKUP($D72,素材!$1:$1016,COLUMN($F$1),FALSE))),VLOOKUP($C72,武器!$1:$998,COLUMN($O$1),FALSE)*VLOOKUP($D72,素材!$1:$1016,COLUMN($E$1),FALSE)/(LEN(VLOOKUP($D72,素材!$1:$1016,COLUMN($F$1),FALSE))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P72">
        <f>IF(ISNUMBER(SEARCH(SUBSTITUTE(AP$1,RIGHT(AP$1,2),""),VLOOKUP($D72,素材!$1:$1016,COLUMN($F$1),FALSE))),VLOOKUP($C72,武器!$1:$998,COLUMN($O$1),FALSE)*VLOOKUP($D72,素材!$1:$1016,COLUMN($E$1),FALSE)/(LEN(VLOOKUP($D72,素材!$1:$1016,COLUMN($F$1),FALSE))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Q72">
        <f>IF(ISNUMBER(SEARCH(SUBSTITUTE(AQ$1,RIGHT(AQ$1,2),""),VLOOKUP($D72,素材!$1:$1016,COLUMN($F$1),FALSE))),VLOOKUP($C72,武器!$1:$998,COLUMN($O$1),FALSE)*VLOOKUP($D72,素材!$1:$1016,COLUMN($E$1),FALSE)/(LEN(VLOOKUP($D72,素材!$1:$1016,COLUMN($F$1),FALSE))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R72">
        <f>IF(ISNUMBER(SEARCH(SUBSTITUTE(AR$1,RIGHT(AR$1,2),""),VLOOKUP($D72,素材!$1:$1016,COLUMN($F$1),FALSE))),VLOOKUP($C72,武器!$1:$998,COLUMN($O$1),FALSE)*VLOOKUP($D72,素材!$1:$1016,COLUMN($E$1),FALSE)/(LEN(VLOOKUP($D72,素材!$1:$1016,COLUMN($F$1),FALSE))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S72">
        <f>IF(ISNUMBER(SEARCH(SUBSTITUTE(AS$1,RIGHT(AS$1,2),""),VLOOKUP($D72,素材!$1:$1016,COLUMN($F$1),FALSE))),VLOOKUP($C72,武器!$1:$998,COLUMN($O$1),FALSE)*VLOOKUP($D72,素材!$1:$1016,COLUMN($E$1),FALSE)/(LEN(VLOOKUP($D72,素材!$1:$1016,COLUMN($F$1),FALSE))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T72">
        <f>IF(ISNUMBER(SEARCH(SUBSTITUTE(AT$1,RIGHT(AT$1,2),""),VLOOKUP($D72,素材!$1:$1016,COLUMN($F$1),FALSE))),VLOOKUP($C72,武器!$1:$998,COLUMN($O$1),FALSE)*VLOOKUP($D72,素材!$1:$1016,COLUMN($E$1),FALSE)/(LEN(VLOOKUP($D72,素材!$1:$1016,COLUMN($F$1),FALSE))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U72">
        <f>IF(ISNUMBER(SEARCH(SUBSTITUTE(AU$1,RIGHT(AU$1,2),""),VLOOKUP($D72,素材!$1:$1016,COLUMN($F$1),FALSE))),VLOOKUP($C72,武器!$1:$998,COLUMN($O$1),FALSE)*VLOOKUP($D72,素材!$1:$1016,COLUMN($E$1),FALSE)/(LEN(VLOOKUP($D72,素材!$1:$1016,COLUMN($F$1),FALSE))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V72">
        <f>IF(ISNUMBER(SEARCH(SUBSTITUTE(AV$1,RIGHT(AV$1,2),""),VLOOKUP($D72,素材!$1:$1016,COLUMN($F$1),FALSE))),VLOOKUP($C72,武器!$1:$998,COLUMN($O$1),FALSE)*VLOOKUP($D72,素材!$1:$1016,COLUMN($E$1),FALSE)/(LEN(VLOOKUP($D72,素材!$1:$1016,COLUMN($F$1),FALSE))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W72">
        <f>IF(ISNUMBER(SEARCH(SUBSTITUTE(AW$1,RIGHT(AW$1,2),""),VLOOKUP($D72,素材!$1:$1016,COLUMN($F$1),FALSE))),VLOOKUP($C72,武器!$1:$998,COLUMN($O$1),FALSE)*VLOOKUP($D72,素材!$1:$1016,COLUMN($E$1),FALSE)/(LEN(VLOOKUP($D72,素材!$1:$1016,COLUMN($F$1),FALSE))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X72">
        <f>IF(ISNUMBER(SEARCH(SUBSTITUTE(AX$1,RIGHT(AX$1,2),""),VLOOKUP($D72,素材!$1:$1016,COLUMN($F$1),FALSE))),VLOOKUP($C72,武器!$1:$998,COLUMN($O$1),FALSE)*VLOOKUP($D72,素材!$1:$1016,COLUMN($E$1),FALSE)/(LEN(VLOOKUP($D72,素材!$1:$1016,COLUMN($F$1),FALSE))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Y72">
        <f>IF(ISNUMBER(SEARCH(SUBSTITUTE(AY$1,RIGHT(AY$1,2),""),VLOOKUP($D72,素材!$1:$1016,COLUMN($F$1),FALSE))),VLOOKUP($C72,武器!$1:$998,COLUMN($O$1),FALSE)*VLOOKUP($D72,素材!$1:$1016,COLUMN($E$1),FALSE)/(LEN(VLOOKUP($D72,素材!$1:$1016,COLUMN($F$1),FALSE))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AZ72">
        <f>IF(ISNUMBER(SEARCH(SUBSTITUTE(AZ$1,RIGHT(AZ$1,2),""),VLOOKUP($D72,素材!$1:$1016,COLUMN($F$1),FALSE))),VLOOKUP($C72,武器!$1:$998,COLUMN($O$1),FALSE)*VLOOKUP($D72,素材!$1:$1016,COLUMN($E$1),FALSE)/(LEN(VLOOKUP($D72,素材!$1:$1016,COLUMN($F$1),FALSE))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BA72">
        <f>IF(ISNUMBER(SEARCH(SUBSTITUTE(BA$1,RIGHT(BA$1,2),""),VLOOKUP($D72,素材!$1:$1016,COLUMN($F$1),FALSE))),VLOOKUP($C72,武器!$1:$998,COLUMN($O$1),FALSE)*VLOOKUP($D72,素材!$1:$1016,COLUMN($E$1),FALSE)/(LEN(VLOOKUP($D72,素材!$1:$1016,COLUMN($F$1),FALSE))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BB72">
        <f>IF(ISNUMBER(SEARCH(SUBSTITUTE(BB$1,RIGHT(BB$1,2),""),VLOOKUP($D72,素材!$1:$1016,COLUMN($F$1),FALSE))),VLOOKUP($C72,武器!$1:$998,COLUMN($O$1),FALSE)*VLOOKUP($D72,素材!$1:$1016,COLUMN($E$1),FALSE)/(LEN(VLOOKUP($D72,素材!$1:$1016,COLUMN($F$1),FALSE))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BC72">
        <f>IF(ISNUMBER(SEARCH(SUBSTITUTE(BC$1,RIGHT(BC$1,2),""),VLOOKUP($D72,素材!$1:$1016,COLUMN($F$1),FALSE))),VLOOKUP($C72,武器!$1:$998,COLUMN($O$1),FALSE)*VLOOKUP($D72,素材!$1:$1016,COLUMN($E$1),FALSE)/(LEN(VLOOKUP($D72,素材!$1:$1016,COLUMN($F$1),FALSE))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BD72">
        <f>IF(ISNUMBER(SEARCH(SUBSTITUTE(BD$1,RIGHT(BD$1,2),""),VLOOKUP($D72,素材!$1:$1016,COLUMN($F$1),FALSE))),VLOOKUP($C72,武器!$1:$998,COLUMN($O$1),FALSE)*VLOOKUP($D72,素材!$1:$1016,COLUMN($E$1),FALSE)/(LEN(VLOOKUP($D72,素材!$1:$1016,COLUMN($F$1),FALSE))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BE72">
        <f>IF(ISNUMBER(SEARCH(SUBSTITUTE(BE$1,RIGHT(BE$1,2),""),VLOOKUP($D72,素材!$1:$1016,COLUMN($F$1),FALSE))),VLOOKUP($C72,武器!$1:$998,COLUMN($O$1),FALSE)*VLOOKUP($D72,素材!$1:$1016,COLUMN($E$1),FALSE)/(LEN(VLOOKUP($D72,素材!$1:$1016,COLUMN($F$1),FALSE))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BF72">
        <f>IF(ISNUMBER(SEARCH(SUBSTITUTE(BF$1,RIGHT(BF$1,2),""),VLOOKUP($D72,素材!$1:$1016,COLUMN($F$1),FALSE))),VLOOKUP($C72,武器!$1:$998,COLUMN($O$1),FALSE)*VLOOKUP($D72,素材!$1:$1016,COLUMN($E$1),FALSE)/(LEN(VLOOKUP($D72,素材!$1:$1016,COLUMN($F$1),FALSE)) - LEN(SUBSTITUTE(VLOOKUP($D72,素材!$1:$1016,COLUMN($F$1),FALSE), "・", 0)) + 1), 0)</f>
        <v>0</v>
      </c>
      <c r="CM72">
        <f t="shared" si="8"/>
        <v>12</v>
      </c>
      <c r="CN72" s="22" t="str">
        <f>IF(E72="武器",IF(J72-1&gt;SUM(G72:I72),"盾",IF(MAX(G72:I72)=G72,"切断",IF(MAX(G72:I72)=H72,"貫通",IF(MAX(G72:I72)=I72,"打撃","射撃")))),E72)&amp;".webp"</f>
        <v>頭.webp</v>
      </c>
      <c r="CO72">
        <f>IFERROR(VLOOKUP($C72,武器!$1:$998,COLUMN(V$1),FALSE)*VLOOKUP($D72,素材!$1:$1016,COLUMN(N$1),FALSE)+IF(CJ72="",0,VLOOKUP($CJ72,装強!$1:$1008,COLUMN($CL$1),FALSE)),"")</f>
        <v>200</v>
      </c>
      <c r="CP72" t="str">
        <f>VLOOKUP(D72,素材!$A:$O,COLUMN(素材!O$1),FALSE)</f>
        <v>一般的な木材。金属より軽いが少し脆い</v>
      </c>
      <c r="CQ72" t="str">
        <f>VLOOKUP(C72,武器!$A:$W,COLUMN(武器!W$1),FALSE)</f>
        <v>命中 魔防 Cr</v>
      </c>
      <c r="CS72" t="str">
        <f t="shared" si="7"/>
        <v>e_72</v>
      </c>
      <c r="CT72">
        <f t="shared" si="9"/>
        <v>20000</v>
      </c>
    </row>
    <row r="73" spans="1:98" outlineLevel="1" x14ac:dyDescent="0.4">
      <c r="A73" t="str">
        <f t="shared" si="6"/>
        <v>木の兜</v>
      </c>
      <c r="B73" t="str">
        <f>IFERROR(VLOOKUP($D73,素材!$1:$1016,COLUMN($B$1),FALSE)&amp;"・"&amp;VLOOKUP($C73,武器!$1:$998,COLUMN(B$1),FALSE),"")</f>
        <v>ウッド・ヘルム</v>
      </c>
      <c r="C73" t="s">
        <v>209</v>
      </c>
      <c r="D73" s="24" t="s">
        <v>255</v>
      </c>
      <c r="E73" t="str">
        <f>IFERROR(VLOOKUP(C73,武器!$1:$998,COLUMN(C$1),FALSE),"")</f>
        <v>頭</v>
      </c>
      <c r="F73">
        <f>IFERROR(ROUNDDOWN((VLOOKUP($C73,武器!$1:$998,COLUMN(D$1),FALSE)+IFERROR(VLOOKUP($CJ73,装強!$1:$999,COLUMN(F$1),FALSE),0))*VLOOKUP($D73,素材!$1:$1016,COLUMN(D$1),FALSE),0),"")</f>
        <v>0</v>
      </c>
      <c r="G73">
        <f>IFERROR(ROUNDDOWN((VLOOKUP($C73,武器!$1:$998,COLUMN(E$1),FALSE)+IFERROR(VLOOKUP($CJ73,装強!$1:$999,COLUMN(G$1),FALSE),0))*VLOOKUP($D73,素材!$1:$1016,COLUMN($E$1),FALSE),0),"")</f>
        <v>0</v>
      </c>
      <c r="H73">
        <f>IFERROR(ROUNDDOWN((VLOOKUP($C73,武器!$1:$998,COLUMN(F$1),FALSE)+IFERROR(VLOOKUP($CJ73,装強!$1:$999,COLUMN(H$1),FALSE),0))*VLOOKUP($D73,素材!$1:$1016,COLUMN($E$1),FALSE),0),"")</f>
        <v>0</v>
      </c>
      <c r="I73">
        <f>IFERROR(ROUNDDOWN((VLOOKUP($C73,武器!$1:$998,COLUMN(G$1),FALSE)+IFERROR(VLOOKUP($CJ73,装強!$1:$999,COLUMN(I$1),FALSE),0))*VLOOKUP($D73,素材!$1:$1016,COLUMN($E$1),FALSE),0),"")</f>
        <v>12</v>
      </c>
      <c r="J73">
        <f>IFERROR(ROUNDDOWN((VLOOKUP($C73,武器!$1:$998,COLUMN(H$1),FALSE)+IFERROR(VLOOKUP($CJ73,装強!$1:$999,COLUMN(J$1),FALSE),0))*VLOOKUP($D73,素材!$1:$1016,COLUMN($E$1),FALSE),0),"")</f>
        <v>0</v>
      </c>
      <c r="K73">
        <f>IFERROR(ROUNDDOWN((VLOOKUP($C73,武器!$1:$998,COLUMN(I$1),FALSE)+IFERROR(VLOOKUP($CJ73,装強!$1:$999,COLUMN(K$1),FALSE),0))*VLOOKUP($D73,素材!$1:$1016,COLUMN($E$1),FALSE),0),"")</f>
        <v>0</v>
      </c>
      <c r="L73">
        <f>IFERROR(VLOOKUP($D73,素材!$1:$1016,COLUMN($F$1),FALSE),"")</f>
        <v>0</v>
      </c>
      <c r="M73">
        <f>IFERROR(VLOOKUP($C73,武器!$1:$998,COLUMN(AA$1),FALSE)*VLOOKUP($D73,素材!$1:$1016,COLUMN($G$1),FALSE),"")</f>
        <v>0</v>
      </c>
      <c r="N73">
        <f>IFERROR(VLOOKUP($C73,武器!$1:$998,COLUMN(I$1),FALSE),"")</f>
        <v>0</v>
      </c>
      <c r="O73" s="23">
        <f>IFERROR((VLOOKUP($C73,武器!$1:$998,COLUMN(K$1),FALSE)+VLOOKUP($D73,素材!$1:$1016,COLUMN(H$1),FALSE))*100+IFERROR(VLOOKUP($CJ73,装強!$1:$999,COLUMN(O$1),FALSE),0),"")</f>
        <v>5</v>
      </c>
      <c r="P73" s="23">
        <f>IFERROR((VLOOKUP($C73,武器!$1:$998,COLUMN(L$1),FALSE)+VLOOKUP($D73,素材!$1:$1016,COLUMN(I$1),FALSE))*100+IFERROR(VLOOKUP($CJ73,装強!$1:$999,COLUMN(P$1),FALSE),0),"")</f>
        <v>125</v>
      </c>
      <c r="Q73">
        <f>IFERROR(ROUNDUP(VLOOKUP($C73,武器!$1:$998,COLUMN(M$1),FALSE)*(VLOOKUP($D73,素材!$1:$1002,COLUMN(D$1),FALSE)/100),1),"")</f>
        <v>-3.8000000000000003</v>
      </c>
      <c r="R73">
        <f>IFERROR(ROUNDUP(VLOOKUP($C73,武器!$1:$998,COLUMN(N$1),FALSE)*(VLOOKUP($D73,素材!$1:$1002,COLUMN(D$1),FALSE)/100),1),"")</f>
        <v>0</v>
      </c>
      <c r="S73">
        <f>IFERROR(VLOOKUP($C73,武器!$1:$998,COLUMN(P$1),FALSE),"")</f>
        <v>0</v>
      </c>
      <c r="T73">
        <f>IFERROR(VLOOKUP($C73,武器!$1:$998,COLUMN(Q$1),FALSE),"")</f>
        <v>0</v>
      </c>
      <c r="U73">
        <f>IFERROR(VLOOKUP($C73,武器!$1:$998,COLUMN(R$1),FALSE),"")</f>
        <v>0</v>
      </c>
      <c r="V73">
        <f>IFERROR(VLOOKUP($C73,武器!$1:$998,COLUMN(Q$1),FALSE),"")</f>
        <v>0</v>
      </c>
      <c r="W73">
        <f>IFERROR(VLOOKUP($C73,武器!$1:$998,COLUMN(T$1),FALSE),"")</f>
        <v>0</v>
      </c>
      <c r="Y73">
        <f>IFERROR(VLOOKUP($C73,武器!$1:$998,COLUMN(U$1),FALSE),"")</f>
        <v>0</v>
      </c>
      <c r="Z73">
        <f>IFERROR(ROUNDUP(VLOOKUP($C73,武器!$1:$998,COLUMN(O$1),FALSE)*VLOOKUP($D73,素材!$1:$1016,COLUMN(E$1),FALSE),1),"")</f>
        <v>3</v>
      </c>
      <c r="AA73">
        <f>IF(ISNUMBER(SEARCH(SUBSTITUTE(AA$1,RIGHT(AA$1,2),""),VLOOKUP($D73,素材!$1:$1016,COLUMN($F$1),FALSE))),VLOOKUP($C73,武器!$1:$998,COLUMN($O$1),FALSE)*VLOOKUP($D73,素材!$1:$1016,COLUMN($E$1),FALSE)/(LEN(VLOOKUP($D73,素材!$1:$1016,COLUMN($F$1),FALSE))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B73">
        <f>IF(ISNUMBER(SEARCH(SUBSTITUTE(AB$1,RIGHT(AB$1,2),""),VLOOKUP($D73,素材!$1:$1016,COLUMN($F$1),FALSE))),VLOOKUP($C73,武器!$1:$998,COLUMN($O$1),FALSE)*VLOOKUP($D73,素材!$1:$1016,COLUMN($E$1),FALSE)/(LEN(VLOOKUP($D73,素材!$1:$1016,COLUMN($F$1),FALSE))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C73">
        <f>IF(ISNUMBER(SEARCH(SUBSTITUTE(AC$1,RIGHT(AC$1,2),""),VLOOKUP($D73,素材!$1:$1016,COLUMN($F$1),FALSE))),VLOOKUP($C73,武器!$1:$998,COLUMN($O$1),FALSE)*VLOOKUP($D73,素材!$1:$1016,COLUMN($E$1),FALSE)/(LEN(VLOOKUP($D73,素材!$1:$1016,COLUMN($F$1),FALSE))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D73">
        <f>IF(ISNUMBER(SEARCH(SUBSTITUTE(AD$1,RIGHT(AD$1,2),""),VLOOKUP($D73,素材!$1:$1016,COLUMN($F$1),FALSE))),VLOOKUP($C73,武器!$1:$998,COLUMN($O$1),FALSE)*VLOOKUP($D73,素材!$1:$1016,COLUMN($E$1),FALSE)/(LEN(VLOOKUP($D73,素材!$1:$1016,COLUMN($F$1),FALSE))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E73">
        <f>IF(ISNUMBER(SEARCH(SUBSTITUTE(AE$1,RIGHT(AE$1,2),""),VLOOKUP($D73,素材!$1:$1016,COLUMN($F$1),FALSE))),VLOOKUP($C73,武器!$1:$998,COLUMN($O$1),FALSE)*VLOOKUP($D73,素材!$1:$1016,COLUMN($E$1),FALSE)/(LEN(VLOOKUP($D73,素材!$1:$1016,COLUMN($F$1),FALSE))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F73">
        <f>IF(ISNUMBER(SEARCH(SUBSTITUTE(AF$1,RIGHT(AF$1,2),""),VLOOKUP($D73,素材!$1:$1016,COLUMN($F$1),FALSE))),VLOOKUP($C73,武器!$1:$998,COLUMN($O$1),FALSE)*VLOOKUP($D73,素材!$1:$1016,COLUMN($E$1),FALSE)/(LEN(VLOOKUP($D73,素材!$1:$1016,COLUMN($F$1),FALSE))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G73">
        <f>IF(ISNUMBER(SEARCH(SUBSTITUTE(AG$1,RIGHT(AG$1,2),""),VLOOKUP($D73,素材!$1:$1016,COLUMN($F$1),FALSE))),VLOOKUP($C73,武器!$1:$998,COLUMN($O$1),FALSE)*VLOOKUP($D73,素材!$1:$1016,COLUMN($E$1),FALSE)/(LEN(VLOOKUP($D73,素材!$1:$1016,COLUMN($F$1),FALSE))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H73">
        <f>IF(ISNUMBER(SEARCH(SUBSTITUTE(AH$1,RIGHT(AH$1,2),""),VLOOKUP($D73,素材!$1:$1016,COLUMN($F$1),FALSE))),VLOOKUP($C73,武器!$1:$998,COLUMN($O$1),FALSE)*VLOOKUP($D73,素材!$1:$1016,COLUMN($E$1),FALSE)/(LEN(VLOOKUP($D73,素材!$1:$1016,COLUMN($F$1),FALSE))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I73">
        <f>IF(ISNUMBER(SEARCH(SUBSTITUTE(AI$1,RIGHT(AI$1,2),""),VLOOKUP($D73,素材!$1:$1016,COLUMN($F$1),FALSE))),VLOOKUP($C73,武器!$1:$998,COLUMN($O$1),FALSE)*VLOOKUP($D73,素材!$1:$1016,COLUMN($E$1),FALSE)/(LEN(VLOOKUP($D73,素材!$1:$1016,COLUMN($F$1),FALSE))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J73">
        <f>IF(ISNUMBER(SEARCH(SUBSTITUTE(AJ$1,RIGHT(AJ$1,2),""),VLOOKUP($D73,素材!$1:$1016,COLUMN($F$1),FALSE))),VLOOKUP($C73,武器!$1:$998,COLUMN($O$1),FALSE)*VLOOKUP($D73,素材!$1:$1016,COLUMN($E$1),FALSE)/(LEN(VLOOKUP($D73,素材!$1:$1016,COLUMN($F$1),FALSE))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K73">
        <f>IF(ISNUMBER(SEARCH(SUBSTITUTE(AK$1,RIGHT(AK$1,2),""),VLOOKUP($D73,素材!$1:$1016,COLUMN($F$1),FALSE))),VLOOKUP($C73,武器!$1:$998,COLUMN($O$1),FALSE)*VLOOKUP($D73,素材!$1:$1016,COLUMN($E$1),FALSE)/(LEN(VLOOKUP($D73,素材!$1:$1016,COLUMN($F$1),FALSE))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L73">
        <f>IF(ISNUMBER(SEARCH(SUBSTITUTE(AL$1,RIGHT(AL$1,2),""),VLOOKUP($D73,素材!$1:$1016,COLUMN($F$1),FALSE))),VLOOKUP($C73,武器!$1:$998,COLUMN($O$1),FALSE)*VLOOKUP($D73,素材!$1:$1016,COLUMN($E$1),FALSE)/(LEN(VLOOKUP($D73,素材!$1:$1016,COLUMN($F$1),FALSE))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M73">
        <f>IF(ISNUMBER(SEARCH(SUBSTITUTE(AM$1,RIGHT(AM$1,2),""),VLOOKUP($D73,素材!$1:$1016,COLUMN($F$1),FALSE))),VLOOKUP($C73,武器!$1:$998,COLUMN($O$1),FALSE)*VLOOKUP($D73,素材!$1:$1016,COLUMN($E$1),FALSE)/(LEN(VLOOKUP($D73,素材!$1:$1016,COLUMN($F$1),FALSE))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N73">
        <f>IF(ISNUMBER(SEARCH(SUBSTITUTE(AN$1,RIGHT(AN$1,2),""),VLOOKUP($D73,素材!$1:$1016,COLUMN($F$1),FALSE))),VLOOKUP($C73,武器!$1:$998,COLUMN($O$1),FALSE)*VLOOKUP($D73,素材!$1:$1016,COLUMN($E$1),FALSE)/(LEN(VLOOKUP($D73,素材!$1:$1016,COLUMN($F$1),FALSE))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O73">
        <f>IF(ISNUMBER(SEARCH(SUBSTITUTE(AO$1,RIGHT(AO$1,2),""),VLOOKUP($D73,素材!$1:$1016,COLUMN($F$1),FALSE))),VLOOKUP($C73,武器!$1:$998,COLUMN($O$1),FALSE)*VLOOKUP($D73,素材!$1:$1016,COLUMN($E$1),FALSE)/(LEN(VLOOKUP($D73,素材!$1:$1016,COLUMN($F$1),FALSE))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P73">
        <f>IF(ISNUMBER(SEARCH(SUBSTITUTE(AP$1,RIGHT(AP$1,2),""),VLOOKUP($D73,素材!$1:$1016,COLUMN($F$1),FALSE))),VLOOKUP($C73,武器!$1:$998,COLUMN($O$1),FALSE)*VLOOKUP($D73,素材!$1:$1016,COLUMN($E$1),FALSE)/(LEN(VLOOKUP($D73,素材!$1:$1016,COLUMN($F$1),FALSE))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Q73">
        <f>IF(ISNUMBER(SEARCH(SUBSTITUTE(AQ$1,RIGHT(AQ$1,2),""),VLOOKUP($D73,素材!$1:$1016,COLUMN($F$1),FALSE))),VLOOKUP($C73,武器!$1:$998,COLUMN($O$1),FALSE)*VLOOKUP($D73,素材!$1:$1016,COLUMN($E$1),FALSE)/(LEN(VLOOKUP($D73,素材!$1:$1016,COLUMN($F$1),FALSE))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R73">
        <f>IF(ISNUMBER(SEARCH(SUBSTITUTE(AR$1,RIGHT(AR$1,2),""),VLOOKUP($D73,素材!$1:$1016,COLUMN($F$1),FALSE))),VLOOKUP($C73,武器!$1:$998,COLUMN($O$1),FALSE)*VLOOKUP($D73,素材!$1:$1016,COLUMN($E$1),FALSE)/(LEN(VLOOKUP($D73,素材!$1:$1016,COLUMN($F$1),FALSE))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S73">
        <f>IF(ISNUMBER(SEARCH(SUBSTITUTE(AS$1,RIGHT(AS$1,2),""),VLOOKUP($D73,素材!$1:$1016,COLUMN($F$1),FALSE))),VLOOKUP($C73,武器!$1:$998,COLUMN($O$1),FALSE)*VLOOKUP($D73,素材!$1:$1016,COLUMN($E$1),FALSE)/(LEN(VLOOKUP($D73,素材!$1:$1016,COLUMN($F$1),FALSE))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T73">
        <f>IF(ISNUMBER(SEARCH(SUBSTITUTE(AT$1,RIGHT(AT$1,2),""),VLOOKUP($D73,素材!$1:$1016,COLUMN($F$1),FALSE))),VLOOKUP($C73,武器!$1:$998,COLUMN($O$1),FALSE)*VLOOKUP($D73,素材!$1:$1016,COLUMN($E$1),FALSE)/(LEN(VLOOKUP($D73,素材!$1:$1016,COLUMN($F$1),FALSE))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U73">
        <f>IF(ISNUMBER(SEARCH(SUBSTITUTE(AU$1,RIGHT(AU$1,2),""),VLOOKUP($D73,素材!$1:$1016,COLUMN($F$1),FALSE))),VLOOKUP($C73,武器!$1:$998,COLUMN($O$1),FALSE)*VLOOKUP($D73,素材!$1:$1016,COLUMN($E$1),FALSE)/(LEN(VLOOKUP($D73,素材!$1:$1016,COLUMN($F$1),FALSE))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V73">
        <f>IF(ISNUMBER(SEARCH(SUBSTITUTE(AV$1,RIGHT(AV$1,2),""),VLOOKUP($D73,素材!$1:$1016,COLUMN($F$1),FALSE))),VLOOKUP($C73,武器!$1:$998,COLUMN($O$1),FALSE)*VLOOKUP($D73,素材!$1:$1016,COLUMN($E$1),FALSE)/(LEN(VLOOKUP($D73,素材!$1:$1016,COLUMN($F$1),FALSE))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W73">
        <f>IF(ISNUMBER(SEARCH(SUBSTITUTE(AW$1,RIGHT(AW$1,2),""),VLOOKUP($D73,素材!$1:$1016,COLUMN($F$1),FALSE))),VLOOKUP($C73,武器!$1:$998,COLUMN($O$1),FALSE)*VLOOKUP($D73,素材!$1:$1016,COLUMN($E$1),FALSE)/(LEN(VLOOKUP($D73,素材!$1:$1016,COLUMN($F$1),FALSE))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X73">
        <f>IF(ISNUMBER(SEARCH(SUBSTITUTE(AX$1,RIGHT(AX$1,2),""),VLOOKUP($D73,素材!$1:$1016,COLUMN($F$1),FALSE))),VLOOKUP($C73,武器!$1:$998,COLUMN($O$1),FALSE)*VLOOKUP($D73,素材!$1:$1016,COLUMN($E$1),FALSE)/(LEN(VLOOKUP($D73,素材!$1:$1016,COLUMN($F$1),FALSE))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Y73">
        <f>IF(ISNUMBER(SEARCH(SUBSTITUTE(AY$1,RIGHT(AY$1,2),""),VLOOKUP($D73,素材!$1:$1016,COLUMN($F$1),FALSE))),VLOOKUP($C73,武器!$1:$998,COLUMN($O$1),FALSE)*VLOOKUP($D73,素材!$1:$1016,COLUMN($E$1),FALSE)/(LEN(VLOOKUP($D73,素材!$1:$1016,COLUMN($F$1),FALSE))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AZ73">
        <f>IF(ISNUMBER(SEARCH(SUBSTITUTE(AZ$1,RIGHT(AZ$1,2),""),VLOOKUP($D73,素材!$1:$1016,COLUMN($F$1),FALSE))),VLOOKUP($C73,武器!$1:$998,COLUMN($O$1),FALSE)*VLOOKUP($D73,素材!$1:$1016,COLUMN($E$1),FALSE)/(LEN(VLOOKUP($D73,素材!$1:$1016,COLUMN($F$1),FALSE))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BA73">
        <f>IF(ISNUMBER(SEARCH(SUBSTITUTE(BA$1,RIGHT(BA$1,2),""),VLOOKUP($D73,素材!$1:$1016,COLUMN($F$1),FALSE))),VLOOKUP($C73,武器!$1:$998,COLUMN($O$1),FALSE)*VLOOKUP($D73,素材!$1:$1016,COLUMN($E$1),FALSE)/(LEN(VLOOKUP($D73,素材!$1:$1016,COLUMN($F$1),FALSE))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BB73">
        <f>IF(ISNUMBER(SEARCH(SUBSTITUTE(BB$1,RIGHT(BB$1,2),""),VLOOKUP($D73,素材!$1:$1016,COLUMN($F$1),FALSE))),VLOOKUP($C73,武器!$1:$998,COLUMN($O$1),FALSE)*VLOOKUP($D73,素材!$1:$1016,COLUMN($E$1),FALSE)/(LEN(VLOOKUP($D73,素材!$1:$1016,COLUMN($F$1),FALSE))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BC73">
        <f>IF(ISNUMBER(SEARCH(SUBSTITUTE(BC$1,RIGHT(BC$1,2),""),VLOOKUP($D73,素材!$1:$1016,COLUMN($F$1),FALSE))),VLOOKUP($C73,武器!$1:$998,COLUMN($O$1),FALSE)*VLOOKUP($D73,素材!$1:$1016,COLUMN($E$1),FALSE)/(LEN(VLOOKUP($D73,素材!$1:$1016,COLUMN($F$1),FALSE))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BD73">
        <f>IF(ISNUMBER(SEARCH(SUBSTITUTE(BD$1,RIGHT(BD$1,2),""),VLOOKUP($D73,素材!$1:$1016,COLUMN($F$1),FALSE))),VLOOKUP($C73,武器!$1:$998,COLUMN($O$1),FALSE)*VLOOKUP($D73,素材!$1:$1016,COLUMN($E$1),FALSE)/(LEN(VLOOKUP($D73,素材!$1:$1016,COLUMN($F$1),FALSE))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BE73">
        <f>IF(ISNUMBER(SEARCH(SUBSTITUTE(BE$1,RIGHT(BE$1,2),""),VLOOKUP($D73,素材!$1:$1016,COLUMN($F$1),FALSE))),VLOOKUP($C73,武器!$1:$998,COLUMN($O$1),FALSE)*VLOOKUP($D73,素材!$1:$1016,COLUMN($E$1),FALSE)/(LEN(VLOOKUP($D73,素材!$1:$1016,COLUMN($F$1),FALSE))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BF73">
        <f>IF(ISNUMBER(SEARCH(SUBSTITUTE(BF$1,RIGHT(BF$1,2),""),VLOOKUP($D73,素材!$1:$1016,COLUMN($F$1),FALSE))),VLOOKUP($C73,武器!$1:$998,COLUMN($O$1),FALSE)*VLOOKUP($D73,素材!$1:$1016,COLUMN($E$1),FALSE)/(LEN(VLOOKUP($D73,素材!$1:$1016,COLUMN($F$1),FALSE)) - LEN(SUBSTITUTE(VLOOKUP($D73,素材!$1:$1016,COLUMN($F$1),FALSE), "・", 0)) + 1), 0)</f>
        <v>0</v>
      </c>
      <c r="CM73">
        <f t="shared" si="8"/>
        <v>12</v>
      </c>
      <c r="CN73" s="22" t="str">
        <f>IF(E73="武器",IF(J73-1&gt;SUM(G73:I73),"盾",IF(MAX(G73:I73)=G73,"切断",IF(MAX(G73:I73)=H73,"貫通",IF(MAX(G73:I73)=I73,"打撃","射撃")))),E73)&amp;".webp"</f>
        <v>頭.webp</v>
      </c>
      <c r="CO73">
        <f>IFERROR(VLOOKUP($C73,武器!$1:$998,COLUMN(V$1),FALSE)*VLOOKUP($D73,素材!$1:$1016,COLUMN(N$1),FALSE)+IF(CJ73="",0,VLOOKUP($CJ73,装強!$1:$1008,COLUMN($CL$1),FALSE)),"")</f>
        <v>150</v>
      </c>
      <c r="CP73" t="str">
        <f>VLOOKUP(D73,素材!$A:$O,COLUMN(素材!O$1),FALSE)</f>
        <v>一般的な木材。金属より軽いが少し脆い</v>
      </c>
      <c r="CQ73" t="str">
        <f>VLOOKUP(C73,武器!$A:$W,COLUMN(武器!W$1),FALSE)</f>
        <v>命中 魔防 Cr</v>
      </c>
      <c r="CS73" t="str">
        <f t="shared" si="7"/>
        <v>e_73</v>
      </c>
      <c r="CT73">
        <f t="shared" si="9"/>
        <v>15000</v>
      </c>
    </row>
    <row r="74" spans="1:98" outlineLevel="1" x14ac:dyDescent="0.4">
      <c r="A74" t="str">
        <f t="shared" si="6"/>
        <v>木の鎧</v>
      </c>
      <c r="B74" t="str">
        <f>IFERROR(VLOOKUP($D74,素材!$1:$1016,COLUMN($B$1),FALSE)&amp;"・"&amp;VLOOKUP($C74,武器!$1:$998,COLUMN(B$1),FALSE),"")</f>
        <v>ウッド・アーマー</v>
      </c>
      <c r="C74" t="s">
        <v>208</v>
      </c>
      <c r="D74" s="24" t="s">
        <v>255</v>
      </c>
      <c r="E74" t="str">
        <f>IFERROR(VLOOKUP(C74,武器!$1:$998,COLUMN(C$1),FALSE),"")</f>
        <v>体</v>
      </c>
      <c r="F74">
        <f>IFERROR(ROUNDDOWN((VLOOKUP($C74,武器!$1:$998,COLUMN(D$1),FALSE)+IFERROR(VLOOKUP($CJ74,装強!$1:$999,COLUMN(F$1),FALSE),0))*VLOOKUP($D74,素材!$1:$1016,COLUMN(D$1),FALSE),0),"")</f>
        <v>0</v>
      </c>
      <c r="G74">
        <f>IFERROR(ROUNDDOWN((VLOOKUP($C74,武器!$1:$998,COLUMN(E$1),FALSE)+IFERROR(VLOOKUP($CJ74,装強!$1:$999,COLUMN(G$1),FALSE),0))*VLOOKUP($D74,素材!$1:$1016,COLUMN($E$1),FALSE),0),"")</f>
        <v>0</v>
      </c>
      <c r="H74">
        <f>IFERROR(ROUNDDOWN((VLOOKUP($C74,武器!$1:$998,COLUMN(F$1),FALSE)+IFERROR(VLOOKUP($CJ74,装強!$1:$999,COLUMN(H$1),FALSE),0))*VLOOKUP($D74,素材!$1:$1016,COLUMN($E$1),FALSE),0),"")</f>
        <v>0</v>
      </c>
      <c r="I74">
        <f>IFERROR(ROUNDDOWN((VLOOKUP($C74,武器!$1:$998,COLUMN(G$1),FALSE)+IFERROR(VLOOKUP($CJ74,装強!$1:$999,COLUMN(I$1),FALSE),0))*VLOOKUP($D74,素材!$1:$1016,COLUMN($E$1),FALSE),0),"")</f>
        <v>0</v>
      </c>
      <c r="J74">
        <f>IFERROR(ROUNDDOWN((VLOOKUP($C74,武器!$1:$998,COLUMN(H$1),FALSE)+IFERROR(VLOOKUP($CJ74,装強!$1:$999,COLUMN(J$1),FALSE),0))*VLOOKUP($D74,素材!$1:$1016,COLUMN($E$1),FALSE),0),"")</f>
        <v>0</v>
      </c>
      <c r="K74">
        <f>IFERROR(ROUNDDOWN((VLOOKUP($C74,武器!$1:$998,COLUMN(I$1),FALSE)+IFERROR(VLOOKUP($CJ74,装強!$1:$999,COLUMN(K$1),FALSE),0))*VLOOKUP($D74,素材!$1:$1016,COLUMN($E$1),FALSE),0),"")</f>
        <v>0</v>
      </c>
      <c r="L74">
        <f>IFERROR(VLOOKUP($D74,素材!$1:$1016,COLUMN($F$1),FALSE),"")</f>
        <v>0</v>
      </c>
      <c r="M74">
        <f>IFERROR(VLOOKUP($C74,武器!$1:$998,COLUMN(AA$1),FALSE)*VLOOKUP($D74,素材!$1:$1016,COLUMN($G$1),FALSE),"")</f>
        <v>0</v>
      </c>
      <c r="N74">
        <f>IFERROR(VLOOKUP($C74,武器!$1:$998,COLUMN(I$1),FALSE),"")</f>
        <v>0</v>
      </c>
      <c r="O74" s="23">
        <f>IFERROR((VLOOKUP($C74,武器!$1:$998,COLUMN(K$1),FALSE)+VLOOKUP($D74,素材!$1:$1016,COLUMN(H$1),FALSE))*100+IFERROR(VLOOKUP($CJ74,装強!$1:$999,COLUMN(O$1),FALSE),0),"")</f>
        <v>0</v>
      </c>
      <c r="P74" s="23">
        <f>IFERROR((VLOOKUP($C74,武器!$1:$998,COLUMN(L$1),FALSE)+VLOOKUP($D74,素材!$1:$1016,COLUMN(I$1),FALSE))*100+IFERROR(VLOOKUP($CJ74,装強!$1:$999,COLUMN(P$1),FALSE),0),"")</f>
        <v>0</v>
      </c>
      <c r="Q74">
        <f>IFERROR(ROUNDUP(VLOOKUP($C74,武器!$1:$998,COLUMN(M$1),FALSE)*(VLOOKUP($D74,素材!$1:$1002,COLUMN(D$1),FALSE)/100),1),"")</f>
        <v>-11.299999999999999</v>
      </c>
      <c r="R74">
        <f>IFERROR(ROUNDUP(VLOOKUP($C74,武器!$1:$998,COLUMN(N$1),FALSE)*(VLOOKUP($D74,素材!$1:$1002,COLUMN(D$1),FALSE)/100),1),"")</f>
        <v>0</v>
      </c>
      <c r="S74">
        <f>IFERROR(VLOOKUP($C74,武器!$1:$998,COLUMN(P$1),FALSE),"")</f>
        <v>0</v>
      </c>
      <c r="T74">
        <f>IFERROR(VLOOKUP($C74,武器!$1:$998,COLUMN(Q$1),FALSE),"")</f>
        <v>0</v>
      </c>
      <c r="U74">
        <f>IFERROR(VLOOKUP($C74,武器!$1:$998,COLUMN(R$1),FALSE),"")</f>
        <v>0</v>
      </c>
      <c r="V74">
        <f>IFERROR(VLOOKUP($C74,武器!$1:$998,COLUMN(Q$1),FALSE),"")</f>
        <v>0</v>
      </c>
      <c r="W74">
        <f>IFERROR(VLOOKUP($C74,武器!$1:$998,COLUMN(T$1),FALSE),"")</f>
        <v>0</v>
      </c>
      <c r="Y74">
        <f>IFERROR(VLOOKUP($C74,武器!$1:$998,COLUMN(U$1),FALSE),"")</f>
        <v>0</v>
      </c>
      <c r="Z74">
        <f>IFERROR(ROUNDUP(VLOOKUP($C74,武器!$1:$998,COLUMN(O$1),FALSE)*VLOOKUP($D74,素材!$1:$1016,COLUMN(E$1),FALSE),1),"")</f>
        <v>10.5</v>
      </c>
      <c r="AA74">
        <f>IF(ISNUMBER(SEARCH(SUBSTITUTE(AA$1,RIGHT(AA$1,2),""),VLOOKUP($D74,素材!$1:$1016,COLUMN($F$1),FALSE))),VLOOKUP($C74,武器!$1:$998,COLUMN($O$1),FALSE)*VLOOKUP($D74,素材!$1:$1016,COLUMN($E$1),FALSE)/(LEN(VLOOKUP($D74,素材!$1:$1016,COLUMN($F$1),FALSE))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B74">
        <f>IF(ISNUMBER(SEARCH(SUBSTITUTE(AB$1,RIGHT(AB$1,2),""),VLOOKUP($D74,素材!$1:$1016,COLUMN($F$1),FALSE))),VLOOKUP($C74,武器!$1:$998,COLUMN($O$1),FALSE)*VLOOKUP($D74,素材!$1:$1016,COLUMN($E$1),FALSE)/(LEN(VLOOKUP($D74,素材!$1:$1016,COLUMN($F$1),FALSE))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C74">
        <f>IF(ISNUMBER(SEARCH(SUBSTITUTE(AC$1,RIGHT(AC$1,2),""),VLOOKUP($D74,素材!$1:$1016,COLUMN($F$1),FALSE))),VLOOKUP($C74,武器!$1:$998,COLUMN($O$1),FALSE)*VLOOKUP($D74,素材!$1:$1016,COLUMN($E$1),FALSE)/(LEN(VLOOKUP($D74,素材!$1:$1016,COLUMN($F$1),FALSE))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D74">
        <f>IF(ISNUMBER(SEARCH(SUBSTITUTE(AD$1,RIGHT(AD$1,2),""),VLOOKUP($D74,素材!$1:$1016,COLUMN($F$1),FALSE))),VLOOKUP($C74,武器!$1:$998,COLUMN($O$1),FALSE)*VLOOKUP($D74,素材!$1:$1016,COLUMN($E$1),FALSE)/(LEN(VLOOKUP($D74,素材!$1:$1016,COLUMN($F$1),FALSE))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E74">
        <f>IF(ISNUMBER(SEARCH(SUBSTITUTE(AE$1,RIGHT(AE$1,2),""),VLOOKUP($D74,素材!$1:$1016,COLUMN($F$1),FALSE))),VLOOKUP($C74,武器!$1:$998,COLUMN($O$1),FALSE)*VLOOKUP($D74,素材!$1:$1016,COLUMN($E$1),FALSE)/(LEN(VLOOKUP($D74,素材!$1:$1016,COLUMN($F$1),FALSE))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F74">
        <f>IF(ISNUMBER(SEARCH(SUBSTITUTE(AF$1,RIGHT(AF$1,2),""),VLOOKUP($D74,素材!$1:$1016,COLUMN($F$1),FALSE))),VLOOKUP($C74,武器!$1:$998,COLUMN($O$1),FALSE)*VLOOKUP($D74,素材!$1:$1016,COLUMN($E$1),FALSE)/(LEN(VLOOKUP($D74,素材!$1:$1016,COLUMN($F$1),FALSE))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G74">
        <f>IF(ISNUMBER(SEARCH(SUBSTITUTE(AG$1,RIGHT(AG$1,2),""),VLOOKUP($D74,素材!$1:$1016,COLUMN($F$1),FALSE))),VLOOKUP($C74,武器!$1:$998,COLUMN($O$1),FALSE)*VLOOKUP($D74,素材!$1:$1016,COLUMN($E$1),FALSE)/(LEN(VLOOKUP($D74,素材!$1:$1016,COLUMN($F$1),FALSE))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H74">
        <f>IF(ISNUMBER(SEARCH(SUBSTITUTE(AH$1,RIGHT(AH$1,2),""),VLOOKUP($D74,素材!$1:$1016,COLUMN($F$1),FALSE))),VLOOKUP($C74,武器!$1:$998,COLUMN($O$1),FALSE)*VLOOKUP($D74,素材!$1:$1016,COLUMN($E$1),FALSE)/(LEN(VLOOKUP($D74,素材!$1:$1016,COLUMN($F$1),FALSE))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I74">
        <f>IF(ISNUMBER(SEARCH(SUBSTITUTE(AI$1,RIGHT(AI$1,2),""),VLOOKUP($D74,素材!$1:$1016,COLUMN($F$1),FALSE))),VLOOKUP($C74,武器!$1:$998,COLUMN($O$1),FALSE)*VLOOKUP($D74,素材!$1:$1016,COLUMN($E$1),FALSE)/(LEN(VLOOKUP($D74,素材!$1:$1016,COLUMN($F$1),FALSE))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J74">
        <f>IF(ISNUMBER(SEARCH(SUBSTITUTE(AJ$1,RIGHT(AJ$1,2),""),VLOOKUP($D74,素材!$1:$1016,COLUMN($F$1),FALSE))),VLOOKUP($C74,武器!$1:$998,COLUMN($O$1),FALSE)*VLOOKUP($D74,素材!$1:$1016,COLUMN($E$1),FALSE)/(LEN(VLOOKUP($D74,素材!$1:$1016,COLUMN($F$1),FALSE))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K74">
        <f>IF(ISNUMBER(SEARCH(SUBSTITUTE(AK$1,RIGHT(AK$1,2),""),VLOOKUP($D74,素材!$1:$1016,COLUMN($F$1),FALSE))),VLOOKUP($C74,武器!$1:$998,COLUMN($O$1),FALSE)*VLOOKUP($D74,素材!$1:$1016,COLUMN($E$1),FALSE)/(LEN(VLOOKUP($D74,素材!$1:$1016,COLUMN($F$1),FALSE))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L74">
        <f>IF(ISNUMBER(SEARCH(SUBSTITUTE(AL$1,RIGHT(AL$1,2),""),VLOOKUP($D74,素材!$1:$1016,COLUMN($F$1),FALSE))),VLOOKUP($C74,武器!$1:$998,COLUMN($O$1),FALSE)*VLOOKUP($D74,素材!$1:$1016,COLUMN($E$1),FALSE)/(LEN(VLOOKUP($D74,素材!$1:$1016,COLUMN($F$1),FALSE))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M74">
        <f>IF(ISNUMBER(SEARCH(SUBSTITUTE(AM$1,RIGHT(AM$1,2),""),VLOOKUP($D74,素材!$1:$1016,COLUMN($F$1),FALSE))),VLOOKUP($C74,武器!$1:$998,COLUMN($O$1),FALSE)*VLOOKUP($D74,素材!$1:$1016,COLUMN($E$1),FALSE)/(LEN(VLOOKUP($D74,素材!$1:$1016,COLUMN($F$1),FALSE))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N74">
        <f>IF(ISNUMBER(SEARCH(SUBSTITUTE(AN$1,RIGHT(AN$1,2),""),VLOOKUP($D74,素材!$1:$1016,COLUMN($F$1),FALSE))),VLOOKUP($C74,武器!$1:$998,COLUMN($O$1),FALSE)*VLOOKUP($D74,素材!$1:$1016,COLUMN($E$1),FALSE)/(LEN(VLOOKUP($D74,素材!$1:$1016,COLUMN($F$1),FALSE))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O74">
        <f>IF(ISNUMBER(SEARCH(SUBSTITUTE(AO$1,RIGHT(AO$1,2),""),VLOOKUP($D74,素材!$1:$1016,COLUMN($F$1),FALSE))),VLOOKUP($C74,武器!$1:$998,COLUMN($O$1),FALSE)*VLOOKUP($D74,素材!$1:$1016,COLUMN($E$1),FALSE)/(LEN(VLOOKUP($D74,素材!$1:$1016,COLUMN($F$1),FALSE))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P74">
        <f>IF(ISNUMBER(SEARCH(SUBSTITUTE(AP$1,RIGHT(AP$1,2),""),VLOOKUP($D74,素材!$1:$1016,COLUMN($F$1),FALSE))),VLOOKUP($C74,武器!$1:$998,COLUMN($O$1),FALSE)*VLOOKUP($D74,素材!$1:$1016,COLUMN($E$1),FALSE)/(LEN(VLOOKUP($D74,素材!$1:$1016,COLUMN($F$1),FALSE))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Q74">
        <f>IF(ISNUMBER(SEARCH(SUBSTITUTE(AQ$1,RIGHT(AQ$1,2),""),VLOOKUP($D74,素材!$1:$1016,COLUMN($F$1),FALSE))),VLOOKUP($C74,武器!$1:$998,COLUMN($O$1),FALSE)*VLOOKUP($D74,素材!$1:$1016,COLUMN($E$1),FALSE)/(LEN(VLOOKUP($D74,素材!$1:$1016,COLUMN($F$1),FALSE))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R74">
        <f>IF(ISNUMBER(SEARCH(SUBSTITUTE(AR$1,RIGHT(AR$1,2),""),VLOOKUP($D74,素材!$1:$1016,COLUMN($F$1),FALSE))),VLOOKUP($C74,武器!$1:$998,COLUMN($O$1),FALSE)*VLOOKUP($D74,素材!$1:$1016,COLUMN($E$1),FALSE)/(LEN(VLOOKUP($D74,素材!$1:$1016,COLUMN($F$1),FALSE))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S74">
        <f>IF(ISNUMBER(SEARCH(SUBSTITUTE(AS$1,RIGHT(AS$1,2),""),VLOOKUP($D74,素材!$1:$1016,COLUMN($F$1),FALSE))),VLOOKUP($C74,武器!$1:$998,COLUMN($O$1),FALSE)*VLOOKUP($D74,素材!$1:$1016,COLUMN($E$1),FALSE)/(LEN(VLOOKUP($D74,素材!$1:$1016,COLUMN($F$1),FALSE))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T74">
        <f>IF(ISNUMBER(SEARCH(SUBSTITUTE(AT$1,RIGHT(AT$1,2),""),VLOOKUP($D74,素材!$1:$1016,COLUMN($F$1),FALSE))),VLOOKUP($C74,武器!$1:$998,COLUMN($O$1),FALSE)*VLOOKUP($D74,素材!$1:$1016,COLUMN($E$1),FALSE)/(LEN(VLOOKUP($D74,素材!$1:$1016,COLUMN($F$1),FALSE))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U74">
        <f>IF(ISNUMBER(SEARCH(SUBSTITUTE(AU$1,RIGHT(AU$1,2),""),VLOOKUP($D74,素材!$1:$1016,COLUMN($F$1),FALSE))),VLOOKUP($C74,武器!$1:$998,COLUMN($O$1),FALSE)*VLOOKUP($D74,素材!$1:$1016,COLUMN($E$1),FALSE)/(LEN(VLOOKUP($D74,素材!$1:$1016,COLUMN($F$1),FALSE))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V74">
        <f>IF(ISNUMBER(SEARCH(SUBSTITUTE(AV$1,RIGHT(AV$1,2),""),VLOOKUP($D74,素材!$1:$1016,COLUMN($F$1),FALSE))),VLOOKUP($C74,武器!$1:$998,COLUMN($O$1),FALSE)*VLOOKUP($D74,素材!$1:$1016,COLUMN($E$1),FALSE)/(LEN(VLOOKUP($D74,素材!$1:$1016,COLUMN($F$1),FALSE))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W74">
        <f>IF(ISNUMBER(SEARCH(SUBSTITUTE(AW$1,RIGHT(AW$1,2),""),VLOOKUP($D74,素材!$1:$1016,COLUMN($F$1),FALSE))),VLOOKUP($C74,武器!$1:$998,COLUMN($O$1),FALSE)*VLOOKUP($D74,素材!$1:$1016,COLUMN($E$1),FALSE)/(LEN(VLOOKUP($D74,素材!$1:$1016,COLUMN($F$1),FALSE))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X74">
        <f>IF(ISNUMBER(SEARCH(SUBSTITUTE(AX$1,RIGHT(AX$1,2),""),VLOOKUP($D74,素材!$1:$1016,COLUMN($F$1),FALSE))),VLOOKUP($C74,武器!$1:$998,COLUMN($O$1),FALSE)*VLOOKUP($D74,素材!$1:$1016,COLUMN($E$1),FALSE)/(LEN(VLOOKUP($D74,素材!$1:$1016,COLUMN($F$1),FALSE))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Y74">
        <f>IF(ISNUMBER(SEARCH(SUBSTITUTE(AY$1,RIGHT(AY$1,2),""),VLOOKUP($D74,素材!$1:$1016,COLUMN($F$1),FALSE))),VLOOKUP($C74,武器!$1:$998,COLUMN($O$1),FALSE)*VLOOKUP($D74,素材!$1:$1016,COLUMN($E$1),FALSE)/(LEN(VLOOKUP($D74,素材!$1:$1016,COLUMN($F$1),FALSE))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AZ74">
        <f>IF(ISNUMBER(SEARCH(SUBSTITUTE(AZ$1,RIGHT(AZ$1,2),""),VLOOKUP($D74,素材!$1:$1016,COLUMN($F$1),FALSE))),VLOOKUP($C74,武器!$1:$998,COLUMN($O$1),FALSE)*VLOOKUP($D74,素材!$1:$1016,COLUMN($E$1),FALSE)/(LEN(VLOOKUP($D74,素材!$1:$1016,COLUMN($F$1),FALSE))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BA74">
        <f>IF(ISNUMBER(SEARCH(SUBSTITUTE(BA$1,RIGHT(BA$1,2),""),VLOOKUP($D74,素材!$1:$1016,COLUMN($F$1),FALSE))),VLOOKUP($C74,武器!$1:$998,COLUMN($O$1),FALSE)*VLOOKUP($D74,素材!$1:$1016,COLUMN($E$1),FALSE)/(LEN(VLOOKUP($D74,素材!$1:$1016,COLUMN($F$1),FALSE))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BB74">
        <f>IF(ISNUMBER(SEARCH(SUBSTITUTE(BB$1,RIGHT(BB$1,2),""),VLOOKUP($D74,素材!$1:$1016,COLUMN($F$1),FALSE))),VLOOKUP($C74,武器!$1:$998,COLUMN($O$1),FALSE)*VLOOKUP($D74,素材!$1:$1016,COLUMN($E$1),FALSE)/(LEN(VLOOKUP($D74,素材!$1:$1016,COLUMN($F$1),FALSE))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BC74">
        <f>IF(ISNUMBER(SEARCH(SUBSTITUTE(BC$1,RIGHT(BC$1,2),""),VLOOKUP($D74,素材!$1:$1016,COLUMN($F$1),FALSE))),VLOOKUP($C74,武器!$1:$998,COLUMN($O$1),FALSE)*VLOOKUP($D74,素材!$1:$1016,COLUMN($E$1),FALSE)/(LEN(VLOOKUP($D74,素材!$1:$1016,COLUMN($F$1),FALSE))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BD74">
        <f>IF(ISNUMBER(SEARCH(SUBSTITUTE(BD$1,RIGHT(BD$1,2),""),VLOOKUP($D74,素材!$1:$1016,COLUMN($F$1),FALSE))),VLOOKUP($C74,武器!$1:$998,COLUMN($O$1),FALSE)*VLOOKUP($D74,素材!$1:$1016,COLUMN($E$1),FALSE)/(LEN(VLOOKUP($D74,素材!$1:$1016,COLUMN($F$1),FALSE))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BE74">
        <f>IF(ISNUMBER(SEARCH(SUBSTITUTE(BE$1,RIGHT(BE$1,2),""),VLOOKUP($D74,素材!$1:$1016,COLUMN($F$1),FALSE))),VLOOKUP($C74,武器!$1:$998,COLUMN($O$1),FALSE)*VLOOKUP($D74,素材!$1:$1016,COLUMN($E$1),FALSE)/(LEN(VLOOKUP($D74,素材!$1:$1016,COLUMN($F$1),FALSE))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BF74">
        <f>IF(ISNUMBER(SEARCH(SUBSTITUTE(BF$1,RIGHT(BF$1,2),""),VLOOKUP($D74,素材!$1:$1016,COLUMN($F$1),FALSE))),VLOOKUP($C74,武器!$1:$998,COLUMN($O$1),FALSE)*VLOOKUP($D74,素材!$1:$1016,COLUMN($E$1),FALSE)/(LEN(VLOOKUP($D74,素材!$1:$1016,COLUMN($F$1),FALSE)) - LEN(SUBSTITUTE(VLOOKUP($D74,素材!$1:$1016,COLUMN($F$1),FALSE), "・", 0)) + 1), 0)</f>
        <v>0</v>
      </c>
      <c r="CM74">
        <f t="shared" si="8"/>
        <v>0</v>
      </c>
      <c r="CN74" s="22" t="str">
        <f>IF(E74="武器",IF(J74-1&gt;SUM(G74:I74),"盾",IF(MAX(G74:I74)=G74,"切断",IF(MAX(G74:I74)=H74,"貫通",IF(MAX(G74:I74)=I74,"打撃","射撃")))),E74)&amp;".webp"</f>
        <v>体.webp</v>
      </c>
      <c r="CO74">
        <f>IFERROR(VLOOKUP($C74,武器!$1:$998,COLUMN(V$1),FALSE)*VLOOKUP($D74,素材!$1:$1016,COLUMN(N$1),FALSE)+IF(CJ74="",0,VLOOKUP($CJ74,装強!$1:$1008,COLUMN($CL$1),FALSE)),"")</f>
        <v>300</v>
      </c>
      <c r="CP74" t="str">
        <f>VLOOKUP(D74,素材!$A:$O,COLUMN(素材!O$1),FALSE)</f>
        <v>一般的な木材。金属より軽いが少し脆い</v>
      </c>
      <c r="CQ74" t="str">
        <f>VLOOKUP(C74,武器!$A:$W,COLUMN(武器!W$1),FALSE)</f>
        <v>HP 物理 魔法 体幹 出血 疲労 Cr</v>
      </c>
      <c r="CS74" t="str">
        <f t="shared" si="7"/>
        <v>e_74</v>
      </c>
      <c r="CT74">
        <f t="shared" si="9"/>
        <v>30000</v>
      </c>
    </row>
    <row r="75" spans="1:98" outlineLevel="1" x14ac:dyDescent="0.4">
      <c r="A75" t="str">
        <f t="shared" si="6"/>
        <v>木の胴衣</v>
      </c>
      <c r="B75" t="str">
        <f>IFERROR(VLOOKUP($D75,素材!$1:$1016,COLUMN($B$1),FALSE)&amp;"・"&amp;VLOOKUP($C75,武器!$1:$998,COLUMN(B$1),FALSE),"")</f>
        <v>ウッド・ベスト</v>
      </c>
      <c r="C75" t="s">
        <v>207</v>
      </c>
      <c r="D75" s="24" t="s">
        <v>255</v>
      </c>
      <c r="E75" t="str">
        <f>IFERROR(VLOOKUP(C75,武器!$1:$998,COLUMN(C$1),FALSE),"")</f>
        <v>体</v>
      </c>
      <c r="F75">
        <f>IFERROR(ROUNDDOWN((VLOOKUP($C75,武器!$1:$998,COLUMN(D$1),FALSE)+IFERROR(VLOOKUP($CJ75,装強!$1:$999,COLUMN(F$1),FALSE),0))*VLOOKUP($D75,素材!$1:$1016,COLUMN(D$1),FALSE),0),"")</f>
        <v>0</v>
      </c>
      <c r="G75">
        <f>IFERROR(ROUNDDOWN((VLOOKUP($C75,武器!$1:$998,COLUMN(E$1),FALSE)+IFERROR(VLOOKUP($CJ75,装強!$1:$999,COLUMN(G$1),FALSE),0))*VLOOKUP($D75,素材!$1:$1016,COLUMN($E$1),FALSE),0),"")</f>
        <v>0</v>
      </c>
      <c r="H75">
        <f>IFERROR(ROUNDDOWN((VLOOKUP($C75,武器!$1:$998,COLUMN(F$1),FALSE)+IFERROR(VLOOKUP($CJ75,装強!$1:$999,COLUMN(H$1),FALSE),0))*VLOOKUP($D75,素材!$1:$1016,COLUMN($E$1),FALSE),0),"")</f>
        <v>0</v>
      </c>
      <c r="I75">
        <f>IFERROR(ROUNDDOWN((VLOOKUP($C75,武器!$1:$998,COLUMN(G$1),FALSE)+IFERROR(VLOOKUP($CJ75,装強!$1:$999,COLUMN(I$1),FALSE),0))*VLOOKUP($D75,素材!$1:$1016,COLUMN($E$1),FALSE),0),"")</f>
        <v>0</v>
      </c>
      <c r="J75">
        <f>IFERROR(ROUNDDOWN((VLOOKUP($C75,武器!$1:$998,COLUMN(H$1),FALSE)+IFERROR(VLOOKUP($CJ75,装強!$1:$999,COLUMN(J$1),FALSE),0))*VLOOKUP($D75,素材!$1:$1016,COLUMN($E$1),FALSE),0),"")</f>
        <v>0</v>
      </c>
      <c r="K75">
        <f>IFERROR(ROUNDDOWN((VLOOKUP($C75,武器!$1:$998,COLUMN(I$1),FALSE)+IFERROR(VLOOKUP($CJ75,装強!$1:$999,COLUMN(K$1),FALSE),0))*VLOOKUP($D75,素材!$1:$1016,COLUMN($E$1),FALSE),0),"")</f>
        <v>0</v>
      </c>
      <c r="L75">
        <f>IFERROR(VLOOKUP($D75,素材!$1:$1016,COLUMN($F$1),FALSE),"")</f>
        <v>0</v>
      </c>
      <c r="M75">
        <f>IFERROR(VLOOKUP($C75,武器!$1:$998,COLUMN(AA$1),FALSE)*VLOOKUP($D75,素材!$1:$1016,COLUMN($G$1),FALSE),"")</f>
        <v>0</v>
      </c>
      <c r="N75">
        <f>IFERROR(VLOOKUP($C75,武器!$1:$998,COLUMN(I$1),FALSE),"")</f>
        <v>0</v>
      </c>
      <c r="O75" s="23">
        <f>IFERROR((VLOOKUP($C75,武器!$1:$998,COLUMN(K$1),FALSE)+VLOOKUP($D75,素材!$1:$1016,COLUMN(H$1),FALSE))*100+IFERROR(VLOOKUP($CJ75,装強!$1:$999,COLUMN(O$1),FALSE),0),"")</f>
        <v>0</v>
      </c>
      <c r="P75" s="23">
        <f>IFERROR((VLOOKUP($C75,武器!$1:$998,COLUMN(L$1),FALSE)+VLOOKUP($D75,素材!$1:$1016,COLUMN(I$1),FALSE))*100+IFERROR(VLOOKUP($CJ75,装強!$1:$999,COLUMN(P$1),FALSE),0),"")</f>
        <v>0</v>
      </c>
      <c r="Q75">
        <f>IFERROR(ROUNDUP(VLOOKUP($C75,武器!$1:$998,COLUMN(M$1),FALSE)*(VLOOKUP($D75,素材!$1:$1002,COLUMN(D$1),FALSE)/100),1),"")</f>
        <v>-5.6999999999999993</v>
      </c>
      <c r="R75">
        <f>IFERROR(ROUNDUP(VLOOKUP($C75,武器!$1:$998,COLUMN(N$1),FALSE)*(VLOOKUP($D75,素材!$1:$1002,COLUMN(D$1),FALSE)/100),1),"")</f>
        <v>0</v>
      </c>
      <c r="S75">
        <f>IFERROR(VLOOKUP($C75,武器!$1:$998,COLUMN(P$1),FALSE),"")</f>
        <v>0</v>
      </c>
      <c r="T75">
        <f>IFERROR(VLOOKUP($C75,武器!$1:$998,COLUMN(Q$1),FALSE),"")</f>
        <v>0</v>
      </c>
      <c r="U75">
        <f>IFERROR(VLOOKUP($C75,武器!$1:$998,COLUMN(R$1),FALSE),"")</f>
        <v>0</v>
      </c>
      <c r="V75">
        <f>IFERROR(VLOOKUP($C75,武器!$1:$998,COLUMN(Q$1),FALSE),"")</f>
        <v>0</v>
      </c>
      <c r="W75">
        <f>IFERROR(VLOOKUP($C75,武器!$1:$998,COLUMN(T$1),FALSE),"")</f>
        <v>0</v>
      </c>
      <c r="Y75">
        <f>IFERROR(VLOOKUP($C75,武器!$1:$998,COLUMN(U$1),FALSE),"")</f>
        <v>0</v>
      </c>
      <c r="Z75">
        <f>IFERROR(ROUNDUP(VLOOKUP($C75,武器!$1:$998,COLUMN(O$1),FALSE)*VLOOKUP($D75,素材!$1:$1016,COLUMN(E$1),FALSE),1),"")</f>
        <v>7.5</v>
      </c>
      <c r="AA75">
        <f>IF(ISNUMBER(SEARCH(SUBSTITUTE(AA$1,RIGHT(AA$1,2),""),VLOOKUP($D75,素材!$1:$1016,COLUMN($F$1),FALSE))),VLOOKUP($C75,武器!$1:$998,COLUMN($O$1),FALSE)*VLOOKUP($D75,素材!$1:$1016,COLUMN($E$1),FALSE)/(LEN(VLOOKUP($D75,素材!$1:$1016,COLUMN($F$1),FALSE))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B75">
        <f>IF(ISNUMBER(SEARCH(SUBSTITUTE(AB$1,RIGHT(AB$1,2),""),VLOOKUP($D75,素材!$1:$1016,COLUMN($F$1),FALSE))),VLOOKUP($C75,武器!$1:$998,COLUMN($O$1),FALSE)*VLOOKUP($D75,素材!$1:$1016,COLUMN($E$1),FALSE)/(LEN(VLOOKUP($D75,素材!$1:$1016,COLUMN($F$1),FALSE))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C75">
        <f>IF(ISNUMBER(SEARCH(SUBSTITUTE(AC$1,RIGHT(AC$1,2),""),VLOOKUP($D75,素材!$1:$1016,COLUMN($F$1),FALSE))),VLOOKUP($C75,武器!$1:$998,COLUMN($O$1),FALSE)*VLOOKUP($D75,素材!$1:$1016,COLUMN($E$1),FALSE)/(LEN(VLOOKUP($D75,素材!$1:$1016,COLUMN($F$1),FALSE))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D75">
        <f>IF(ISNUMBER(SEARCH(SUBSTITUTE(AD$1,RIGHT(AD$1,2),""),VLOOKUP($D75,素材!$1:$1016,COLUMN($F$1),FALSE))),VLOOKUP($C75,武器!$1:$998,COLUMN($O$1),FALSE)*VLOOKUP($D75,素材!$1:$1016,COLUMN($E$1),FALSE)/(LEN(VLOOKUP($D75,素材!$1:$1016,COLUMN($F$1),FALSE))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E75">
        <f>IF(ISNUMBER(SEARCH(SUBSTITUTE(AE$1,RIGHT(AE$1,2),""),VLOOKUP($D75,素材!$1:$1016,COLUMN($F$1),FALSE))),VLOOKUP($C75,武器!$1:$998,COLUMN($O$1),FALSE)*VLOOKUP($D75,素材!$1:$1016,COLUMN($E$1),FALSE)/(LEN(VLOOKUP($D75,素材!$1:$1016,COLUMN($F$1),FALSE))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F75">
        <f>IF(ISNUMBER(SEARCH(SUBSTITUTE(AF$1,RIGHT(AF$1,2),""),VLOOKUP($D75,素材!$1:$1016,COLUMN($F$1),FALSE))),VLOOKUP($C75,武器!$1:$998,COLUMN($O$1),FALSE)*VLOOKUP($D75,素材!$1:$1016,COLUMN($E$1),FALSE)/(LEN(VLOOKUP($D75,素材!$1:$1016,COLUMN($F$1),FALSE))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G75">
        <f>IF(ISNUMBER(SEARCH(SUBSTITUTE(AG$1,RIGHT(AG$1,2),""),VLOOKUP($D75,素材!$1:$1016,COLUMN($F$1),FALSE))),VLOOKUP($C75,武器!$1:$998,COLUMN($O$1),FALSE)*VLOOKUP($D75,素材!$1:$1016,COLUMN($E$1),FALSE)/(LEN(VLOOKUP($D75,素材!$1:$1016,COLUMN($F$1),FALSE))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H75">
        <f>IF(ISNUMBER(SEARCH(SUBSTITUTE(AH$1,RIGHT(AH$1,2),""),VLOOKUP($D75,素材!$1:$1016,COLUMN($F$1),FALSE))),VLOOKUP($C75,武器!$1:$998,COLUMN($O$1),FALSE)*VLOOKUP($D75,素材!$1:$1016,COLUMN($E$1),FALSE)/(LEN(VLOOKUP($D75,素材!$1:$1016,COLUMN($F$1),FALSE))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I75">
        <f>IF(ISNUMBER(SEARCH(SUBSTITUTE(AI$1,RIGHT(AI$1,2),""),VLOOKUP($D75,素材!$1:$1016,COLUMN($F$1),FALSE))),VLOOKUP($C75,武器!$1:$998,COLUMN($O$1),FALSE)*VLOOKUP($D75,素材!$1:$1016,COLUMN($E$1),FALSE)/(LEN(VLOOKUP($D75,素材!$1:$1016,COLUMN($F$1),FALSE))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J75">
        <f>IF(ISNUMBER(SEARCH(SUBSTITUTE(AJ$1,RIGHT(AJ$1,2),""),VLOOKUP($D75,素材!$1:$1016,COLUMN($F$1),FALSE))),VLOOKUP($C75,武器!$1:$998,COLUMN($O$1),FALSE)*VLOOKUP($D75,素材!$1:$1016,COLUMN($E$1),FALSE)/(LEN(VLOOKUP($D75,素材!$1:$1016,COLUMN($F$1),FALSE))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K75">
        <f>IF(ISNUMBER(SEARCH(SUBSTITUTE(AK$1,RIGHT(AK$1,2),""),VLOOKUP($D75,素材!$1:$1016,COLUMN($F$1),FALSE))),VLOOKUP($C75,武器!$1:$998,COLUMN($O$1),FALSE)*VLOOKUP($D75,素材!$1:$1016,COLUMN($E$1),FALSE)/(LEN(VLOOKUP($D75,素材!$1:$1016,COLUMN($F$1),FALSE))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L75">
        <f>IF(ISNUMBER(SEARCH(SUBSTITUTE(AL$1,RIGHT(AL$1,2),""),VLOOKUP($D75,素材!$1:$1016,COLUMN($F$1),FALSE))),VLOOKUP($C75,武器!$1:$998,COLUMN($O$1),FALSE)*VLOOKUP($D75,素材!$1:$1016,COLUMN($E$1),FALSE)/(LEN(VLOOKUP($D75,素材!$1:$1016,COLUMN($F$1),FALSE))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M75">
        <f>IF(ISNUMBER(SEARCH(SUBSTITUTE(AM$1,RIGHT(AM$1,2),""),VLOOKUP($D75,素材!$1:$1016,COLUMN($F$1),FALSE))),VLOOKUP($C75,武器!$1:$998,COLUMN($O$1),FALSE)*VLOOKUP($D75,素材!$1:$1016,COLUMN($E$1),FALSE)/(LEN(VLOOKUP($D75,素材!$1:$1016,COLUMN($F$1),FALSE))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N75">
        <f>IF(ISNUMBER(SEARCH(SUBSTITUTE(AN$1,RIGHT(AN$1,2),""),VLOOKUP($D75,素材!$1:$1016,COLUMN($F$1),FALSE))),VLOOKUP($C75,武器!$1:$998,COLUMN($O$1),FALSE)*VLOOKUP($D75,素材!$1:$1016,COLUMN($E$1),FALSE)/(LEN(VLOOKUP($D75,素材!$1:$1016,COLUMN($F$1),FALSE))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O75">
        <f>IF(ISNUMBER(SEARCH(SUBSTITUTE(AO$1,RIGHT(AO$1,2),""),VLOOKUP($D75,素材!$1:$1016,COLUMN($F$1),FALSE))),VLOOKUP($C75,武器!$1:$998,COLUMN($O$1),FALSE)*VLOOKUP($D75,素材!$1:$1016,COLUMN($E$1),FALSE)/(LEN(VLOOKUP($D75,素材!$1:$1016,COLUMN($F$1),FALSE))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P75">
        <f>IF(ISNUMBER(SEARCH(SUBSTITUTE(AP$1,RIGHT(AP$1,2),""),VLOOKUP($D75,素材!$1:$1016,COLUMN($F$1),FALSE))),VLOOKUP($C75,武器!$1:$998,COLUMN($O$1),FALSE)*VLOOKUP($D75,素材!$1:$1016,COLUMN($E$1),FALSE)/(LEN(VLOOKUP($D75,素材!$1:$1016,COLUMN($F$1),FALSE))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Q75">
        <f>IF(ISNUMBER(SEARCH(SUBSTITUTE(AQ$1,RIGHT(AQ$1,2),""),VLOOKUP($D75,素材!$1:$1016,COLUMN($F$1),FALSE))),VLOOKUP($C75,武器!$1:$998,COLUMN($O$1),FALSE)*VLOOKUP($D75,素材!$1:$1016,COLUMN($E$1),FALSE)/(LEN(VLOOKUP($D75,素材!$1:$1016,COLUMN($F$1),FALSE))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R75">
        <f>IF(ISNUMBER(SEARCH(SUBSTITUTE(AR$1,RIGHT(AR$1,2),""),VLOOKUP($D75,素材!$1:$1016,COLUMN($F$1),FALSE))),VLOOKUP($C75,武器!$1:$998,COLUMN($O$1),FALSE)*VLOOKUP($D75,素材!$1:$1016,COLUMN($E$1),FALSE)/(LEN(VLOOKUP($D75,素材!$1:$1016,COLUMN($F$1),FALSE))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S75">
        <f>IF(ISNUMBER(SEARCH(SUBSTITUTE(AS$1,RIGHT(AS$1,2),""),VLOOKUP($D75,素材!$1:$1016,COLUMN($F$1),FALSE))),VLOOKUP($C75,武器!$1:$998,COLUMN($O$1),FALSE)*VLOOKUP($D75,素材!$1:$1016,COLUMN($E$1),FALSE)/(LEN(VLOOKUP($D75,素材!$1:$1016,COLUMN($F$1),FALSE))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T75">
        <f>IF(ISNUMBER(SEARCH(SUBSTITUTE(AT$1,RIGHT(AT$1,2),""),VLOOKUP($D75,素材!$1:$1016,COLUMN($F$1),FALSE))),VLOOKUP($C75,武器!$1:$998,COLUMN($O$1),FALSE)*VLOOKUP($D75,素材!$1:$1016,COLUMN($E$1),FALSE)/(LEN(VLOOKUP($D75,素材!$1:$1016,COLUMN($F$1),FALSE))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U75">
        <f>IF(ISNUMBER(SEARCH(SUBSTITUTE(AU$1,RIGHT(AU$1,2),""),VLOOKUP($D75,素材!$1:$1016,COLUMN($F$1),FALSE))),VLOOKUP($C75,武器!$1:$998,COLUMN($O$1),FALSE)*VLOOKUP($D75,素材!$1:$1016,COLUMN($E$1),FALSE)/(LEN(VLOOKUP($D75,素材!$1:$1016,COLUMN($F$1),FALSE))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V75">
        <f>IF(ISNUMBER(SEARCH(SUBSTITUTE(AV$1,RIGHT(AV$1,2),""),VLOOKUP($D75,素材!$1:$1016,COLUMN($F$1),FALSE))),VLOOKUP($C75,武器!$1:$998,COLUMN($O$1),FALSE)*VLOOKUP($D75,素材!$1:$1016,COLUMN($E$1),FALSE)/(LEN(VLOOKUP($D75,素材!$1:$1016,COLUMN($F$1),FALSE))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W75">
        <f>IF(ISNUMBER(SEARCH(SUBSTITUTE(AW$1,RIGHT(AW$1,2),""),VLOOKUP($D75,素材!$1:$1016,COLUMN($F$1),FALSE))),VLOOKUP($C75,武器!$1:$998,COLUMN($O$1),FALSE)*VLOOKUP($D75,素材!$1:$1016,COLUMN($E$1),FALSE)/(LEN(VLOOKUP($D75,素材!$1:$1016,COLUMN($F$1),FALSE))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X75">
        <f>IF(ISNUMBER(SEARCH(SUBSTITUTE(AX$1,RIGHT(AX$1,2),""),VLOOKUP($D75,素材!$1:$1016,COLUMN($F$1),FALSE))),VLOOKUP($C75,武器!$1:$998,COLUMN($O$1),FALSE)*VLOOKUP($D75,素材!$1:$1016,COLUMN($E$1),FALSE)/(LEN(VLOOKUP($D75,素材!$1:$1016,COLUMN($F$1),FALSE))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Y75">
        <f>IF(ISNUMBER(SEARCH(SUBSTITUTE(AY$1,RIGHT(AY$1,2),""),VLOOKUP($D75,素材!$1:$1016,COLUMN($F$1),FALSE))),VLOOKUP($C75,武器!$1:$998,COLUMN($O$1),FALSE)*VLOOKUP($D75,素材!$1:$1016,COLUMN($E$1),FALSE)/(LEN(VLOOKUP($D75,素材!$1:$1016,COLUMN($F$1),FALSE))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AZ75">
        <f>IF(ISNUMBER(SEARCH(SUBSTITUTE(AZ$1,RIGHT(AZ$1,2),""),VLOOKUP($D75,素材!$1:$1016,COLUMN($F$1),FALSE))),VLOOKUP($C75,武器!$1:$998,COLUMN($O$1),FALSE)*VLOOKUP($D75,素材!$1:$1016,COLUMN($E$1),FALSE)/(LEN(VLOOKUP($D75,素材!$1:$1016,COLUMN($F$1),FALSE))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BA75">
        <f>IF(ISNUMBER(SEARCH(SUBSTITUTE(BA$1,RIGHT(BA$1,2),""),VLOOKUP($D75,素材!$1:$1016,COLUMN($F$1),FALSE))),VLOOKUP($C75,武器!$1:$998,COLUMN($O$1),FALSE)*VLOOKUP($D75,素材!$1:$1016,COLUMN($E$1),FALSE)/(LEN(VLOOKUP($D75,素材!$1:$1016,COLUMN($F$1),FALSE))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BB75">
        <f>IF(ISNUMBER(SEARCH(SUBSTITUTE(BB$1,RIGHT(BB$1,2),""),VLOOKUP($D75,素材!$1:$1016,COLUMN($F$1),FALSE))),VLOOKUP($C75,武器!$1:$998,COLUMN($O$1),FALSE)*VLOOKUP($D75,素材!$1:$1016,COLUMN($E$1),FALSE)/(LEN(VLOOKUP($D75,素材!$1:$1016,COLUMN($F$1),FALSE))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BC75">
        <f>IF(ISNUMBER(SEARCH(SUBSTITUTE(BC$1,RIGHT(BC$1,2),""),VLOOKUP($D75,素材!$1:$1016,COLUMN($F$1),FALSE))),VLOOKUP($C75,武器!$1:$998,COLUMN($O$1),FALSE)*VLOOKUP($D75,素材!$1:$1016,COLUMN($E$1),FALSE)/(LEN(VLOOKUP($D75,素材!$1:$1016,COLUMN($F$1),FALSE))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BD75">
        <f>IF(ISNUMBER(SEARCH(SUBSTITUTE(BD$1,RIGHT(BD$1,2),""),VLOOKUP($D75,素材!$1:$1016,COLUMN($F$1),FALSE))),VLOOKUP($C75,武器!$1:$998,COLUMN($O$1),FALSE)*VLOOKUP($D75,素材!$1:$1016,COLUMN($E$1),FALSE)/(LEN(VLOOKUP($D75,素材!$1:$1016,COLUMN($F$1),FALSE))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BE75">
        <f>IF(ISNUMBER(SEARCH(SUBSTITUTE(BE$1,RIGHT(BE$1,2),""),VLOOKUP($D75,素材!$1:$1016,COLUMN($F$1),FALSE))),VLOOKUP($C75,武器!$1:$998,COLUMN($O$1),FALSE)*VLOOKUP($D75,素材!$1:$1016,COLUMN($E$1),FALSE)/(LEN(VLOOKUP($D75,素材!$1:$1016,COLUMN($F$1),FALSE))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BF75">
        <f>IF(ISNUMBER(SEARCH(SUBSTITUTE(BF$1,RIGHT(BF$1,2),""),VLOOKUP($D75,素材!$1:$1016,COLUMN($F$1),FALSE))),VLOOKUP($C75,武器!$1:$998,COLUMN($O$1),FALSE)*VLOOKUP($D75,素材!$1:$1016,COLUMN($E$1),FALSE)/(LEN(VLOOKUP($D75,素材!$1:$1016,COLUMN($F$1),FALSE)) - LEN(SUBSTITUTE(VLOOKUP($D75,素材!$1:$1016,COLUMN($F$1),FALSE), "・", 0)) + 1), 0)</f>
        <v>0</v>
      </c>
      <c r="CM75">
        <f t="shared" si="8"/>
        <v>0</v>
      </c>
      <c r="CN75" s="22" t="str">
        <f>IF(E75="武器",IF(J75-1&gt;SUM(G75:I75),"盾",IF(MAX(G75:I75)=G75,"切断",IF(MAX(G75:I75)=H75,"貫通",IF(MAX(G75:I75)=I75,"打撃","射撃")))),E75)&amp;".webp"</f>
        <v>体.webp</v>
      </c>
      <c r="CO75">
        <f>IFERROR(VLOOKUP($C75,武器!$1:$998,COLUMN(V$1),FALSE)*VLOOKUP($D75,素材!$1:$1016,COLUMN(N$1),FALSE)+IF(CJ75="",0,VLOOKUP($CJ75,装強!$1:$1008,COLUMN($CL$1),FALSE)),"")</f>
        <v>250</v>
      </c>
      <c r="CP75" t="str">
        <f>VLOOKUP(D75,素材!$A:$O,COLUMN(素材!O$1),FALSE)</f>
        <v>一般的な木材。金属より軽いが少し脆い</v>
      </c>
      <c r="CQ75" t="str">
        <f>VLOOKUP(C75,武器!$A:$W,COLUMN(武器!W$1),FALSE)</f>
        <v>HP 物理 魔法 体幹 出血 疲労 Cr</v>
      </c>
      <c r="CS75" t="str">
        <f t="shared" si="7"/>
        <v>e_75</v>
      </c>
      <c r="CT75">
        <f t="shared" si="9"/>
        <v>25000</v>
      </c>
    </row>
    <row r="76" spans="1:98" outlineLevel="1" x14ac:dyDescent="0.4">
      <c r="A76" t="str">
        <f t="shared" si="6"/>
        <v>木の靴</v>
      </c>
      <c r="B76" t="str">
        <f>IFERROR(VLOOKUP($D76,素材!$1:$1016,COLUMN($B$1),FALSE)&amp;"・"&amp;VLOOKUP($C76,武器!$1:$998,COLUMN(B$1),FALSE),"")</f>
        <v>ウッド・ブーツ</v>
      </c>
      <c r="C76" t="s">
        <v>206</v>
      </c>
      <c r="D76" s="24" t="s">
        <v>255</v>
      </c>
      <c r="E76" t="str">
        <f>IFERROR(VLOOKUP(C76,武器!$1:$998,COLUMN(C$1),FALSE),"")</f>
        <v>足</v>
      </c>
      <c r="F76">
        <f>IFERROR(ROUNDDOWN((VLOOKUP($C76,武器!$1:$998,COLUMN(D$1),FALSE)+IFERROR(VLOOKUP($CJ76,装強!$1:$999,COLUMN(F$1),FALSE),0))*VLOOKUP($D76,素材!$1:$1016,COLUMN(D$1),FALSE),0),"")</f>
        <v>0</v>
      </c>
      <c r="G76">
        <f>IFERROR(ROUNDDOWN((VLOOKUP($C76,武器!$1:$998,COLUMN(E$1),FALSE)+IFERROR(VLOOKUP($CJ76,装強!$1:$999,COLUMN(G$1),FALSE),0))*VLOOKUP($D76,素材!$1:$1016,COLUMN($E$1),FALSE),0),"")</f>
        <v>0</v>
      </c>
      <c r="H76">
        <f>IFERROR(ROUNDDOWN((VLOOKUP($C76,武器!$1:$998,COLUMN(F$1),FALSE)+IFERROR(VLOOKUP($CJ76,装強!$1:$999,COLUMN(H$1),FALSE),0))*VLOOKUP($D76,素材!$1:$1016,COLUMN($E$1),FALSE),0),"")</f>
        <v>0</v>
      </c>
      <c r="I76">
        <f>IFERROR(ROUNDDOWN((VLOOKUP($C76,武器!$1:$998,COLUMN(G$1),FALSE)+IFERROR(VLOOKUP($CJ76,装強!$1:$999,COLUMN(I$1),FALSE),0))*VLOOKUP($D76,素材!$1:$1016,COLUMN($E$1),FALSE),0),"")</f>
        <v>15</v>
      </c>
      <c r="J76">
        <f>IFERROR(ROUNDDOWN((VLOOKUP($C76,武器!$1:$998,COLUMN(H$1),FALSE)+IFERROR(VLOOKUP($CJ76,装強!$1:$999,COLUMN(J$1),FALSE),0))*VLOOKUP($D76,素材!$1:$1016,COLUMN($E$1),FALSE),0),"")</f>
        <v>0</v>
      </c>
      <c r="K76">
        <f>IFERROR(ROUNDDOWN((VLOOKUP($C76,武器!$1:$998,COLUMN(I$1),FALSE)+IFERROR(VLOOKUP($CJ76,装強!$1:$999,COLUMN(K$1),FALSE),0))*VLOOKUP($D76,素材!$1:$1016,COLUMN($E$1),FALSE),0),"")</f>
        <v>0</v>
      </c>
      <c r="L76">
        <f>IFERROR(VLOOKUP($D76,素材!$1:$1016,COLUMN($F$1),FALSE),"")</f>
        <v>0</v>
      </c>
      <c r="M76">
        <f>IFERROR(VLOOKUP($C76,武器!$1:$998,COLUMN(AA$1),FALSE)*VLOOKUP($D76,素材!$1:$1016,COLUMN($G$1),FALSE),"")</f>
        <v>0</v>
      </c>
      <c r="N76">
        <f>IFERROR(VLOOKUP($C76,武器!$1:$998,COLUMN(I$1),FALSE),"")</f>
        <v>0</v>
      </c>
      <c r="O76" s="23">
        <f>IFERROR((VLOOKUP($C76,武器!$1:$998,COLUMN(K$1),FALSE)+VLOOKUP($D76,素材!$1:$1016,COLUMN(H$1),FALSE))*100+IFERROR(VLOOKUP($CJ76,装強!$1:$999,COLUMN(O$1),FALSE),0),"")</f>
        <v>10</v>
      </c>
      <c r="P76" s="23">
        <f>IFERROR((VLOOKUP($C76,武器!$1:$998,COLUMN(L$1),FALSE)+VLOOKUP($D76,素材!$1:$1016,COLUMN(I$1),FALSE))*100+IFERROR(VLOOKUP($CJ76,装強!$1:$999,COLUMN(P$1),FALSE),0),"")</f>
        <v>150</v>
      </c>
      <c r="Q76">
        <f>IFERROR(ROUNDUP(VLOOKUP($C76,武器!$1:$998,COLUMN(M$1),FALSE)*(VLOOKUP($D76,素材!$1:$1002,COLUMN(D$1),FALSE)/100),1),"")</f>
        <v>0</v>
      </c>
      <c r="R76">
        <f>IFERROR(ROUNDUP(VLOOKUP($C76,武器!$1:$998,COLUMN(N$1),FALSE)*(VLOOKUP($D76,素材!$1:$1002,COLUMN(D$1),FALSE)/100),1),"")</f>
        <v>0</v>
      </c>
      <c r="S76">
        <f>IFERROR(VLOOKUP($C76,武器!$1:$998,COLUMN(P$1),FALSE),"")</f>
        <v>0</v>
      </c>
      <c r="T76">
        <f>IFERROR(VLOOKUP($C76,武器!$1:$998,COLUMN(Q$1),FALSE),"")</f>
        <v>0</v>
      </c>
      <c r="U76">
        <f>IFERROR(VLOOKUP($C76,武器!$1:$998,COLUMN(R$1),FALSE),"")</f>
        <v>0</v>
      </c>
      <c r="V76">
        <f>IFERROR(VLOOKUP($C76,武器!$1:$998,COLUMN(Q$1),FALSE),"")</f>
        <v>0</v>
      </c>
      <c r="W76">
        <f>IFERROR(VLOOKUP($C76,武器!$1:$998,COLUMN(T$1),FALSE),"")</f>
        <v>0</v>
      </c>
      <c r="Y76" t="str">
        <f>IFERROR(VLOOKUP($C76,武器!$1:$998,COLUMN(U$1),FALSE),"")</f>
        <v>足</v>
      </c>
      <c r="Z76">
        <f>IFERROR(ROUNDUP(VLOOKUP($C76,武器!$1:$998,COLUMN(O$1),FALSE)*VLOOKUP($D76,素材!$1:$1016,COLUMN(E$1),FALSE),1),"")</f>
        <v>2.3000000000000003</v>
      </c>
      <c r="AA76">
        <f>IF(ISNUMBER(SEARCH(SUBSTITUTE(AA$1,RIGHT(AA$1,2),""),VLOOKUP($D76,素材!$1:$1016,COLUMN($F$1),FALSE))),VLOOKUP($C76,武器!$1:$998,COLUMN($O$1),FALSE)*VLOOKUP($D76,素材!$1:$1016,COLUMN($E$1),FALSE)/(LEN(VLOOKUP($D76,素材!$1:$1016,COLUMN($F$1),FALSE))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B76">
        <f>IF(ISNUMBER(SEARCH(SUBSTITUTE(AB$1,RIGHT(AB$1,2),""),VLOOKUP($D76,素材!$1:$1016,COLUMN($F$1),FALSE))),VLOOKUP($C76,武器!$1:$998,COLUMN($O$1),FALSE)*VLOOKUP($D76,素材!$1:$1016,COLUMN($E$1),FALSE)/(LEN(VLOOKUP($D76,素材!$1:$1016,COLUMN($F$1),FALSE))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C76">
        <f>IF(ISNUMBER(SEARCH(SUBSTITUTE(AC$1,RIGHT(AC$1,2),""),VLOOKUP($D76,素材!$1:$1016,COLUMN($F$1),FALSE))),VLOOKUP($C76,武器!$1:$998,COLUMN($O$1),FALSE)*VLOOKUP($D76,素材!$1:$1016,COLUMN($E$1),FALSE)/(LEN(VLOOKUP($D76,素材!$1:$1016,COLUMN($F$1),FALSE))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D76">
        <f>IF(ISNUMBER(SEARCH(SUBSTITUTE(AD$1,RIGHT(AD$1,2),""),VLOOKUP($D76,素材!$1:$1016,COLUMN($F$1),FALSE))),VLOOKUP($C76,武器!$1:$998,COLUMN($O$1),FALSE)*VLOOKUP($D76,素材!$1:$1016,COLUMN($E$1),FALSE)/(LEN(VLOOKUP($D76,素材!$1:$1016,COLUMN($F$1),FALSE))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E76">
        <f>IF(ISNUMBER(SEARCH(SUBSTITUTE(AE$1,RIGHT(AE$1,2),""),VLOOKUP($D76,素材!$1:$1016,COLUMN($F$1),FALSE))),VLOOKUP($C76,武器!$1:$998,COLUMN($O$1),FALSE)*VLOOKUP($D76,素材!$1:$1016,COLUMN($E$1),FALSE)/(LEN(VLOOKUP($D76,素材!$1:$1016,COLUMN($F$1),FALSE))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F76">
        <f>IF(ISNUMBER(SEARCH(SUBSTITUTE(AF$1,RIGHT(AF$1,2),""),VLOOKUP($D76,素材!$1:$1016,COLUMN($F$1),FALSE))),VLOOKUP($C76,武器!$1:$998,COLUMN($O$1),FALSE)*VLOOKUP($D76,素材!$1:$1016,COLUMN($E$1),FALSE)/(LEN(VLOOKUP($D76,素材!$1:$1016,COLUMN($F$1),FALSE))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G76">
        <f>IF(ISNUMBER(SEARCH(SUBSTITUTE(AG$1,RIGHT(AG$1,2),""),VLOOKUP($D76,素材!$1:$1016,COLUMN($F$1),FALSE))),VLOOKUP($C76,武器!$1:$998,COLUMN($O$1),FALSE)*VLOOKUP($D76,素材!$1:$1016,COLUMN($E$1),FALSE)/(LEN(VLOOKUP($D76,素材!$1:$1016,COLUMN($F$1),FALSE))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H76">
        <f>IF(ISNUMBER(SEARCH(SUBSTITUTE(AH$1,RIGHT(AH$1,2),""),VLOOKUP($D76,素材!$1:$1016,COLUMN($F$1),FALSE))),VLOOKUP($C76,武器!$1:$998,COLUMN($O$1),FALSE)*VLOOKUP($D76,素材!$1:$1016,COLUMN($E$1),FALSE)/(LEN(VLOOKUP($D76,素材!$1:$1016,COLUMN($F$1),FALSE))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I76">
        <f>IF(ISNUMBER(SEARCH(SUBSTITUTE(AI$1,RIGHT(AI$1,2),""),VLOOKUP($D76,素材!$1:$1016,COLUMN($F$1),FALSE))),VLOOKUP($C76,武器!$1:$998,COLUMN($O$1),FALSE)*VLOOKUP($D76,素材!$1:$1016,COLUMN($E$1),FALSE)/(LEN(VLOOKUP($D76,素材!$1:$1016,COLUMN($F$1),FALSE))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J76">
        <f>IF(ISNUMBER(SEARCH(SUBSTITUTE(AJ$1,RIGHT(AJ$1,2),""),VLOOKUP($D76,素材!$1:$1016,COLUMN($F$1),FALSE))),VLOOKUP($C76,武器!$1:$998,COLUMN($O$1),FALSE)*VLOOKUP($D76,素材!$1:$1016,COLUMN($E$1),FALSE)/(LEN(VLOOKUP($D76,素材!$1:$1016,COLUMN($F$1),FALSE))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K76">
        <f>IF(ISNUMBER(SEARCH(SUBSTITUTE(AK$1,RIGHT(AK$1,2),""),VLOOKUP($D76,素材!$1:$1016,COLUMN($F$1),FALSE))),VLOOKUP($C76,武器!$1:$998,COLUMN($O$1),FALSE)*VLOOKUP($D76,素材!$1:$1016,COLUMN($E$1),FALSE)/(LEN(VLOOKUP($D76,素材!$1:$1016,COLUMN($F$1),FALSE))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L76">
        <f>IF(ISNUMBER(SEARCH(SUBSTITUTE(AL$1,RIGHT(AL$1,2),""),VLOOKUP($D76,素材!$1:$1016,COLUMN($F$1),FALSE))),VLOOKUP($C76,武器!$1:$998,COLUMN($O$1),FALSE)*VLOOKUP($D76,素材!$1:$1016,COLUMN($E$1),FALSE)/(LEN(VLOOKUP($D76,素材!$1:$1016,COLUMN($F$1),FALSE))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M76">
        <f>IF(ISNUMBER(SEARCH(SUBSTITUTE(AM$1,RIGHT(AM$1,2),""),VLOOKUP($D76,素材!$1:$1016,COLUMN($F$1),FALSE))),VLOOKUP($C76,武器!$1:$998,COLUMN($O$1),FALSE)*VLOOKUP($D76,素材!$1:$1016,COLUMN($E$1),FALSE)/(LEN(VLOOKUP($D76,素材!$1:$1016,COLUMN($F$1),FALSE))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N76">
        <f>IF(ISNUMBER(SEARCH(SUBSTITUTE(AN$1,RIGHT(AN$1,2),""),VLOOKUP($D76,素材!$1:$1016,COLUMN($F$1),FALSE))),VLOOKUP($C76,武器!$1:$998,COLUMN($O$1),FALSE)*VLOOKUP($D76,素材!$1:$1016,COLUMN($E$1),FALSE)/(LEN(VLOOKUP($D76,素材!$1:$1016,COLUMN($F$1),FALSE))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O76">
        <f>IF(ISNUMBER(SEARCH(SUBSTITUTE(AO$1,RIGHT(AO$1,2),""),VLOOKUP($D76,素材!$1:$1016,COLUMN($F$1),FALSE))),VLOOKUP($C76,武器!$1:$998,COLUMN($O$1),FALSE)*VLOOKUP($D76,素材!$1:$1016,COLUMN($E$1),FALSE)/(LEN(VLOOKUP($D76,素材!$1:$1016,COLUMN($F$1),FALSE))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P76">
        <f>IF(ISNUMBER(SEARCH(SUBSTITUTE(AP$1,RIGHT(AP$1,2),""),VLOOKUP($D76,素材!$1:$1016,COLUMN($F$1),FALSE))),VLOOKUP($C76,武器!$1:$998,COLUMN($O$1),FALSE)*VLOOKUP($D76,素材!$1:$1016,COLUMN($E$1),FALSE)/(LEN(VLOOKUP($D76,素材!$1:$1016,COLUMN($F$1),FALSE))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Q76">
        <f>IF(ISNUMBER(SEARCH(SUBSTITUTE(AQ$1,RIGHT(AQ$1,2),""),VLOOKUP($D76,素材!$1:$1016,COLUMN($F$1),FALSE))),VLOOKUP($C76,武器!$1:$998,COLUMN($O$1),FALSE)*VLOOKUP($D76,素材!$1:$1016,COLUMN($E$1),FALSE)/(LEN(VLOOKUP($D76,素材!$1:$1016,COLUMN($F$1),FALSE))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R76">
        <f>IF(ISNUMBER(SEARCH(SUBSTITUTE(AR$1,RIGHT(AR$1,2),""),VLOOKUP($D76,素材!$1:$1016,COLUMN($F$1),FALSE))),VLOOKUP($C76,武器!$1:$998,COLUMN($O$1),FALSE)*VLOOKUP($D76,素材!$1:$1016,COLUMN($E$1),FALSE)/(LEN(VLOOKUP($D76,素材!$1:$1016,COLUMN($F$1),FALSE))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S76">
        <f>IF(ISNUMBER(SEARCH(SUBSTITUTE(AS$1,RIGHT(AS$1,2),""),VLOOKUP($D76,素材!$1:$1016,COLUMN($F$1),FALSE))),VLOOKUP($C76,武器!$1:$998,COLUMN($O$1),FALSE)*VLOOKUP($D76,素材!$1:$1016,COLUMN($E$1),FALSE)/(LEN(VLOOKUP($D76,素材!$1:$1016,COLUMN($F$1),FALSE))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T76">
        <f>IF(ISNUMBER(SEARCH(SUBSTITUTE(AT$1,RIGHT(AT$1,2),""),VLOOKUP($D76,素材!$1:$1016,COLUMN($F$1),FALSE))),VLOOKUP($C76,武器!$1:$998,COLUMN($O$1),FALSE)*VLOOKUP($D76,素材!$1:$1016,COLUMN($E$1),FALSE)/(LEN(VLOOKUP($D76,素材!$1:$1016,COLUMN($F$1),FALSE))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U76">
        <f>IF(ISNUMBER(SEARCH(SUBSTITUTE(AU$1,RIGHT(AU$1,2),""),VLOOKUP($D76,素材!$1:$1016,COLUMN($F$1),FALSE))),VLOOKUP($C76,武器!$1:$998,COLUMN($O$1),FALSE)*VLOOKUP($D76,素材!$1:$1016,COLUMN($E$1),FALSE)/(LEN(VLOOKUP($D76,素材!$1:$1016,COLUMN($F$1),FALSE))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V76">
        <f>IF(ISNUMBER(SEARCH(SUBSTITUTE(AV$1,RIGHT(AV$1,2),""),VLOOKUP($D76,素材!$1:$1016,COLUMN($F$1),FALSE))),VLOOKUP($C76,武器!$1:$998,COLUMN($O$1),FALSE)*VLOOKUP($D76,素材!$1:$1016,COLUMN($E$1),FALSE)/(LEN(VLOOKUP($D76,素材!$1:$1016,COLUMN($F$1),FALSE))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W76">
        <f>IF(ISNUMBER(SEARCH(SUBSTITUTE(AW$1,RIGHT(AW$1,2),""),VLOOKUP($D76,素材!$1:$1016,COLUMN($F$1),FALSE))),VLOOKUP($C76,武器!$1:$998,COLUMN($O$1),FALSE)*VLOOKUP($D76,素材!$1:$1016,COLUMN($E$1),FALSE)/(LEN(VLOOKUP($D76,素材!$1:$1016,COLUMN($F$1),FALSE))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X76">
        <f>IF(ISNUMBER(SEARCH(SUBSTITUTE(AX$1,RIGHT(AX$1,2),""),VLOOKUP($D76,素材!$1:$1016,COLUMN($F$1),FALSE))),VLOOKUP($C76,武器!$1:$998,COLUMN($O$1),FALSE)*VLOOKUP($D76,素材!$1:$1016,COLUMN($E$1),FALSE)/(LEN(VLOOKUP($D76,素材!$1:$1016,COLUMN($F$1),FALSE))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Y76">
        <f>IF(ISNUMBER(SEARCH(SUBSTITUTE(AY$1,RIGHT(AY$1,2),""),VLOOKUP($D76,素材!$1:$1016,COLUMN($F$1),FALSE))),VLOOKUP($C76,武器!$1:$998,COLUMN($O$1),FALSE)*VLOOKUP($D76,素材!$1:$1016,COLUMN($E$1),FALSE)/(LEN(VLOOKUP($D76,素材!$1:$1016,COLUMN($F$1),FALSE))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AZ76">
        <f>IF(ISNUMBER(SEARCH(SUBSTITUTE(AZ$1,RIGHT(AZ$1,2),""),VLOOKUP($D76,素材!$1:$1016,COLUMN($F$1),FALSE))),VLOOKUP($C76,武器!$1:$998,COLUMN($O$1),FALSE)*VLOOKUP($D76,素材!$1:$1016,COLUMN($E$1),FALSE)/(LEN(VLOOKUP($D76,素材!$1:$1016,COLUMN($F$1),FALSE))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BA76">
        <f>IF(ISNUMBER(SEARCH(SUBSTITUTE(BA$1,RIGHT(BA$1,2),""),VLOOKUP($D76,素材!$1:$1016,COLUMN($F$1),FALSE))),VLOOKUP($C76,武器!$1:$998,COLUMN($O$1),FALSE)*VLOOKUP($D76,素材!$1:$1016,COLUMN($E$1),FALSE)/(LEN(VLOOKUP($D76,素材!$1:$1016,COLUMN($F$1),FALSE))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BB76">
        <f>IF(ISNUMBER(SEARCH(SUBSTITUTE(BB$1,RIGHT(BB$1,2),""),VLOOKUP($D76,素材!$1:$1016,COLUMN($F$1),FALSE))),VLOOKUP($C76,武器!$1:$998,COLUMN($O$1),FALSE)*VLOOKUP($D76,素材!$1:$1016,COLUMN($E$1),FALSE)/(LEN(VLOOKUP($D76,素材!$1:$1016,COLUMN($F$1),FALSE))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BC76">
        <f>IF(ISNUMBER(SEARCH(SUBSTITUTE(BC$1,RIGHT(BC$1,2),""),VLOOKUP($D76,素材!$1:$1016,COLUMN($F$1),FALSE))),VLOOKUP($C76,武器!$1:$998,COLUMN($O$1),FALSE)*VLOOKUP($D76,素材!$1:$1016,COLUMN($E$1),FALSE)/(LEN(VLOOKUP($D76,素材!$1:$1016,COLUMN($F$1),FALSE))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BD76">
        <f>IF(ISNUMBER(SEARCH(SUBSTITUTE(BD$1,RIGHT(BD$1,2),""),VLOOKUP($D76,素材!$1:$1016,COLUMN($F$1),FALSE))),VLOOKUP($C76,武器!$1:$998,COLUMN($O$1),FALSE)*VLOOKUP($D76,素材!$1:$1016,COLUMN($E$1),FALSE)/(LEN(VLOOKUP($D76,素材!$1:$1016,COLUMN($F$1),FALSE))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BE76">
        <f>IF(ISNUMBER(SEARCH(SUBSTITUTE(BE$1,RIGHT(BE$1,2),""),VLOOKUP($D76,素材!$1:$1016,COLUMN($F$1),FALSE))),VLOOKUP($C76,武器!$1:$998,COLUMN($O$1),FALSE)*VLOOKUP($D76,素材!$1:$1016,COLUMN($E$1),FALSE)/(LEN(VLOOKUP($D76,素材!$1:$1016,COLUMN($F$1),FALSE))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BF76">
        <f>IF(ISNUMBER(SEARCH(SUBSTITUTE(BF$1,RIGHT(BF$1,2),""),VLOOKUP($D76,素材!$1:$1016,COLUMN($F$1),FALSE))),VLOOKUP($C76,武器!$1:$998,COLUMN($O$1),FALSE)*VLOOKUP($D76,素材!$1:$1016,COLUMN($E$1),FALSE)/(LEN(VLOOKUP($D76,素材!$1:$1016,COLUMN($F$1),FALSE)) - LEN(SUBSTITUTE(VLOOKUP($D76,素材!$1:$1016,COLUMN($F$1),FALSE), "・", 0)) + 1), 0)</f>
        <v>0</v>
      </c>
      <c r="CM76">
        <f t="shared" si="8"/>
        <v>15</v>
      </c>
      <c r="CN76" s="22" t="str">
        <f>IF(E76="武器",IF(J76-1&gt;SUM(G76:I76),"盾",IF(MAX(G76:I76)=G76,"切断",IF(MAX(G76:I76)=H76,"貫通",IF(MAX(G76:I76)=I76,"打撃","射撃")))),E76)&amp;".webp"</f>
        <v>足.webp</v>
      </c>
      <c r="CO76">
        <f>IFERROR(VLOOKUP($C76,武器!$1:$998,COLUMN(V$1),FALSE)*VLOOKUP($D76,素材!$1:$1016,COLUMN(N$1),FALSE)+IF(CJ76="",0,VLOOKUP($CJ76,装強!$1:$1008,COLUMN($CL$1),FALSE)),"")</f>
        <v>100</v>
      </c>
      <c r="CP76" t="str">
        <f>VLOOKUP(D76,素材!$A:$O,COLUMN(素材!O$1),FALSE)</f>
        <v>一般的な木材。金属より軽いが少し脆い</v>
      </c>
      <c r="CQ76" t="str">
        <f>VLOOKUP(C76,武器!$A:$W,COLUMN(武器!W$1),FALSE)</f>
        <v>速度 隠密 軽業 体幹</v>
      </c>
      <c r="CS76" t="str">
        <f t="shared" si="7"/>
        <v>e_76</v>
      </c>
      <c r="CT76">
        <f t="shared" si="9"/>
        <v>10000</v>
      </c>
    </row>
    <row r="77" spans="1:98" outlineLevel="1" x14ac:dyDescent="0.4">
      <c r="A77" t="str">
        <f t="shared" si="6"/>
        <v>の</v>
      </c>
      <c r="B77" t="str">
        <f>IFERROR(VLOOKUP($D77,素材!$1:$1016,COLUMN($B$1),FALSE)&amp;"・"&amp;VLOOKUP($C77,武器!$1:$998,COLUMN(B$1),FALSE),"")</f>
        <v/>
      </c>
      <c r="D77" s="24"/>
      <c r="E77" t="str">
        <f>IFERROR(VLOOKUP(C77,武器!$1:$998,COLUMN(C$1),FALSE),"")</f>
        <v/>
      </c>
      <c r="F77" t="str">
        <f>IFERROR(ROUNDDOWN((VLOOKUP($C77,武器!$1:$998,COLUMN(D$1),FALSE)+IFERROR(VLOOKUP($CJ77,装強!$1:$999,COLUMN(F$1),FALSE),0))*VLOOKUP($D77,素材!$1:$1016,COLUMN(D$1),FALSE),0),"")</f>
        <v/>
      </c>
      <c r="G77" t="str">
        <f>IFERROR(ROUNDDOWN((VLOOKUP($C77,武器!$1:$998,COLUMN(E$1),FALSE)+IFERROR(VLOOKUP($CJ77,装強!$1:$999,COLUMN(G$1),FALSE),0))*VLOOKUP($D77,素材!$1:$1016,COLUMN($E$1),FALSE),0),"")</f>
        <v/>
      </c>
      <c r="H77" t="str">
        <f>IFERROR(ROUNDDOWN((VLOOKUP($C77,武器!$1:$998,COLUMN(F$1),FALSE)+IFERROR(VLOOKUP($CJ77,装強!$1:$999,COLUMN(H$1),FALSE),0))*VLOOKUP($D77,素材!$1:$1016,COLUMN($E$1),FALSE),0),"")</f>
        <v/>
      </c>
      <c r="I77" t="str">
        <f>IFERROR(ROUNDDOWN((VLOOKUP($C77,武器!$1:$998,COLUMN(G$1),FALSE)+IFERROR(VLOOKUP($CJ77,装強!$1:$999,COLUMN(I$1),FALSE),0))*VLOOKUP($D77,素材!$1:$1016,COLUMN($E$1),FALSE),0),"")</f>
        <v/>
      </c>
      <c r="J77" t="str">
        <f>IFERROR(ROUNDDOWN((VLOOKUP($C77,武器!$1:$998,COLUMN(H$1),FALSE)+IFERROR(VLOOKUP($CJ77,装強!$1:$999,COLUMN(J$1),FALSE),0))*VLOOKUP($D77,素材!$1:$1016,COLUMN($E$1),FALSE),0),"")</f>
        <v/>
      </c>
      <c r="K77" t="str">
        <f>IFERROR(ROUNDDOWN((VLOOKUP($C77,武器!$1:$998,COLUMN(I$1),FALSE)+IFERROR(VLOOKUP($CJ77,装強!$1:$999,COLUMN(K$1),FALSE),0))*VLOOKUP($D77,素材!$1:$1016,COLUMN($E$1),FALSE),0),"")</f>
        <v/>
      </c>
      <c r="L77" t="str">
        <f>IFERROR(VLOOKUP($D77,素材!$1:$1016,COLUMN($F$1),FALSE),"")</f>
        <v/>
      </c>
      <c r="M77" t="str">
        <f>IFERROR(VLOOKUP($C77,武器!$1:$998,COLUMN(AA$1),FALSE)*VLOOKUP($D77,素材!$1:$1016,COLUMN($G$1),FALSE),"")</f>
        <v/>
      </c>
      <c r="N77" t="str">
        <f>IFERROR(VLOOKUP($C77,武器!$1:$998,COLUMN(I$1),FALSE),"")</f>
        <v/>
      </c>
      <c r="O77" s="23" t="str">
        <f>IFERROR((VLOOKUP($C77,武器!$1:$998,COLUMN(K$1),FALSE)+VLOOKUP($D77,素材!$1:$1016,COLUMN(H$1),FALSE))*100+IFERROR(VLOOKUP($CJ77,装強!$1:$999,COLUMN(O$1),FALSE),0),"")</f>
        <v/>
      </c>
      <c r="P77" s="23" t="str">
        <f>IFERROR((VLOOKUP($C77,武器!$1:$998,COLUMN(L$1),FALSE)+VLOOKUP($D77,素材!$1:$1016,COLUMN(I$1),FALSE))*100+IFERROR(VLOOKUP($CJ77,装強!$1:$999,COLUMN(P$1),FALSE),0),"")</f>
        <v/>
      </c>
      <c r="Q77" t="str">
        <f>IFERROR(ROUNDUP(VLOOKUP($C77,武器!$1:$998,COLUMN(M$1),FALSE)*(VLOOKUP($D77,素材!$1:$1002,COLUMN(D$1),FALSE)/100),1),"")</f>
        <v/>
      </c>
      <c r="R77" t="str">
        <f>IFERROR(ROUNDUP(VLOOKUP($C77,武器!$1:$998,COLUMN(N$1),FALSE)*(VLOOKUP($D77,素材!$1:$1002,COLUMN(D$1),FALSE)/100),1),"")</f>
        <v/>
      </c>
      <c r="S77" t="str">
        <f>IFERROR(VLOOKUP($C77,武器!$1:$998,COLUMN(P$1),FALSE),"")</f>
        <v/>
      </c>
      <c r="T77" t="str">
        <f>IFERROR(VLOOKUP($C77,武器!$1:$998,COLUMN(Q$1),FALSE),"")</f>
        <v/>
      </c>
      <c r="U77" t="str">
        <f>IFERROR(VLOOKUP($C77,武器!$1:$998,COLUMN(R$1),FALSE),"")</f>
        <v/>
      </c>
      <c r="V77" t="str">
        <f>IFERROR(VLOOKUP($C77,武器!$1:$998,COLUMN(Q$1),FALSE),"")</f>
        <v/>
      </c>
      <c r="W77" t="str">
        <f>IFERROR(VLOOKUP($C77,武器!$1:$998,COLUMN(T$1),FALSE),"")</f>
        <v/>
      </c>
      <c r="Y77" t="str">
        <f>IFERROR(VLOOKUP($C77,武器!$1:$998,COLUMN(U$1),FALSE),"")</f>
        <v/>
      </c>
      <c r="Z77" t="str">
        <f>IFERROR(ROUNDUP(VLOOKUP($C77,武器!$1:$998,COLUMN(O$1),FALSE)*VLOOKUP($D77,素材!$1:$1016,COLUMN(E$1),FALSE),1),"")</f>
        <v/>
      </c>
      <c r="AA77">
        <f>IF(ISNUMBER(SEARCH(SUBSTITUTE(AA$1,RIGHT(AA$1,2),""),VLOOKUP($D77,素材!$1:$1016,COLUMN($F$1),FALSE))),VLOOKUP($C77,武器!$1:$998,COLUMN($O$1),FALSE)*VLOOKUP($D77,素材!$1:$1016,COLUMN($E$1),FALSE)/(LEN(VLOOKUP($D77,素材!$1:$1016,COLUMN($F$1),FALSE))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B77">
        <f>IF(ISNUMBER(SEARCH(SUBSTITUTE(AB$1,RIGHT(AB$1,2),""),VLOOKUP($D77,素材!$1:$1016,COLUMN($F$1),FALSE))),VLOOKUP($C77,武器!$1:$998,COLUMN($O$1),FALSE)*VLOOKUP($D77,素材!$1:$1016,COLUMN($E$1),FALSE)/(LEN(VLOOKUP($D77,素材!$1:$1016,COLUMN($F$1),FALSE))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C77">
        <f>IF(ISNUMBER(SEARCH(SUBSTITUTE(AC$1,RIGHT(AC$1,2),""),VLOOKUP($D77,素材!$1:$1016,COLUMN($F$1),FALSE))),VLOOKUP($C77,武器!$1:$998,COLUMN($O$1),FALSE)*VLOOKUP($D77,素材!$1:$1016,COLUMN($E$1),FALSE)/(LEN(VLOOKUP($D77,素材!$1:$1016,COLUMN($F$1),FALSE))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D77">
        <f>IF(ISNUMBER(SEARCH(SUBSTITUTE(AD$1,RIGHT(AD$1,2),""),VLOOKUP($D77,素材!$1:$1016,COLUMN($F$1),FALSE))),VLOOKUP($C77,武器!$1:$998,COLUMN($O$1),FALSE)*VLOOKUP($D77,素材!$1:$1016,COLUMN($E$1),FALSE)/(LEN(VLOOKUP($D77,素材!$1:$1016,COLUMN($F$1),FALSE))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E77">
        <f>IF(ISNUMBER(SEARCH(SUBSTITUTE(AE$1,RIGHT(AE$1,2),""),VLOOKUP($D77,素材!$1:$1016,COLUMN($F$1),FALSE))),VLOOKUP($C77,武器!$1:$998,COLUMN($O$1),FALSE)*VLOOKUP($D77,素材!$1:$1016,COLUMN($E$1),FALSE)/(LEN(VLOOKUP($D77,素材!$1:$1016,COLUMN($F$1),FALSE))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F77">
        <f>IF(ISNUMBER(SEARCH(SUBSTITUTE(AF$1,RIGHT(AF$1,2),""),VLOOKUP($D77,素材!$1:$1016,COLUMN($F$1),FALSE))),VLOOKUP($C77,武器!$1:$998,COLUMN($O$1),FALSE)*VLOOKUP($D77,素材!$1:$1016,COLUMN($E$1),FALSE)/(LEN(VLOOKUP($D77,素材!$1:$1016,COLUMN($F$1),FALSE))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G77">
        <f>IF(ISNUMBER(SEARCH(SUBSTITUTE(AG$1,RIGHT(AG$1,2),""),VLOOKUP($D77,素材!$1:$1016,COLUMN($F$1),FALSE))),VLOOKUP($C77,武器!$1:$998,COLUMN($O$1),FALSE)*VLOOKUP($D77,素材!$1:$1016,COLUMN($E$1),FALSE)/(LEN(VLOOKUP($D77,素材!$1:$1016,COLUMN($F$1),FALSE))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H77">
        <f>IF(ISNUMBER(SEARCH(SUBSTITUTE(AH$1,RIGHT(AH$1,2),""),VLOOKUP($D77,素材!$1:$1016,COLUMN($F$1),FALSE))),VLOOKUP($C77,武器!$1:$998,COLUMN($O$1),FALSE)*VLOOKUP($D77,素材!$1:$1016,COLUMN($E$1),FALSE)/(LEN(VLOOKUP($D77,素材!$1:$1016,COLUMN($F$1),FALSE))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I77">
        <f>IF(ISNUMBER(SEARCH(SUBSTITUTE(AI$1,RIGHT(AI$1,2),""),VLOOKUP($D77,素材!$1:$1016,COLUMN($F$1),FALSE))),VLOOKUP($C77,武器!$1:$998,COLUMN($O$1),FALSE)*VLOOKUP($D77,素材!$1:$1016,COLUMN($E$1),FALSE)/(LEN(VLOOKUP($D77,素材!$1:$1016,COLUMN($F$1),FALSE))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J77">
        <f>IF(ISNUMBER(SEARCH(SUBSTITUTE(AJ$1,RIGHT(AJ$1,2),""),VLOOKUP($D77,素材!$1:$1016,COLUMN($F$1),FALSE))),VLOOKUP($C77,武器!$1:$998,COLUMN($O$1),FALSE)*VLOOKUP($D77,素材!$1:$1016,COLUMN($E$1),FALSE)/(LEN(VLOOKUP($D77,素材!$1:$1016,COLUMN($F$1),FALSE))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K77">
        <f>IF(ISNUMBER(SEARCH(SUBSTITUTE(AK$1,RIGHT(AK$1,2),""),VLOOKUP($D77,素材!$1:$1016,COLUMN($F$1),FALSE))),VLOOKUP($C77,武器!$1:$998,COLUMN($O$1),FALSE)*VLOOKUP($D77,素材!$1:$1016,COLUMN($E$1),FALSE)/(LEN(VLOOKUP($D77,素材!$1:$1016,COLUMN($F$1),FALSE))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L77">
        <f>IF(ISNUMBER(SEARCH(SUBSTITUTE(AL$1,RIGHT(AL$1,2),""),VLOOKUP($D77,素材!$1:$1016,COLUMN($F$1),FALSE))),VLOOKUP($C77,武器!$1:$998,COLUMN($O$1),FALSE)*VLOOKUP($D77,素材!$1:$1016,COLUMN($E$1),FALSE)/(LEN(VLOOKUP($D77,素材!$1:$1016,COLUMN($F$1),FALSE))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M77">
        <f>IF(ISNUMBER(SEARCH(SUBSTITUTE(AM$1,RIGHT(AM$1,2),""),VLOOKUP($D77,素材!$1:$1016,COLUMN($F$1),FALSE))),VLOOKUP($C77,武器!$1:$998,COLUMN($O$1),FALSE)*VLOOKUP($D77,素材!$1:$1016,COLUMN($E$1),FALSE)/(LEN(VLOOKUP($D77,素材!$1:$1016,COLUMN($F$1),FALSE))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N77">
        <f>IF(ISNUMBER(SEARCH(SUBSTITUTE(AN$1,RIGHT(AN$1,2),""),VLOOKUP($D77,素材!$1:$1016,COLUMN($F$1),FALSE))),VLOOKUP($C77,武器!$1:$998,COLUMN($O$1),FALSE)*VLOOKUP($D77,素材!$1:$1016,COLUMN($E$1),FALSE)/(LEN(VLOOKUP($D77,素材!$1:$1016,COLUMN($F$1),FALSE))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O77">
        <f>IF(ISNUMBER(SEARCH(SUBSTITUTE(AO$1,RIGHT(AO$1,2),""),VLOOKUP($D77,素材!$1:$1016,COLUMN($F$1),FALSE))),VLOOKUP($C77,武器!$1:$998,COLUMN($O$1),FALSE)*VLOOKUP($D77,素材!$1:$1016,COLUMN($E$1),FALSE)/(LEN(VLOOKUP($D77,素材!$1:$1016,COLUMN($F$1),FALSE))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P77">
        <f>IF(ISNUMBER(SEARCH(SUBSTITUTE(AP$1,RIGHT(AP$1,2),""),VLOOKUP($D77,素材!$1:$1016,COLUMN($F$1),FALSE))),VLOOKUP($C77,武器!$1:$998,COLUMN($O$1),FALSE)*VLOOKUP($D77,素材!$1:$1016,COLUMN($E$1),FALSE)/(LEN(VLOOKUP($D77,素材!$1:$1016,COLUMN($F$1),FALSE))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Q77">
        <f>IF(ISNUMBER(SEARCH(SUBSTITUTE(AQ$1,RIGHT(AQ$1,2),""),VLOOKUP($D77,素材!$1:$1016,COLUMN($F$1),FALSE))),VLOOKUP($C77,武器!$1:$998,COLUMN($O$1),FALSE)*VLOOKUP($D77,素材!$1:$1016,COLUMN($E$1),FALSE)/(LEN(VLOOKUP($D77,素材!$1:$1016,COLUMN($F$1),FALSE))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R77">
        <f>IF(ISNUMBER(SEARCH(SUBSTITUTE(AR$1,RIGHT(AR$1,2),""),VLOOKUP($D77,素材!$1:$1016,COLUMN($F$1),FALSE))),VLOOKUP($C77,武器!$1:$998,COLUMN($O$1),FALSE)*VLOOKUP($D77,素材!$1:$1016,COLUMN($E$1),FALSE)/(LEN(VLOOKUP($D77,素材!$1:$1016,COLUMN($F$1),FALSE))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S77">
        <f>IF(ISNUMBER(SEARCH(SUBSTITUTE(AS$1,RIGHT(AS$1,2),""),VLOOKUP($D77,素材!$1:$1016,COLUMN($F$1),FALSE))),VLOOKUP($C77,武器!$1:$998,COLUMN($O$1),FALSE)*VLOOKUP($D77,素材!$1:$1016,COLUMN($E$1),FALSE)/(LEN(VLOOKUP($D77,素材!$1:$1016,COLUMN($F$1),FALSE))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T77">
        <f>IF(ISNUMBER(SEARCH(SUBSTITUTE(AT$1,RIGHT(AT$1,2),""),VLOOKUP($D77,素材!$1:$1016,COLUMN($F$1),FALSE))),VLOOKUP($C77,武器!$1:$998,COLUMN($O$1),FALSE)*VLOOKUP($D77,素材!$1:$1016,COLUMN($E$1),FALSE)/(LEN(VLOOKUP($D77,素材!$1:$1016,COLUMN($F$1),FALSE))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U77">
        <f>IF(ISNUMBER(SEARCH(SUBSTITUTE(AU$1,RIGHT(AU$1,2),""),VLOOKUP($D77,素材!$1:$1016,COLUMN($F$1),FALSE))),VLOOKUP($C77,武器!$1:$998,COLUMN($O$1),FALSE)*VLOOKUP($D77,素材!$1:$1016,COLUMN($E$1),FALSE)/(LEN(VLOOKUP($D77,素材!$1:$1016,COLUMN($F$1),FALSE))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V77">
        <f>IF(ISNUMBER(SEARCH(SUBSTITUTE(AV$1,RIGHT(AV$1,2),""),VLOOKUP($D77,素材!$1:$1016,COLUMN($F$1),FALSE))),VLOOKUP($C77,武器!$1:$998,COLUMN($O$1),FALSE)*VLOOKUP($D77,素材!$1:$1016,COLUMN($E$1),FALSE)/(LEN(VLOOKUP($D77,素材!$1:$1016,COLUMN($F$1),FALSE))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W77">
        <f>IF(ISNUMBER(SEARCH(SUBSTITUTE(AW$1,RIGHT(AW$1,2),""),VLOOKUP($D77,素材!$1:$1016,COLUMN($F$1),FALSE))),VLOOKUP($C77,武器!$1:$998,COLUMN($O$1),FALSE)*VLOOKUP($D77,素材!$1:$1016,COLUMN($E$1),FALSE)/(LEN(VLOOKUP($D77,素材!$1:$1016,COLUMN($F$1),FALSE))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X77">
        <f>IF(ISNUMBER(SEARCH(SUBSTITUTE(AX$1,RIGHT(AX$1,2),""),VLOOKUP($D77,素材!$1:$1016,COLUMN($F$1),FALSE))),VLOOKUP($C77,武器!$1:$998,COLUMN($O$1),FALSE)*VLOOKUP($D77,素材!$1:$1016,COLUMN($E$1),FALSE)/(LEN(VLOOKUP($D77,素材!$1:$1016,COLUMN($F$1),FALSE))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Y77">
        <f>IF(ISNUMBER(SEARCH(SUBSTITUTE(AY$1,RIGHT(AY$1,2),""),VLOOKUP($D77,素材!$1:$1016,COLUMN($F$1),FALSE))),VLOOKUP($C77,武器!$1:$998,COLUMN($O$1),FALSE)*VLOOKUP($D77,素材!$1:$1016,COLUMN($E$1),FALSE)/(LEN(VLOOKUP($D77,素材!$1:$1016,COLUMN($F$1),FALSE))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AZ77">
        <f>IF(ISNUMBER(SEARCH(SUBSTITUTE(AZ$1,RIGHT(AZ$1,2),""),VLOOKUP($D77,素材!$1:$1016,COLUMN($F$1),FALSE))),VLOOKUP($C77,武器!$1:$998,COLUMN($O$1),FALSE)*VLOOKUP($D77,素材!$1:$1016,COLUMN($E$1),FALSE)/(LEN(VLOOKUP($D77,素材!$1:$1016,COLUMN($F$1),FALSE))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BA77">
        <f>IF(ISNUMBER(SEARCH(SUBSTITUTE(BA$1,RIGHT(BA$1,2),""),VLOOKUP($D77,素材!$1:$1016,COLUMN($F$1),FALSE))),VLOOKUP($C77,武器!$1:$998,COLUMN($O$1),FALSE)*VLOOKUP($D77,素材!$1:$1016,COLUMN($E$1),FALSE)/(LEN(VLOOKUP($D77,素材!$1:$1016,COLUMN($F$1),FALSE))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BB77">
        <f>IF(ISNUMBER(SEARCH(SUBSTITUTE(BB$1,RIGHT(BB$1,2),""),VLOOKUP($D77,素材!$1:$1016,COLUMN($F$1),FALSE))),VLOOKUP($C77,武器!$1:$998,COLUMN($O$1),FALSE)*VLOOKUP($D77,素材!$1:$1016,COLUMN($E$1),FALSE)/(LEN(VLOOKUP($D77,素材!$1:$1016,COLUMN($F$1),FALSE))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BC77">
        <f>IF(ISNUMBER(SEARCH(SUBSTITUTE(BC$1,RIGHT(BC$1,2),""),VLOOKUP($D77,素材!$1:$1016,COLUMN($F$1),FALSE))),VLOOKUP($C77,武器!$1:$998,COLUMN($O$1),FALSE)*VLOOKUP($D77,素材!$1:$1016,COLUMN($E$1),FALSE)/(LEN(VLOOKUP($D77,素材!$1:$1016,COLUMN($F$1),FALSE))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BD77">
        <f>IF(ISNUMBER(SEARCH(SUBSTITUTE(BD$1,RIGHT(BD$1,2),""),VLOOKUP($D77,素材!$1:$1016,COLUMN($F$1),FALSE))),VLOOKUP($C77,武器!$1:$998,COLUMN($O$1),FALSE)*VLOOKUP($D77,素材!$1:$1016,COLUMN($E$1),FALSE)/(LEN(VLOOKUP($D77,素材!$1:$1016,COLUMN($F$1),FALSE))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BE77">
        <f>IF(ISNUMBER(SEARCH(SUBSTITUTE(BE$1,RIGHT(BE$1,2),""),VLOOKUP($D77,素材!$1:$1016,COLUMN($F$1),FALSE))),VLOOKUP($C77,武器!$1:$998,COLUMN($O$1),FALSE)*VLOOKUP($D77,素材!$1:$1016,COLUMN($E$1),FALSE)/(LEN(VLOOKUP($D77,素材!$1:$1016,COLUMN($F$1),FALSE))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BF77">
        <f>IF(ISNUMBER(SEARCH(SUBSTITUTE(BF$1,RIGHT(BF$1,2),""),VLOOKUP($D77,素材!$1:$1016,COLUMN($F$1),FALSE))),VLOOKUP($C77,武器!$1:$998,COLUMN($O$1),FALSE)*VLOOKUP($D77,素材!$1:$1016,COLUMN($E$1),FALSE)/(LEN(VLOOKUP($D77,素材!$1:$1016,COLUMN($F$1),FALSE)) - LEN(SUBSTITUTE(VLOOKUP($D77,素材!$1:$1016,COLUMN($F$1),FALSE), "・", 0)) + 1), 0)</f>
        <v>0</v>
      </c>
      <c r="CM77">
        <f t="shared" si="8"/>
        <v>0</v>
      </c>
      <c r="CN77" s="22" t="str">
        <f>IF(E77="武器",IF(J77-1&gt;SUM(G77:I77),"盾",IF(MAX(G77:I77)=G77,"切断",IF(MAX(G77:I77)=H77,"貫通",IF(MAX(G77:I77)=I77,"打撃","射撃")))),E77)&amp;".webp"</f>
        <v>.webp</v>
      </c>
      <c r="CO77" t="str">
        <f>IFERROR(VLOOKUP($C77,武器!$1:$998,COLUMN(V$1),FALSE)*VLOOKUP($D77,素材!$1:$1016,COLUMN(N$1),FALSE)+IF(CJ77="",0,VLOOKUP($CJ77,装強!$1:$1008,COLUMN($CL$1),FALSE)),"")</f>
        <v/>
      </c>
      <c r="CP77" t="e">
        <f>VLOOKUP(D77,素材!$A:$O,COLUMN(素材!O$1),FALSE)</f>
        <v>#N/A</v>
      </c>
      <c r="CQ77" t="e">
        <f>VLOOKUP(C77,武器!$A:$W,COLUMN(武器!W$1),FALSE)</f>
        <v>#N/A</v>
      </c>
      <c r="CS77" t="str">
        <f t="shared" si="7"/>
        <v>e_77</v>
      </c>
      <c r="CT77" t="e">
        <f t="shared" si="9"/>
        <v>#VALUE!</v>
      </c>
    </row>
    <row r="78" spans="1:98" outlineLevel="1" x14ac:dyDescent="0.4">
      <c r="A78" t="str">
        <f t="shared" si="6"/>
        <v>鋼の短刀</v>
      </c>
      <c r="B78" t="str">
        <f>IFERROR(VLOOKUP($D78,素材!$1:$1016,COLUMN($B$1),FALSE)&amp;"・"&amp;VLOOKUP($C78,武器!$1:$998,COLUMN(B$1),FALSE),"")</f>
        <v>スチール・ナイフ</v>
      </c>
      <c r="C78" s="24" t="s">
        <v>242</v>
      </c>
      <c r="D78" s="24" t="s">
        <v>253</v>
      </c>
      <c r="E78" t="str">
        <f>IFERROR(VLOOKUP(C78,武器!$1:$998,COLUMN(C$1),FALSE),"")</f>
        <v>武器</v>
      </c>
      <c r="F78">
        <f>IFERROR(ROUNDDOWN((VLOOKUP($C78,武器!$1:$998,COLUMN(D$1),FALSE)+IFERROR(VLOOKUP($CJ78,装強!$1:$999,COLUMN(F$1),FALSE),0))*VLOOKUP($D78,素材!$1:$1016,COLUMN(D$1),FALSE),0),"")</f>
        <v>105</v>
      </c>
      <c r="G78">
        <f>IFERROR(ROUNDDOWN((VLOOKUP($C78,武器!$1:$998,COLUMN(E$1),FALSE)+IFERROR(VLOOKUP($CJ78,装強!$1:$999,COLUMN(G$1),FALSE),0))*VLOOKUP($D78,素材!$1:$1016,COLUMN($E$1),FALSE),0),"")</f>
        <v>13</v>
      </c>
      <c r="H78">
        <f>IFERROR(ROUNDDOWN((VLOOKUP($C78,武器!$1:$998,COLUMN(F$1),FALSE)+IFERROR(VLOOKUP($CJ78,装強!$1:$999,COLUMN(H$1),FALSE),0))*VLOOKUP($D78,素材!$1:$1016,COLUMN($E$1),FALSE),0),"")</f>
        <v>10</v>
      </c>
      <c r="I78">
        <f>IFERROR(ROUNDDOWN((VLOOKUP($C78,武器!$1:$998,COLUMN(G$1),FALSE)+IFERROR(VLOOKUP($CJ78,装強!$1:$999,COLUMN(I$1),FALSE),0))*VLOOKUP($D78,素材!$1:$1016,COLUMN($E$1),FALSE),0),"")</f>
        <v>2</v>
      </c>
      <c r="J78">
        <f>IFERROR(ROUNDDOWN((VLOOKUP($C78,武器!$1:$998,COLUMN(H$1),FALSE)+IFERROR(VLOOKUP($CJ78,装強!$1:$999,COLUMN(J$1),FALSE),0))*VLOOKUP($D78,素材!$1:$1016,COLUMN($E$1),FALSE),0),"")</f>
        <v>17</v>
      </c>
      <c r="K78">
        <f>IFERROR(ROUNDDOWN((VLOOKUP($C78,武器!$1:$998,COLUMN(I$1),FALSE)+IFERROR(VLOOKUP($CJ78,装強!$1:$999,COLUMN(K$1),FALSE),0))*VLOOKUP($D78,素材!$1:$1016,COLUMN($E$1),FALSE),0),"")</f>
        <v>0</v>
      </c>
      <c r="L78">
        <f>IFERROR(VLOOKUP($D78,素材!$1:$1016,COLUMN($F$1),FALSE),"")</f>
        <v>0</v>
      </c>
      <c r="M78">
        <f>IFERROR(VLOOKUP($C78,武器!$1:$998,COLUMN(AA$1),FALSE)*VLOOKUP($D78,素材!$1:$1016,COLUMN($G$1),FALSE),"")</f>
        <v>0</v>
      </c>
      <c r="N78">
        <f>IFERROR(VLOOKUP($C78,武器!$1:$998,COLUMN(I$1),FALSE),"")</f>
        <v>0</v>
      </c>
      <c r="O78" s="23">
        <f>IFERROR((VLOOKUP($C78,武器!$1:$998,COLUMN(K$1),FALSE)+VLOOKUP($D78,素材!$1:$1016,COLUMN(H$1),FALSE))*100+IFERROR(VLOOKUP($CJ78,装強!$1:$999,COLUMN(O$1),FALSE),0),"")</f>
        <v>10</v>
      </c>
      <c r="P78" s="23">
        <f>IFERROR((VLOOKUP($C78,武器!$1:$998,COLUMN(L$1),FALSE)+VLOOKUP($D78,素材!$1:$1016,COLUMN(I$1),FALSE))*100+IFERROR(VLOOKUP($CJ78,装強!$1:$999,COLUMN(P$1),FALSE),0),"")</f>
        <v>175</v>
      </c>
      <c r="Q78">
        <f>IFERROR(ROUNDUP(VLOOKUP($C78,武器!$1:$998,COLUMN(M$1),FALSE)*(VLOOKUP($D78,素材!$1:$1002,COLUMN(D$1),FALSE)/100),1),"")</f>
        <v>0</v>
      </c>
      <c r="R78">
        <f>IFERROR(ROUNDUP(VLOOKUP($C78,武器!$1:$998,COLUMN(N$1),FALSE)*(VLOOKUP($D78,素材!$1:$1002,COLUMN(D$1),FALSE)/100),1),"")</f>
        <v>0</v>
      </c>
      <c r="S78">
        <f>IFERROR(VLOOKUP($C78,武器!$1:$998,COLUMN(P$1),FALSE),"")</f>
        <v>0</v>
      </c>
      <c r="T78">
        <f>IFERROR(VLOOKUP($C78,武器!$1:$998,COLUMN(Q$1),FALSE),"")</f>
        <v>0</v>
      </c>
      <c r="U78">
        <f>IFERROR(VLOOKUP($C78,武器!$1:$998,COLUMN(R$1),FALSE),"")</f>
        <v>0</v>
      </c>
      <c r="V78">
        <f>IFERROR(VLOOKUP($C78,武器!$1:$998,COLUMN(Q$1),FALSE),"")</f>
        <v>0</v>
      </c>
      <c r="W78" t="str">
        <f>IFERROR(VLOOKUP($C78,武器!$1:$998,COLUMN(T$1),FALSE),"")</f>
        <v>A</v>
      </c>
      <c r="Y78" t="str">
        <f>IFERROR(VLOOKUP($C78,武器!$1:$998,COLUMN(U$1),FALSE),"")</f>
        <v>暗殺強化,片手適正Ⅱ</v>
      </c>
      <c r="Z78">
        <f>IFERROR(ROUNDUP(VLOOKUP($C78,武器!$1:$998,COLUMN(O$1),FALSE)*VLOOKUP($D78,素材!$1:$1016,COLUMN(E$1),FALSE),1),"")</f>
        <v>0</v>
      </c>
      <c r="AA78">
        <f>IF(ISNUMBER(SEARCH(SUBSTITUTE(AA$1,RIGHT(AA$1,2),""),VLOOKUP($D78,素材!$1:$1016,COLUMN($F$1),FALSE))),VLOOKUP($C78,武器!$1:$998,COLUMN($O$1),FALSE)*VLOOKUP($D78,素材!$1:$1016,COLUMN($E$1),FALSE)/(LEN(VLOOKUP($D78,素材!$1:$1016,COLUMN($F$1),FALSE))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B78">
        <f>IF(ISNUMBER(SEARCH(SUBSTITUTE(AB$1,RIGHT(AB$1,2),""),VLOOKUP($D78,素材!$1:$1016,COLUMN($F$1),FALSE))),VLOOKUP($C78,武器!$1:$998,COLUMN($O$1),FALSE)*VLOOKUP($D78,素材!$1:$1016,COLUMN($E$1),FALSE)/(LEN(VLOOKUP($D78,素材!$1:$1016,COLUMN($F$1),FALSE))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C78">
        <f>IF(ISNUMBER(SEARCH(SUBSTITUTE(AC$1,RIGHT(AC$1,2),""),VLOOKUP($D78,素材!$1:$1016,COLUMN($F$1),FALSE))),VLOOKUP($C78,武器!$1:$998,COLUMN($O$1),FALSE)*VLOOKUP($D78,素材!$1:$1016,COLUMN($E$1),FALSE)/(LEN(VLOOKUP($D78,素材!$1:$1016,COLUMN($F$1),FALSE))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D78">
        <f>IF(ISNUMBER(SEARCH(SUBSTITUTE(AD$1,RIGHT(AD$1,2),""),VLOOKUP($D78,素材!$1:$1016,COLUMN($F$1),FALSE))),VLOOKUP($C78,武器!$1:$998,COLUMN($O$1),FALSE)*VLOOKUP($D78,素材!$1:$1016,COLUMN($E$1),FALSE)/(LEN(VLOOKUP($D78,素材!$1:$1016,COLUMN($F$1),FALSE))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E78">
        <f>IF(ISNUMBER(SEARCH(SUBSTITUTE(AE$1,RIGHT(AE$1,2),""),VLOOKUP($D78,素材!$1:$1016,COLUMN($F$1),FALSE))),VLOOKUP($C78,武器!$1:$998,COLUMN($O$1),FALSE)*VLOOKUP($D78,素材!$1:$1016,COLUMN($E$1),FALSE)/(LEN(VLOOKUP($D78,素材!$1:$1016,COLUMN($F$1),FALSE))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F78">
        <f>IF(ISNUMBER(SEARCH(SUBSTITUTE(AF$1,RIGHT(AF$1,2),""),VLOOKUP($D78,素材!$1:$1016,COLUMN($F$1),FALSE))),VLOOKUP($C78,武器!$1:$998,COLUMN($O$1),FALSE)*VLOOKUP($D78,素材!$1:$1016,COLUMN($E$1),FALSE)/(LEN(VLOOKUP($D78,素材!$1:$1016,COLUMN($F$1),FALSE))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G78">
        <f>IF(ISNUMBER(SEARCH(SUBSTITUTE(AG$1,RIGHT(AG$1,2),""),VLOOKUP($D78,素材!$1:$1016,COLUMN($F$1),FALSE))),VLOOKUP($C78,武器!$1:$998,COLUMN($O$1),FALSE)*VLOOKUP($D78,素材!$1:$1016,COLUMN($E$1),FALSE)/(LEN(VLOOKUP($D78,素材!$1:$1016,COLUMN($F$1),FALSE))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H78">
        <f>IF(ISNUMBER(SEARCH(SUBSTITUTE(AH$1,RIGHT(AH$1,2),""),VLOOKUP($D78,素材!$1:$1016,COLUMN($F$1),FALSE))),VLOOKUP($C78,武器!$1:$998,COLUMN($O$1),FALSE)*VLOOKUP($D78,素材!$1:$1016,COLUMN($E$1),FALSE)/(LEN(VLOOKUP($D78,素材!$1:$1016,COLUMN($F$1),FALSE))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I78">
        <f>IF(ISNUMBER(SEARCH(SUBSTITUTE(AI$1,RIGHT(AI$1,2),""),VLOOKUP($D78,素材!$1:$1016,COLUMN($F$1),FALSE))),VLOOKUP($C78,武器!$1:$998,COLUMN($O$1),FALSE)*VLOOKUP($D78,素材!$1:$1016,COLUMN($E$1),FALSE)/(LEN(VLOOKUP($D78,素材!$1:$1016,COLUMN($F$1),FALSE))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J78">
        <f>IF(ISNUMBER(SEARCH(SUBSTITUTE(AJ$1,RIGHT(AJ$1,2),""),VLOOKUP($D78,素材!$1:$1016,COLUMN($F$1),FALSE))),VLOOKUP($C78,武器!$1:$998,COLUMN($O$1),FALSE)*VLOOKUP($D78,素材!$1:$1016,COLUMN($E$1),FALSE)/(LEN(VLOOKUP($D78,素材!$1:$1016,COLUMN($F$1),FALSE))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K78">
        <f>IF(ISNUMBER(SEARCH(SUBSTITUTE(AK$1,RIGHT(AK$1,2),""),VLOOKUP($D78,素材!$1:$1016,COLUMN($F$1),FALSE))),VLOOKUP($C78,武器!$1:$998,COLUMN($O$1),FALSE)*VLOOKUP($D78,素材!$1:$1016,COLUMN($E$1),FALSE)/(LEN(VLOOKUP($D78,素材!$1:$1016,COLUMN($F$1),FALSE))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L78">
        <f>IF(ISNUMBER(SEARCH(SUBSTITUTE(AL$1,RIGHT(AL$1,2),""),VLOOKUP($D78,素材!$1:$1016,COLUMN($F$1),FALSE))),VLOOKUP($C78,武器!$1:$998,COLUMN($O$1),FALSE)*VLOOKUP($D78,素材!$1:$1016,COLUMN($E$1),FALSE)/(LEN(VLOOKUP($D78,素材!$1:$1016,COLUMN($F$1),FALSE))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M78">
        <f>IF(ISNUMBER(SEARCH(SUBSTITUTE(AM$1,RIGHT(AM$1,2),""),VLOOKUP($D78,素材!$1:$1016,COLUMN($F$1),FALSE))),VLOOKUP($C78,武器!$1:$998,COLUMN($O$1),FALSE)*VLOOKUP($D78,素材!$1:$1016,COLUMN($E$1),FALSE)/(LEN(VLOOKUP($D78,素材!$1:$1016,COLUMN($F$1),FALSE))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N78">
        <f>IF(ISNUMBER(SEARCH(SUBSTITUTE(AN$1,RIGHT(AN$1,2),""),VLOOKUP($D78,素材!$1:$1016,COLUMN($F$1),FALSE))),VLOOKUP($C78,武器!$1:$998,COLUMN($O$1),FALSE)*VLOOKUP($D78,素材!$1:$1016,COLUMN($E$1),FALSE)/(LEN(VLOOKUP($D78,素材!$1:$1016,COLUMN($F$1),FALSE))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O78">
        <f>IF(ISNUMBER(SEARCH(SUBSTITUTE(AO$1,RIGHT(AO$1,2),""),VLOOKUP($D78,素材!$1:$1016,COLUMN($F$1),FALSE))),VLOOKUP($C78,武器!$1:$998,COLUMN($O$1),FALSE)*VLOOKUP($D78,素材!$1:$1016,COLUMN($E$1),FALSE)/(LEN(VLOOKUP($D78,素材!$1:$1016,COLUMN($F$1),FALSE))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P78">
        <f>IF(ISNUMBER(SEARCH(SUBSTITUTE(AP$1,RIGHT(AP$1,2),""),VLOOKUP($D78,素材!$1:$1016,COLUMN($F$1),FALSE))),VLOOKUP($C78,武器!$1:$998,COLUMN($O$1),FALSE)*VLOOKUP($D78,素材!$1:$1016,COLUMN($E$1),FALSE)/(LEN(VLOOKUP($D78,素材!$1:$1016,COLUMN($F$1),FALSE))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Q78">
        <f>IF(ISNUMBER(SEARCH(SUBSTITUTE(AQ$1,RIGHT(AQ$1,2),""),VLOOKUP($D78,素材!$1:$1016,COLUMN($F$1),FALSE))),VLOOKUP($C78,武器!$1:$998,COLUMN($O$1),FALSE)*VLOOKUP($D78,素材!$1:$1016,COLUMN($E$1),FALSE)/(LEN(VLOOKUP($D78,素材!$1:$1016,COLUMN($F$1),FALSE))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R78">
        <f>IF(ISNUMBER(SEARCH(SUBSTITUTE(AR$1,RIGHT(AR$1,2),""),VLOOKUP($D78,素材!$1:$1016,COLUMN($F$1),FALSE))),VLOOKUP($C78,武器!$1:$998,COLUMN($O$1),FALSE)*VLOOKUP($D78,素材!$1:$1016,COLUMN($E$1),FALSE)/(LEN(VLOOKUP($D78,素材!$1:$1016,COLUMN($F$1),FALSE))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S78">
        <f>IF(ISNUMBER(SEARCH(SUBSTITUTE(AS$1,RIGHT(AS$1,2),""),VLOOKUP($D78,素材!$1:$1016,COLUMN($F$1),FALSE))),VLOOKUP($C78,武器!$1:$998,COLUMN($O$1),FALSE)*VLOOKUP($D78,素材!$1:$1016,COLUMN($E$1),FALSE)/(LEN(VLOOKUP($D78,素材!$1:$1016,COLUMN($F$1),FALSE))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T78">
        <f>IF(ISNUMBER(SEARCH(SUBSTITUTE(AT$1,RIGHT(AT$1,2),""),VLOOKUP($D78,素材!$1:$1016,COLUMN($F$1),FALSE))),VLOOKUP($C78,武器!$1:$998,COLUMN($O$1),FALSE)*VLOOKUP($D78,素材!$1:$1016,COLUMN($E$1),FALSE)/(LEN(VLOOKUP($D78,素材!$1:$1016,COLUMN($F$1),FALSE))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U78">
        <f>IF(ISNUMBER(SEARCH(SUBSTITUTE(AU$1,RIGHT(AU$1,2),""),VLOOKUP($D78,素材!$1:$1016,COLUMN($F$1),FALSE))),VLOOKUP($C78,武器!$1:$998,COLUMN($O$1),FALSE)*VLOOKUP($D78,素材!$1:$1016,COLUMN($E$1),FALSE)/(LEN(VLOOKUP($D78,素材!$1:$1016,COLUMN($F$1),FALSE))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V78">
        <f>IF(ISNUMBER(SEARCH(SUBSTITUTE(AV$1,RIGHT(AV$1,2),""),VLOOKUP($D78,素材!$1:$1016,COLUMN($F$1),FALSE))),VLOOKUP($C78,武器!$1:$998,COLUMN($O$1),FALSE)*VLOOKUP($D78,素材!$1:$1016,COLUMN($E$1),FALSE)/(LEN(VLOOKUP($D78,素材!$1:$1016,COLUMN($F$1),FALSE))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W78">
        <f>IF(ISNUMBER(SEARCH(SUBSTITUTE(AW$1,RIGHT(AW$1,2),""),VLOOKUP($D78,素材!$1:$1016,COLUMN($F$1),FALSE))),VLOOKUP($C78,武器!$1:$998,COLUMN($O$1),FALSE)*VLOOKUP($D78,素材!$1:$1016,COLUMN($E$1),FALSE)/(LEN(VLOOKUP($D78,素材!$1:$1016,COLUMN($F$1),FALSE))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X78">
        <f>IF(ISNUMBER(SEARCH(SUBSTITUTE(AX$1,RIGHT(AX$1,2),""),VLOOKUP($D78,素材!$1:$1016,COLUMN($F$1),FALSE))),VLOOKUP($C78,武器!$1:$998,COLUMN($O$1),FALSE)*VLOOKUP($D78,素材!$1:$1016,COLUMN($E$1),FALSE)/(LEN(VLOOKUP($D78,素材!$1:$1016,COLUMN($F$1),FALSE))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Y78">
        <f>IF(ISNUMBER(SEARCH(SUBSTITUTE(AY$1,RIGHT(AY$1,2),""),VLOOKUP($D78,素材!$1:$1016,COLUMN($F$1),FALSE))),VLOOKUP($C78,武器!$1:$998,COLUMN($O$1),FALSE)*VLOOKUP($D78,素材!$1:$1016,COLUMN($E$1),FALSE)/(LEN(VLOOKUP($D78,素材!$1:$1016,COLUMN($F$1),FALSE))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AZ78">
        <f>IF(ISNUMBER(SEARCH(SUBSTITUTE(AZ$1,RIGHT(AZ$1,2),""),VLOOKUP($D78,素材!$1:$1016,COLUMN($F$1),FALSE))),VLOOKUP($C78,武器!$1:$998,COLUMN($O$1),FALSE)*VLOOKUP($D78,素材!$1:$1016,COLUMN($E$1),FALSE)/(LEN(VLOOKUP($D78,素材!$1:$1016,COLUMN($F$1),FALSE))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BA78">
        <f>IF(ISNUMBER(SEARCH(SUBSTITUTE(BA$1,RIGHT(BA$1,2),""),VLOOKUP($D78,素材!$1:$1016,COLUMN($F$1),FALSE))),VLOOKUP($C78,武器!$1:$998,COLUMN($O$1),FALSE)*VLOOKUP($D78,素材!$1:$1016,COLUMN($E$1),FALSE)/(LEN(VLOOKUP($D78,素材!$1:$1016,COLUMN($F$1),FALSE))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BB78">
        <f>IF(ISNUMBER(SEARCH(SUBSTITUTE(BB$1,RIGHT(BB$1,2),""),VLOOKUP($D78,素材!$1:$1016,COLUMN($F$1),FALSE))),VLOOKUP($C78,武器!$1:$998,COLUMN($O$1),FALSE)*VLOOKUP($D78,素材!$1:$1016,COLUMN($E$1),FALSE)/(LEN(VLOOKUP($D78,素材!$1:$1016,COLUMN($F$1),FALSE))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BC78">
        <f>IF(ISNUMBER(SEARCH(SUBSTITUTE(BC$1,RIGHT(BC$1,2),""),VLOOKUP($D78,素材!$1:$1016,COLUMN($F$1),FALSE))),VLOOKUP($C78,武器!$1:$998,COLUMN($O$1),FALSE)*VLOOKUP($D78,素材!$1:$1016,COLUMN($E$1),FALSE)/(LEN(VLOOKUP($D78,素材!$1:$1016,COLUMN($F$1),FALSE))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BD78">
        <f>IF(ISNUMBER(SEARCH(SUBSTITUTE(BD$1,RIGHT(BD$1,2),""),VLOOKUP($D78,素材!$1:$1016,COLUMN($F$1),FALSE))),VLOOKUP($C78,武器!$1:$998,COLUMN($O$1),FALSE)*VLOOKUP($D78,素材!$1:$1016,COLUMN($E$1),FALSE)/(LEN(VLOOKUP($D78,素材!$1:$1016,COLUMN($F$1),FALSE))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BE78">
        <f>IF(ISNUMBER(SEARCH(SUBSTITUTE(BE$1,RIGHT(BE$1,2),""),VLOOKUP($D78,素材!$1:$1016,COLUMN($F$1),FALSE))),VLOOKUP($C78,武器!$1:$998,COLUMN($O$1),FALSE)*VLOOKUP($D78,素材!$1:$1016,COLUMN($E$1),FALSE)/(LEN(VLOOKUP($D78,素材!$1:$1016,COLUMN($F$1),FALSE))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BF78">
        <f>IF(ISNUMBER(SEARCH(SUBSTITUTE(BF$1,RIGHT(BF$1,2),""),VLOOKUP($D78,素材!$1:$1016,COLUMN($F$1),FALSE))),VLOOKUP($C78,武器!$1:$998,COLUMN($O$1),FALSE)*VLOOKUP($D78,素材!$1:$1016,COLUMN($E$1),FALSE)/(LEN(VLOOKUP($D78,素材!$1:$1016,COLUMN($F$1),FALSE)) - LEN(SUBSTITUTE(VLOOKUP($D78,素材!$1:$1016,COLUMN($F$1),FALSE), "・", 0)) + 1), 0)</f>
        <v>0</v>
      </c>
      <c r="CM78">
        <f t="shared" si="8"/>
        <v>25</v>
      </c>
      <c r="CN78" s="22" t="str">
        <f>IF(E78="武器",IF(J78-1&gt;SUM(G78:I78),"盾",IF(MAX(G78:I78)=G78,"切断",IF(MAX(G78:I78)=H78,"貫通",IF(MAX(G78:I78)=I78,"打撃","射撃")))),E78)&amp;".webp"</f>
        <v>切断.webp</v>
      </c>
      <c r="CO78">
        <f>IFERROR(VLOOKUP($C78,武器!$1:$998,COLUMN(V$1),FALSE)*VLOOKUP($D78,素材!$1:$1016,COLUMN(N$1),FALSE)+IF(CJ78="",0,VLOOKUP($CJ78,装強!$1:$1008,COLUMN($CL$1),FALSE)),"")</f>
        <v>450</v>
      </c>
      <c r="CP78" t="str">
        <f>VLOOKUP(D78,素材!$A:$O,COLUMN(素材!O$1),FALSE)</f>
        <v>鍛えられた鉄。硬度が高く安価なためよく使用される。</v>
      </c>
      <c r="CQ78" t="str">
        <f>VLOOKUP(C78,武器!$A:$W,COLUMN(武器!W$1),FALSE)</f>
        <v>短刀。暗殺向けの武器で、軽量かつ片手操作に適する。Cr威力が高い</v>
      </c>
      <c r="CS78" t="str">
        <f t="shared" si="7"/>
        <v>e_78</v>
      </c>
      <c r="CT78">
        <f t="shared" si="9"/>
        <v>45000</v>
      </c>
    </row>
    <row r="79" spans="1:98" outlineLevel="1" x14ac:dyDescent="0.4">
      <c r="A79" t="str">
        <f t="shared" si="6"/>
        <v>鋼の刀</v>
      </c>
      <c r="B79" t="str">
        <f>IFERROR(VLOOKUP($D79,素材!$1:$1016,COLUMN($B$1),FALSE)&amp;"・"&amp;VLOOKUP($C79,武器!$1:$998,COLUMN(B$1),FALSE),"")</f>
        <v>スチール・カタナ</v>
      </c>
      <c r="C79" s="24" t="s">
        <v>241</v>
      </c>
      <c r="D79" s="24" t="s">
        <v>253</v>
      </c>
      <c r="E79" t="str">
        <f>IFERROR(VLOOKUP(C79,武器!$1:$998,COLUMN(C$1),FALSE),"")</f>
        <v>武器</v>
      </c>
      <c r="F79">
        <f>IFERROR(ROUNDDOWN((VLOOKUP($C79,武器!$1:$998,COLUMN(D$1),FALSE)+IFERROR(VLOOKUP($CJ79,装強!$1:$999,COLUMN(F$1),FALSE),0))*VLOOKUP($D79,素材!$1:$1016,COLUMN(D$1),FALSE),0),"")</f>
        <v>110</v>
      </c>
      <c r="G79">
        <f>IFERROR(ROUNDDOWN((VLOOKUP($C79,武器!$1:$998,COLUMN(E$1),FALSE)+IFERROR(VLOOKUP($CJ79,装強!$1:$999,COLUMN(G$1),FALSE),0))*VLOOKUP($D79,素材!$1:$1016,COLUMN($E$1),FALSE),0),"")</f>
        <v>18</v>
      </c>
      <c r="H79">
        <f>IFERROR(ROUNDDOWN((VLOOKUP($C79,武器!$1:$998,COLUMN(F$1),FALSE)+IFERROR(VLOOKUP($CJ79,装強!$1:$999,COLUMN(H$1),FALSE),0))*VLOOKUP($D79,素材!$1:$1016,COLUMN($E$1),FALSE),0),"")</f>
        <v>10</v>
      </c>
      <c r="I79">
        <f>IFERROR(ROUNDDOWN((VLOOKUP($C79,武器!$1:$998,COLUMN(G$1),FALSE)+IFERROR(VLOOKUP($CJ79,装強!$1:$999,COLUMN(I$1),FALSE),0))*VLOOKUP($D79,素材!$1:$1016,COLUMN($E$1),FALSE),0),"")</f>
        <v>2</v>
      </c>
      <c r="J79">
        <f>IFERROR(ROUNDDOWN((VLOOKUP($C79,武器!$1:$998,COLUMN(H$1),FALSE)+IFERROR(VLOOKUP($CJ79,装強!$1:$999,COLUMN(J$1),FALSE),0))*VLOOKUP($D79,素材!$1:$1016,COLUMN($E$1),FALSE),0),"")</f>
        <v>22</v>
      </c>
      <c r="K79">
        <f>IFERROR(ROUNDDOWN((VLOOKUP($C79,武器!$1:$998,COLUMN(I$1),FALSE)+IFERROR(VLOOKUP($CJ79,装強!$1:$999,COLUMN(K$1),FALSE),0))*VLOOKUP($D79,素材!$1:$1016,COLUMN($E$1),FALSE),0),"")</f>
        <v>0</v>
      </c>
      <c r="L79">
        <f>IFERROR(VLOOKUP($D79,素材!$1:$1016,COLUMN($F$1),FALSE),"")</f>
        <v>0</v>
      </c>
      <c r="M79">
        <f>IFERROR(VLOOKUP($C79,武器!$1:$998,COLUMN(AA$1),FALSE)*VLOOKUP($D79,素材!$1:$1016,COLUMN($G$1),FALSE),"")</f>
        <v>0</v>
      </c>
      <c r="N79">
        <f>IFERROR(VLOOKUP($C79,武器!$1:$998,COLUMN(I$1),FALSE),"")</f>
        <v>0</v>
      </c>
      <c r="O79" s="23">
        <f>IFERROR((VLOOKUP($C79,武器!$1:$998,COLUMN(K$1),FALSE)+VLOOKUP($D79,素材!$1:$1016,COLUMN(H$1),FALSE))*100+IFERROR(VLOOKUP($CJ79,装強!$1:$999,COLUMN(O$1),FALSE),0),"")</f>
        <v>10</v>
      </c>
      <c r="P79" s="23">
        <f>IFERROR((VLOOKUP($C79,武器!$1:$998,COLUMN(L$1),FALSE)+VLOOKUP($D79,素材!$1:$1016,COLUMN(I$1),FALSE))*100+IFERROR(VLOOKUP($CJ79,装強!$1:$999,COLUMN(P$1),FALSE),0),"")</f>
        <v>175</v>
      </c>
      <c r="Q79">
        <f>IFERROR(ROUNDUP(VLOOKUP($C79,武器!$1:$998,COLUMN(M$1),FALSE)*(VLOOKUP($D79,素材!$1:$1002,COLUMN(D$1),FALSE)/100),1),"")</f>
        <v>0</v>
      </c>
      <c r="R79">
        <f>IFERROR(ROUNDUP(VLOOKUP($C79,武器!$1:$998,COLUMN(N$1),FALSE)*(VLOOKUP($D79,素材!$1:$1002,COLUMN(D$1),FALSE)/100),1),"")</f>
        <v>0</v>
      </c>
      <c r="S79">
        <f>IFERROR(VLOOKUP($C79,武器!$1:$998,COLUMN(P$1),FALSE),"")</f>
        <v>0</v>
      </c>
      <c r="T79">
        <f>IFERROR(VLOOKUP($C79,武器!$1:$998,COLUMN(Q$1),FALSE),"")</f>
        <v>0</v>
      </c>
      <c r="U79">
        <f>IFERROR(VLOOKUP($C79,武器!$1:$998,COLUMN(R$1),FALSE),"")</f>
        <v>0</v>
      </c>
      <c r="V79">
        <f>IFERROR(VLOOKUP($C79,武器!$1:$998,COLUMN(Q$1),FALSE),"")</f>
        <v>0</v>
      </c>
      <c r="W79" t="str">
        <f>IFERROR(VLOOKUP($C79,武器!$1:$998,COLUMN(T$1),FALSE),"")</f>
        <v>A</v>
      </c>
      <c r="Y79">
        <f>IFERROR(VLOOKUP($C79,武器!$1:$998,COLUMN(U$1),FALSE),"")</f>
        <v>0</v>
      </c>
      <c r="Z79">
        <f>IFERROR(ROUNDUP(VLOOKUP($C79,武器!$1:$998,COLUMN(O$1),FALSE)*VLOOKUP($D79,素材!$1:$1016,COLUMN(E$1),FALSE),1),"")</f>
        <v>0</v>
      </c>
      <c r="AA79">
        <f>IF(ISNUMBER(SEARCH(SUBSTITUTE(AA$1,RIGHT(AA$1,2),""),VLOOKUP($D79,素材!$1:$1016,COLUMN($F$1),FALSE))),VLOOKUP($C79,武器!$1:$998,COLUMN($O$1),FALSE)*VLOOKUP($D79,素材!$1:$1016,COLUMN($E$1),FALSE)/(LEN(VLOOKUP($D79,素材!$1:$1016,COLUMN($F$1),FALSE))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B79">
        <f>IF(ISNUMBER(SEARCH(SUBSTITUTE(AB$1,RIGHT(AB$1,2),""),VLOOKUP($D79,素材!$1:$1016,COLUMN($F$1),FALSE))),VLOOKUP($C79,武器!$1:$998,COLUMN($O$1),FALSE)*VLOOKUP($D79,素材!$1:$1016,COLUMN($E$1),FALSE)/(LEN(VLOOKUP($D79,素材!$1:$1016,COLUMN($F$1),FALSE))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C79">
        <f>IF(ISNUMBER(SEARCH(SUBSTITUTE(AC$1,RIGHT(AC$1,2),""),VLOOKUP($D79,素材!$1:$1016,COLUMN($F$1),FALSE))),VLOOKUP($C79,武器!$1:$998,COLUMN($O$1),FALSE)*VLOOKUP($D79,素材!$1:$1016,COLUMN($E$1),FALSE)/(LEN(VLOOKUP($D79,素材!$1:$1016,COLUMN($F$1),FALSE))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D79">
        <f>IF(ISNUMBER(SEARCH(SUBSTITUTE(AD$1,RIGHT(AD$1,2),""),VLOOKUP($D79,素材!$1:$1016,COLUMN($F$1),FALSE))),VLOOKUP($C79,武器!$1:$998,COLUMN($O$1),FALSE)*VLOOKUP($D79,素材!$1:$1016,COLUMN($E$1),FALSE)/(LEN(VLOOKUP($D79,素材!$1:$1016,COLUMN($F$1),FALSE))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E79">
        <f>IF(ISNUMBER(SEARCH(SUBSTITUTE(AE$1,RIGHT(AE$1,2),""),VLOOKUP($D79,素材!$1:$1016,COLUMN($F$1),FALSE))),VLOOKUP($C79,武器!$1:$998,COLUMN($O$1),FALSE)*VLOOKUP($D79,素材!$1:$1016,COLUMN($E$1),FALSE)/(LEN(VLOOKUP($D79,素材!$1:$1016,COLUMN($F$1),FALSE))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F79">
        <f>IF(ISNUMBER(SEARCH(SUBSTITUTE(AF$1,RIGHT(AF$1,2),""),VLOOKUP($D79,素材!$1:$1016,COLUMN($F$1),FALSE))),VLOOKUP($C79,武器!$1:$998,COLUMN($O$1),FALSE)*VLOOKUP($D79,素材!$1:$1016,COLUMN($E$1),FALSE)/(LEN(VLOOKUP($D79,素材!$1:$1016,COLUMN($F$1),FALSE))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G79">
        <f>IF(ISNUMBER(SEARCH(SUBSTITUTE(AG$1,RIGHT(AG$1,2),""),VLOOKUP($D79,素材!$1:$1016,COLUMN($F$1),FALSE))),VLOOKUP($C79,武器!$1:$998,COLUMN($O$1),FALSE)*VLOOKUP($D79,素材!$1:$1016,COLUMN($E$1),FALSE)/(LEN(VLOOKUP($D79,素材!$1:$1016,COLUMN($F$1),FALSE))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H79">
        <f>IF(ISNUMBER(SEARCH(SUBSTITUTE(AH$1,RIGHT(AH$1,2),""),VLOOKUP($D79,素材!$1:$1016,COLUMN($F$1),FALSE))),VLOOKUP($C79,武器!$1:$998,COLUMN($O$1),FALSE)*VLOOKUP($D79,素材!$1:$1016,COLUMN($E$1),FALSE)/(LEN(VLOOKUP($D79,素材!$1:$1016,COLUMN($F$1),FALSE))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I79">
        <f>IF(ISNUMBER(SEARCH(SUBSTITUTE(AI$1,RIGHT(AI$1,2),""),VLOOKUP($D79,素材!$1:$1016,COLUMN($F$1),FALSE))),VLOOKUP($C79,武器!$1:$998,COLUMN($O$1),FALSE)*VLOOKUP($D79,素材!$1:$1016,COLUMN($E$1),FALSE)/(LEN(VLOOKUP($D79,素材!$1:$1016,COLUMN($F$1),FALSE))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J79">
        <f>IF(ISNUMBER(SEARCH(SUBSTITUTE(AJ$1,RIGHT(AJ$1,2),""),VLOOKUP($D79,素材!$1:$1016,COLUMN($F$1),FALSE))),VLOOKUP($C79,武器!$1:$998,COLUMN($O$1),FALSE)*VLOOKUP($D79,素材!$1:$1016,COLUMN($E$1),FALSE)/(LEN(VLOOKUP($D79,素材!$1:$1016,COLUMN($F$1),FALSE))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K79">
        <f>IF(ISNUMBER(SEARCH(SUBSTITUTE(AK$1,RIGHT(AK$1,2),""),VLOOKUP($D79,素材!$1:$1016,COLUMN($F$1),FALSE))),VLOOKUP($C79,武器!$1:$998,COLUMN($O$1),FALSE)*VLOOKUP($D79,素材!$1:$1016,COLUMN($E$1),FALSE)/(LEN(VLOOKUP($D79,素材!$1:$1016,COLUMN($F$1),FALSE))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L79">
        <f>IF(ISNUMBER(SEARCH(SUBSTITUTE(AL$1,RIGHT(AL$1,2),""),VLOOKUP($D79,素材!$1:$1016,COLUMN($F$1),FALSE))),VLOOKUP($C79,武器!$1:$998,COLUMN($O$1),FALSE)*VLOOKUP($D79,素材!$1:$1016,COLUMN($E$1),FALSE)/(LEN(VLOOKUP($D79,素材!$1:$1016,COLUMN($F$1),FALSE))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M79">
        <f>IF(ISNUMBER(SEARCH(SUBSTITUTE(AM$1,RIGHT(AM$1,2),""),VLOOKUP($D79,素材!$1:$1016,COLUMN($F$1),FALSE))),VLOOKUP($C79,武器!$1:$998,COLUMN($O$1),FALSE)*VLOOKUP($D79,素材!$1:$1016,COLUMN($E$1),FALSE)/(LEN(VLOOKUP($D79,素材!$1:$1016,COLUMN($F$1),FALSE))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N79">
        <f>IF(ISNUMBER(SEARCH(SUBSTITUTE(AN$1,RIGHT(AN$1,2),""),VLOOKUP($D79,素材!$1:$1016,COLUMN($F$1),FALSE))),VLOOKUP($C79,武器!$1:$998,COLUMN($O$1),FALSE)*VLOOKUP($D79,素材!$1:$1016,COLUMN($E$1),FALSE)/(LEN(VLOOKUP($D79,素材!$1:$1016,COLUMN($F$1),FALSE))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O79">
        <f>IF(ISNUMBER(SEARCH(SUBSTITUTE(AO$1,RIGHT(AO$1,2),""),VLOOKUP($D79,素材!$1:$1016,COLUMN($F$1),FALSE))),VLOOKUP($C79,武器!$1:$998,COLUMN($O$1),FALSE)*VLOOKUP($D79,素材!$1:$1016,COLUMN($E$1),FALSE)/(LEN(VLOOKUP($D79,素材!$1:$1016,COLUMN($F$1),FALSE))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P79">
        <f>IF(ISNUMBER(SEARCH(SUBSTITUTE(AP$1,RIGHT(AP$1,2),""),VLOOKUP($D79,素材!$1:$1016,COLUMN($F$1),FALSE))),VLOOKUP($C79,武器!$1:$998,COLUMN($O$1),FALSE)*VLOOKUP($D79,素材!$1:$1016,COLUMN($E$1),FALSE)/(LEN(VLOOKUP($D79,素材!$1:$1016,COLUMN($F$1),FALSE))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Q79">
        <f>IF(ISNUMBER(SEARCH(SUBSTITUTE(AQ$1,RIGHT(AQ$1,2),""),VLOOKUP($D79,素材!$1:$1016,COLUMN($F$1),FALSE))),VLOOKUP($C79,武器!$1:$998,COLUMN($O$1),FALSE)*VLOOKUP($D79,素材!$1:$1016,COLUMN($E$1),FALSE)/(LEN(VLOOKUP($D79,素材!$1:$1016,COLUMN($F$1),FALSE))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R79">
        <f>IF(ISNUMBER(SEARCH(SUBSTITUTE(AR$1,RIGHT(AR$1,2),""),VLOOKUP($D79,素材!$1:$1016,COLUMN($F$1),FALSE))),VLOOKUP($C79,武器!$1:$998,COLUMN($O$1),FALSE)*VLOOKUP($D79,素材!$1:$1016,COLUMN($E$1),FALSE)/(LEN(VLOOKUP($D79,素材!$1:$1016,COLUMN($F$1),FALSE))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S79">
        <f>IF(ISNUMBER(SEARCH(SUBSTITUTE(AS$1,RIGHT(AS$1,2),""),VLOOKUP($D79,素材!$1:$1016,COLUMN($F$1),FALSE))),VLOOKUP($C79,武器!$1:$998,COLUMN($O$1),FALSE)*VLOOKUP($D79,素材!$1:$1016,COLUMN($E$1),FALSE)/(LEN(VLOOKUP($D79,素材!$1:$1016,COLUMN($F$1),FALSE))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T79">
        <f>IF(ISNUMBER(SEARCH(SUBSTITUTE(AT$1,RIGHT(AT$1,2),""),VLOOKUP($D79,素材!$1:$1016,COLUMN($F$1),FALSE))),VLOOKUP($C79,武器!$1:$998,COLUMN($O$1),FALSE)*VLOOKUP($D79,素材!$1:$1016,COLUMN($E$1),FALSE)/(LEN(VLOOKUP($D79,素材!$1:$1016,COLUMN($F$1),FALSE))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U79">
        <f>IF(ISNUMBER(SEARCH(SUBSTITUTE(AU$1,RIGHT(AU$1,2),""),VLOOKUP($D79,素材!$1:$1016,COLUMN($F$1),FALSE))),VLOOKUP($C79,武器!$1:$998,COLUMN($O$1),FALSE)*VLOOKUP($D79,素材!$1:$1016,COLUMN($E$1),FALSE)/(LEN(VLOOKUP($D79,素材!$1:$1016,COLUMN($F$1),FALSE))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V79">
        <f>IF(ISNUMBER(SEARCH(SUBSTITUTE(AV$1,RIGHT(AV$1,2),""),VLOOKUP($D79,素材!$1:$1016,COLUMN($F$1),FALSE))),VLOOKUP($C79,武器!$1:$998,COLUMN($O$1),FALSE)*VLOOKUP($D79,素材!$1:$1016,COLUMN($E$1),FALSE)/(LEN(VLOOKUP($D79,素材!$1:$1016,COLUMN($F$1),FALSE))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W79">
        <f>IF(ISNUMBER(SEARCH(SUBSTITUTE(AW$1,RIGHT(AW$1,2),""),VLOOKUP($D79,素材!$1:$1016,COLUMN($F$1),FALSE))),VLOOKUP($C79,武器!$1:$998,COLUMN($O$1),FALSE)*VLOOKUP($D79,素材!$1:$1016,COLUMN($E$1),FALSE)/(LEN(VLOOKUP($D79,素材!$1:$1016,COLUMN($F$1),FALSE))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X79">
        <f>IF(ISNUMBER(SEARCH(SUBSTITUTE(AX$1,RIGHT(AX$1,2),""),VLOOKUP($D79,素材!$1:$1016,COLUMN($F$1),FALSE))),VLOOKUP($C79,武器!$1:$998,COLUMN($O$1),FALSE)*VLOOKUP($D79,素材!$1:$1016,COLUMN($E$1),FALSE)/(LEN(VLOOKUP($D79,素材!$1:$1016,COLUMN($F$1),FALSE))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Y79">
        <f>IF(ISNUMBER(SEARCH(SUBSTITUTE(AY$1,RIGHT(AY$1,2),""),VLOOKUP($D79,素材!$1:$1016,COLUMN($F$1),FALSE))),VLOOKUP($C79,武器!$1:$998,COLUMN($O$1),FALSE)*VLOOKUP($D79,素材!$1:$1016,COLUMN($E$1),FALSE)/(LEN(VLOOKUP($D79,素材!$1:$1016,COLUMN($F$1),FALSE))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AZ79">
        <f>IF(ISNUMBER(SEARCH(SUBSTITUTE(AZ$1,RIGHT(AZ$1,2),""),VLOOKUP($D79,素材!$1:$1016,COLUMN($F$1),FALSE))),VLOOKUP($C79,武器!$1:$998,COLUMN($O$1),FALSE)*VLOOKUP($D79,素材!$1:$1016,COLUMN($E$1),FALSE)/(LEN(VLOOKUP($D79,素材!$1:$1016,COLUMN($F$1),FALSE))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BA79">
        <f>IF(ISNUMBER(SEARCH(SUBSTITUTE(BA$1,RIGHT(BA$1,2),""),VLOOKUP($D79,素材!$1:$1016,COLUMN($F$1),FALSE))),VLOOKUP($C79,武器!$1:$998,COLUMN($O$1),FALSE)*VLOOKUP($D79,素材!$1:$1016,COLUMN($E$1),FALSE)/(LEN(VLOOKUP($D79,素材!$1:$1016,COLUMN($F$1),FALSE))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BB79">
        <f>IF(ISNUMBER(SEARCH(SUBSTITUTE(BB$1,RIGHT(BB$1,2),""),VLOOKUP($D79,素材!$1:$1016,COLUMN($F$1),FALSE))),VLOOKUP($C79,武器!$1:$998,COLUMN($O$1),FALSE)*VLOOKUP($D79,素材!$1:$1016,COLUMN($E$1),FALSE)/(LEN(VLOOKUP($D79,素材!$1:$1016,COLUMN($F$1),FALSE))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BC79">
        <f>IF(ISNUMBER(SEARCH(SUBSTITUTE(BC$1,RIGHT(BC$1,2),""),VLOOKUP($D79,素材!$1:$1016,COLUMN($F$1),FALSE))),VLOOKUP($C79,武器!$1:$998,COLUMN($O$1),FALSE)*VLOOKUP($D79,素材!$1:$1016,COLUMN($E$1),FALSE)/(LEN(VLOOKUP($D79,素材!$1:$1016,COLUMN($F$1),FALSE))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BD79">
        <f>IF(ISNUMBER(SEARCH(SUBSTITUTE(BD$1,RIGHT(BD$1,2),""),VLOOKUP($D79,素材!$1:$1016,COLUMN($F$1),FALSE))),VLOOKUP($C79,武器!$1:$998,COLUMN($O$1),FALSE)*VLOOKUP($D79,素材!$1:$1016,COLUMN($E$1),FALSE)/(LEN(VLOOKUP($D79,素材!$1:$1016,COLUMN($F$1),FALSE))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BE79">
        <f>IF(ISNUMBER(SEARCH(SUBSTITUTE(BE$1,RIGHT(BE$1,2),""),VLOOKUP($D79,素材!$1:$1016,COLUMN($F$1),FALSE))),VLOOKUP($C79,武器!$1:$998,COLUMN($O$1),FALSE)*VLOOKUP($D79,素材!$1:$1016,COLUMN($E$1),FALSE)/(LEN(VLOOKUP($D79,素材!$1:$1016,COLUMN($F$1),FALSE))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BF79">
        <f>IF(ISNUMBER(SEARCH(SUBSTITUTE(BF$1,RIGHT(BF$1,2),""),VLOOKUP($D79,素材!$1:$1016,COLUMN($F$1),FALSE))),VLOOKUP($C79,武器!$1:$998,COLUMN($O$1),FALSE)*VLOOKUP($D79,素材!$1:$1016,COLUMN($E$1),FALSE)/(LEN(VLOOKUP($D79,素材!$1:$1016,COLUMN($F$1),FALSE)) - LEN(SUBSTITUTE(VLOOKUP($D79,素材!$1:$1016,COLUMN($F$1),FALSE), "・", 0)) + 1), 0)</f>
        <v>0</v>
      </c>
      <c r="CM79">
        <f t="shared" si="8"/>
        <v>30</v>
      </c>
      <c r="CN79" s="22" t="str">
        <f>IF(E79="武器",IF(J79-1&gt;SUM(G79:I79),"盾",IF(MAX(G79:I79)=G79,"切断",IF(MAX(G79:I79)=H79,"貫通",IF(MAX(G79:I79)=I79,"打撃","射撃")))),E79)&amp;".webp"</f>
        <v>切断.webp</v>
      </c>
      <c r="CO79">
        <f>IFERROR(VLOOKUP($C79,武器!$1:$998,COLUMN(V$1),FALSE)*VLOOKUP($D79,素材!$1:$1016,COLUMN(N$1),FALSE)+IF(CJ79="",0,VLOOKUP($CJ79,装強!$1:$1008,COLUMN($CL$1),FALSE)),"")</f>
        <v>900</v>
      </c>
      <c r="CP79" t="str">
        <f>VLOOKUP(D79,素材!$A:$O,COLUMN(素材!O$1),FALSE)</f>
        <v>鍛えられた鉄。硬度が高く安価なためよく使用される。</v>
      </c>
      <c r="CQ79" t="str">
        <f>VLOOKUP(C79,武器!$A:$W,COLUMN(武器!W$1),FALSE)</f>
        <v>刀。切断力に優れた武器で、Cr威力が高い</v>
      </c>
      <c r="CS79" t="str">
        <f t="shared" si="7"/>
        <v>e_79</v>
      </c>
      <c r="CT79">
        <f t="shared" si="9"/>
        <v>90000</v>
      </c>
    </row>
    <row r="80" spans="1:98" outlineLevel="1" x14ac:dyDescent="0.4">
      <c r="A80" t="str">
        <f t="shared" si="6"/>
        <v>鋼の剣</v>
      </c>
      <c r="B80" t="str">
        <f>IFERROR(VLOOKUP($D80,素材!$1:$1016,COLUMN($B$1),FALSE)&amp;"・"&amp;VLOOKUP($C80,武器!$1:$998,COLUMN(B$1),FALSE),"")</f>
        <v>スチール・ソード</v>
      </c>
      <c r="C80" s="24" t="s">
        <v>240</v>
      </c>
      <c r="D80" s="24" t="s">
        <v>253</v>
      </c>
      <c r="E80" t="str">
        <f>IFERROR(VLOOKUP(C80,武器!$1:$998,COLUMN(C$1),FALSE),"")</f>
        <v>武器</v>
      </c>
      <c r="F80">
        <f>IFERROR(ROUNDDOWN((VLOOKUP($C80,武器!$1:$998,COLUMN(D$1),FALSE)+IFERROR(VLOOKUP($CJ80,装強!$1:$999,COLUMN(F$1),FALSE),0))*VLOOKUP($D80,素材!$1:$1016,COLUMN(D$1),FALSE),0),"")</f>
        <v>105</v>
      </c>
      <c r="G80">
        <f>IFERROR(ROUNDDOWN((VLOOKUP($C80,武器!$1:$998,COLUMN(E$1),FALSE)+IFERROR(VLOOKUP($CJ80,装強!$1:$999,COLUMN(G$1),FALSE),0))*VLOOKUP($D80,素材!$1:$1016,COLUMN($E$1),FALSE),0),"")</f>
        <v>16</v>
      </c>
      <c r="H80">
        <f>IFERROR(ROUNDDOWN((VLOOKUP($C80,武器!$1:$998,COLUMN(F$1),FALSE)+IFERROR(VLOOKUP($CJ80,装強!$1:$999,COLUMN(H$1),FALSE),0))*VLOOKUP($D80,素材!$1:$1016,COLUMN($E$1),FALSE),0),"")</f>
        <v>12</v>
      </c>
      <c r="I80">
        <f>IFERROR(ROUNDDOWN((VLOOKUP($C80,武器!$1:$998,COLUMN(G$1),FALSE)+IFERROR(VLOOKUP($CJ80,装強!$1:$999,COLUMN(I$1),FALSE),0))*VLOOKUP($D80,素材!$1:$1016,COLUMN($E$1),FALSE),0),"")</f>
        <v>4</v>
      </c>
      <c r="J80">
        <f>IFERROR(ROUNDDOWN((VLOOKUP($C80,武器!$1:$998,COLUMN(H$1),FALSE)+IFERROR(VLOOKUP($CJ80,装強!$1:$999,COLUMN(J$1),FALSE),0))*VLOOKUP($D80,素材!$1:$1016,COLUMN($E$1),FALSE),0),"")</f>
        <v>25</v>
      </c>
      <c r="K80">
        <f>IFERROR(ROUNDDOWN((VLOOKUP($C80,武器!$1:$998,COLUMN(I$1),FALSE)+IFERROR(VLOOKUP($CJ80,装強!$1:$999,COLUMN(K$1),FALSE),0))*VLOOKUP($D80,素材!$1:$1016,COLUMN($E$1),FALSE),0),"")</f>
        <v>0</v>
      </c>
      <c r="L80">
        <f>IFERROR(VLOOKUP($D80,素材!$1:$1016,COLUMN($F$1),FALSE),"")</f>
        <v>0</v>
      </c>
      <c r="M80">
        <f>IFERROR(VLOOKUP($C80,武器!$1:$998,COLUMN(AA$1),FALSE)*VLOOKUP($D80,素材!$1:$1016,COLUMN($G$1),FALSE),"")</f>
        <v>0</v>
      </c>
      <c r="N80">
        <f>IFERROR(VLOOKUP($C80,武器!$1:$998,COLUMN(I$1),FALSE),"")</f>
        <v>0</v>
      </c>
      <c r="O80" s="23">
        <f>IFERROR((VLOOKUP($C80,武器!$1:$998,COLUMN(K$1),FALSE)+VLOOKUP($D80,素材!$1:$1016,COLUMN(H$1),FALSE))*100+IFERROR(VLOOKUP($CJ80,装強!$1:$999,COLUMN(O$1),FALSE),0),"")</f>
        <v>10</v>
      </c>
      <c r="P80" s="23">
        <f>IFERROR((VLOOKUP($C80,武器!$1:$998,COLUMN(L$1),FALSE)+VLOOKUP($D80,素材!$1:$1016,COLUMN(I$1),FALSE))*100+IFERROR(VLOOKUP($CJ80,装強!$1:$999,COLUMN(P$1),FALSE),0),"")</f>
        <v>150</v>
      </c>
      <c r="Q80">
        <f>IFERROR(ROUNDUP(VLOOKUP($C80,武器!$1:$998,COLUMN(M$1),FALSE)*(VLOOKUP($D80,素材!$1:$1002,COLUMN(D$1),FALSE)/100),1),"")</f>
        <v>0</v>
      </c>
      <c r="R80">
        <f>IFERROR(ROUNDUP(VLOOKUP($C80,武器!$1:$998,COLUMN(N$1),FALSE)*(VLOOKUP($D80,素材!$1:$1002,COLUMN(D$1),FALSE)/100),1),"")</f>
        <v>0</v>
      </c>
      <c r="S80">
        <f>IFERROR(VLOOKUP($C80,武器!$1:$998,COLUMN(P$1),FALSE),"")</f>
        <v>0</v>
      </c>
      <c r="T80">
        <f>IFERROR(VLOOKUP($C80,武器!$1:$998,COLUMN(Q$1),FALSE),"")</f>
        <v>0</v>
      </c>
      <c r="U80">
        <f>IFERROR(VLOOKUP($C80,武器!$1:$998,COLUMN(R$1),FALSE),"")</f>
        <v>0</v>
      </c>
      <c r="V80">
        <f>IFERROR(VLOOKUP($C80,武器!$1:$998,COLUMN(Q$1),FALSE),"")</f>
        <v>0</v>
      </c>
      <c r="W80" t="str">
        <f>IFERROR(VLOOKUP($C80,武器!$1:$998,COLUMN(T$1),FALSE),"")</f>
        <v>A</v>
      </c>
      <c r="Y80" t="str">
        <f>IFERROR(VLOOKUP($C80,武器!$1:$998,COLUMN(U$1),FALSE),"")</f>
        <v>片手適正Ⅰ</v>
      </c>
      <c r="Z80">
        <f>IFERROR(ROUNDUP(VLOOKUP($C80,武器!$1:$998,COLUMN(O$1),FALSE)*VLOOKUP($D80,素材!$1:$1016,COLUMN(E$1),FALSE),1),"")</f>
        <v>0</v>
      </c>
      <c r="AA80">
        <f>IF(ISNUMBER(SEARCH(SUBSTITUTE(AA$1,RIGHT(AA$1,2),""),VLOOKUP($D80,素材!$1:$1016,COLUMN($F$1),FALSE))),VLOOKUP($C80,武器!$1:$998,COLUMN($O$1),FALSE)*VLOOKUP($D80,素材!$1:$1016,COLUMN($E$1),FALSE)/(LEN(VLOOKUP($D80,素材!$1:$1016,COLUMN($F$1),FALSE))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B80">
        <f>IF(ISNUMBER(SEARCH(SUBSTITUTE(AB$1,RIGHT(AB$1,2),""),VLOOKUP($D80,素材!$1:$1016,COLUMN($F$1),FALSE))),VLOOKUP($C80,武器!$1:$998,COLUMN($O$1),FALSE)*VLOOKUP($D80,素材!$1:$1016,COLUMN($E$1),FALSE)/(LEN(VLOOKUP($D80,素材!$1:$1016,COLUMN($F$1),FALSE))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C80">
        <f>IF(ISNUMBER(SEARCH(SUBSTITUTE(AC$1,RIGHT(AC$1,2),""),VLOOKUP($D80,素材!$1:$1016,COLUMN($F$1),FALSE))),VLOOKUP($C80,武器!$1:$998,COLUMN($O$1),FALSE)*VLOOKUP($D80,素材!$1:$1016,COLUMN($E$1),FALSE)/(LEN(VLOOKUP($D80,素材!$1:$1016,COLUMN($F$1),FALSE))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D80">
        <f>IF(ISNUMBER(SEARCH(SUBSTITUTE(AD$1,RIGHT(AD$1,2),""),VLOOKUP($D80,素材!$1:$1016,COLUMN($F$1),FALSE))),VLOOKUP($C80,武器!$1:$998,COLUMN($O$1),FALSE)*VLOOKUP($D80,素材!$1:$1016,COLUMN($E$1),FALSE)/(LEN(VLOOKUP($D80,素材!$1:$1016,COLUMN($F$1),FALSE))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E80">
        <f>IF(ISNUMBER(SEARCH(SUBSTITUTE(AE$1,RIGHT(AE$1,2),""),VLOOKUP($D80,素材!$1:$1016,COLUMN($F$1),FALSE))),VLOOKUP($C80,武器!$1:$998,COLUMN($O$1),FALSE)*VLOOKUP($D80,素材!$1:$1016,COLUMN($E$1),FALSE)/(LEN(VLOOKUP($D80,素材!$1:$1016,COLUMN($F$1),FALSE))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F80">
        <f>IF(ISNUMBER(SEARCH(SUBSTITUTE(AF$1,RIGHT(AF$1,2),""),VLOOKUP($D80,素材!$1:$1016,COLUMN($F$1),FALSE))),VLOOKUP($C80,武器!$1:$998,COLUMN($O$1),FALSE)*VLOOKUP($D80,素材!$1:$1016,COLUMN($E$1),FALSE)/(LEN(VLOOKUP($D80,素材!$1:$1016,COLUMN($F$1),FALSE))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G80">
        <f>IF(ISNUMBER(SEARCH(SUBSTITUTE(AG$1,RIGHT(AG$1,2),""),VLOOKUP($D80,素材!$1:$1016,COLUMN($F$1),FALSE))),VLOOKUP($C80,武器!$1:$998,COLUMN($O$1),FALSE)*VLOOKUP($D80,素材!$1:$1016,COLUMN($E$1),FALSE)/(LEN(VLOOKUP($D80,素材!$1:$1016,COLUMN($F$1),FALSE))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H80">
        <f>IF(ISNUMBER(SEARCH(SUBSTITUTE(AH$1,RIGHT(AH$1,2),""),VLOOKUP($D80,素材!$1:$1016,COLUMN($F$1),FALSE))),VLOOKUP($C80,武器!$1:$998,COLUMN($O$1),FALSE)*VLOOKUP($D80,素材!$1:$1016,COLUMN($E$1),FALSE)/(LEN(VLOOKUP($D80,素材!$1:$1016,COLUMN($F$1),FALSE))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I80">
        <f>IF(ISNUMBER(SEARCH(SUBSTITUTE(AI$1,RIGHT(AI$1,2),""),VLOOKUP($D80,素材!$1:$1016,COLUMN($F$1),FALSE))),VLOOKUP($C80,武器!$1:$998,COLUMN($O$1),FALSE)*VLOOKUP($D80,素材!$1:$1016,COLUMN($E$1),FALSE)/(LEN(VLOOKUP($D80,素材!$1:$1016,COLUMN($F$1),FALSE))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J80">
        <f>IF(ISNUMBER(SEARCH(SUBSTITUTE(AJ$1,RIGHT(AJ$1,2),""),VLOOKUP($D80,素材!$1:$1016,COLUMN($F$1),FALSE))),VLOOKUP($C80,武器!$1:$998,COLUMN($O$1),FALSE)*VLOOKUP($D80,素材!$1:$1016,COLUMN($E$1),FALSE)/(LEN(VLOOKUP($D80,素材!$1:$1016,COLUMN($F$1),FALSE))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K80">
        <f>IF(ISNUMBER(SEARCH(SUBSTITUTE(AK$1,RIGHT(AK$1,2),""),VLOOKUP($D80,素材!$1:$1016,COLUMN($F$1),FALSE))),VLOOKUP($C80,武器!$1:$998,COLUMN($O$1),FALSE)*VLOOKUP($D80,素材!$1:$1016,COLUMN($E$1),FALSE)/(LEN(VLOOKUP($D80,素材!$1:$1016,COLUMN($F$1),FALSE))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L80">
        <f>IF(ISNUMBER(SEARCH(SUBSTITUTE(AL$1,RIGHT(AL$1,2),""),VLOOKUP($D80,素材!$1:$1016,COLUMN($F$1),FALSE))),VLOOKUP($C80,武器!$1:$998,COLUMN($O$1),FALSE)*VLOOKUP($D80,素材!$1:$1016,COLUMN($E$1),FALSE)/(LEN(VLOOKUP($D80,素材!$1:$1016,COLUMN($F$1),FALSE))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M80">
        <f>IF(ISNUMBER(SEARCH(SUBSTITUTE(AM$1,RIGHT(AM$1,2),""),VLOOKUP($D80,素材!$1:$1016,COLUMN($F$1),FALSE))),VLOOKUP($C80,武器!$1:$998,COLUMN($O$1),FALSE)*VLOOKUP($D80,素材!$1:$1016,COLUMN($E$1),FALSE)/(LEN(VLOOKUP($D80,素材!$1:$1016,COLUMN($F$1),FALSE))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N80">
        <f>IF(ISNUMBER(SEARCH(SUBSTITUTE(AN$1,RIGHT(AN$1,2),""),VLOOKUP($D80,素材!$1:$1016,COLUMN($F$1),FALSE))),VLOOKUP($C80,武器!$1:$998,COLUMN($O$1),FALSE)*VLOOKUP($D80,素材!$1:$1016,COLUMN($E$1),FALSE)/(LEN(VLOOKUP($D80,素材!$1:$1016,COLUMN($F$1),FALSE))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O80">
        <f>IF(ISNUMBER(SEARCH(SUBSTITUTE(AO$1,RIGHT(AO$1,2),""),VLOOKUP($D80,素材!$1:$1016,COLUMN($F$1),FALSE))),VLOOKUP($C80,武器!$1:$998,COLUMN($O$1),FALSE)*VLOOKUP($D80,素材!$1:$1016,COLUMN($E$1),FALSE)/(LEN(VLOOKUP($D80,素材!$1:$1016,COLUMN($F$1),FALSE))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P80">
        <f>IF(ISNUMBER(SEARCH(SUBSTITUTE(AP$1,RIGHT(AP$1,2),""),VLOOKUP($D80,素材!$1:$1016,COLUMN($F$1),FALSE))),VLOOKUP($C80,武器!$1:$998,COLUMN($O$1),FALSE)*VLOOKUP($D80,素材!$1:$1016,COLUMN($E$1),FALSE)/(LEN(VLOOKUP($D80,素材!$1:$1016,COLUMN($F$1),FALSE))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Q80">
        <f>IF(ISNUMBER(SEARCH(SUBSTITUTE(AQ$1,RIGHT(AQ$1,2),""),VLOOKUP($D80,素材!$1:$1016,COLUMN($F$1),FALSE))),VLOOKUP($C80,武器!$1:$998,COLUMN($O$1),FALSE)*VLOOKUP($D80,素材!$1:$1016,COLUMN($E$1),FALSE)/(LEN(VLOOKUP($D80,素材!$1:$1016,COLUMN($F$1),FALSE))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R80">
        <f>IF(ISNUMBER(SEARCH(SUBSTITUTE(AR$1,RIGHT(AR$1,2),""),VLOOKUP($D80,素材!$1:$1016,COLUMN($F$1),FALSE))),VLOOKUP($C80,武器!$1:$998,COLUMN($O$1),FALSE)*VLOOKUP($D80,素材!$1:$1016,COLUMN($E$1),FALSE)/(LEN(VLOOKUP($D80,素材!$1:$1016,COLUMN($F$1),FALSE))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S80">
        <f>IF(ISNUMBER(SEARCH(SUBSTITUTE(AS$1,RIGHT(AS$1,2),""),VLOOKUP($D80,素材!$1:$1016,COLUMN($F$1),FALSE))),VLOOKUP($C80,武器!$1:$998,COLUMN($O$1),FALSE)*VLOOKUP($D80,素材!$1:$1016,COLUMN($E$1),FALSE)/(LEN(VLOOKUP($D80,素材!$1:$1016,COLUMN($F$1),FALSE))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T80">
        <f>IF(ISNUMBER(SEARCH(SUBSTITUTE(AT$1,RIGHT(AT$1,2),""),VLOOKUP($D80,素材!$1:$1016,COLUMN($F$1),FALSE))),VLOOKUP($C80,武器!$1:$998,COLUMN($O$1),FALSE)*VLOOKUP($D80,素材!$1:$1016,COLUMN($E$1),FALSE)/(LEN(VLOOKUP($D80,素材!$1:$1016,COLUMN($F$1),FALSE))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U80">
        <f>IF(ISNUMBER(SEARCH(SUBSTITUTE(AU$1,RIGHT(AU$1,2),""),VLOOKUP($D80,素材!$1:$1016,COLUMN($F$1),FALSE))),VLOOKUP($C80,武器!$1:$998,COLUMN($O$1),FALSE)*VLOOKUP($D80,素材!$1:$1016,COLUMN($E$1),FALSE)/(LEN(VLOOKUP($D80,素材!$1:$1016,COLUMN($F$1),FALSE))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V80">
        <f>IF(ISNUMBER(SEARCH(SUBSTITUTE(AV$1,RIGHT(AV$1,2),""),VLOOKUP($D80,素材!$1:$1016,COLUMN($F$1),FALSE))),VLOOKUP($C80,武器!$1:$998,COLUMN($O$1),FALSE)*VLOOKUP($D80,素材!$1:$1016,COLUMN($E$1),FALSE)/(LEN(VLOOKUP($D80,素材!$1:$1016,COLUMN($F$1),FALSE))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W80">
        <f>IF(ISNUMBER(SEARCH(SUBSTITUTE(AW$1,RIGHT(AW$1,2),""),VLOOKUP($D80,素材!$1:$1016,COLUMN($F$1),FALSE))),VLOOKUP($C80,武器!$1:$998,COLUMN($O$1),FALSE)*VLOOKUP($D80,素材!$1:$1016,COLUMN($E$1),FALSE)/(LEN(VLOOKUP($D80,素材!$1:$1016,COLUMN($F$1),FALSE))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X80">
        <f>IF(ISNUMBER(SEARCH(SUBSTITUTE(AX$1,RIGHT(AX$1,2),""),VLOOKUP($D80,素材!$1:$1016,COLUMN($F$1),FALSE))),VLOOKUP($C80,武器!$1:$998,COLUMN($O$1),FALSE)*VLOOKUP($D80,素材!$1:$1016,COLUMN($E$1),FALSE)/(LEN(VLOOKUP($D80,素材!$1:$1016,COLUMN($F$1),FALSE))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Y80">
        <f>IF(ISNUMBER(SEARCH(SUBSTITUTE(AY$1,RIGHT(AY$1,2),""),VLOOKUP($D80,素材!$1:$1016,COLUMN($F$1),FALSE))),VLOOKUP($C80,武器!$1:$998,COLUMN($O$1),FALSE)*VLOOKUP($D80,素材!$1:$1016,COLUMN($E$1),FALSE)/(LEN(VLOOKUP($D80,素材!$1:$1016,COLUMN($F$1),FALSE))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AZ80">
        <f>IF(ISNUMBER(SEARCH(SUBSTITUTE(AZ$1,RIGHT(AZ$1,2),""),VLOOKUP($D80,素材!$1:$1016,COLUMN($F$1),FALSE))),VLOOKUP($C80,武器!$1:$998,COLUMN($O$1),FALSE)*VLOOKUP($D80,素材!$1:$1016,COLUMN($E$1),FALSE)/(LEN(VLOOKUP($D80,素材!$1:$1016,COLUMN($F$1),FALSE))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BA80">
        <f>IF(ISNUMBER(SEARCH(SUBSTITUTE(BA$1,RIGHT(BA$1,2),""),VLOOKUP($D80,素材!$1:$1016,COLUMN($F$1),FALSE))),VLOOKUP($C80,武器!$1:$998,COLUMN($O$1),FALSE)*VLOOKUP($D80,素材!$1:$1016,COLUMN($E$1),FALSE)/(LEN(VLOOKUP($D80,素材!$1:$1016,COLUMN($F$1),FALSE))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BB80">
        <f>IF(ISNUMBER(SEARCH(SUBSTITUTE(BB$1,RIGHT(BB$1,2),""),VLOOKUP($D80,素材!$1:$1016,COLUMN($F$1),FALSE))),VLOOKUP($C80,武器!$1:$998,COLUMN($O$1),FALSE)*VLOOKUP($D80,素材!$1:$1016,COLUMN($E$1),FALSE)/(LEN(VLOOKUP($D80,素材!$1:$1016,COLUMN($F$1),FALSE))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BC80">
        <f>IF(ISNUMBER(SEARCH(SUBSTITUTE(BC$1,RIGHT(BC$1,2),""),VLOOKUP($D80,素材!$1:$1016,COLUMN($F$1),FALSE))),VLOOKUP($C80,武器!$1:$998,COLUMN($O$1),FALSE)*VLOOKUP($D80,素材!$1:$1016,COLUMN($E$1),FALSE)/(LEN(VLOOKUP($D80,素材!$1:$1016,COLUMN($F$1),FALSE))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BD80">
        <f>IF(ISNUMBER(SEARCH(SUBSTITUTE(BD$1,RIGHT(BD$1,2),""),VLOOKUP($D80,素材!$1:$1016,COLUMN($F$1),FALSE))),VLOOKUP($C80,武器!$1:$998,COLUMN($O$1),FALSE)*VLOOKUP($D80,素材!$1:$1016,COLUMN($E$1),FALSE)/(LEN(VLOOKUP($D80,素材!$1:$1016,COLUMN($F$1),FALSE))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BE80">
        <f>IF(ISNUMBER(SEARCH(SUBSTITUTE(BE$1,RIGHT(BE$1,2),""),VLOOKUP($D80,素材!$1:$1016,COLUMN($F$1),FALSE))),VLOOKUP($C80,武器!$1:$998,COLUMN($O$1),FALSE)*VLOOKUP($D80,素材!$1:$1016,COLUMN($E$1),FALSE)/(LEN(VLOOKUP($D80,素材!$1:$1016,COLUMN($F$1),FALSE))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BF80">
        <f>IF(ISNUMBER(SEARCH(SUBSTITUTE(BF$1,RIGHT(BF$1,2),""),VLOOKUP($D80,素材!$1:$1016,COLUMN($F$1),FALSE))),VLOOKUP($C80,武器!$1:$998,COLUMN($O$1),FALSE)*VLOOKUP($D80,素材!$1:$1016,COLUMN($E$1),FALSE)/(LEN(VLOOKUP($D80,素材!$1:$1016,COLUMN($F$1),FALSE)) - LEN(SUBSTITUTE(VLOOKUP($D80,素材!$1:$1016,COLUMN($F$1),FALSE), "・", 0)) + 1), 0)</f>
        <v>0</v>
      </c>
      <c r="CM80">
        <f t="shared" si="8"/>
        <v>32</v>
      </c>
      <c r="CN80" s="22" t="str">
        <f>IF(E80="武器",IF(J80-1&gt;SUM(G80:I80),"盾",IF(MAX(G80:I80)=G80,"切断",IF(MAX(G80:I80)=H80,"貫通",IF(MAX(G80:I80)=I80,"打撃","射撃")))),E80)&amp;".webp"</f>
        <v>切断.webp</v>
      </c>
      <c r="CO80">
        <f>IFERROR(VLOOKUP($C80,武器!$1:$998,COLUMN(V$1),FALSE)*VLOOKUP($D80,素材!$1:$1016,COLUMN(N$1),FALSE)+IF(CJ80="",0,VLOOKUP($CJ80,装強!$1:$1008,COLUMN($CL$1),FALSE)),"")</f>
        <v>675</v>
      </c>
      <c r="CP80" t="str">
        <f>VLOOKUP(D80,素材!$A:$O,COLUMN(素材!O$1),FALSE)</f>
        <v>鍛えられた鉄。硬度が高く安価なためよく使用される。</v>
      </c>
      <c r="CQ80" t="str">
        <f>VLOOKUP(C80,武器!$A:$W,COLUMN(武器!W$1),FALSE)</f>
        <v>剣。短い剣で片手で扱いやすく、初心者向けの武器。</v>
      </c>
      <c r="CS80" t="str">
        <f t="shared" si="7"/>
        <v>e_80</v>
      </c>
      <c r="CT80">
        <f t="shared" si="9"/>
        <v>67500</v>
      </c>
    </row>
    <row r="81" spans="1:98" outlineLevel="1" x14ac:dyDescent="0.4">
      <c r="A81" t="str">
        <f t="shared" si="6"/>
        <v>鋼の広剣</v>
      </c>
      <c r="B81" t="str">
        <f>IFERROR(VLOOKUP($D81,素材!$1:$1016,COLUMN($B$1),FALSE)&amp;"・"&amp;VLOOKUP($C81,武器!$1:$998,COLUMN(B$1),FALSE),"")</f>
        <v>スチール・ブロードソード</v>
      </c>
      <c r="C81" s="24" t="s">
        <v>239</v>
      </c>
      <c r="D81" s="24" t="s">
        <v>253</v>
      </c>
      <c r="E81" t="str">
        <f>IFERROR(VLOOKUP(C81,武器!$1:$998,COLUMN(C$1),FALSE),"")</f>
        <v>武器</v>
      </c>
      <c r="F81">
        <f>IFERROR(ROUNDDOWN((VLOOKUP($C81,武器!$1:$998,COLUMN(D$1),FALSE)+IFERROR(VLOOKUP($CJ81,装強!$1:$999,COLUMN(F$1),FALSE),0))*VLOOKUP($D81,素材!$1:$1016,COLUMN(D$1),FALSE),0),"")</f>
        <v>115</v>
      </c>
      <c r="G81">
        <f>IFERROR(ROUNDDOWN((VLOOKUP($C81,武器!$1:$998,COLUMN(E$1),FALSE)+IFERROR(VLOOKUP($CJ81,装強!$1:$999,COLUMN(G$1),FALSE),0))*VLOOKUP($D81,素材!$1:$1016,COLUMN($E$1),FALSE),0),"")</f>
        <v>16</v>
      </c>
      <c r="H81">
        <f>IFERROR(ROUNDDOWN((VLOOKUP($C81,武器!$1:$998,COLUMN(F$1),FALSE)+IFERROR(VLOOKUP($CJ81,装強!$1:$999,COLUMN(H$1),FALSE),0))*VLOOKUP($D81,素材!$1:$1016,COLUMN($E$1),FALSE),0),"")</f>
        <v>10</v>
      </c>
      <c r="I81">
        <f>IFERROR(ROUNDDOWN((VLOOKUP($C81,武器!$1:$998,COLUMN(G$1),FALSE)+IFERROR(VLOOKUP($CJ81,装強!$1:$999,COLUMN(I$1),FALSE),0))*VLOOKUP($D81,素材!$1:$1016,COLUMN($E$1),FALSE),0),"")</f>
        <v>4</v>
      </c>
      <c r="J81">
        <f>IFERROR(ROUNDDOWN((VLOOKUP($C81,武器!$1:$998,COLUMN(H$1),FALSE)+IFERROR(VLOOKUP($CJ81,装強!$1:$999,COLUMN(J$1),FALSE),0))*VLOOKUP($D81,素材!$1:$1016,COLUMN($E$1),FALSE),0),"")</f>
        <v>31</v>
      </c>
      <c r="K81">
        <f>IFERROR(ROUNDDOWN((VLOOKUP($C81,武器!$1:$998,COLUMN(I$1),FALSE)+IFERROR(VLOOKUP($CJ81,装強!$1:$999,COLUMN(K$1),FALSE),0))*VLOOKUP($D81,素材!$1:$1016,COLUMN($E$1),FALSE),0),"")</f>
        <v>0</v>
      </c>
      <c r="L81">
        <f>IFERROR(VLOOKUP($D81,素材!$1:$1016,COLUMN($F$1),FALSE),"")</f>
        <v>0</v>
      </c>
      <c r="M81">
        <f>IFERROR(VLOOKUP($C81,武器!$1:$998,COLUMN(AA$1),FALSE)*VLOOKUP($D81,素材!$1:$1016,COLUMN($G$1),FALSE),"")</f>
        <v>0</v>
      </c>
      <c r="N81">
        <f>IFERROR(VLOOKUP($C81,武器!$1:$998,COLUMN(I$1),FALSE),"")</f>
        <v>0</v>
      </c>
      <c r="O81" s="23">
        <f>IFERROR((VLOOKUP($C81,武器!$1:$998,COLUMN(K$1),FALSE)+VLOOKUP($D81,素材!$1:$1016,COLUMN(H$1),FALSE))*100+IFERROR(VLOOKUP($CJ81,装強!$1:$999,COLUMN(O$1),FALSE),0),"")</f>
        <v>10</v>
      </c>
      <c r="P81" s="23">
        <f>IFERROR((VLOOKUP($C81,武器!$1:$998,COLUMN(L$1),FALSE)+VLOOKUP($D81,素材!$1:$1016,COLUMN(I$1),FALSE))*100+IFERROR(VLOOKUP($CJ81,装強!$1:$999,COLUMN(P$1),FALSE),0),"")</f>
        <v>150</v>
      </c>
      <c r="Q81">
        <f>IFERROR(ROUNDUP(VLOOKUP($C81,武器!$1:$998,COLUMN(M$1),FALSE)*(VLOOKUP($D81,素材!$1:$1002,COLUMN(D$1),FALSE)/100),1),"")</f>
        <v>-2.7</v>
      </c>
      <c r="R81">
        <f>IFERROR(ROUNDUP(VLOOKUP($C81,武器!$1:$998,COLUMN(N$1),FALSE)*(VLOOKUP($D81,素材!$1:$1002,COLUMN(D$1),FALSE)/100),1),"")</f>
        <v>-2.7</v>
      </c>
      <c r="S81">
        <f>IFERROR(VLOOKUP($C81,武器!$1:$998,COLUMN(P$1),FALSE),"")</f>
        <v>0</v>
      </c>
      <c r="T81">
        <f>IFERROR(VLOOKUP($C81,武器!$1:$998,COLUMN(Q$1),FALSE),"")</f>
        <v>0</v>
      </c>
      <c r="U81">
        <f>IFERROR(VLOOKUP($C81,武器!$1:$998,COLUMN(R$1),FALSE),"")</f>
        <v>0</v>
      </c>
      <c r="V81">
        <f>IFERROR(VLOOKUP($C81,武器!$1:$998,COLUMN(Q$1),FALSE),"")</f>
        <v>0</v>
      </c>
      <c r="W81" t="str">
        <f>IFERROR(VLOOKUP($C81,武器!$1:$998,COLUMN(T$1),FALSE),"")</f>
        <v>A</v>
      </c>
      <c r="Y81">
        <f>IFERROR(VLOOKUP($C81,武器!$1:$998,COLUMN(U$1),FALSE),"")</f>
        <v>0</v>
      </c>
      <c r="Z81">
        <f>IFERROR(ROUNDUP(VLOOKUP($C81,武器!$1:$998,COLUMN(O$1),FALSE)*VLOOKUP($D81,素材!$1:$1016,COLUMN(E$1),FALSE),1),"")</f>
        <v>0</v>
      </c>
      <c r="AA81">
        <f>IF(ISNUMBER(SEARCH(SUBSTITUTE(AA$1,RIGHT(AA$1,2),""),VLOOKUP($D81,素材!$1:$1016,COLUMN($F$1),FALSE))),VLOOKUP($C81,武器!$1:$998,COLUMN($O$1),FALSE)*VLOOKUP($D81,素材!$1:$1016,COLUMN($E$1),FALSE)/(LEN(VLOOKUP($D81,素材!$1:$1016,COLUMN($F$1),FALSE))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B81">
        <f>IF(ISNUMBER(SEARCH(SUBSTITUTE(AB$1,RIGHT(AB$1,2),""),VLOOKUP($D81,素材!$1:$1016,COLUMN($F$1),FALSE))),VLOOKUP($C81,武器!$1:$998,COLUMN($O$1),FALSE)*VLOOKUP($D81,素材!$1:$1016,COLUMN($E$1),FALSE)/(LEN(VLOOKUP($D81,素材!$1:$1016,COLUMN($F$1),FALSE))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C81">
        <f>IF(ISNUMBER(SEARCH(SUBSTITUTE(AC$1,RIGHT(AC$1,2),""),VLOOKUP($D81,素材!$1:$1016,COLUMN($F$1),FALSE))),VLOOKUP($C81,武器!$1:$998,COLUMN($O$1),FALSE)*VLOOKUP($D81,素材!$1:$1016,COLUMN($E$1),FALSE)/(LEN(VLOOKUP($D81,素材!$1:$1016,COLUMN($F$1),FALSE))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D81">
        <f>IF(ISNUMBER(SEARCH(SUBSTITUTE(AD$1,RIGHT(AD$1,2),""),VLOOKUP($D81,素材!$1:$1016,COLUMN($F$1),FALSE))),VLOOKUP($C81,武器!$1:$998,COLUMN($O$1),FALSE)*VLOOKUP($D81,素材!$1:$1016,COLUMN($E$1),FALSE)/(LEN(VLOOKUP($D81,素材!$1:$1016,COLUMN($F$1),FALSE))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E81">
        <f>IF(ISNUMBER(SEARCH(SUBSTITUTE(AE$1,RIGHT(AE$1,2),""),VLOOKUP($D81,素材!$1:$1016,COLUMN($F$1),FALSE))),VLOOKUP($C81,武器!$1:$998,COLUMN($O$1),FALSE)*VLOOKUP($D81,素材!$1:$1016,COLUMN($E$1),FALSE)/(LEN(VLOOKUP($D81,素材!$1:$1016,COLUMN($F$1),FALSE))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F81">
        <f>IF(ISNUMBER(SEARCH(SUBSTITUTE(AF$1,RIGHT(AF$1,2),""),VLOOKUP($D81,素材!$1:$1016,COLUMN($F$1),FALSE))),VLOOKUP($C81,武器!$1:$998,COLUMN($O$1),FALSE)*VLOOKUP($D81,素材!$1:$1016,COLUMN($E$1),FALSE)/(LEN(VLOOKUP($D81,素材!$1:$1016,COLUMN($F$1),FALSE))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G81">
        <f>IF(ISNUMBER(SEARCH(SUBSTITUTE(AG$1,RIGHT(AG$1,2),""),VLOOKUP($D81,素材!$1:$1016,COLUMN($F$1),FALSE))),VLOOKUP($C81,武器!$1:$998,COLUMN($O$1),FALSE)*VLOOKUP($D81,素材!$1:$1016,COLUMN($E$1),FALSE)/(LEN(VLOOKUP($D81,素材!$1:$1016,COLUMN($F$1),FALSE))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H81">
        <f>IF(ISNUMBER(SEARCH(SUBSTITUTE(AH$1,RIGHT(AH$1,2),""),VLOOKUP($D81,素材!$1:$1016,COLUMN($F$1),FALSE))),VLOOKUP($C81,武器!$1:$998,COLUMN($O$1),FALSE)*VLOOKUP($D81,素材!$1:$1016,COLUMN($E$1),FALSE)/(LEN(VLOOKUP($D81,素材!$1:$1016,COLUMN($F$1),FALSE))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I81">
        <f>IF(ISNUMBER(SEARCH(SUBSTITUTE(AI$1,RIGHT(AI$1,2),""),VLOOKUP($D81,素材!$1:$1016,COLUMN($F$1),FALSE))),VLOOKUP($C81,武器!$1:$998,COLUMN($O$1),FALSE)*VLOOKUP($D81,素材!$1:$1016,COLUMN($E$1),FALSE)/(LEN(VLOOKUP($D81,素材!$1:$1016,COLUMN($F$1),FALSE))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J81">
        <f>IF(ISNUMBER(SEARCH(SUBSTITUTE(AJ$1,RIGHT(AJ$1,2),""),VLOOKUP($D81,素材!$1:$1016,COLUMN($F$1),FALSE))),VLOOKUP($C81,武器!$1:$998,COLUMN($O$1),FALSE)*VLOOKUP($D81,素材!$1:$1016,COLUMN($E$1),FALSE)/(LEN(VLOOKUP($D81,素材!$1:$1016,COLUMN($F$1),FALSE))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K81">
        <f>IF(ISNUMBER(SEARCH(SUBSTITUTE(AK$1,RIGHT(AK$1,2),""),VLOOKUP($D81,素材!$1:$1016,COLUMN($F$1),FALSE))),VLOOKUP($C81,武器!$1:$998,COLUMN($O$1),FALSE)*VLOOKUP($D81,素材!$1:$1016,COLUMN($E$1),FALSE)/(LEN(VLOOKUP($D81,素材!$1:$1016,COLUMN($F$1),FALSE))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L81">
        <f>IF(ISNUMBER(SEARCH(SUBSTITUTE(AL$1,RIGHT(AL$1,2),""),VLOOKUP($D81,素材!$1:$1016,COLUMN($F$1),FALSE))),VLOOKUP($C81,武器!$1:$998,COLUMN($O$1),FALSE)*VLOOKUP($D81,素材!$1:$1016,COLUMN($E$1),FALSE)/(LEN(VLOOKUP($D81,素材!$1:$1016,COLUMN($F$1),FALSE))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M81">
        <f>IF(ISNUMBER(SEARCH(SUBSTITUTE(AM$1,RIGHT(AM$1,2),""),VLOOKUP($D81,素材!$1:$1016,COLUMN($F$1),FALSE))),VLOOKUP($C81,武器!$1:$998,COLUMN($O$1),FALSE)*VLOOKUP($D81,素材!$1:$1016,COLUMN($E$1),FALSE)/(LEN(VLOOKUP($D81,素材!$1:$1016,COLUMN($F$1),FALSE))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N81">
        <f>IF(ISNUMBER(SEARCH(SUBSTITUTE(AN$1,RIGHT(AN$1,2),""),VLOOKUP($D81,素材!$1:$1016,COLUMN($F$1),FALSE))),VLOOKUP($C81,武器!$1:$998,COLUMN($O$1),FALSE)*VLOOKUP($D81,素材!$1:$1016,COLUMN($E$1),FALSE)/(LEN(VLOOKUP($D81,素材!$1:$1016,COLUMN($F$1),FALSE))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O81">
        <f>IF(ISNUMBER(SEARCH(SUBSTITUTE(AO$1,RIGHT(AO$1,2),""),VLOOKUP($D81,素材!$1:$1016,COLUMN($F$1),FALSE))),VLOOKUP($C81,武器!$1:$998,COLUMN($O$1),FALSE)*VLOOKUP($D81,素材!$1:$1016,COLUMN($E$1),FALSE)/(LEN(VLOOKUP($D81,素材!$1:$1016,COLUMN($F$1),FALSE))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P81">
        <f>IF(ISNUMBER(SEARCH(SUBSTITUTE(AP$1,RIGHT(AP$1,2),""),VLOOKUP($D81,素材!$1:$1016,COLUMN($F$1),FALSE))),VLOOKUP($C81,武器!$1:$998,COLUMN($O$1),FALSE)*VLOOKUP($D81,素材!$1:$1016,COLUMN($E$1),FALSE)/(LEN(VLOOKUP($D81,素材!$1:$1016,COLUMN($F$1),FALSE))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Q81">
        <f>IF(ISNUMBER(SEARCH(SUBSTITUTE(AQ$1,RIGHT(AQ$1,2),""),VLOOKUP($D81,素材!$1:$1016,COLUMN($F$1),FALSE))),VLOOKUP($C81,武器!$1:$998,COLUMN($O$1),FALSE)*VLOOKUP($D81,素材!$1:$1016,COLUMN($E$1),FALSE)/(LEN(VLOOKUP($D81,素材!$1:$1016,COLUMN($F$1),FALSE))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R81">
        <f>IF(ISNUMBER(SEARCH(SUBSTITUTE(AR$1,RIGHT(AR$1,2),""),VLOOKUP($D81,素材!$1:$1016,COLUMN($F$1),FALSE))),VLOOKUP($C81,武器!$1:$998,COLUMN($O$1),FALSE)*VLOOKUP($D81,素材!$1:$1016,COLUMN($E$1),FALSE)/(LEN(VLOOKUP($D81,素材!$1:$1016,COLUMN($F$1),FALSE))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S81">
        <f>IF(ISNUMBER(SEARCH(SUBSTITUTE(AS$1,RIGHT(AS$1,2),""),VLOOKUP($D81,素材!$1:$1016,COLUMN($F$1),FALSE))),VLOOKUP($C81,武器!$1:$998,COLUMN($O$1),FALSE)*VLOOKUP($D81,素材!$1:$1016,COLUMN($E$1),FALSE)/(LEN(VLOOKUP($D81,素材!$1:$1016,COLUMN($F$1),FALSE))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T81">
        <f>IF(ISNUMBER(SEARCH(SUBSTITUTE(AT$1,RIGHT(AT$1,2),""),VLOOKUP($D81,素材!$1:$1016,COLUMN($F$1),FALSE))),VLOOKUP($C81,武器!$1:$998,COLUMN($O$1),FALSE)*VLOOKUP($D81,素材!$1:$1016,COLUMN($E$1),FALSE)/(LEN(VLOOKUP($D81,素材!$1:$1016,COLUMN($F$1),FALSE))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U81">
        <f>IF(ISNUMBER(SEARCH(SUBSTITUTE(AU$1,RIGHT(AU$1,2),""),VLOOKUP($D81,素材!$1:$1016,COLUMN($F$1),FALSE))),VLOOKUP($C81,武器!$1:$998,COLUMN($O$1),FALSE)*VLOOKUP($D81,素材!$1:$1016,COLUMN($E$1),FALSE)/(LEN(VLOOKUP($D81,素材!$1:$1016,COLUMN($F$1),FALSE))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V81">
        <f>IF(ISNUMBER(SEARCH(SUBSTITUTE(AV$1,RIGHT(AV$1,2),""),VLOOKUP($D81,素材!$1:$1016,COLUMN($F$1),FALSE))),VLOOKUP($C81,武器!$1:$998,COLUMN($O$1),FALSE)*VLOOKUP($D81,素材!$1:$1016,COLUMN($E$1),FALSE)/(LEN(VLOOKUP($D81,素材!$1:$1016,COLUMN($F$1),FALSE))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W81">
        <f>IF(ISNUMBER(SEARCH(SUBSTITUTE(AW$1,RIGHT(AW$1,2),""),VLOOKUP($D81,素材!$1:$1016,COLUMN($F$1),FALSE))),VLOOKUP($C81,武器!$1:$998,COLUMN($O$1),FALSE)*VLOOKUP($D81,素材!$1:$1016,COLUMN($E$1),FALSE)/(LEN(VLOOKUP($D81,素材!$1:$1016,COLUMN($F$1),FALSE))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X81">
        <f>IF(ISNUMBER(SEARCH(SUBSTITUTE(AX$1,RIGHT(AX$1,2),""),VLOOKUP($D81,素材!$1:$1016,COLUMN($F$1),FALSE))),VLOOKUP($C81,武器!$1:$998,COLUMN($O$1),FALSE)*VLOOKUP($D81,素材!$1:$1016,COLUMN($E$1),FALSE)/(LEN(VLOOKUP($D81,素材!$1:$1016,COLUMN($F$1),FALSE))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Y81">
        <f>IF(ISNUMBER(SEARCH(SUBSTITUTE(AY$1,RIGHT(AY$1,2),""),VLOOKUP($D81,素材!$1:$1016,COLUMN($F$1),FALSE))),VLOOKUP($C81,武器!$1:$998,COLUMN($O$1),FALSE)*VLOOKUP($D81,素材!$1:$1016,COLUMN($E$1),FALSE)/(LEN(VLOOKUP($D81,素材!$1:$1016,COLUMN($F$1),FALSE))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AZ81">
        <f>IF(ISNUMBER(SEARCH(SUBSTITUTE(AZ$1,RIGHT(AZ$1,2),""),VLOOKUP($D81,素材!$1:$1016,COLUMN($F$1),FALSE))),VLOOKUP($C81,武器!$1:$998,COLUMN($O$1),FALSE)*VLOOKUP($D81,素材!$1:$1016,COLUMN($E$1),FALSE)/(LEN(VLOOKUP($D81,素材!$1:$1016,COLUMN($F$1),FALSE))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BA81">
        <f>IF(ISNUMBER(SEARCH(SUBSTITUTE(BA$1,RIGHT(BA$1,2),""),VLOOKUP($D81,素材!$1:$1016,COLUMN($F$1),FALSE))),VLOOKUP($C81,武器!$1:$998,COLUMN($O$1),FALSE)*VLOOKUP($D81,素材!$1:$1016,COLUMN($E$1),FALSE)/(LEN(VLOOKUP($D81,素材!$1:$1016,COLUMN($F$1),FALSE))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BB81">
        <f>IF(ISNUMBER(SEARCH(SUBSTITUTE(BB$1,RIGHT(BB$1,2),""),VLOOKUP($D81,素材!$1:$1016,COLUMN($F$1),FALSE))),VLOOKUP($C81,武器!$1:$998,COLUMN($O$1),FALSE)*VLOOKUP($D81,素材!$1:$1016,COLUMN($E$1),FALSE)/(LEN(VLOOKUP($D81,素材!$1:$1016,COLUMN($F$1),FALSE))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BC81">
        <f>IF(ISNUMBER(SEARCH(SUBSTITUTE(BC$1,RIGHT(BC$1,2),""),VLOOKUP($D81,素材!$1:$1016,COLUMN($F$1),FALSE))),VLOOKUP($C81,武器!$1:$998,COLUMN($O$1),FALSE)*VLOOKUP($D81,素材!$1:$1016,COLUMN($E$1),FALSE)/(LEN(VLOOKUP($D81,素材!$1:$1016,COLUMN($F$1),FALSE))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BD81">
        <f>IF(ISNUMBER(SEARCH(SUBSTITUTE(BD$1,RIGHT(BD$1,2),""),VLOOKUP($D81,素材!$1:$1016,COLUMN($F$1),FALSE))),VLOOKUP($C81,武器!$1:$998,COLUMN($O$1),FALSE)*VLOOKUP($D81,素材!$1:$1016,COLUMN($E$1),FALSE)/(LEN(VLOOKUP($D81,素材!$1:$1016,COLUMN($F$1),FALSE))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BE81">
        <f>IF(ISNUMBER(SEARCH(SUBSTITUTE(BE$1,RIGHT(BE$1,2),""),VLOOKUP($D81,素材!$1:$1016,COLUMN($F$1),FALSE))),VLOOKUP($C81,武器!$1:$998,COLUMN($O$1),FALSE)*VLOOKUP($D81,素材!$1:$1016,COLUMN($E$1),FALSE)/(LEN(VLOOKUP($D81,素材!$1:$1016,COLUMN($F$1),FALSE))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BF81">
        <f>IF(ISNUMBER(SEARCH(SUBSTITUTE(BF$1,RIGHT(BF$1,2),""),VLOOKUP($D81,素材!$1:$1016,COLUMN($F$1),FALSE))),VLOOKUP($C81,武器!$1:$998,COLUMN($O$1),FALSE)*VLOOKUP($D81,素材!$1:$1016,COLUMN($E$1),FALSE)/(LEN(VLOOKUP($D81,素材!$1:$1016,COLUMN($F$1),FALSE)) - LEN(SUBSTITUTE(VLOOKUP($D81,素材!$1:$1016,COLUMN($F$1),FALSE), "・", 0)) + 1), 0)</f>
        <v>0</v>
      </c>
      <c r="CM81">
        <f t="shared" si="8"/>
        <v>30</v>
      </c>
      <c r="CN81" s="22" t="str">
        <f>IF(E81="武器",IF(J81-1&gt;SUM(G81:I81),"盾",IF(MAX(G81:I81)=G81,"切断",IF(MAX(G81:I81)=H81,"貫通",IF(MAX(G81:I81)=I81,"打撃","射撃")))),E81)&amp;".webp"</f>
        <v>切断.webp</v>
      </c>
      <c r="CO81">
        <f>IFERROR(VLOOKUP($C81,武器!$1:$998,COLUMN(V$1),FALSE)*VLOOKUP($D81,素材!$1:$1016,COLUMN(N$1),FALSE)+IF(CJ81="",0,VLOOKUP($CJ81,装強!$1:$1008,COLUMN($CL$1),FALSE)),"")</f>
        <v>900</v>
      </c>
      <c r="CP81" t="str">
        <f>VLOOKUP(D81,素材!$A:$O,COLUMN(素材!O$1),FALSE)</f>
        <v>鍛えられた鉄。硬度が高く安価なためよく使用される。</v>
      </c>
      <c r="CQ81" t="str">
        <f>VLOOKUP(C81,武器!$A:$W,COLUMN(武器!W$1),FALSE)</f>
        <v>幅の広い剣。扱いにくいが攻撃と防御にも優れている。状況に合わせて立ち回ろう。</v>
      </c>
      <c r="CS81" t="str">
        <f t="shared" si="7"/>
        <v>e_81</v>
      </c>
      <c r="CT81">
        <f t="shared" si="9"/>
        <v>90000</v>
      </c>
    </row>
    <row r="82" spans="1:98" outlineLevel="1" x14ac:dyDescent="0.4">
      <c r="A82" t="str">
        <f t="shared" si="6"/>
        <v>鋼の長剣</v>
      </c>
      <c r="B82" t="str">
        <f>IFERROR(VLOOKUP($D82,素材!$1:$1016,COLUMN($B$1),FALSE)&amp;"・"&amp;VLOOKUP($C82,武器!$1:$998,COLUMN(B$1),FALSE),"")</f>
        <v>スチール・ロングソード</v>
      </c>
      <c r="C82" s="24" t="s">
        <v>238</v>
      </c>
      <c r="D82" s="24" t="s">
        <v>253</v>
      </c>
      <c r="E82" t="str">
        <f>IFERROR(VLOOKUP(C82,武器!$1:$998,COLUMN(C$1),FALSE),"")</f>
        <v>武器</v>
      </c>
      <c r="F82">
        <f>IFERROR(ROUNDDOWN((VLOOKUP($C82,武器!$1:$998,COLUMN(D$1),FALSE)+IFERROR(VLOOKUP($CJ82,装強!$1:$999,COLUMN(F$1),FALSE),0))*VLOOKUP($D82,素材!$1:$1016,COLUMN(D$1),FALSE),0),"")</f>
        <v>120</v>
      </c>
      <c r="G82">
        <f>IFERROR(ROUNDDOWN((VLOOKUP($C82,武器!$1:$998,COLUMN(E$1),FALSE)+IFERROR(VLOOKUP($CJ82,装強!$1:$999,COLUMN(G$1),FALSE),0))*VLOOKUP($D82,素材!$1:$1016,COLUMN($E$1),FALSE),0),"")</f>
        <v>20</v>
      </c>
      <c r="H82">
        <f>IFERROR(ROUNDDOWN((VLOOKUP($C82,武器!$1:$998,COLUMN(F$1),FALSE)+IFERROR(VLOOKUP($CJ82,装強!$1:$999,COLUMN(H$1),FALSE),0))*VLOOKUP($D82,素材!$1:$1016,COLUMN($E$1),FALSE),0),"")</f>
        <v>12</v>
      </c>
      <c r="I82">
        <f>IFERROR(ROUNDDOWN((VLOOKUP($C82,武器!$1:$998,COLUMN(G$1),FALSE)+IFERROR(VLOOKUP($CJ82,装強!$1:$999,COLUMN(I$1),FALSE),0))*VLOOKUP($D82,素材!$1:$1016,COLUMN($E$1),FALSE),0),"")</f>
        <v>4</v>
      </c>
      <c r="J82">
        <f>IFERROR(ROUNDDOWN((VLOOKUP($C82,武器!$1:$998,COLUMN(H$1),FALSE)+IFERROR(VLOOKUP($CJ82,装強!$1:$999,COLUMN(J$1),FALSE),0))*VLOOKUP($D82,素材!$1:$1016,COLUMN($E$1),FALSE),0),"")</f>
        <v>27</v>
      </c>
      <c r="K82">
        <f>IFERROR(ROUNDDOWN((VLOOKUP($C82,武器!$1:$998,COLUMN(I$1),FALSE)+IFERROR(VLOOKUP($CJ82,装強!$1:$999,COLUMN(K$1),FALSE),0))*VLOOKUP($D82,素材!$1:$1016,COLUMN($E$1),FALSE),0),"")</f>
        <v>0</v>
      </c>
      <c r="L82">
        <f>IFERROR(VLOOKUP($D82,素材!$1:$1016,COLUMN($F$1),FALSE),"")</f>
        <v>0</v>
      </c>
      <c r="M82">
        <f>IFERROR(VLOOKUP($C82,武器!$1:$998,COLUMN(AA$1),FALSE)*VLOOKUP($D82,素材!$1:$1016,COLUMN($G$1),FALSE),"")</f>
        <v>0</v>
      </c>
      <c r="N82">
        <f>IFERROR(VLOOKUP($C82,武器!$1:$998,COLUMN(I$1),FALSE),"")</f>
        <v>0</v>
      </c>
      <c r="O82" s="23">
        <f>IFERROR((VLOOKUP($C82,武器!$1:$998,COLUMN(K$1),FALSE)+VLOOKUP($D82,素材!$1:$1016,COLUMN(H$1),FALSE))*100+IFERROR(VLOOKUP($CJ82,装強!$1:$999,COLUMN(O$1),FALSE),0),"")</f>
        <v>10</v>
      </c>
      <c r="P82" s="23">
        <f>IFERROR((VLOOKUP($C82,武器!$1:$998,COLUMN(L$1),FALSE)+VLOOKUP($D82,素材!$1:$1016,COLUMN(I$1),FALSE))*100+IFERROR(VLOOKUP($CJ82,装強!$1:$999,COLUMN(P$1),FALSE),0),"")</f>
        <v>150</v>
      </c>
      <c r="Q82">
        <f>IFERROR(ROUNDUP(VLOOKUP($C82,武器!$1:$998,COLUMN(M$1),FALSE)*(VLOOKUP($D82,素材!$1:$1002,COLUMN(D$1),FALSE)/100),1),"")</f>
        <v>-2.7</v>
      </c>
      <c r="R82">
        <f>IFERROR(ROUNDUP(VLOOKUP($C82,武器!$1:$998,COLUMN(N$1),FALSE)*(VLOOKUP($D82,素材!$1:$1002,COLUMN(D$1),FALSE)/100),1),"")</f>
        <v>-2.7</v>
      </c>
      <c r="S82">
        <f>IFERROR(VLOOKUP($C82,武器!$1:$998,COLUMN(P$1),FALSE),"")</f>
        <v>0</v>
      </c>
      <c r="T82">
        <f>IFERROR(VLOOKUP($C82,武器!$1:$998,COLUMN(Q$1),FALSE),"")</f>
        <v>0</v>
      </c>
      <c r="U82">
        <f>IFERROR(VLOOKUP($C82,武器!$1:$998,COLUMN(R$1),FALSE),"")</f>
        <v>0</v>
      </c>
      <c r="V82">
        <f>IFERROR(VLOOKUP($C82,武器!$1:$998,COLUMN(Q$1),FALSE),"")</f>
        <v>0</v>
      </c>
      <c r="W82" t="str">
        <f>IFERROR(VLOOKUP($C82,武器!$1:$998,COLUMN(T$1),FALSE),"")</f>
        <v>A</v>
      </c>
      <c r="Y82">
        <f>IFERROR(VLOOKUP($C82,武器!$1:$998,COLUMN(U$1),FALSE),"")</f>
        <v>0</v>
      </c>
      <c r="Z82">
        <f>IFERROR(ROUNDUP(VLOOKUP($C82,武器!$1:$998,COLUMN(O$1),FALSE)*VLOOKUP($D82,素材!$1:$1016,COLUMN(E$1),FALSE),1),"")</f>
        <v>0</v>
      </c>
      <c r="AA82">
        <f>IF(ISNUMBER(SEARCH(SUBSTITUTE(AA$1,RIGHT(AA$1,2),""),VLOOKUP($D82,素材!$1:$1016,COLUMN($F$1),FALSE))),VLOOKUP($C82,武器!$1:$998,COLUMN($O$1),FALSE)*VLOOKUP($D82,素材!$1:$1016,COLUMN($E$1),FALSE)/(LEN(VLOOKUP($D82,素材!$1:$1016,COLUMN($F$1),FALSE))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B82">
        <f>IF(ISNUMBER(SEARCH(SUBSTITUTE(AB$1,RIGHT(AB$1,2),""),VLOOKUP($D82,素材!$1:$1016,COLUMN($F$1),FALSE))),VLOOKUP($C82,武器!$1:$998,COLUMN($O$1),FALSE)*VLOOKUP($D82,素材!$1:$1016,COLUMN($E$1),FALSE)/(LEN(VLOOKUP($D82,素材!$1:$1016,COLUMN($F$1),FALSE))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C82">
        <f>IF(ISNUMBER(SEARCH(SUBSTITUTE(AC$1,RIGHT(AC$1,2),""),VLOOKUP($D82,素材!$1:$1016,COLUMN($F$1),FALSE))),VLOOKUP($C82,武器!$1:$998,COLUMN($O$1),FALSE)*VLOOKUP($D82,素材!$1:$1016,COLUMN($E$1),FALSE)/(LEN(VLOOKUP($D82,素材!$1:$1016,COLUMN($F$1),FALSE))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D82">
        <f>IF(ISNUMBER(SEARCH(SUBSTITUTE(AD$1,RIGHT(AD$1,2),""),VLOOKUP($D82,素材!$1:$1016,COLUMN($F$1),FALSE))),VLOOKUP($C82,武器!$1:$998,COLUMN($O$1),FALSE)*VLOOKUP($D82,素材!$1:$1016,COLUMN($E$1),FALSE)/(LEN(VLOOKUP($D82,素材!$1:$1016,COLUMN($F$1),FALSE))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E82">
        <f>IF(ISNUMBER(SEARCH(SUBSTITUTE(AE$1,RIGHT(AE$1,2),""),VLOOKUP($D82,素材!$1:$1016,COLUMN($F$1),FALSE))),VLOOKUP($C82,武器!$1:$998,COLUMN($O$1),FALSE)*VLOOKUP($D82,素材!$1:$1016,COLUMN($E$1),FALSE)/(LEN(VLOOKUP($D82,素材!$1:$1016,COLUMN($F$1),FALSE))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F82">
        <f>IF(ISNUMBER(SEARCH(SUBSTITUTE(AF$1,RIGHT(AF$1,2),""),VLOOKUP($D82,素材!$1:$1016,COLUMN($F$1),FALSE))),VLOOKUP($C82,武器!$1:$998,COLUMN($O$1),FALSE)*VLOOKUP($D82,素材!$1:$1016,COLUMN($E$1),FALSE)/(LEN(VLOOKUP($D82,素材!$1:$1016,COLUMN($F$1),FALSE))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G82">
        <f>IF(ISNUMBER(SEARCH(SUBSTITUTE(AG$1,RIGHT(AG$1,2),""),VLOOKUP($D82,素材!$1:$1016,COLUMN($F$1),FALSE))),VLOOKUP($C82,武器!$1:$998,COLUMN($O$1),FALSE)*VLOOKUP($D82,素材!$1:$1016,COLUMN($E$1),FALSE)/(LEN(VLOOKUP($D82,素材!$1:$1016,COLUMN($F$1),FALSE))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H82">
        <f>IF(ISNUMBER(SEARCH(SUBSTITUTE(AH$1,RIGHT(AH$1,2),""),VLOOKUP($D82,素材!$1:$1016,COLUMN($F$1),FALSE))),VLOOKUP($C82,武器!$1:$998,COLUMN($O$1),FALSE)*VLOOKUP($D82,素材!$1:$1016,COLUMN($E$1),FALSE)/(LEN(VLOOKUP($D82,素材!$1:$1016,COLUMN($F$1),FALSE))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I82">
        <f>IF(ISNUMBER(SEARCH(SUBSTITUTE(AI$1,RIGHT(AI$1,2),""),VLOOKUP($D82,素材!$1:$1016,COLUMN($F$1),FALSE))),VLOOKUP($C82,武器!$1:$998,COLUMN($O$1),FALSE)*VLOOKUP($D82,素材!$1:$1016,COLUMN($E$1),FALSE)/(LEN(VLOOKUP($D82,素材!$1:$1016,COLUMN($F$1),FALSE))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J82">
        <f>IF(ISNUMBER(SEARCH(SUBSTITUTE(AJ$1,RIGHT(AJ$1,2),""),VLOOKUP($D82,素材!$1:$1016,COLUMN($F$1),FALSE))),VLOOKUP($C82,武器!$1:$998,COLUMN($O$1),FALSE)*VLOOKUP($D82,素材!$1:$1016,COLUMN($E$1),FALSE)/(LEN(VLOOKUP($D82,素材!$1:$1016,COLUMN($F$1),FALSE))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K82">
        <f>IF(ISNUMBER(SEARCH(SUBSTITUTE(AK$1,RIGHT(AK$1,2),""),VLOOKUP($D82,素材!$1:$1016,COLUMN($F$1),FALSE))),VLOOKUP($C82,武器!$1:$998,COLUMN($O$1),FALSE)*VLOOKUP($D82,素材!$1:$1016,COLUMN($E$1),FALSE)/(LEN(VLOOKUP($D82,素材!$1:$1016,COLUMN($F$1),FALSE))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L82">
        <f>IF(ISNUMBER(SEARCH(SUBSTITUTE(AL$1,RIGHT(AL$1,2),""),VLOOKUP($D82,素材!$1:$1016,COLUMN($F$1),FALSE))),VLOOKUP($C82,武器!$1:$998,COLUMN($O$1),FALSE)*VLOOKUP($D82,素材!$1:$1016,COLUMN($E$1),FALSE)/(LEN(VLOOKUP($D82,素材!$1:$1016,COLUMN($F$1),FALSE))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M82">
        <f>IF(ISNUMBER(SEARCH(SUBSTITUTE(AM$1,RIGHT(AM$1,2),""),VLOOKUP($D82,素材!$1:$1016,COLUMN($F$1),FALSE))),VLOOKUP($C82,武器!$1:$998,COLUMN($O$1),FALSE)*VLOOKUP($D82,素材!$1:$1016,COLUMN($E$1),FALSE)/(LEN(VLOOKUP($D82,素材!$1:$1016,COLUMN($F$1),FALSE))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N82">
        <f>IF(ISNUMBER(SEARCH(SUBSTITUTE(AN$1,RIGHT(AN$1,2),""),VLOOKUP($D82,素材!$1:$1016,COLUMN($F$1),FALSE))),VLOOKUP($C82,武器!$1:$998,COLUMN($O$1),FALSE)*VLOOKUP($D82,素材!$1:$1016,COLUMN($E$1),FALSE)/(LEN(VLOOKUP($D82,素材!$1:$1016,COLUMN($F$1),FALSE))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O82">
        <f>IF(ISNUMBER(SEARCH(SUBSTITUTE(AO$1,RIGHT(AO$1,2),""),VLOOKUP($D82,素材!$1:$1016,COLUMN($F$1),FALSE))),VLOOKUP($C82,武器!$1:$998,COLUMN($O$1),FALSE)*VLOOKUP($D82,素材!$1:$1016,COLUMN($E$1),FALSE)/(LEN(VLOOKUP($D82,素材!$1:$1016,COLUMN($F$1),FALSE))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P82">
        <f>IF(ISNUMBER(SEARCH(SUBSTITUTE(AP$1,RIGHT(AP$1,2),""),VLOOKUP($D82,素材!$1:$1016,COLUMN($F$1),FALSE))),VLOOKUP($C82,武器!$1:$998,COLUMN($O$1),FALSE)*VLOOKUP($D82,素材!$1:$1016,COLUMN($E$1),FALSE)/(LEN(VLOOKUP($D82,素材!$1:$1016,COLUMN($F$1),FALSE))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Q82">
        <f>IF(ISNUMBER(SEARCH(SUBSTITUTE(AQ$1,RIGHT(AQ$1,2),""),VLOOKUP($D82,素材!$1:$1016,COLUMN($F$1),FALSE))),VLOOKUP($C82,武器!$1:$998,COLUMN($O$1),FALSE)*VLOOKUP($D82,素材!$1:$1016,COLUMN($E$1),FALSE)/(LEN(VLOOKUP($D82,素材!$1:$1016,COLUMN($F$1),FALSE))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R82">
        <f>IF(ISNUMBER(SEARCH(SUBSTITUTE(AR$1,RIGHT(AR$1,2),""),VLOOKUP($D82,素材!$1:$1016,COLUMN($F$1),FALSE))),VLOOKUP($C82,武器!$1:$998,COLUMN($O$1),FALSE)*VLOOKUP($D82,素材!$1:$1016,COLUMN($E$1),FALSE)/(LEN(VLOOKUP($D82,素材!$1:$1016,COLUMN($F$1),FALSE))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S82">
        <f>IF(ISNUMBER(SEARCH(SUBSTITUTE(AS$1,RIGHT(AS$1,2),""),VLOOKUP($D82,素材!$1:$1016,COLUMN($F$1),FALSE))),VLOOKUP($C82,武器!$1:$998,COLUMN($O$1),FALSE)*VLOOKUP($D82,素材!$1:$1016,COLUMN($E$1),FALSE)/(LEN(VLOOKUP($D82,素材!$1:$1016,COLUMN($F$1),FALSE))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T82">
        <f>IF(ISNUMBER(SEARCH(SUBSTITUTE(AT$1,RIGHT(AT$1,2),""),VLOOKUP($D82,素材!$1:$1016,COLUMN($F$1),FALSE))),VLOOKUP($C82,武器!$1:$998,COLUMN($O$1),FALSE)*VLOOKUP($D82,素材!$1:$1016,COLUMN($E$1),FALSE)/(LEN(VLOOKUP($D82,素材!$1:$1016,COLUMN($F$1),FALSE))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U82">
        <f>IF(ISNUMBER(SEARCH(SUBSTITUTE(AU$1,RIGHT(AU$1,2),""),VLOOKUP($D82,素材!$1:$1016,COLUMN($F$1),FALSE))),VLOOKUP($C82,武器!$1:$998,COLUMN($O$1),FALSE)*VLOOKUP($D82,素材!$1:$1016,COLUMN($E$1),FALSE)/(LEN(VLOOKUP($D82,素材!$1:$1016,COLUMN($F$1),FALSE))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V82">
        <f>IF(ISNUMBER(SEARCH(SUBSTITUTE(AV$1,RIGHT(AV$1,2),""),VLOOKUP($D82,素材!$1:$1016,COLUMN($F$1),FALSE))),VLOOKUP($C82,武器!$1:$998,COLUMN($O$1),FALSE)*VLOOKUP($D82,素材!$1:$1016,COLUMN($E$1),FALSE)/(LEN(VLOOKUP($D82,素材!$1:$1016,COLUMN($F$1),FALSE))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W82">
        <f>IF(ISNUMBER(SEARCH(SUBSTITUTE(AW$1,RIGHT(AW$1,2),""),VLOOKUP($D82,素材!$1:$1016,COLUMN($F$1),FALSE))),VLOOKUP($C82,武器!$1:$998,COLUMN($O$1),FALSE)*VLOOKUP($D82,素材!$1:$1016,COLUMN($E$1),FALSE)/(LEN(VLOOKUP($D82,素材!$1:$1016,COLUMN($F$1),FALSE))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X82">
        <f>IF(ISNUMBER(SEARCH(SUBSTITUTE(AX$1,RIGHT(AX$1,2),""),VLOOKUP($D82,素材!$1:$1016,COLUMN($F$1),FALSE))),VLOOKUP($C82,武器!$1:$998,COLUMN($O$1),FALSE)*VLOOKUP($D82,素材!$1:$1016,COLUMN($E$1),FALSE)/(LEN(VLOOKUP($D82,素材!$1:$1016,COLUMN($F$1),FALSE))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Y82">
        <f>IF(ISNUMBER(SEARCH(SUBSTITUTE(AY$1,RIGHT(AY$1,2),""),VLOOKUP($D82,素材!$1:$1016,COLUMN($F$1),FALSE))),VLOOKUP($C82,武器!$1:$998,COLUMN($O$1),FALSE)*VLOOKUP($D82,素材!$1:$1016,COLUMN($E$1),FALSE)/(LEN(VLOOKUP($D82,素材!$1:$1016,COLUMN($F$1),FALSE))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AZ82">
        <f>IF(ISNUMBER(SEARCH(SUBSTITUTE(AZ$1,RIGHT(AZ$1,2),""),VLOOKUP($D82,素材!$1:$1016,COLUMN($F$1),FALSE))),VLOOKUP($C82,武器!$1:$998,COLUMN($O$1),FALSE)*VLOOKUP($D82,素材!$1:$1016,COLUMN($E$1),FALSE)/(LEN(VLOOKUP($D82,素材!$1:$1016,COLUMN($F$1),FALSE))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BA82">
        <f>IF(ISNUMBER(SEARCH(SUBSTITUTE(BA$1,RIGHT(BA$1,2),""),VLOOKUP($D82,素材!$1:$1016,COLUMN($F$1),FALSE))),VLOOKUP($C82,武器!$1:$998,COLUMN($O$1),FALSE)*VLOOKUP($D82,素材!$1:$1016,COLUMN($E$1),FALSE)/(LEN(VLOOKUP($D82,素材!$1:$1016,COLUMN($F$1),FALSE))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BB82">
        <f>IF(ISNUMBER(SEARCH(SUBSTITUTE(BB$1,RIGHT(BB$1,2),""),VLOOKUP($D82,素材!$1:$1016,COLUMN($F$1),FALSE))),VLOOKUP($C82,武器!$1:$998,COLUMN($O$1),FALSE)*VLOOKUP($D82,素材!$1:$1016,COLUMN($E$1),FALSE)/(LEN(VLOOKUP($D82,素材!$1:$1016,COLUMN($F$1),FALSE))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BC82">
        <f>IF(ISNUMBER(SEARCH(SUBSTITUTE(BC$1,RIGHT(BC$1,2),""),VLOOKUP($D82,素材!$1:$1016,COLUMN($F$1),FALSE))),VLOOKUP($C82,武器!$1:$998,COLUMN($O$1),FALSE)*VLOOKUP($D82,素材!$1:$1016,COLUMN($E$1),FALSE)/(LEN(VLOOKUP($D82,素材!$1:$1016,COLUMN($F$1),FALSE))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BD82">
        <f>IF(ISNUMBER(SEARCH(SUBSTITUTE(BD$1,RIGHT(BD$1,2),""),VLOOKUP($D82,素材!$1:$1016,COLUMN($F$1),FALSE))),VLOOKUP($C82,武器!$1:$998,COLUMN($O$1),FALSE)*VLOOKUP($D82,素材!$1:$1016,COLUMN($E$1),FALSE)/(LEN(VLOOKUP($D82,素材!$1:$1016,COLUMN($F$1),FALSE))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BE82">
        <f>IF(ISNUMBER(SEARCH(SUBSTITUTE(BE$1,RIGHT(BE$1,2),""),VLOOKUP($D82,素材!$1:$1016,COLUMN($F$1),FALSE))),VLOOKUP($C82,武器!$1:$998,COLUMN($O$1),FALSE)*VLOOKUP($D82,素材!$1:$1016,COLUMN($E$1),FALSE)/(LEN(VLOOKUP($D82,素材!$1:$1016,COLUMN($F$1),FALSE))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BF82">
        <f>IF(ISNUMBER(SEARCH(SUBSTITUTE(BF$1,RIGHT(BF$1,2),""),VLOOKUP($D82,素材!$1:$1016,COLUMN($F$1),FALSE))),VLOOKUP($C82,武器!$1:$998,COLUMN($O$1),FALSE)*VLOOKUP($D82,素材!$1:$1016,COLUMN($E$1),FALSE)/(LEN(VLOOKUP($D82,素材!$1:$1016,COLUMN($F$1),FALSE)) - LEN(SUBSTITUTE(VLOOKUP($D82,素材!$1:$1016,COLUMN($F$1),FALSE), "・", 0)) + 1), 0)</f>
        <v>0</v>
      </c>
      <c r="CM82">
        <f t="shared" si="8"/>
        <v>36</v>
      </c>
      <c r="CN82" s="22" t="str">
        <f>IF(E82="武器",IF(J82-1&gt;SUM(G82:I82),"盾",IF(MAX(G82:I82)=G82,"切断",IF(MAX(G82:I82)=H82,"貫通",IF(MAX(G82:I82)=I82,"打撃","射撃")))),E82)&amp;".webp"</f>
        <v>切断.webp</v>
      </c>
      <c r="CO82">
        <f>IFERROR(VLOOKUP($C82,武器!$1:$998,COLUMN(V$1),FALSE)*VLOOKUP($D82,素材!$1:$1016,COLUMN(N$1),FALSE)+IF(CJ82="",0,VLOOKUP($CJ82,装強!$1:$1008,COLUMN($CL$1),FALSE)),"")</f>
        <v>900</v>
      </c>
      <c r="CP82" t="str">
        <f>VLOOKUP(D82,素材!$A:$O,COLUMN(素材!O$1),FALSE)</f>
        <v>鍛えられた鉄。硬度が高く安価なためよく使用される。</v>
      </c>
      <c r="CQ82" t="str">
        <f>VLOOKUP(C82,武器!$A:$W,COLUMN(武器!W$1),FALSE)</f>
        <v>長剣。長く重い分扱いにくいが威力が高い。</v>
      </c>
      <c r="CS82" t="str">
        <f t="shared" si="7"/>
        <v>e_82</v>
      </c>
      <c r="CT82">
        <f t="shared" si="9"/>
        <v>90000</v>
      </c>
    </row>
    <row r="83" spans="1:98" outlineLevel="1" x14ac:dyDescent="0.4">
      <c r="A83" t="str">
        <f t="shared" si="6"/>
        <v>鋼の大剣</v>
      </c>
      <c r="B83" t="str">
        <f>IFERROR(VLOOKUP($D83,素材!$1:$1016,COLUMN($B$1),FALSE)&amp;"・"&amp;VLOOKUP($C83,武器!$1:$998,COLUMN(B$1),FALSE),"")</f>
        <v>スチール・バスターソード</v>
      </c>
      <c r="C83" s="24" t="s">
        <v>237</v>
      </c>
      <c r="D83" s="24" t="s">
        <v>253</v>
      </c>
      <c r="E83" t="str">
        <f>IFERROR(VLOOKUP(C83,武器!$1:$998,COLUMN(C$1),FALSE),"")</f>
        <v>武器</v>
      </c>
      <c r="F83">
        <f>IFERROR(ROUNDDOWN((VLOOKUP($C83,武器!$1:$998,COLUMN(D$1),FALSE)+IFERROR(VLOOKUP($CJ83,装強!$1:$999,COLUMN(F$1),FALSE),0))*VLOOKUP($D83,素材!$1:$1016,COLUMN(D$1),FALSE),0),"")</f>
        <v>131</v>
      </c>
      <c r="G83">
        <f>IFERROR(ROUNDDOWN((VLOOKUP($C83,武器!$1:$998,COLUMN(E$1),FALSE)+IFERROR(VLOOKUP($CJ83,装強!$1:$999,COLUMN(G$1),FALSE),0))*VLOOKUP($D83,素材!$1:$1016,COLUMN($E$1),FALSE),0),"")</f>
        <v>24</v>
      </c>
      <c r="H83">
        <f>IFERROR(ROUNDDOWN((VLOOKUP($C83,武器!$1:$998,COLUMN(F$1),FALSE)+IFERROR(VLOOKUP($CJ83,装強!$1:$999,COLUMN(H$1),FALSE),0))*VLOOKUP($D83,素材!$1:$1016,COLUMN($E$1),FALSE),0),"")</f>
        <v>12</v>
      </c>
      <c r="I83">
        <f>IFERROR(ROUNDDOWN((VLOOKUP($C83,武器!$1:$998,COLUMN(G$1),FALSE)+IFERROR(VLOOKUP($CJ83,装強!$1:$999,COLUMN(I$1),FALSE),0))*VLOOKUP($D83,素材!$1:$1016,COLUMN($E$1),FALSE),0),"")</f>
        <v>5</v>
      </c>
      <c r="J83">
        <f>IFERROR(ROUNDDOWN((VLOOKUP($C83,武器!$1:$998,COLUMN(H$1),FALSE)+IFERROR(VLOOKUP($CJ83,装強!$1:$999,COLUMN(J$1),FALSE),0))*VLOOKUP($D83,素材!$1:$1016,COLUMN($E$1),FALSE),0),"")</f>
        <v>29</v>
      </c>
      <c r="K83">
        <f>IFERROR(ROUNDDOWN((VLOOKUP($C83,武器!$1:$998,COLUMN(I$1),FALSE)+IFERROR(VLOOKUP($CJ83,装強!$1:$999,COLUMN(K$1),FALSE),0))*VLOOKUP($D83,素材!$1:$1016,COLUMN($E$1),FALSE),0),"")</f>
        <v>0</v>
      </c>
      <c r="L83">
        <f>IFERROR(VLOOKUP($D83,素材!$1:$1016,COLUMN($F$1),FALSE),"")</f>
        <v>0</v>
      </c>
      <c r="M83">
        <f>IFERROR(VLOOKUP($C83,武器!$1:$998,COLUMN(AA$1),FALSE)*VLOOKUP($D83,素材!$1:$1016,COLUMN($G$1),FALSE),"")</f>
        <v>0</v>
      </c>
      <c r="N83">
        <f>IFERROR(VLOOKUP($C83,武器!$1:$998,COLUMN(I$1),FALSE),"")</f>
        <v>0</v>
      </c>
      <c r="O83" s="23">
        <f>IFERROR((VLOOKUP($C83,武器!$1:$998,COLUMN(K$1),FALSE)+VLOOKUP($D83,素材!$1:$1016,COLUMN(H$1),FALSE))*100+IFERROR(VLOOKUP($CJ83,装強!$1:$999,COLUMN(O$1),FALSE),0),"")</f>
        <v>10</v>
      </c>
      <c r="P83" s="23">
        <f>IFERROR((VLOOKUP($C83,武器!$1:$998,COLUMN(L$1),FALSE)+VLOOKUP($D83,素材!$1:$1016,COLUMN(I$1),FALSE))*100+IFERROR(VLOOKUP($CJ83,装強!$1:$999,COLUMN(P$1),FALSE),0),"")</f>
        <v>150</v>
      </c>
      <c r="Q83">
        <f>IFERROR(ROUNDUP(VLOOKUP($C83,武器!$1:$998,COLUMN(M$1),FALSE)*(VLOOKUP($D83,素材!$1:$1002,COLUMN(D$1),FALSE)/100),1),"")</f>
        <v>-7.8999999999999995</v>
      </c>
      <c r="R83">
        <f>IFERROR(ROUNDUP(VLOOKUP($C83,武器!$1:$998,COLUMN(N$1),FALSE)*(VLOOKUP($D83,素材!$1:$1002,COLUMN(D$1),FALSE)/100),1),"")</f>
        <v>-7.8999999999999995</v>
      </c>
      <c r="S83">
        <f>IFERROR(VLOOKUP($C83,武器!$1:$998,COLUMN(P$1),FALSE),"")</f>
        <v>0</v>
      </c>
      <c r="T83">
        <f>IFERROR(VLOOKUP($C83,武器!$1:$998,COLUMN(Q$1),FALSE),"")</f>
        <v>0</v>
      </c>
      <c r="U83">
        <f>IFERROR(VLOOKUP($C83,武器!$1:$998,COLUMN(R$1),FALSE),"")</f>
        <v>0</v>
      </c>
      <c r="V83">
        <f>IFERROR(VLOOKUP($C83,武器!$1:$998,COLUMN(Q$1),FALSE),"")</f>
        <v>0</v>
      </c>
      <c r="W83" t="str">
        <f>IFERROR(VLOOKUP($C83,武器!$1:$998,COLUMN(T$1),FALSE),"")</f>
        <v>A</v>
      </c>
      <c r="Y83">
        <f>IFERROR(VLOOKUP($C83,武器!$1:$998,COLUMN(U$1),FALSE),"")</f>
        <v>0</v>
      </c>
      <c r="Z83">
        <f>IFERROR(ROUNDUP(VLOOKUP($C83,武器!$1:$998,COLUMN(O$1),FALSE)*VLOOKUP($D83,素材!$1:$1016,COLUMN(E$1),FALSE),1),"")</f>
        <v>0</v>
      </c>
      <c r="AA83">
        <f>IF(ISNUMBER(SEARCH(SUBSTITUTE(AA$1,RIGHT(AA$1,2),""),VLOOKUP($D83,素材!$1:$1016,COLUMN($F$1),FALSE))),VLOOKUP($C83,武器!$1:$998,COLUMN($O$1),FALSE)*VLOOKUP($D83,素材!$1:$1016,COLUMN($E$1),FALSE)/(LEN(VLOOKUP($D83,素材!$1:$1016,COLUMN($F$1),FALSE))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B83">
        <f>IF(ISNUMBER(SEARCH(SUBSTITUTE(AB$1,RIGHT(AB$1,2),""),VLOOKUP($D83,素材!$1:$1016,COLUMN($F$1),FALSE))),VLOOKUP($C83,武器!$1:$998,COLUMN($O$1),FALSE)*VLOOKUP($D83,素材!$1:$1016,COLUMN($E$1),FALSE)/(LEN(VLOOKUP($D83,素材!$1:$1016,COLUMN($F$1),FALSE))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C83">
        <f>IF(ISNUMBER(SEARCH(SUBSTITUTE(AC$1,RIGHT(AC$1,2),""),VLOOKUP($D83,素材!$1:$1016,COLUMN($F$1),FALSE))),VLOOKUP($C83,武器!$1:$998,COLUMN($O$1),FALSE)*VLOOKUP($D83,素材!$1:$1016,COLUMN($E$1),FALSE)/(LEN(VLOOKUP($D83,素材!$1:$1016,COLUMN($F$1),FALSE))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D83">
        <f>IF(ISNUMBER(SEARCH(SUBSTITUTE(AD$1,RIGHT(AD$1,2),""),VLOOKUP($D83,素材!$1:$1016,COLUMN($F$1),FALSE))),VLOOKUP($C83,武器!$1:$998,COLUMN($O$1),FALSE)*VLOOKUP($D83,素材!$1:$1016,COLUMN($E$1),FALSE)/(LEN(VLOOKUP($D83,素材!$1:$1016,COLUMN($F$1),FALSE))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E83">
        <f>IF(ISNUMBER(SEARCH(SUBSTITUTE(AE$1,RIGHT(AE$1,2),""),VLOOKUP($D83,素材!$1:$1016,COLUMN($F$1),FALSE))),VLOOKUP($C83,武器!$1:$998,COLUMN($O$1),FALSE)*VLOOKUP($D83,素材!$1:$1016,COLUMN($E$1),FALSE)/(LEN(VLOOKUP($D83,素材!$1:$1016,COLUMN($F$1),FALSE))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F83">
        <f>IF(ISNUMBER(SEARCH(SUBSTITUTE(AF$1,RIGHT(AF$1,2),""),VLOOKUP($D83,素材!$1:$1016,COLUMN($F$1),FALSE))),VLOOKUP($C83,武器!$1:$998,COLUMN($O$1),FALSE)*VLOOKUP($D83,素材!$1:$1016,COLUMN($E$1),FALSE)/(LEN(VLOOKUP($D83,素材!$1:$1016,COLUMN($F$1),FALSE))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G83">
        <f>IF(ISNUMBER(SEARCH(SUBSTITUTE(AG$1,RIGHT(AG$1,2),""),VLOOKUP($D83,素材!$1:$1016,COLUMN($F$1),FALSE))),VLOOKUP($C83,武器!$1:$998,COLUMN($O$1),FALSE)*VLOOKUP($D83,素材!$1:$1016,COLUMN($E$1),FALSE)/(LEN(VLOOKUP($D83,素材!$1:$1016,COLUMN($F$1),FALSE))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H83">
        <f>IF(ISNUMBER(SEARCH(SUBSTITUTE(AH$1,RIGHT(AH$1,2),""),VLOOKUP($D83,素材!$1:$1016,COLUMN($F$1),FALSE))),VLOOKUP($C83,武器!$1:$998,COLUMN($O$1),FALSE)*VLOOKUP($D83,素材!$1:$1016,COLUMN($E$1),FALSE)/(LEN(VLOOKUP($D83,素材!$1:$1016,COLUMN($F$1),FALSE))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I83">
        <f>IF(ISNUMBER(SEARCH(SUBSTITUTE(AI$1,RIGHT(AI$1,2),""),VLOOKUP($D83,素材!$1:$1016,COLUMN($F$1),FALSE))),VLOOKUP($C83,武器!$1:$998,COLUMN($O$1),FALSE)*VLOOKUP($D83,素材!$1:$1016,COLUMN($E$1),FALSE)/(LEN(VLOOKUP($D83,素材!$1:$1016,COLUMN($F$1),FALSE))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J83">
        <f>IF(ISNUMBER(SEARCH(SUBSTITUTE(AJ$1,RIGHT(AJ$1,2),""),VLOOKUP($D83,素材!$1:$1016,COLUMN($F$1),FALSE))),VLOOKUP($C83,武器!$1:$998,COLUMN($O$1),FALSE)*VLOOKUP($D83,素材!$1:$1016,COLUMN($E$1),FALSE)/(LEN(VLOOKUP($D83,素材!$1:$1016,COLUMN($F$1),FALSE))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K83">
        <f>IF(ISNUMBER(SEARCH(SUBSTITUTE(AK$1,RIGHT(AK$1,2),""),VLOOKUP($D83,素材!$1:$1016,COLUMN($F$1),FALSE))),VLOOKUP($C83,武器!$1:$998,COLUMN($O$1),FALSE)*VLOOKUP($D83,素材!$1:$1016,COLUMN($E$1),FALSE)/(LEN(VLOOKUP($D83,素材!$1:$1016,COLUMN($F$1),FALSE))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L83">
        <f>IF(ISNUMBER(SEARCH(SUBSTITUTE(AL$1,RIGHT(AL$1,2),""),VLOOKUP($D83,素材!$1:$1016,COLUMN($F$1),FALSE))),VLOOKUP($C83,武器!$1:$998,COLUMN($O$1),FALSE)*VLOOKUP($D83,素材!$1:$1016,COLUMN($E$1),FALSE)/(LEN(VLOOKUP($D83,素材!$1:$1016,COLUMN($F$1),FALSE))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M83">
        <f>IF(ISNUMBER(SEARCH(SUBSTITUTE(AM$1,RIGHT(AM$1,2),""),VLOOKUP($D83,素材!$1:$1016,COLUMN($F$1),FALSE))),VLOOKUP($C83,武器!$1:$998,COLUMN($O$1),FALSE)*VLOOKUP($D83,素材!$1:$1016,COLUMN($E$1),FALSE)/(LEN(VLOOKUP($D83,素材!$1:$1016,COLUMN($F$1),FALSE))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N83">
        <f>IF(ISNUMBER(SEARCH(SUBSTITUTE(AN$1,RIGHT(AN$1,2),""),VLOOKUP($D83,素材!$1:$1016,COLUMN($F$1),FALSE))),VLOOKUP($C83,武器!$1:$998,COLUMN($O$1),FALSE)*VLOOKUP($D83,素材!$1:$1016,COLUMN($E$1),FALSE)/(LEN(VLOOKUP($D83,素材!$1:$1016,COLUMN($F$1),FALSE))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O83">
        <f>IF(ISNUMBER(SEARCH(SUBSTITUTE(AO$1,RIGHT(AO$1,2),""),VLOOKUP($D83,素材!$1:$1016,COLUMN($F$1),FALSE))),VLOOKUP($C83,武器!$1:$998,COLUMN($O$1),FALSE)*VLOOKUP($D83,素材!$1:$1016,COLUMN($E$1),FALSE)/(LEN(VLOOKUP($D83,素材!$1:$1016,COLUMN($F$1),FALSE))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P83">
        <f>IF(ISNUMBER(SEARCH(SUBSTITUTE(AP$1,RIGHT(AP$1,2),""),VLOOKUP($D83,素材!$1:$1016,COLUMN($F$1),FALSE))),VLOOKUP($C83,武器!$1:$998,COLUMN($O$1),FALSE)*VLOOKUP($D83,素材!$1:$1016,COLUMN($E$1),FALSE)/(LEN(VLOOKUP($D83,素材!$1:$1016,COLUMN($F$1),FALSE))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Q83">
        <f>IF(ISNUMBER(SEARCH(SUBSTITUTE(AQ$1,RIGHT(AQ$1,2),""),VLOOKUP($D83,素材!$1:$1016,COLUMN($F$1),FALSE))),VLOOKUP($C83,武器!$1:$998,COLUMN($O$1),FALSE)*VLOOKUP($D83,素材!$1:$1016,COLUMN($E$1),FALSE)/(LEN(VLOOKUP($D83,素材!$1:$1016,COLUMN($F$1),FALSE))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R83">
        <f>IF(ISNUMBER(SEARCH(SUBSTITUTE(AR$1,RIGHT(AR$1,2),""),VLOOKUP($D83,素材!$1:$1016,COLUMN($F$1),FALSE))),VLOOKUP($C83,武器!$1:$998,COLUMN($O$1),FALSE)*VLOOKUP($D83,素材!$1:$1016,COLUMN($E$1),FALSE)/(LEN(VLOOKUP($D83,素材!$1:$1016,COLUMN($F$1),FALSE))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S83">
        <f>IF(ISNUMBER(SEARCH(SUBSTITUTE(AS$1,RIGHT(AS$1,2),""),VLOOKUP($D83,素材!$1:$1016,COLUMN($F$1),FALSE))),VLOOKUP($C83,武器!$1:$998,COLUMN($O$1),FALSE)*VLOOKUP($D83,素材!$1:$1016,COLUMN($E$1),FALSE)/(LEN(VLOOKUP($D83,素材!$1:$1016,COLUMN($F$1),FALSE))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T83">
        <f>IF(ISNUMBER(SEARCH(SUBSTITUTE(AT$1,RIGHT(AT$1,2),""),VLOOKUP($D83,素材!$1:$1016,COLUMN($F$1),FALSE))),VLOOKUP($C83,武器!$1:$998,COLUMN($O$1),FALSE)*VLOOKUP($D83,素材!$1:$1016,COLUMN($E$1),FALSE)/(LEN(VLOOKUP($D83,素材!$1:$1016,COLUMN($F$1),FALSE))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U83">
        <f>IF(ISNUMBER(SEARCH(SUBSTITUTE(AU$1,RIGHT(AU$1,2),""),VLOOKUP($D83,素材!$1:$1016,COLUMN($F$1),FALSE))),VLOOKUP($C83,武器!$1:$998,COLUMN($O$1),FALSE)*VLOOKUP($D83,素材!$1:$1016,COLUMN($E$1),FALSE)/(LEN(VLOOKUP($D83,素材!$1:$1016,COLUMN($F$1),FALSE))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V83">
        <f>IF(ISNUMBER(SEARCH(SUBSTITUTE(AV$1,RIGHT(AV$1,2),""),VLOOKUP($D83,素材!$1:$1016,COLUMN($F$1),FALSE))),VLOOKUP($C83,武器!$1:$998,COLUMN($O$1),FALSE)*VLOOKUP($D83,素材!$1:$1016,COLUMN($E$1),FALSE)/(LEN(VLOOKUP($D83,素材!$1:$1016,COLUMN($F$1),FALSE))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W83">
        <f>IF(ISNUMBER(SEARCH(SUBSTITUTE(AW$1,RIGHT(AW$1,2),""),VLOOKUP($D83,素材!$1:$1016,COLUMN($F$1),FALSE))),VLOOKUP($C83,武器!$1:$998,COLUMN($O$1),FALSE)*VLOOKUP($D83,素材!$1:$1016,COLUMN($E$1),FALSE)/(LEN(VLOOKUP($D83,素材!$1:$1016,COLUMN($F$1),FALSE))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X83">
        <f>IF(ISNUMBER(SEARCH(SUBSTITUTE(AX$1,RIGHT(AX$1,2),""),VLOOKUP($D83,素材!$1:$1016,COLUMN($F$1),FALSE))),VLOOKUP($C83,武器!$1:$998,COLUMN($O$1),FALSE)*VLOOKUP($D83,素材!$1:$1016,COLUMN($E$1),FALSE)/(LEN(VLOOKUP($D83,素材!$1:$1016,COLUMN($F$1),FALSE))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Y83">
        <f>IF(ISNUMBER(SEARCH(SUBSTITUTE(AY$1,RIGHT(AY$1,2),""),VLOOKUP($D83,素材!$1:$1016,COLUMN($F$1),FALSE))),VLOOKUP($C83,武器!$1:$998,COLUMN($O$1),FALSE)*VLOOKUP($D83,素材!$1:$1016,COLUMN($E$1),FALSE)/(LEN(VLOOKUP($D83,素材!$1:$1016,COLUMN($F$1),FALSE))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AZ83">
        <f>IF(ISNUMBER(SEARCH(SUBSTITUTE(AZ$1,RIGHT(AZ$1,2),""),VLOOKUP($D83,素材!$1:$1016,COLUMN($F$1),FALSE))),VLOOKUP($C83,武器!$1:$998,COLUMN($O$1),FALSE)*VLOOKUP($D83,素材!$1:$1016,COLUMN($E$1),FALSE)/(LEN(VLOOKUP($D83,素材!$1:$1016,COLUMN($F$1),FALSE))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BA83">
        <f>IF(ISNUMBER(SEARCH(SUBSTITUTE(BA$1,RIGHT(BA$1,2),""),VLOOKUP($D83,素材!$1:$1016,COLUMN($F$1),FALSE))),VLOOKUP($C83,武器!$1:$998,COLUMN($O$1),FALSE)*VLOOKUP($D83,素材!$1:$1016,COLUMN($E$1),FALSE)/(LEN(VLOOKUP($D83,素材!$1:$1016,COLUMN($F$1),FALSE))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BB83">
        <f>IF(ISNUMBER(SEARCH(SUBSTITUTE(BB$1,RIGHT(BB$1,2),""),VLOOKUP($D83,素材!$1:$1016,COLUMN($F$1),FALSE))),VLOOKUP($C83,武器!$1:$998,COLUMN($O$1),FALSE)*VLOOKUP($D83,素材!$1:$1016,COLUMN($E$1),FALSE)/(LEN(VLOOKUP($D83,素材!$1:$1016,COLUMN($F$1),FALSE))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BC83">
        <f>IF(ISNUMBER(SEARCH(SUBSTITUTE(BC$1,RIGHT(BC$1,2),""),VLOOKUP($D83,素材!$1:$1016,COLUMN($F$1),FALSE))),VLOOKUP($C83,武器!$1:$998,COLUMN($O$1),FALSE)*VLOOKUP($D83,素材!$1:$1016,COLUMN($E$1),FALSE)/(LEN(VLOOKUP($D83,素材!$1:$1016,COLUMN($F$1),FALSE))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BD83">
        <f>IF(ISNUMBER(SEARCH(SUBSTITUTE(BD$1,RIGHT(BD$1,2),""),VLOOKUP($D83,素材!$1:$1016,COLUMN($F$1),FALSE))),VLOOKUP($C83,武器!$1:$998,COLUMN($O$1),FALSE)*VLOOKUP($D83,素材!$1:$1016,COLUMN($E$1),FALSE)/(LEN(VLOOKUP($D83,素材!$1:$1016,COLUMN($F$1),FALSE))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BE83">
        <f>IF(ISNUMBER(SEARCH(SUBSTITUTE(BE$1,RIGHT(BE$1,2),""),VLOOKUP($D83,素材!$1:$1016,COLUMN($F$1),FALSE))),VLOOKUP($C83,武器!$1:$998,COLUMN($O$1),FALSE)*VLOOKUP($D83,素材!$1:$1016,COLUMN($E$1),FALSE)/(LEN(VLOOKUP($D83,素材!$1:$1016,COLUMN($F$1),FALSE))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BF83">
        <f>IF(ISNUMBER(SEARCH(SUBSTITUTE(BF$1,RIGHT(BF$1,2),""),VLOOKUP($D83,素材!$1:$1016,COLUMN($F$1),FALSE))),VLOOKUP($C83,武器!$1:$998,COLUMN($O$1),FALSE)*VLOOKUP($D83,素材!$1:$1016,COLUMN($E$1),FALSE)/(LEN(VLOOKUP($D83,素材!$1:$1016,COLUMN($F$1),FALSE)) - LEN(SUBSTITUTE(VLOOKUP($D83,素材!$1:$1016,COLUMN($F$1),FALSE), "・", 0)) + 1), 0)</f>
        <v>0</v>
      </c>
      <c r="CM83">
        <f t="shared" si="8"/>
        <v>41</v>
      </c>
      <c r="CN83" s="22" t="str">
        <f>IF(E83="武器",IF(J83-1&gt;SUM(G83:I83),"盾",IF(MAX(G83:I83)=G83,"切断",IF(MAX(G83:I83)=H83,"貫通",IF(MAX(G83:I83)=I83,"打撃","射撃")))),E83)&amp;".webp"</f>
        <v>切断.webp</v>
      </c>
      <c r="CO83">
        <f>IFERROR(VLOOKUP($C83,武器!$1:$998,COLUMN(V$1),FALSE)*VLOOKUP($D83,素材!$1:$1016,COLUMN(N$1),FALSE)+IF(CJ83="",0,VLOOKUP($CJ83,装強!$1:$1008,COLUMN($CL$1),FALSE)),"")</f>
        <v>1350</v>
      </c>
      <c r="CP83" t="str">
        <f>VLOOKUP(D83,素材!$A:$O,COLUMN(素材!O$1),FALSE)</f>
        <v>鍛えられた鉄。硬度が高く安価なためよく使用される。</v>
      </c>
      <c r="CQ83" t="str">
        <f>VLOOKUP(C83,武器!$A:$W,COLUMN(武器!W$1),FALSE)</f>
        <v>大剣。非常に重いが威力が突出して高い武器。大きい分ガードにも向いている</v>
      </c>
      <c r="CS83" t="str">
        <f t="shared" si="7"/>
        <v>e_83</v>
      </c>
      <c r="CT83">
        <f t="shared" si="9"/>
        <v>135000</v>
      </c>
    </row>
    <row r="84" spans="1:98" outlineLevel="1" x14ac:dyDescent="0.4">
      <c r="A84" t="str">
        <f t="shared" si="6"/>
        <v>鋼の細剣</v>
      </c>
      <c r="B84" t="str">
        <f>IFERROR(VLOOKUP($D84,素材!$1:$1016,COLUMN($B$1),FALSE)&amp;"・"&amp;VLOOKUP($C84,武器!$1:$998,COLUMN(B$1),FALSE),"")</f>
        <v>スチール・レイピア</v>
      </c>
      <c r="C84" s="24" t="s">
        <v>236</v>
      </c>
      <c r="D84" s="24" t="s">
        <v>253</v>
      </c>
      <c r="E84" t="str">
        <f>IFERROR(VLOOKUP(C84,武器!$1:$998,COLUMN(C$1),FALSE),"")</f>
        <v>武器</v>
      </c>
      <c r="F84">
        <f>IFERROR(ROUNDDOWN((VLOOKUP($C84,武器!$1:$998,COLUMN(D$1),FALSE)+IFERROR(VLOOKUP($CJ84,装強!$1:$999,COLUMN(F$1),FALSE),0))*VLOOKUP($D84,素材!$1:$1016,COLUMN(D$1),FALSE),0),"")</f>
        <v>105</v>
      </c>
      <c r="G84">
        <f>IFERROR(ROUNDDOWN((VLOOKUP($C84,武器!$1:$998,COLUMN(E$1),FALSE)+IFERROR(VLOOKUP($CJ84,装強!$1:$999,COLUMN(G$1),FALSE),0))*VLOOKUP($D84,素材!$1:$1016,COLUMN($E$1),FALSE),0),"")</f>
        <v>12</v>
      </c>
      <c r="H84">
        <f>IFERROR(ROUNDDOWN((VLOOKUP($C84,武器!$1:$998,COLUMN(F$1),FALSE)+IFERROR(VLOOKUP($CJ84,装強!$1:$999,COLUMN(H$1),FALSE),0))*VLOOKUP($D84,素材!$1:$1016,COLUMN($E$1),FALSE),0),"")</f>
        <v>17</v>
      </c>
      <c r="I84">
        <f>IFERROR(ROUNDDOWN((VLOOKUP($C84,武器!$1:$998,COLUMN(G$1),FALSE)+IFERROR(VLOOKUP($CJ84,装強!$1:$999,COLUMN(I$1),FALSE),0))*VLOOKUP($D84,素材!$1:$1016,COLUMN($E$1),FALSE),0),"")</f>
        <v>0</v>
      </c>
      <c r="J84">
        <f>IFERROR(ROUNDDOWN((VLOOKUP($C84,武器!$1:$998,COLUMN(H$1),FALSE)+IFERROR(VLOOKUP($CJ84,装強!$1:$999,COLUMN(J$1),FALSE),0))*VLOOKUP($D84,素材!$1:$1016,COLUMN($E$1),FALSE),0),"")</f>
        <v>21</v>
      </c>
      <c r="K84">
        <f>IFERROR(ROUNDDOWN((VLOOKUP($C84,武器!$1:$998,COLUMN(I$1),FALSE)+IFERROR(VLOOKUP($CJ84,装強!$1:$999,COLUMN(K$1),FALSE),0))*VLOOKUP($D84,素材!$1:$1016,COLUMN($E$1),FALSE),0),"")</f>
        <v>0</v>
      </c>
      <c r="L84">
        <f>IFERROR(VLOOKUP($D84,素材!$1:$1016,COLUMN($F$1),FALSE),"")</f>
        <v>0</v>
      </c>
      <c r="M84">
        <f>IFERROR(VLOOKUP($C84,武器!$1:$998,COLUMN(AA$1),FALSE)*VLOOKUP($D84,素材!$1:$1016,COLUMN($G$1),FALSE),"")</f>
        <v>0</v>
      </c>
      <c r="N84">
        <f>IFERROR(VLOOKUP($C84,武器!$1:$998,COLUMN(I$1),FALSE),"")</f>
        <v>0</v>
      </c>
      <c r="O84" s="23">
        <f>IFERROR((VLOOKUP($C84,武器!$1:$998,COLUMN(K$1),FALSE)+VLOOKUP($D84,素材!$1:$1016,COLUMN(H$1),FALSE))*100+IFERROR(VLOOKUP($CJ84,装強!$1:$999,COLUMN(O$1),FALSE),0),"")</f>
        <v>15</v>
      </c>
      <c r="P84" s="23">
        <f>IFERROR((VLOOKUP($C84,武器!$1:$998,COLUMN(L$1),FALSE)+VLOOKUP($D84,素材!$1:$1016,COLUMN(I$1),FALSE))*100+IFERROR(VLOOKUP($CJ84,装強!$1:$999,COLUMN(P$1),FALSE),0),"")</f>
        <v>125</v>
      </c>
      <c r="Q84">
        <f>IFERROR(ROUNDUP(VLOOKUP($C84,武器!$1:$998,COLUMN(M$1),FALSE)*(VLOOKUP($D84,素材!$1:$1002,COLUMN(D$1),FALSE)/100),1),"")</f>
        <v>0</v>
      </c>
      <c r="R84">
        <f>IFERROR(ROUNDUP(VLOOKUP($C84,武器!$1:$998,COLUMN(N$1),FALSE)*(VLOOKUP($D84,素材!$1:$1002,COLUMN(D$1),FALSE)/100),1),"")</f>
        <v>0</v>
      </c>
      <c r="S84">
        <f>IFERROR(VLOOKUP($C84,武器!$1:$998,COLUMN(P$1),FALSE),"")</f>
        <v>0</v>
      </c>
      <c r="T84">
        <f>IFERROR(VLOOKUP($C84,武器!$1:$998,COLUMN(Q$1),FALSE),"")</f>
        <v>0</v>
      </c>
      <c r="U84">
        <f>IFERROR(VLOOKUP($C84,武器!$1:$998,COLUMN(R$1),FALSE),"")</f>
        <v>0</v>
      </c>
      <c r="V84">
        <f>IFERROR(VLOOKUP($C84,武器!$1:$998,COLUMN(Q$1),FALSE),"")</f>
        <v>0</v>
      </c>
      <c r="W84" t="str">
        <f>IFERROR(VLOOKUP($C84,武器!$1:$998,COLUMN(T$1),FALSE),"")</f>
        <v>A</v>
      </c>
      <c r="Y84" t="str">
        <f>IFERROR(VLOOKUP($C84,武器!$1:$998,COLUMN(U$1),FALSE),"")</f>
        <v>片手適正Ⅰ</v>
      </c>
      <c r="Z84">
        <f>IFERROR(ROUNDUP(VLOOKUP($C84,武器!$1:$998,COLUMN(O$1),FALSE)*VLOOKUP($D84,素材!$1:$1016,COLUMN(E$1),FALSE),1),"")</f>
        <v>0</v>
      </c>
      <c r="AA84">
        <f>IF(ISNUMBER(SEARCH(SUBSTITUTE(AA$1,RIGHT(AA$1,2),""),VLOOKUP($D84,素材!$1:$1016,COLUMN($F$1),FALSE))),VLOOKUP($C84,武器!$1:$998,COLUMN($O$1),FALSE)*VLOOKUP($D84,素材!$1:$1016,COLUMN($E$1),FALSE)/(LEN(VLOOKUP($D84,素材!$1:$1016,COLUMN($F$1),FALSE))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B84">
        <f>IF(ISNUMBER(SEARCH(SUBSTITUTE(AB$1,RIGHT(AB$1,2),""),VLOOKUP($D84,素材!$1:$1016,COLUMN($F$1),FALSE))),VLOOKUP($C84,武器!$1:$998,COLUMN($O$1),FALSE)*VLOOKUP($D84,素材!$1:$1016,COLUMN($E$1),FALSE)/(LEN(VLOOKUP($D84,素材!$1:$1016,COLUMN($F$1),FALSE))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C84">
        <f>IF(ISNUMBER(SEARCH(SUBSTITUTE(AC$1,RIGHT(AC$1,2),""),VLOOKUP($D84,素材!$1:$1016,COLUMN($F$1),FALSE))),VLOOKUP($C84,武器!$1:$998,COLUMN($O$1),FALSE)*VLOOKUP($D84,素材!$1:$1016,COLUMN($E$1),FALSE)/(LEN(VLOOKUP($D84,素材!$1:$1016,COLUMN($F$1),FALSE))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D84">
        <f>IF(ISNUMBER(SEARCH(SUBSTITUTE(AD$1,RIGHT(AD$1,2),""),VLOOKUP($D84,素材!$1:$1016,COLUMN($F$1),FALSE))),VLOOKUP($C84,武器!$1:$998,COLUMN($O$1),FALSE)*VLOOKUP($D84,素材!$1:$1016,COLUMN($E$1),FALSE)/(LEN(VLOOKUP($D84,素材!$1:$1016,COLUMN($F$1),FALSE))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E84">
        <f>IF(ISNUMBER(SEARCH(SUBSTITUTE(AE$1,RIGHT(AE$1,2),""),VLOOKUP($D84,素材!$1:$1016,COLUMN($F$1),FALSE))),VLOOKUP($C84,武器!$1:$998,COLUMN($O$1),FALSE)*VLOOKUP($D84,素材!$1:$1016,COLUMN($E$1),FALSE)/(LEN(VLOOKUP($D84,素材!$1:$1016,COLUMN($F$1),FALSE))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F84">
        <f>IF(ISNUMBER(SEARCH(SUBSTITUTE(AF$1,RIGHT(AF$1,2),""),VLOOKUP($D84,素材!$1:$1016,COLUMN($F$1),FALSE))),VLOOKUP($C84,武器!$1:$998,COLUMN($O$1),FALSE)*VLOOKUP($D84,素材!$1:$1016,COLUMN($E$1),FALSE)/(LEN(VLOOKUP($D84,素材!$1:$1016,COLUMN($F$1),FALSE))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G84">
        <f>IF(ISNUMBER(SEARCH(SUBSTITUTE(AG$1,RIGHT(AG$1,2),""),VLOOKUP($D84,素材!$1:$1016,COLUMN($F$1),FALSE))),VLOOKUP($C84,武器!$1:$998,COLUMN($O$1),FALSE)*VLOOKUP($D84,素材!$1:$1016,COLUMN($E$1),FALSE)/(LEN(VLOOKUP($D84,素材!$1:$1016,COLUMN($F$1),FALSE))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H84">
        <f>IF(ISNUMBER(SEARCH(SUBSTITUTE(AH$1,RIGHT(AH$1,2),""),VLOOKUP($D84,素材!$1:$1016,COLUMN($F$1),FALSE))),VLOOKUP($C84,武器!$1:$998,COLUMN($O$1),FALSE)*VLOOKUP($D84,素材!$1:$1016,COLUMN($E$1),FALSE)/(LEN(VLOOKUP($D84,素材!$1:$1016,COLUMN($F$1),FALSE))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I84">
        <f>IF(ISNUMBER(SEARCH(SUBSTITUTE(AI$1,RIGHT(AI$1,2),""),VLOOKUP($D84,素材!$1:$1016,COLUMN($F$1),FALSE))),VLOOKUP($C84,武器!$1:$998,COLUMN($O$1),FALSE)*VLOOKUP($D84,素材!$1:$1016,COLUMN($E$1),FALSE)/(LEN(VLOOKUP($D84,素材!$1:$1016,COLUMN($F$1),FALSE))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J84">
        <f>IF(ISNUMBER(SEARCH(SUBSTITUTE(AJ$1,RIGHT(AJ$1,2),""),VLOOKUP($D84,素材!$1:$1016,COLUMN($F$1),FALSE))),VLOOKUP($C84,武器!$1:$998,COLUMN($O$1),FALSE)*VLOOKUP($D84,素材!$1:$1016,COLUMN($E$1),FALSE)/(LEN(VLOOKUP($D84,素材!$1:$1016,COLUMN($F$1),FALSE))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K84">
        <f>IF(ISNUMBER(SEARCH(SUBSTITUTE(AK$1,RIGHT(AK$1,2),""),VLOOKUP($D84,素材!$1:$1016,COLUMN($F$1),FALSE))),VLOOKUP($C84,武器!$1:$998,COLUMN($O$1),FALSE)*VLOOKUP($D84,素材!$1:$1016,COLUMN($E$1),FALSE)/(LEN(VLOOKUP($D84,素材!$1:$1016,COLUMN($F$1),FALSE))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L84">
        <f>IF(ISNUMBER(SEARCH(SUBSTITUTE(AL$1,RIGHT(AL$1,2),""),VLOOKUP($D84,素材!$1:$1016,COLUMN($F$1),FALSE))),VLOOKUP($C84,武器!$1:$998,COLUMN($O$1),FALSE)*VLOOKUP($D84,素材!$1:$1016,COLUMN($E$1),FALSE)/(LEN(VLOOKUP($D84,素材!$1:$1016,COLUMN($F$1),FALSE))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M84">
        <f>IF(ISNUMBER(SEARCH(SUBSTITUTE(AM$1,RIGHT(AM$1,2),""),VLOOKUP($D84,素材!$1:$1016,COLUMN($F$1),FALSE))),VLOOKUP($C84,武器!$1:$998,COLUMN($O$1),FALSE)*VLOOKUP($D84,素材!$1:$1016,COLUMN($E$1),FALSE)/(LEN(VLOOKUP($D84,素材!$1:$1016,COLUMN($F$1),FALSE))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N84">
        <f>IF(ISNUMBER(SEARCH(SUBSTITUTE(AN$1,RIGHT(AN$1,2),""),VLOOKUP($D84,素材!$1:$1016,COLUMN($F$1),FALSE))),VLOOKUP($C84,武器!$1:$998,COLUMN($O$1),FALSE)*VLOOKUP($D84,素材!$1:$1016,COLUMN($E$1),FALSE)/(LEN(VLOOKUP($D84,素材!$1:$1016,COLUMN($F$1),FALSE))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O84">
        <f>IF(ISNUMBER(SEARCH(SUBSTITUTE(AO$1,RIGHT(AO$1,2),""),VLOOKUP($D84,素材!$1:$1016,COLUMN($F$1),FALSE))),VLOOKUP($C84,武器!$1:$998,COLUMN($O$1),FALSE)*VLOOKUP($D84,素材!$1:$1016,COLUMN($E$1),FALSE)/(LEN(VLOOKUP($D84,素材!$1:$1016,COLUMN($F$1),FALSE))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P84">
        <f>IF(ISNUMBER(SEARCH(SUBSTITUTE(AP$1,RIGHT(AP$1,2),""),VLOOKUP($D84,素材!$1:$1016,COLUMN($F$1),FALSE))),VLOOKUP($C84,武器!$1:$998,COLUMN($O$1),FALSE)*VLOOKUP($D84,素材!$1:$1016,COLUMN($E$1),FALSE)/(LEN(VLOOKUP($D84,素材!$1:$1016,COLUMN($F$1),FALSE))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Q84">
        <f>IF(ISNUMBER(SEARCH(SUBSTITUTE(AQ$1,RIGHT(AQ$1,2),""),VLOOKUP($D84,素材!$1:$1016,COLUMN($F$1),FALSE))),VLOOKUP($C84,武器!$1:$998,COLUMN($O$1),FALSE)*VLOOKUP($D84,素材!$1:$1016,COLUMN($E$1),FALSE)/(LEN(VLOOKUP($D84,素材!$1:$1016,COLUMN($F$1),FALSE))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R84">
        <f>IF(ISNUMBER(SEARCH(SUBSTITUTE(AR$1,RIGHT(AR$1,2),""),VLOOKUP($D84,素材!$1:$1016,COLUMN($F$1),FALSE))),VLOOKUP($C84,武器!$1:$998,COLUMN($O$1),FALSE)*VLOOKUP($D84,素材!$1:$1016,COLUMN($E$1),FALSE)/(LEN(VLOOKUP($D84,素材!$1:$1016,COLUMN($F$1),FALSE))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S84">
        <f>IF(ISNUMBER(SEARCH(SUBSTITUTE(AS$1,RIGHT(AS$1,2),""),VLOOKUP($D84,素材!$1:$1016,COLUMN($F$1),FALSE))),VLOOKUP($C84,武器!$1:$998,COLUMN($O$1),FALSE)*VLOOKUP($D84,素材!$1:$1016,COLUMN($E$1),FALSE)/(LEN(VLOOKUP($D84,素材!$1:$1016,COLUMN($F$1),FALSE))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T84">
        <f>IF(ISNUMBER(SEARCH(SUBSTITUTE(AT$1,RIGHT(AT$1,2),""),VLOOKUP($D84,素材!$1:$1016,COLUMN($F$1),FALSE))),VLOOKUP($C84,武器!$1:$998,COLUMN($O$1),FALSE)*VLOOKUP($D84,素材!$1:$1016,COLUMN($E$1),FALSE)/(LEN(VLOOKUP($D84,素材!$1:$1016,COLUMN($F$1),FALSE))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U84">
        <f>IF(ISNUMBER(SEARCH(SUBSTITUTE(AU$1,RIGHT(AU$1,2),""),VLOOKUP($D84,素材!$1:$1016,COLUMN($F$1),FALSE))),VLOOKUP($C84,武器!$1:$998,COLUMN($O$1),FALSE)*VLOOKUP($D84,素材!$1:$1016,COLUMN($E$1),FALSE)/(LEN(VLOOKUP($D84,素材!$1:$1016,COLUMN($F$1),FALSE))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V84">
        <f>IF(ISNUMBER(SEARCH(SUBSTITUTE(AV$1,RIGHT(AV$1,2),""),VLOOKUP($D84,素材!$1:$1016,COLUMN($F$1),FALSE))),VLOOKUP($C84,武器!$1:$998,COLUMN($O$1),FALSE)*VLOOKUP($D84,素材!$1:$1016,COLUMN($E$1),FALSE)/(LEN(VLOOKUP($D84,素材!$1:$1016,COLUMN($F$1),FALSE))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W84">
        <f>IF(ISNUMBER(SEARCH(SUBSTITUTE(AW$1,RIGHT(AW$1,2),""),VLOOKUP($D84,素材!$1:$1016,COLUMN($F$1),FALSE))),VLOOKUP($C84,武器!$1:$998,COLUMN($O$1),FALSE)*VLOOKUP($D84,素材!$1:$1016,COLUMN($E$1),FALSE)/(LEN(VLOOKUP($D84,素材!$1:$1016,COLUMN($F$1),FALSE))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X84">
        <f>IF(ISNUMBER(SEARCH(SUBSTITUTE(AX$1,RIGHT(AX$1,2),""),VLOOKUP($D84,素材!$1:$1016,COLUMN($F$1),FALSE))),VLOOKUP($C84,武器!$1:$998,COLUMN($O$1),FALSE)*VLOOKUP($D84,素材!$1:$1016,COLUMN($E$1),FALSE)/(LEN(VLOOKUP($D84,素材!$1:$1016,COLUMN($F$1),FALSE))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Y84">
        <f>IF(ISNUMBER(SEARCH(SUBSTITUTE(AY$1,RIGHT(AY$1,2),""),VLOOKUP($D84,素材!$1:$1016,COLUMN($F$1),FALSE))),VLOOKUP($C84,武器!$1:$998,COLUMN($O$1),FALSE)*VLOOKUP($D84,素材!$1:$1016,COLUMN($E$1),FALSE)/(LEN(VLOOKUP($D84,素材!$1:$1016,COLUMN($F$1),FALSE))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AZ84">
        <f>IF(ISNUMBER(SEARCH(SUBSTITUTE(AZ$1,RIGHT(AZ$1,2),""),VLOOKUP($D84,素材!$1:$1016,COLUMN($F$1),FALSE))),VLOOKUP($C84,武器!$1:$998,COLUMN($O$1),FALSE)*VLOOKUP($D84,素材!$1:$1016,COLUMN($E$1),FALSE)/(LEN(VLOOKUP($D84,素材!$1:$1016,COLUMN($F$1),FALSE))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BA84">
        <f>IF(ISNUMBER(SEARCH(SUBSTITUTE(BA$1,RIGHT(BA$1,2),""),VLOOKUP($D84,素材!$1:$1016,COLUMN($F$1),FALSE))),VLOOKUP($C84,武器!$1:$998,COLUMN($O$1),FALSE)*VLOOKUP($D84,素材!$1:$1016,COLUMN($E$1),FALSE)/(LEN(VLOOKUP($D84,素材!$1:$1016,COLUMN($F$1),FALSE))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BB84">
        <f>IF(ISNUMBER(SEARCH(SUBSTITUTE(BB$1,RIGHT(BB$1,2),""),VLOOKUP($D84,素材!$1:$1016,COLUMN($F$1),FALSE))),VLOOKUP($C84,武器!$1:$998,COLUMN($O$1),FALSE)*VLOOKUP($D84,素材!$1:$1016,COLUMN($E$1),FALSE)/(LEN(VLOOKUP($D84,素材!$1:$1016,COLUMN($F$1),FALSE))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BC84">
        <f>IF(ISNUMBER(SEARCH(SUBSTITUTE(BC$1,RIGHT(BC$1,2),""),VLOOKUP($D84,素材!$1:$1016,COLUMN($F$1),FALSE))),VLOOKUP($C84,武器!$1:$998,COLUMN($O$1),FALSE)*VLOOKUP($D84,素材!$1:$1016,COLUMN($E$1),FALSE)/(LEN(VLOOKUP($D84,素材!$1:$1016,COLUMN($F$1),FALSE))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BD84">
        <f>IF(ISNUMBER(SEARCH(SUBSTITUTE(BD$1,RIGHT(BD$1,2),""),VLOOKUP($D84,素材!$1:$1016,COLUMN($F$1),FALSE))),VLOOKUP($C84,武器!$1:$998,COLUMN($O$1),FALSE)*VLOOKUP($D84,素材!$1:$1016,COLUMN($E$1),FALSE)/(LEN(VLOOKUP($D84,素材!$1:$1016,COLUMN($F$1),FALSE))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BE84">
        <f>IF(ISNUMBER(SEARCH(SUBSTITUTE(BE$1,RIGHT(BE$1,2),""),VLOOKUP($D84,素材!$1:$1016,COLUMN($F$1),FALSE))),VLOOKUP($C84,武器!$1:$998,COLUMN($O$1),FALSE)*VLOOKUP($D84,素材!$1:$1016,COLUMN($E$1),FALSE)/(LEN(VLOOKUP($D84,素材!$1:$1016,COLUMN($F$1),FALSE))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BF84">
        <f>IF(ISNUMBER(SEARCH(SUBSTITUTE(BF$1,RIGHT(BF$1,2),""),VLOOKUP($D84,素材!$1:$1016,COLUMN($F$1),FALSE))),VLOOKUP($C84,武器!$1:$998,COLUMN($O$1),FALSE)*VLOOKUP($D84,素材!$1:$1016,COLUMN($E$1),FALSE)/(LEN(VLOOKUP($D84,素材!$1:$1016,COLUMN($F$1),FALSE)) - LEN(SUBSTITUTE(VLOOKUP($D84,素材!$1:$1016,COLUMN($F$1),FALSE), "・", 0)) + 1), 0)</f>
        <v>0</v>
      </c>
      <c r="CM84">
        <f t="shared" si="8"/>
        <v>29</v>
      </c>
      <c r="CN84" s="22" t="str">
        <f>IF(E84="武器",IF(J84-1&gt;SUM(G84:I84),"盾",IF(MAX(G84:I84)=G84,"切断",IF(MAX(G84:I84)=H84,"貫通",IF(MAX(G84:I84)=I84,"打撃","射撃")))),E84)&amp;".webp"</f>
        <v>貫通.webp</v>
      </c>
      <c r="CO84">
        <f>IFERROR(VLOOKUP($C84,武器!$1:$998,COLUMN(V$1),FALSE)*VLOOKUP($D84,素材!$1:$1016,COLUMN(N$1),FALSE)+IF(CJ84="",0,VLOOKUP($CJ84,装強!$1:$1008,COLUMN($CL$1),FALSE)),"")</f>
        <v>900</v>
      </c>
      <c r="CP84" t="str">
        <f>VLOOKUP(D84,素材!$A:$O,COLUMN(素材!O$1),FALSE)</f>
        <v>鍛えられた鉄。硬度が高く安価なためよく使用される。</v>
      </c>
      <c r="CQ84" t="str">
        <f>VLOOKUP(C84,武器!$A:$W,COLUMN(武器!W$1),FALSE)</f>
        <v>細剣。刺突に優れた武器でCr率が高い</v>
      </c>
      <c r="CS84" t="str">
        <f t="shared" si="7"/>
        <v>e_84</v>
      </c>
      <c r="CT84">
        <f t="shared" si="9"/>
        <v>90000</v>
      </c>
    </row>
    <row r="85" spans="1:98" outlineLevel="1" x14ac:dyDescent="0.4">
      <c r="A85" t="str">
        <f t="shared" si="6"/>
        <v>鋼の刺剣</v>
      </c>
      <c r="B85" t="str">
        <f>IFERROR(VLOOKUP($D85,素材!$1:$1016,COLUMN($B$1),FALSE)&amp;"・"&amp;VLOOKUP($C85,武器!$1:$998,COLUMN(B$1),FALSE),"")</f>
        <v>スチール・スティレット</v>
      </c>
      <c r="C85" s="24" t="s">
        <v>235</v>
      </c>
      <c r="D85" s="24" t="s">
        <v>253</v>
      </c>
      <c r="E85" t="str">
        <f>IFERROR(VLOOKUP(C85,武器!$1:$998,COLUMN(C$1),FALSE),"")</f>
        <v>武器</v>
      </c>
      <c r="F85">
        <f>IFERROR(ROUNDDOWN((VLOOKUP($C85,武器!$1:$998,COLUMN(D$1),FALSE)+IFERROR(VLOOKUP($CJ85,装強!$1:$999,COLUMN(F$1),FALSE),0))*VLOOKUP($D85,素材!$1:$1016,COLUMN(D$1),FALSE),0),"")</f>
        <v>115</v>
      </c>
      <c r="G85">
        <f>IFERROR(ROUNDDOWN((VLOOKUP($C85,武器!$1:$998,COLUMN(E$1),FALSE)+IFERROR(VLOOKUP($CJ85,装強!$1:$999,COLUMN(G$1),FALSE),0))*VLOOKUP($D85,素材!$1:$1016,COLUMN($E$1),FALSE),0),"")</f>
        <v>5</v>
      </c>
      <c r="H85">
        <f>IFERROR(ROUNDDOWN((VLOOKUP($C85,武器!$1:$998,COLUMN(F$1),FALSE)+IFERROR(VLOOKUP($CJ85,装強!$1:$999,COLUMN(H$1),FALSE),0))*VLOOKUP($D85,素材!$1:$1016,COLUMN($E$1),FALSE),0),"")</f>
        <v>24</v>
      </c>
      <c r="I85">
        <f>IFERROR(ROUNDDOWN((VLOOKUP($C85,武器!$1:$998,COLUMN(G$1),FALSE)+IFERROR(VLOOKUP($CJ85,装強!$1:$999,COLUMN(I$1),FALSE),0))*VLOOKUP($D85,素材!$1:$1016,COLUMN($E$1),FALSE),0),"")</f>
        <v>0</v>
      </c>
      <c r="J85">
        <f>IFERROR(ROUNDDOWN((VLOOKUP($C85,武器!$1:$998,COLUMN(H$1),FALSE)+IFERROR(VLOOKUP($CJ85,装強!$1:$999,COLUMN(J$1),FALSE),0))*VLOOKUP($D85,素材!$1:$1016,COLUMN($E$1),FALSE),0),"")</f>
        <v>22</v>
      </c>
      <c r="K85">
        <f>IFERROR(ROUNDDOWN((VLOOKUP($C85,武器!$1:$998,COLUMN(I$1),FALSE)+IFERROR(VLOOKUP($CJ85,装強!$1:$999,COLUMN(K$1),FALSE),0))*VLOOKUP($D85,素材!$1:$1016,COLUMN($E$1),FALSE),0),"")</f>
        <v>0</v>
      </c>
      <c r="L85">
        <f>IFERROR(VLOOKUP($D85,素材!$1:$1016,COLUMN($F$1),FALSE),"")</f>
        <v>0</v>
      </c>
      <c r="M85">
        <f>IFERROR(VLOOKUP($C85,武器!$1:$998,COLUMN(AA$1),FALSE)*VLOOKUP($D85,素材!$1:$1016,COLUMN($G$1),FALSE),"")</f>
        <v>0</v>
      </c>
      <c r="N85">
        <f>IFERROR(VLOOKUP($C85,武器!$1:$998,COLUMN(I$1),FALSE),"")</f>
        <v>0</v>
      </c>
      <c r="O85" s="23">
        <f>IFERROR((VLOOKUP($C85,武器!$1:$998,COLUMN(K$1),FALSE)+VLOOKUP($D85,素材!$1:$1016,COLUMN(H$1),FALSE))*100+IFERROR(VLOOKUP($CJ85,装強!$1:$999,COLUMN(O$1),FALSE),0),"")</f>
        <v>10</v>
      </c>
      <c r="P85" s="23">
        <f>IFERROR((VLOOKUP($C85,武器!$1:$998,COLUMN(L$1),FALSE)+VLOOKUP($D85,素材!$1:$1016,COLUMN(I$1),FALSE))*100+IFERROR(VLOOKUP($CJ85,装強!$1:$999,COLUMN(P$1),FALSE),0),"")</f>
        <v>150</v>
      </c>
      <c r="Q85">
        <f>IFERROR(ROUNDUP(VLOOKUP($C85,武器!$1:$998,COLUMN(M$1),FALSE)*(VLOOKUP($D85,素材!$1:$1002,COLUMN(D$1),FALSE)/100),1),"")</f>
        <v>0</v>
      </c>
      <c r="R85">
        <f>IFERROR(ROUNDUP(VLOOKUP($C85,武器!$1:$998,COLUMN(N$1),FALSE)*(VLOOKUP($D85,素材!$1:$1002,COLUMN(D$1),FALSE)/100),1),"")</f>
        <v>0</v>
      </c>
      <c r="S85">
        <f>IFERROR(VLOOKUP($C85,武器!$1:$998,COLUMN(P$1),FALSE),"")</f>
        <v>0</v>
      </c>
      <c r="T85">
        <f>IFERROR(VLOOKUP($C85,武器!$1:$998,COLUMN(Q$1),FALSE),"")</f>
        <v>0</v>
      </c>
      <c r="U85">
        <f>IFERROR(VLOOKUP($C85,武器!$1:$998,COLUMN(R$1),FALSE),"")</f>
        <v>0</v>
      </c>
      <c r="V85">
        <f>IFERROR(VLOOKUP($C85,武器!$1:$998,COLUMN(Q$1),FALSE),"")</f>
        <v>0</v>
      </c>
      <c r="W85" t="str">
        <f>IFERROR(VLOOKUP($C85,武器!$1:$998,COLUMN(T$1),FALSE),"")</f>
        <v>A</v>
      </c>
      <c r="Y85" t="str">
        <f>IFERROR(VLOOKUP($C85,武器!$1:$998,COLUMN(U$1),FALSE),"")</f>
        <v>片手適正Ⅰ</v>
      </c>
      <c r="Z85">
        <f>IFERROR(ROUNDUP(VLOOKUP($C85,武器!$1:$998,COLUMN(O$1),FALSE)*VLOOKUP($D85,素材!$1:$1016,COLUMN(E$1),FALSE),1),"")</f>
        <v>0</v>
      </c>
      <c r="AA85">
        <f>IF(ISNUMBER(SEARCH(SUBSTITUTE(AA$1,RIGHT(AA$1,2),""),VLOOKUP($D85,素材!$1:$1016,COLUMN($F$1),FALSE))),VLOOKUP($C85,武器!$1:$998,COLUMN($O$1),FALSE)*VLOOKUP($D85,素材!$1:$1016,COLUMN($E$1),FALSE)/(LEN(VLOOKUP($D85,素材!$1:$1016,COLUMN($F$1),FALSE))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B85">
        <f>IF(ISNUMBER(SEARCH(SUBSTITUTE(AB$1,RIGHT(AB$1,2),""),VLOOKUP($D85,素材!$1:$1016,COLUMN($F$1),FALSE))),VLOOKUP($C85,武器!$1:$998,COLUMN($O$1),FALSE)*VLOOKUP($D85,素材!$1:$1016,COLUMN($E$1),FALSE)/(LEN(VLOOKUP($D85,素材!$1:$1016,COLUMN($F$1),FALSE))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C85">
        <f>IF(ISNUMBER(SEARCH(SUBSTITUTE(AC$1,RIGHT(AC$1,2),""),VLOOKUP($D85,素材!$1:$1016,COLUMN($F$1),FALSE))),VLOOKUP($C85,武器!$1:$998,COLUMN($O$1),FALSE)*VLOOKUP($D85,素材!$1:$1016,COLUMN($E$1),FALSE)/(LEN(VLOOKUP($D85,素材!$1:$1016,COLUMN($F$1),FALSE))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D85">
        <f>IF(ISNUMBER(SEARCH(SUBSTITUTE(AD$1,RIGHT(AD$1,2),""),VLOOKUP($D85,素材!$1:$1016,COLUMN($F$1),FALSE))),VLOOKUP($C85,武器!$1:$998,COLUMN($O$1),FALSE)*VLOOKUP($D85,素材!$1:$1016,COLUMN($E$1),FALSE)/(LEN(VLOOKUP($D85,素材!$1:$1016,COLUMN($F$1),FALSE))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E85">
        <f>IF(ISNUMBER(SEARCH(SUBSTITUTE(AE$1,RIGHT(AE$1,2),""),VLOOKUP($D85,素材!$1:$1016,COLUMN($F$1),FALSE))),VLOOKUP($C85,武器!$1:$998,COLUMN($O$1),FALSE)*VLOOKUP($D85,素材!$1:$1016,COLUMN($E$1),FALSE)/(LEN(VLOOKUP($D85,素材!$1:$1016,COLUMN($F$1),FALSE))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F85">
        <f>IF(ISNUMBER(SEARCH(SUBSTITUTE(AF$1,RIGHT(AF$1,2),""),VLOOKUP($D85,素材!$1:$1016,COLUMN($F$1),FALSE))),VLOOKUP($C85,武器!$1:$998,COLUMN($O$1),FALSE)*VLOOKUP($D85,素材!$1:$1016,COLUMN($E$1),FALSE)/(LEN(VLOOKUP($D85,素材!$1:$1016,COLUMN($F$1),FALSE))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G85">
        <f>IF(ISNUMBER(SEARCH(SUBSTITUTE(AG$1,RIGHT(AG$1,2),""),VLOOKUP($D85,素材!$1:$1016,COLUMN($F$1),FALSE))),VLOOKUP($C85,武器!$1:$998,COLUMN($O$1),FALSE)*VLOOKUP($D85,素材!$1:$1016,COLUMN($E$1),FALSE)/(LEN(VLOOKUP($D85,素材!$1:$1016,COLUMN($F$1),FALSE))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H85">
        <f>IF(ISNUMBER(SEARCH(SUBSTITUTE(AH$1,RIGHT(AH$1,2),""),VLOOKUP($D85,素材!$1:$1016,COLUMN($F$1),FALSE))),VLOOKUP($C85,武器!$1:$998,COLUMN($O$1),FALSE)*VLOOKUP($D85,素材!$1:$1016,COLUMN($E$1),FALSE)/(LEN(VLOOKUP($D85,素材!$1:$1016,COLUMN($F$1),FALSE))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I85">
        <f>IF(ISNUMBER(SEARCH(SUBSTITUTE(AI$1,RIGHT(AI$1,2),""),VLOOKUP($D85,素材!$1:$1016,COLUMN($F$1),FALSE))),VLOOKUP($C85,武器!$1:$998,COLUMN($O$1),FALSE)*VLOOKUP($D85,素材!$1:$1016,COLUMN($E$1),FALSE)/(LEN(VLOOKUP($D85,素材!$1:$1016,COLUMN($F$1),FALSE))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J85">
        <f>IF(ISNUMBER(SEARCH(SUBSTITUTE(AJ$1,RIGHT(AJ$1,2),""),VLOOKUP($D85,素材!$1:$1016,COLUMN($F$1),FALSE))),VLOOKUP($C85,武器!$1:$998,COLUMN($O$1),FALSE)*VLOOKUP($D85,素材!$1:$1016,COLUMN($E$1),FALSE)/(LEN(VLOOKUP($D85,素材!$1:$1016,COLUMN($F$1),FALSE))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K85">
        <f>IF(ISNUMBER(SEARCH(SUBSTITUTE(AK$1,RIGHT(AK$1,2),""),VLOOKUP($D85,素材!$1:$1016,COLUMN($F$1),FALSE))),VLOOKUP($C85,武器!$1:$998,COLUMN($O$1),FALSE)*VLOOKUP($D85,素材!$1:$1016,COLUMN($E$1),FALSE)/(LEN(VLOOKUP($D85,素材!$1:$1016,COLUMN($F$1),FALSE))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L85">
        <f>IF(ISNUMBER(SEARCH(SUBSTITUTE(AL$1,RIGHT(AL$1,2),""),VLOOKUP($D85,素材!$1:$1016,COLUMN($F$1),FALSE))),VLOOKUP($C85,武器!$1:$998,COLUMN($O$1),FALSE)*VLOOKUP($D85,素材!$1:$1016,COLUMN($E$1),FALSE)/(LEN(VLOOKUP($D85,素材!$1:$1016,COLUMN($F$1),FALSE))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M85">
        <f>IF(ISNUMBER(SEARCH(SUBSTITUTE(AM$1,RIGHT(AM$1,2),""),VLOOKUP($D85,素材!$1:$1016,COLUMN($F$1),FALSE))),VLOOKUP($C85,武器!$1:$998,COLUMN($O$1),FALSE)*VLOOKUP($D85,素材!$1:$1016,COLUMN($E$1),FALSE)/(LEN(VLOOKUP($D85,素材!$1:$1016,COLUMN($F$1),FALSE))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N85">
        <f>IF(ISNUMBER(SEARCH(SUBSTITUTE(AN$1,RIGHT(AN$1,2),""),VLOOKUP($D85,素材!$1:$1016,COLUMN($F$1),FALSE))),VLOOKUP($C85,武器!$1:$998,COLUMN($O$1),FALSE)*VLOOKUP($D85,素材!$1:$1016,COLUMN($E$1),FALSE)/(LEN(VLOOKUP($D85,素材!$1:$1016,COLUMN($F$1),FALSE))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O85">
        <f>IF(ISNUMBER(SEARCH(SUBSTITUTE(AO$1,RIGHT(AO$1,2),""),VLOOKUP($D85,素材!$1:$1016,COLUMN($F$1),FALSE))),VLOOKUP($C85,武器!$1:$998,COLUMN($O$1),FALSE)*VLOOKUP($D85,素材!$1:$1016,COLUMN($E$1),FALSE)/(LEN(VLOOKUP($D85,素材!$1:$1016,COLUMN($F$1),FALSE))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P85">
        <f>IF(ISNUMBER(SEARCH(SUBSTITUTE(AP$1,RIGHT(AP$1,2),""),VLOOKUP($D85,素材!$1:$1016,COLUMN($F$1),FALSE))),VLOOKUP($C85,武器!$1:$998,COLUMN($O$1),FALSE)*VLOOKUP($D85,素材!$1:$1016,COLUMN($E$1),FALSE)/(LEN(VLOOKUP($D85,素材!$1:$1016,COLUMN($F$1),FALSE))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Q85">
        <f>IF(ISNUMBER(SEARCH(SUBSTITUTE(AQ$1,RIGHT(AQ$1,2),""),VLOOKUP($D85,素材!$1:$1016,COLUMN($F$1),FALSE))),VLOOKUP($C85,武器!$1:$998,COLUMN($O$1),FALSE)*VLOOKUP($D85,素材!$1:$1016,COLUMN($E$1),FALSE)/(LEN(VLOOKUP($D85,素材!$1:$1016,COLUMN($F$1),FALSE))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R85">
        <f>IF(ISNUMBER(SEARCH(SUBSTITUTE(AR$1,RIGHT(AR$1,2),""),VLOOKUP($D85,素材!$1:$1016,COLUMN($F$1),FALSE))),VLOOKUP($C85,武器!$1:$998,COLUMN($O$1),FALSE)*VLOOKUP($D85,素材!$1:$1016,COLUMN($E$1),FALSE)/(LEN(VLOOKUP($D85,素材!$1:$1016,COLUMN($F$1),FALSE))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S85">
        <f>IF(ISNUMBER(SEARCH(SUBSTITUTE(AS$1,RIGHT(AS$1,2),""),VLOOKUP($D85,素材!$1:$1016,COLUMN($F$1),FALSE))),VLOOKUP($C85,武器!$1:$998,COLUMN($O$1),FALSE)*VLOOKUP($D85,素材!$1:$1016,COLUMN($E$1),FALSE)/(LEN(VLOOKUP($D85,素材!$1:$1016,COLUMN($F$1),FALSE))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T85">
        <f>IF(ISNUMBER(SEARCH(SUBSTITUTE(AT$1,RIGHT(AT$1,2),""),VLOOKUP($D85,素材!$1:$1016,COLUMN($F$1),FALSE))),VLOOKUP($C85,武器!$1:$998,COLUMN($O$1),FALSE)*VLOOKUP($D85,素材!$1:$1016,COLUMN($E$1),FALSE)/(LEN(VLOOKUP($D85,素材!$1:$1016,COLUMN($F$1),FALSE))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U85">
        <f>IF(ISNUMBER(SEARCH(SUBSTITUTE(AU$1,RIGHT(AU$1,2),""),VLOOKUP($D85,素材!$1:$1016,COLUMN($F$1),FALSE))),VLOOKUP($C85,武器!$1:$998,COLUMN($O$1),FALSE)*VLOOKUP($D85,素材!$1:$1016,COLUMN($E$1),FALSE)/(LEN(VLOOKUP($D85,素材!$1:$1016,COLUMN($F$1),FALSE))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V85">
        <f>IF(ISNUMBER(SEARCH(SUBSTITUTE(AV$1,RIGHT(AV$1,2),""),VLOOKUP($D85,素材!$1:$1016,COLUMN($F$1),FALSE))),VLOOKUP($C85,武器!$1:$998,COLUMN($O$1),FALSE)*VLOOKUP($D85,素材!$1:$1016,COLUMN($E$1),FALSE)/(LEN(VLOOKUP($D85,素材!$1:$1016,COLUMN($F$1),FALSE))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W85">
        <f>IF(ISNUMBER(SEARCH(SUBSTITUTE(AW$1,RIGHT(AW$1,2),""),VLOOKUP($D85,素材!$1:$1016,COLUMN($F$1),FALSE))),VLOOKUP($C85,武器!$1:$998,COLUMN($O$1),FALSE)*VLOOKUP($D85,素材!$1:$1016,COLUMN($E$1),FALSE)/(LEN(VLOOKUP($D85,素材!$1:$1016,COLUMN($F$1),FALSE))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X85">
        <f>IF(ISNUMBER(SEARCH(SUBSTITUTE(AX$1,RIGHT(AX$1,2),""),VLOOKUP($D85,素材!$1:$1016,COLUMN($F$1),FALSE))),VLOOKUP($C85,武器!$1:$998,COLUMN($O$1),FALSE)*VLOOKUP($D85,素材!$1:$1016,COLUMN($E$1),FALSE)/(LEN(VLOOKUP($D85,素材!$1:$1016,COLUMN($F$1),FALSE))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Y85">
        <f>IF(ISNUMBER(SEARCH(SUBSTITUTE(AY$1,RIGHT(AY$1,2),""),VLOOKUP($D85,素材!$1:$1016,COLUMN($F$1),FALSE))),VLOOKUP($C85,武器!$1:$998,COLUMN($O$1),FALSE)*VLOOKUP($D85,素材!$1:$1016,COLUMN($E$1),FALSE)/(LEN(VLOOKUP($D85,素材!$1:$1016,COLUMN($F$1),FALSE))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AZ85">
        <f>IF(ISNUMBER(SEARCH(SUBSTITUTE(AZ$1,RIGHT(AZ$1,2),""),VLOOKUP($D85,素材!$1:$1016,COLUMN($F$1),FALSE))),VLOOKUP($C85,武器!$1:$998,COLUMN($O$1),FALSE)*VLOOKUP($D85,素材!$1:$1016,COLUMN($E$1),FALSE)/(LEN(VLOOKUP($D85,素材!$1:$1016,COLUMN($F$1),FALSE))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BA85">
        <f>IF(ISNUMBER(SEARCH(SUBSTITUTE(BA$1,RIGHT(BA$1,2),""),VLOOKUP($D85,素材!$1:$1016,COLUMN($F$1),FALSE))),VLOOKUP($C85,武器!$1:$998,COLUMN($O$1),FALSE)*VLOOKUP($D85,素材!$1:$1016,COLUMN($E$1),FALSE)/(LEN(VLOOKUP($D85,素材!$1:$1016,COLUMN($F$1),FALSE))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BB85">
        <f>IF(ISNUMBER(SEARCH(SUBSTITUTE(BB$1,RIGHT(BB$1,2),""),VLOOKUP($D85,素材!$1:$1016,COLUMN($F$1),FALSE))),VLOOKUP($C85,武器!$1:$998,COLUMN($O$1),FALSE)*VLOOKUP($D85,素材!$1:$1016,COLUMN($E$1),FALSE)/(LEN(VLOOKUP($D85,素材!$1:$1016,COLUMN($F$1),FALSE))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BC85">
        <f>IF(ISNUMBER(SEARCH(SUBSTITUTE(BC$1,RIGHT(BC$1,2),""),VLOOKUP($D85,素材!$1:$1016,COLUMN($F$1),FALSE))),VLOOKUP($C85,武器!$1:$998,COLUMN($O$1),FALSE)*VLOOKUP($D85,素材!$1:$1016,COLUMN($E$1),FALSE)/(LEN(VLOOKUP($D85,素材!$1:$1016,COLUMN($F$1),FALSE))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BD85">
        <f>IF(ISNUMBER(SEARCH(SUBSTITUTE(BD$1,RIGHT(BD$1,2),""),VLOOKUP($D85,素材!$1:$1016,COLUMN($F$1),FALSE))),VLOOKUP($C85,武器!$1:$998,COLUMN($O$1),FALSE)*VLOOKUP($D85,素材!$1:$1016,COLUMN($E$1),FALSE)/(LEN(VLOOKUP($D85,素材!$1:$1016,COLUMN($F$1),FALSE))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BE85">
        <f>IF(ISNUMBER(SEARCH(SUBSTITUTE(BE$1,RIGHT(BE$1,2),""),VLOOKUP($D85,素材!$1:$1016,COLUMN($F$1),FALSE))),VLOOKUP($C85,武器!$1:$998,COLUMN($O$1),FALSE)*VLOOKUP($D85,素材!$1:$1016,COLUMN($E$1),FALSE)/(LEN(VLOOKUP($D85,素材!$1:$1016,COLUMN($F$1),FALSE))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BF85">
        <f>IF(ISNUMBER(SEARCH(SUBSTITUTE(BF$1,RIGHT(BF$1,2),""),VLOOKUP($D85,素材!$1:$1016,COLUMN($F$1),FALSE))),VLOOKUP($C85,武器!$1:$998,COLUMN($O$1),FALSE)*VLOOKUP($D85,素材!$1:$1016,COLUMN($E$1),FALSE)/(LEN(VLOOKUP($D85,素材!$1:$1016,COLUMN($F$1),FALSE)) - LEN(SUBSTITUTE(VLOOKUP($D85,素材!$1:$1016,COLUMN($F$1),FALSE), "・", 0)) + 1), 0)</f>
        <v>0</v>
      </c>
      <c r="CM85">
        <f t="shared" si="8"/>
        <v>29</v>
      </c>
      <c r="CN85" s="22" t="str">
        <f>IF(E85="武器",IF(J85-1&gt;SUM(G85:I85),"盾",IF(MAX(G85:I85)=G85,"切断",IF(MAX(G85:I85)=H85,"貫通",IF(MAX(G85:I85)=I85,"打撃","射撃")))),E85)&amp;".webp"</f>
        <v>貫通.webp</v>
      </c>
      <c r="CO85">
        <f>IFERROR(VLOOKUP($C85,武器!$1:$998,COLUMN(V$1),FALSE)*VLOOKUP($D85,素材!$1:$1016,COLUMN(N$1),FALSE)+IF(CJ85="",0,VLOOKUP($CJ85,装強!$1:$1008,COLUMN($CL$1),FALSE)),"")</f>
        <v>675</v>
      </c>
      <c r="CP85" t="str">
        <f>VLOOKUP(D85,素材!$A:$O,COLUMN(素材!O$1),FALSE)</f>
        <v>鍛えられた鉄。硬度が高く安価なためよく使用される。</v>
      </c>
      <c r="CQ85" t="str">
        <f>VLOOKUP(C85,武器!$A:$W,COLUMN(武器!W$1),FALSE)</f>
        <v>刺剣。小型で精密な攻撃が可能な武器。</v>
      </c>
      <c r="CS85" t="str">
        <f t="shared" si="7"/>
        <v>e_85</v>
      </c>
      <c r="CT85">
        <f t="shared" si="9"/>
        <v>67500</v>
      </c>
    </row>
    <row r="86" spans="1:98" outlineLevel="1" x14ac:dyDescent="0.4">
      <c r="A86" t="str">
        <f t="shared" si="6"/>
        <v>鋼の短槍</v>
      </c>
      <c r="B86" t="str">
        <f>IFERROR(VLOOKUP($D86,素材!$1:$1016,COLUMN($B$1),FALSE)&amp;"・"&amp;VLOOKUP($C86,武器!$1:$998,COLUMN(B$1),FALSE),"")</f>
        <v>スチール・ショートスピア</v>
      </c>
      <c r="C86" s="24" t="s">
        <v>234</v>
      </c>
      <c r="D86" s="24" t="s">
        <v>253</v>
      </c>
      <c r="E86" t="str">
        <f>IFERROR(VLOOKUP(C86,武器!$1:$998,COLUMN(C$1),FALSE),"")</f>
        <v>武器</v>
      </c>
      <c r="F86">
        <f>IFERROR(ROUNDDOWN((VLOOKUP($C86,武器!$1:$998,COLUMN(D$1),FALSE)+IFERROR(VLOOKUP($CJ86,装強!$1:$999,COLUMN(F$1),FALSE),0))*VLOOKUP($D86,素材!$1:$1016,COLUMN(D$1),FALSE),0),"")</f>
        <v>110</v>
      </c>
      <c r="G86">
        <f>IFERROR(ROUNDDOWN((VLOOKUP($C86,武器!$1:$998,COLUMN(E$1),FALSE)+IFERROR(VLOOKUP($CJ86,装強!$1:$999,COLUMN(G$1),FALSE),0))*VLOOKUP($D86,素材!$1:$1016,COLUMN($E$1),FALSE),0),"")</f>
        <v>10</v>
      </c>
      <c r="H86">
        <f>IFERROR(ROUNDDOWN((VLOOKUP($C86,武器!$1:$998,COLUMN(F$1),FALSE)+IFERROR(VLOOKUP($CJ86,装強!$1:$999,COLUMN(H$1),FALSE),0))*VLOOKUP($D86,素材!$1:$1016,COLUMN($E$1),FALSE),0),"")</f>
        <v>18</v>
      </c>
      <c r="I86">
        <f>IFERROR(ROUNDDOWN((VLOOKUP($C86,武器!$1:$998,COLUMN(G$1),FALSE)+IFERROR(VLOOKUP($CJ86,装強!$1:$999,COLUMN(I$1),FALSE),0))*VLOOKUP($D86,素材!$1:$1016,COLUMN($E$1),FALSE),0),"")</f>
        <v>4</v>
      </c>
      <c r="J86">
        <f>IFERROR(ROUNDDOWN((VLOOKUP($C86,武器!$1:$998,COLUMN(H$1),FALSE)+IFERROR(VLOOKUP($CJ86,装強!$1:$999,COLUMN(J$1),FALSE),0))*VLOOKUP($D86,素材!$1:$1016,COLUMN($E$1),FALSE),0),"")</f>
        <v>22</v>
      </c>
      <c r="K86">
        <f>IFERROR(ROUNDDOWN((VLOOKUP($C86,武器!$1:$998,COLUMN(I$1),FALSE)+IFERROR(VLOOKUP($CJ86,装強!$1:$999,COLUMN(K$1),FALSE),0))*VLOOKUP($D86,素材!$1:$1016,COLUMN($E$1),FALSE),0),"")</f>
        <v>0</v>
      </c>
      <c r="L86">
        <f>IFERROR(VLOOKUP($D86,素材!$1:$1016,COLUMN($F$1),FALSE),"")</f>
        <v>0</v>
      </c>
      <c r="M86">
        <f>IFERROR(VLOOKUP($C86,武器!$1:$998,COLUMN(AA$1),FALSE)*VLOOKUP($D86,素材!$1:$1016,COLUMN($G$1),FALSE),"")</f>
        <v>0</v>
      </c>
      <c r="N86">
        <f>IFERROR(VLOOKUP($C86,武器!$1:$998,COLUMN(I$1),FALSE),"")</f>
        <v>0</v>
      </c>
      <c r="O86" s="23">
        <f>IFERROR((VLOOKUP($C86,武器!$1:$998,COLUMN(K$1),FALSE)+VLOOKUP($D86,素材!$1:$1016,COLUMN(H$1),FALSE))*100+IFERROR(VLOOKUP($CJ86,装強!$1:$999,COLUMN(O$1),FALSE),0),"")</f>
        <v>10</v>
      </c>
      <c r="P86" s="23">
        <f>IFERROR((VLOOKUP($C86,武器!$1:$998,COLUMN(L$1),FALSE)+VLOOKUP($D86,素材!$1:$1016,COLUMN(I$1),FALSE))*100+IFERROR(VLOOKUP($CJ86,装強!$1:$999,COLUMN(P$1),FALSE),0),"")</f>
        <v>150</v>
      </c>
      <c r="Q86">
        <f>IFERROR(ROUNDUP(VLOOKUP($C86,武器!$1:$998,COLUMN(M$1),FALSE)*(VLOOKUP($D86,素材!$1:$1002,COLUMN(D$1),FALSE)/100),1),"")</f>
        <v>0</v>
      </c>
      <c r="R86">
        <f>IFERROR(ROUNDUP(VLOOKUP($C86,武器!$1:$998,COLUMN(N$1),FALSE)*(VLOOKUP($D86,素材!$1:$1002,COLUMN(D$1),FALSE)/100),1),"")</f>
        <v>0</v>
      </c>
      <c r="S86">
        <f>IFERROR(VLOOKUP($C86,武器!$1:$998,COLUMN(P$1),FALSE),"")</f>
        <v>0</v>
      </c>
      <c r="T86">
        <f>IFERROR(VLOOKUP($C86,武器!$1:$998,COLUMN(Q$1),FALSE),"")</f>
        <v>0</v>
      </c>
      <c r="U86">
        <f>IFERROR(VLOOKUP($C86,武器!$1:$998,COLUMN(R$1),FALSE),"")</f>
        <v>0</v>
      </c>
      <c r="V86">
        <f>IFERROR(VLOOKUP($C86,武器!$1:$998,COLUMN(Q$1),FALSE),"")</f>
        <v>0</v>
      </c>
      <c r="W86" t="str">
        <f>IFERROR(VLOOKUP($C86,武器!$1:$998,COLUMN(T$1),FALSE),"")</f>
        <v>A</v>
      </c>
      <c r="Y86" t="str">
        <f>IFERROR(VLOOKUP($C86,武器!$1:$998,COLUMN(U$1),FALSE),"")</f>
        <v>投擲強化</v>
      </c>
      <c r="Z86">
        <f>IFERROR(ROUNDUP(VLOOKUP($C86,武器!$1:$998,COLUMN(O$1),FALSE)*VLOOKUP($D86,素材!$1:$1016,COLUMN(E$1),FALSE),1),"")</f>
        <v>0</v>
      </c>
      <c r="AA86">
        <f>IF(ISNUMBER(SEARCH(SUBSTITUTE(AA$1,RIGHT(AA$1,2),""),VLOOKUP($D86,素材!$1:$1016,COLUMN($F$1),FALSE))),VLOOKUP($C86,武器!$1:$998,COLUMN($O$1),FALSE)*VLOOKUP($D86,素材!$1:$1016,COLUMN($E$1),FALSE)/(LEN(VLOOKUP($D86,素材!$1:$1016,COLUMN($F$1),FALSE))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B86">
        <f>IF(ISNUMBER(SEARCH(SUBSTITUTE(AB$1,RIGHT(AB$1,2),""),VLOOKUP($D86,素材!$1:$1016,COLUMN($F$1),FALSE))),VLOOKUP($C86,武器!$1:$998,COLUMN($O$1),FALSE)*VLOOKUP($D86,素材!$1:$1016,COLUMN($E$1),FALSE)/(LEN(VLOOKUP($D86,素材!$1:$1016,COLUMN($F$1),FALSE))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C86">
        <f>IF(ISNUMBER(SEARCH(SUBSTITUTE(AC$1,RIGHT(AC$1,2),""),VLOOKUP($D86,素材!$1:$1016,COLUMN($F$1),FALSE))),VLOOKUP($C86,武器!$1:$998,COLUMN($O$1),FALSE)*VLOOKUP($D86,素材!$1:$1016,COLUMN($E$1),FALSE)/(LEN(VLOOKUP($D86,素材!$1:$1016,COLUMN($F$1),FALSE))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D86">
        <f>IF(ISNUMBER(SEARCH(SUBSTITUTE(AD$1,RIGHT(AD$1,2),""),VLOOKUP($D86,素材!$1:$1016,COLUMN($F$1),FALSE))),VLOOKUP($C86,武器!$1:$998,COLUMN($O$1),FALSE)*VLOOKUP($D86,素材!$1:$1016,COLUMN($E$1),FALSE)/(LEN(VLOOKUP($D86,素材!$1:$1016,COLUMN($F$1),FALSE))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E86">
        <f>IF(ISNUMBER(SEARCH(SUBSTITUTE(AE$1,RIGHT(AE$1,2),""),VLOOKUP($D86,素材!$1:$1016,COLUMN($F$1),FALSE))),VLOOKUP($C86,武器!$1:$998,COLUMN($O$1),FALSE)*VLOOKUP($D86,素材!$1:$1016,COLUMN($E$1),FALSE)/(LEN(VLOOKUP($D86,素材!$1:$1016,COLUMN($F$1),FALSE))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F86">
        <f>IF(ISNUMBER(SEARCH(SUBSTITUTE(AF$1,RIGHT(AF$1,2),""),VLOOKUP($D86,素材!$1:$1016,COLUMN($F$1),FALSE))),VLOOKUP($C86,武器!$1:$998,COLUMN($O$1),FALSE)*VLOOKUP($D86,素材!$1:$1016,COLUMN($E$1),FALSE)/(LEN(VLOOKUP($D86,素材!$1:$1016,COLUMN($F$1),FALSE))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G86">
        <f>IF(ISNUMBER(SEARCH(SUBSTITUTE(AG$1,RIGHT(AG$1,2),""),VLOOKUP($D86,素材!$1:$1016,COLUMN($F$1),FALSE))),VLOOKUP($C86,武器!$1:$998,COLUMN($O$1),FALSE)*VLOOKUP($D86,素材!$1:$1016,COLUMN($E$1),FALSE)/(LEN(VLOOKUP($D86,素材!$1:$1016,COLUMN($F$1),FALSE))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H86">
        <f>IF(ISNUMBER(SEARCH(SUBSTITUTE(AH$1,RIGHT(AH$1,2),""),VLOOKUP($D86,素材!$1:$1016,COLUMN($F$1),FALSE))),VLOOKUP($C86,武器!$1:$998,COLUMN($O$1),FALSE)*VLOOKUP($D86,素材!$1:$1016,COLUMN($E$1),FALSE)/(LEN(VLOOKUP($D86,素材!$1:$1016,COLUMN($F$1),FALSE))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I86">
        <f>IF(ISNUMBER(SEARCH(SUBSTITUTE(AI$1,RIGHT(AI$1,2),""),VLOOKUP($D86,素材!$1:$1016,COLUMN($F$1),FALSE))),VLOOKUP($C86,武器!$1:$998,COLUMN($O$1),FALSE)*VLOOKUP($D86,素材!$1:$1016,COLUMN($E$1),FALSE)/(LEN(VLOOKUP($D86,素材!$1:$1016,COLUMN($F$1),FALSE))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J86">
        <f>IF(ISNUMBER(SEARCH(SUBSTITUTE(AJ$1,RIGHT(AJ$1,2),""),VLOOKUP($D86,素材!$1:$1016,COLUMN($F$1),FALSE))),VLOOKUP($C86,武器!$1:$998,COLUMN($O$1),FALSE)*VLOOKUP($D86,素材!$1:$1016,COLUMN($E$1),FALSE)/(LEN(VLOOKUP($D86,素材!$1:$1016,COLUMN($F$1),FALSE))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K86">
        <f>IF(ISNUMBER(SEARCH(SUBSTITUTE(AK$1,RIGHT(AK$1,2),""),VLOOKUP($D86,素材!$1:$1016,COLUMN($F$1),FALSE))),VLOOKUP($C86,武器!$1:$998,COLUMN($O$1),FALSE)*VLOOKUP($D86,素材!$1:$1016,COLUMN($E$1),FALSE)/(LEN(VLOOKUP($D86,素材!$1:$1016,COLUMN($F$1),FALSE))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L86">
        <f>IF(ISNUMBER(SEARCH(SUBSTITUTE(AL$1,RIGHT(AL$1,2),""),VLOOKUP($D86,素材!$1:$1016,COLUMN($F$1),FALSE))),VLOOKUP($C86,武器!$1:$998,COLUMN($O$1),FALSE)*VLOOKUP($D86,素材!$1:$1016,COLUMN($E$1),FALSE)/(LEN(VLOOKUP($D86,素材!$1:$1016,COLUMN($F$1),FALSE))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M86">
        <f>IF(ISNUMBER(SEARCH(SUBSTITUTE(AM$1,RIGHT(AM$1,2),""),VLOOKUP($D86,素材!$1:$1016,COLUMN($F$1),FALSE))),VLOOKUP($C86,武器!$1:$998,COLUMN($O$1),FALSE)*VLOOKUP($D86,素材!$1:$1016,COLUMN($E$1),FALSE)/(LEN(VLOOKUP($D86,素材!$1:$1016,COLUMN($F$1),FALSE))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N86">
        <f>IF(ISNUMBER(SEARCH(SUBSTITUTE(AN$1,RIGHT(AN$1,2),""),VLOOKUP($D86,素材!$1:$1016,COLUMN($F$1),FALSE))),VLOOKUP($C86,武器!$1:$998,COLUMN($O$1),FALSE)*VLOOKUP($D86,素材!$1:$1016,COLUMN($E$1),FALSE)/(LEN(VLOOKUP($D86,素材!$1:$1016,COLUMN($F$1),FALSE))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O86">
        <f>IF(ISNUMBER(SEARCH(SUBSTITUTE(AO$1,RIGHT(AO$1,2),""),VLOOKUP($D86,素材!$1:$1016,COLUMN($F$1),FALSE))),VLOOKUP($C86,武器!$1:$998,COLUMN($O$1),FALSE)*VLOOKUP($D86,素材!$1:$1016,COLUMN($E$1),FALSE)/(LEN(VLOOKUP($D86,素材!$1:$1016,COLUMN($F$1),FALSE))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P86">
        <f>IF(ISNUMBER(SEARCH(SUBSTITUTE(AP$1,RIGHT(AP$1,2),""),VLOOKUP($D86,素材!$1:$1016,COLUMN($F$1),FALSE))),VLOOKUP($C86,武器!$1:$998,COLUMN($O$1),FALSE)*VLOOKUP($D86,素材!$1:$1016,COLUMN($E$1),FALSE)/(LEN(VLOOKUP($D86,素材!$1:$1016,COLUMN($F$1),FALSE))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Q86">
        <f>IF(ISNUMBER(SEARCH(SUBSTITUTE(AQ$1,RIGHT(AQ$1,2),""),VLOOKUP($D86,素材!$1:$1016,COLUMN($F$1),FALSE))),VLOOKUP($C86,武器!$1:$998,COLUMN($O$1),FALSE)*VLOOKUP($D86,素材!$1:$1016,COLUMN($E$1),FALSE)/(LEN(VLOOKUP($D86,素材!$1:$1016,COLUMN($F$1),FALSE))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R86">
        <f>IF(ISNUMBER(SEARCH(SUBSTITUTE(AR$1,RIGHT(AR$1,2),""),VLOOKUP($D86,素材!$1:$1016,COLUMN($F$1),FALSE))),VLOOKUP($C86,武器!$1:$998,COLUMN($O$1),FALSE)*VLOOKUP($D86,素材!$1:$1016,COLUMN($E$1),FALSE)/(LEN(VLOOKUP($D86,素材!$1:$1016,COLUMN($F$1),FALSE))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S86">
        <f>IF(ISNUMBER(SEARCH(SUBSTITUTE(AS$1,RIGHT(AS$1,2),""),VLOOKUP($D86,素材!$1:$1016,COLUMN($F$1),FALSE))),VLOOKUP($C86,武器!$1:$998,COLUMN($O$1),FALSE)*VLOOKUP($D86,素材!$1:$1016,COLUMN($E$1),FALSE)/(LEN(VLOOKUP($D86,素材!$1:$1016,COLUMN($F$1),FALSE))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T86">
        <f>IF(ISNUMBER(SEARCH(SUBSTITUTE(AT$1,RIGHT(AT$1,2),""),VLOOKUP($D86,素材!$1:$1016,COLUMN($F$1),FALSE))),VLOOKUP($C86,武器!$1:$998,COLUMN($O$1),FALSE)*VLOOKUP($D86,素材!$1:$1016,COLUMN($E$1),FALSE)/(LEN(VLOOKUP($D86,素材!$1:$1016,COLUMN($F$1),FALSE))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U86">
        <f>IF(ISNUMBER(SEARCH(SUBSTITUTE(AU$1,RIGHT(AU$1,2),""),VLOOKUP($D86,素材!$1:$1016,COLUMN($F$1),FALSE))),VLOOKUP($C86,武器!$1:$998,COLUMN($O$1),FALSE)*VLOOKUP($D86,素材!$1:$1016,COLUMN($E$1),FALSE)/(LEN(VLOOKUP($D86,素材!$1:$1016,COLUMN($F$1),FALSE))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V86">
        <f>IF(ISNUMBER(SEARCH(SUBSTITUTE(AV$1,RIGHT(AV$1,2),""),VLOOKUP($D86,素材!$1:$1016,COLUMN($F$1),FALSE))),VLOOKUP($C86,武器!$1:$998,COLUMN($O$1),FALSE)*VLOOKUP($D86,素材!$1:$1016,COLUMN($E$1),FALSE)/(LEN(VLOOKUP($D86,素材!$1:$1016,COLUMN($F$1),FALSE))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W86">
        <f>IF(ISNUMBER(SEARCH(SUBSTITUTE(AW$1,RIGHT(AW$1,2),""),VLOOKUP($D86,素材!$1:$1016,COLUMN($F$1),FALSE))),VLOOKUP($C86,武器!$1:$998,COLUMN($O$1),FALSE)*VLOOKUP($D86,素材!$1:$1016,COLUMN($E$1),FALSE)/(LEN(VLOOKUP($D86,素材!$1:$1016,COLUMN($F$1),FALSE))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X86">
        <f>IF(ISNUMBER(SEARCH(SUBSTITUTE(AX$1,RIGHT(AX$1,2),""),VLOOKUP($D86,素材!$1:$1016,COLUMN($F$1),FALSE))),VLOOKUP($C86,武器!$1:$998,COLUMN($O$1),FALSE)*VLOOKUP($D86,素材!$1:$1016,COLUMN($E$1),FALSE)/(LEN(VLOOKUP($D86,素材!$1:$1016,COLUMN($F$1),FALSE))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Y86">
        <f>IF(ISNUMBER(SEARCH(SUBSTITUTE(AY$1,RIGHT(AY$1,2),""),VLOOKUP($D86,素材!$1:$1016,COLUMN($F$1),FALSE))),VLOOKUP($C86,武器!$1:$998,COLUMN($O$1),FALSE)*VLOOKUP($D86,素材!$1:$1016,COLUMN($E$1),FALSE)/(LEN(VLOOKUP($D86,素材!$1:$1016,COLUMN($F$1),FALSE))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AZ86">
        <f>IF(ISNUMBER(SEARCH(SUBSTITUTE(AZ$1,RIGHT(AZ$1,2),""),VLOOKUP($D86,素材!$1:$1016,COLUMN($F$1),FALSE))),VLOOKUP($C86,武器!$1:$998,COLUMN($O$1),FALSE)*VLOOKUP($D86,素材!$1:$1016,COLUMN($E$1),FALSE)/(LEN(VLOOKUP($D86,素材!$1:$1016,COLUMN($F$1),FALSE))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BA86">
        <f>IF(ISNUMBER(SEARCH(SUBSTITUTE(BA$1,RIGHT(BA$1,2),""),VLOOKUP($D86,素材!$1:$1016,COLUMN($F$1),FALSE))),VLOOKUP($C86,武器!$1:$998,COLUMN($O$1),FALSE)*VLOOKUP($D86,素材!$1:$1016,COLUMN($E$1),FALSE)/(LEN(VLOOKUP($D86,素材!$1:$1016,COLUMN($F$1),FALSE))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BB86">
        <f>IF(ISNUMBER(SEARCH(SUBSTITUTE(BB$1,RIGHT(BB$1,2),""),VLOOKUP($D86,素材!$1:$1016,COLUMN($F$1),FALSE))),VLOOKUP($C86,武器!$1:$998,COLUMN($O$1),FALSE)*VLOOKUP($D86,素材!$1:$1016,COLUMN($E$1),FALSE)/(LEN(VLOOKUP($D86,素材!$1:$1016,COLUMN($F$1),FALSE))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BC86">
        <f>IF(ISNUMBER(SEARCH(SUBSTITUTE(BC$1,RIGHT(BC$1,2),""),VLOOKUP($D86,素材!$1:$1016,COLUMN($F$1),FALSE))),VLOOKUP($C86,武器!$1:$998,COLUMN($O$1),FALSE)*VLOOKUP($D86,素材!$1:$1016,COLUMN($E$1),FALSE)/(LEN(VLOOKUP($D86,素材!$1:$1016,COLUMN($F$1),FALSE))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BD86">
        <f>IF(ISNUMBER(SEARCH(SUBSTITUTE(BD$1,RIGHT(BD$1,2),""),VLOOKUP($D86,素材!$1:$1016,COLUMN($F$1),FALSE))),VLOOKUP($C86,武器!$1:$998,COLUMN($O$1),FALSE)*VLOOKUP($D86,素材!$1:$1016,COLUMN($E$1),FALSE)/(LEN(VLOOKUP($D86,素材!$1:$1016,COLUMN($F$1),FALSE))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BE86">
        <f>IF(ISNUMBER(SEARCH(SUBSTITUTE(BE$1,RIGHT(BE$1,2),""),VLOOKUP($D86,素材!$1:$1016,COLUMN($F$1),FALSE))),VLOOKUP($C86,武器!$1:$998,COLUMN($O$1),FALSE)*VLOOKUP($D86,素材!$1:$1016,COLUMN($E$1),FALSE)/(LEN(VLOOKUP($D86,素材!$1:$1016,COLUMN($F$1),FALSE))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BF86">
        <f>IF(ISNUMBER(SEARCH(SUBSTITUTE(BF$1,RIGHT(BF$1,2),""),VLOOKUP($D86,素材!$1:$1016,COLUMN($F$1),FALSE))),VLOOKUP($C86,武器!$1:$998,COLUMN($O$1),FALSE)*VLOOKUP($D86,素材!$1:$1016,COLUMN($E$1),FALSE)/(LEN(VLOOKUP($D86,素材!$1:$1016,COLUMN($F$1),FALSE)) - LEN(SUBSTITUTE(VLOOKUP($D86,素材!$1:$1016,COLUMN($F$1),FALSE), "・", 0)) + 1), 0)</f>
        <v>0</v>
      </c>
      <c r="CM86">
        <f t="shared" si="8"/>
        <v>32</v>
      </c>
      <c r="CN86" s="22" t="str">
        <f>IF(E86="武器",IF(J86-1&gt;SUM(G86:I86),"盾",IF(MAX(G86:I86)=G86,"切断",IF(MAX(G86:I86)=H86,"貫通",IF(MAX(G86:I86)=I86,"打撃","射撃")))),E86)&amp;".webp"</f>
        <v>貫通.webp</v>
      </c>
      <c r="CO86">
        <f>IFERROR(VLOOKUP($C86,武器!$1:$998,COLUMN(V$1),FALSE)*VLOOKUP($D86,素材!$1:$1016,COLUMN(N$1),FALSE)+IF(CJ86="",0,VLOOKUP($CJ86,装強!$1:$1008,COLUMN($CL$1),FALSE)),"")</f>
        <v>675</v>
      </c>
      <c r="CP86" t="str">
        <f>VLOOKUP(D86,素材!$A:$O,COLUMN(素材!O$1),FALSE)</f>
        <v>鍛えられた鉄。硬度が高く安価なためよく使用される。</v>
      </c>
      <c r="CQ86" t="str">
        <f>VLOOKUP(C86,武器!$A:$W,COLUMN(武器!W$1),FALSE)</f>
        <v>短槍。短く扱いやすい槍で、投擲にも対応。</v>
      </c>
      <c r="CS86" t="str">
        <f t="shared" si="7"/>
        <v>e_86</v>
      </c>
      <c r="CT86">
        <f t="shared" si="9"/>
        <v>67500</v>
      </c>
    </row>
    <row r="87" spans="1:98" outlineLevel="1" x14ac:dyDescent="0.4">
      <c r="A87" t="str">
        <f t="shared" si="6"/>
        <v>鋼の槍</v>
      </c>
      <c r="B87" t="str">
        <f>IFERROR(VLOOKUP($D87,素材!$1:$1016,COLUMN($B$1),FALSE)&amp;"・"&amp;VLOOKUP($C87,武器!$1:$998,COLUMN(B$1),FALSE),"")</f>
        <v>スチール・スピア</v>
      </c>
      <c r="C87" s="24" t="s">
        <v>233</v>
      </c>
      <c r="D87" s="24" t="s">
        <v>253</v>
      </c>
      <c r="E87" t="str">
        <f>IFERROR(VLOOKUP(C87,武器!$1:$998,COLUMN(C$1),FALSE),"")</f>
        <v>武器</v>
      </c>
      <c r="F87">
        <f>IFERROR(ROUNDDOWN((VLOOKUP($C87,武器!$1:$998,COLUMN(D$1),FALSE)+IFERROR(VLOOKUP($CJ87,装強!$1:$999,COLUMN(F$1),FALSE),0))*VLOOKUP($D87,素材!$1:$1016,COLUMN(D$1),FALSE),0),"")</f>
        <v>120</v>
      </c>
      <c r="G87">
        <f>IFERROR(ROUNDDOWN((VLOOKUP($C87,武器!$1:$998,COLUMN(E$1),FALSE)+IFERROR(VLOOKUP($CJ87,装強!$1:$999,COLUMN(G$1),FALSE),0))*VLOOKUP($D87,素材!$1:$1016,COLUMN($E$1),FALSE),0),"")</f>
        <v>10</v>
      </c>
      <c r="H87">
        <f>IFERROR(ROUNDDOWN((VLOOKUP($C87,武器!$1:$998,COLUMN(F$1),FALSE)+IFERROR(VLOOKUP($CJ87,装強!$1:$999,COLUMN(H$1),FALSE),0))*VLOOKUP($D87,素材!$1:$1016,COLUMN($E$1),FALSE),0),"")</f>
        <v>21</v>
      </c>
      <c r="I87">
        <f>IFERROR(ROUNDDOWN((VLOOKUP($C87,武器!$1:$998,COLUMN(G$1),FALSE)+IFERROR(VLOOKUP($CJ87,装強!$1:$999,COLUMN(I$1),FALSE),0))*VLOOKUP($D87,素材!$1:$1016,COLUMN($E$1),FALSE),0),"")</f>
        <v>4</v>
      </c>
      <c r="J87">
        <f>IFERROR(ROUNDDOWN((VLOOKUP($C87,武器!$1:$998,COLUMN(H$1),FALSE)+IFERROR(VLOOKUP($CJ87,装強!$1:$999,COLUMN(J$1),FALSE),0))*VLOOKUP($D87,素材!$1:$1016,COLUMN($E$1),FALSE),0),"")</f>
        <v>22</v>
      </c>
      <c r="K87">
        <f>IFERROR(ROUNDDOWN((VLOOKUP($C87,武器!$1:$998,COLUMN(I$1),FALSE)+IFERROR(VLOOKUP($CJ87,装強!$1:$999,COLUMN(K$1),FALSE),0))*VLOOKUP($D87,素材!$1:$1016,COLUMN($E$1),FALSE),0),"")</f>
        <v>0</v>
      </c>
      <c r="L87">
        <f>IFERROR(VLOOKUP($D87,素材!$1:$1016,COLUMN($F$1),FALSE),"")</f>
        <v>0</v>
      </c>
      <c r="M87">
        <f>IFERROR(VLOOKUP($C87,武器!$1:$998,COLUMN(AA$1),FALSE)*VLOOKUP($D87,素材!$1:$1016,COLUMN($G$1),FALSE),"")</f>
        <v>0</v>
      </c>
      <c r="N87">
        <f>IFERROR(VLOOKUP($C87,武器!$1:$998,COLUMN(I$1),FALSE),"")</f>
        <v>0</v>
      </c>
      <c r="O87" s="23">
        <f>IFERROR((VLOOKUP($C87,武器!$1:$998,COLUMN(K$1),FALSE)+VLOOKUP($D87,素材!$1:$1016,COLUMN(H$1),FALSE))*100+IFERROR(VLOOKUP($CJ87,装強!$1:$999,COLUMN(O$1),FALSE),0),"")</f>
        <v>10</v>
      </c>
      <c r="P87" s="23">
        <f>IFERROR((VLOOKUP($C87,武器!$1:$998,COLUMN(L$1),FALSE)+VLOOKUP($D87,素材!$1:$1016,COLUMN(I$1),FALSE))*100+IFERROR(VLOOKUP($CJ87,装強!$1:$999,COLUMN(P$1),FALSE),0),"")</f>
        <v>150</v>
      </c>
      <c r="Q87">
        <f>IFERROR(ROUNDUP(VLOOKUP($C87,武器!$1:$998,COLUMN(M$1),FALSE)*(VLOOKUP($D87,素材!$1:$1002,COLUMN(D$1),FALSE)/100),1),"")</f>
        <v>0</v>
      </c>
      <c r="R87">
        <f>IFERROR(ROUNDUP(VLOOKUP($C87,武器!$1:$998,COLUMN(N$1),FALSE)*(VLOOKUP($D87,素材!$1:$1002,COLUMN(D$1),FALSE)/100),1),"")</f>
        <v>-5.3</v>
      </c>
      <c r="S87">
        <f>IFERROR(VLOOKUP($C87,武器!$1:$998,COLUMN(P$1),FALSE),"")</f>
        <v>0</v>
      </c>
      <c r="T87">
        <f>IFERROR(VLOOKUP($C87,武器!$1:$998,COLUMN(Q$1),FALSE),"")</f>
        <v>0</v>
      </c>
      <c r="U87">
        <f>IFERROR(VLOOKUP($C87,武器!$1:$998,COLUMN(R$1),FALSE),"")</f>
        <v>0</v>
      </c>
      <c r="V87">
        <f>IFERROR(VLOOKUP($C87,武器!$1:$998,COLUMN(Q$1),FALSE),"")</f>
        <v>0</v>
      </c>
      <c r="W87" t="str">
        <f>IFERROR(VLOOKUP($C87,武器!$1:$998,COLUMN(T$1),FALSE),"")</f>
        <v>A</v>
      </c>
      <c r="Y87" t="str">
        <f>IFERROR(VLOOKUP($C87,武器!$1:$998,COLUMN(U$1),FALSE),"")</f>
        <v>投擲強化</v>
      </c>
      <c r="Z87">
        <f>IFERROR(ROUNDUP(VLOOKUP($C87,武器!$1:$998,COLUMN(O$1),FALSE)*VLOOKUP($D87,素材!$1:$1016,COLUMN(E$1),FALSE),1),"")</f>
        <v>0</v>
      </c>
      <c r="AA87">
        <f>IF(ISNUMBER(SEARCH(SUBSTITUTE(AA$1,RIGHT(AA$1,2),""),VLOOKUP($D87,素材!$1:$1016,COLUMN($F$1),FALSE))),VLOOKUP($C87,武器!$1:$998,COLUMN($O$1),FALSE)*VLOOKUP($D87,素材!$1:$1016,COLUMN($E$1),FALSE)/(LEN(VLOOKUP($D87,素材!$1:$1016,COLUMN($F$1),FALSE))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B87">
        <f>IF(ISNUMBER(SEARCH(SUBSTITUTE(AB$1,RIGHT(AB$1,2),""),VLOOKUP($D87,素材!$1:$1016,COLUMN($F$1),FALSE))),VLOOKUP($C87,武器!$1:$998,COLUMN($O$1),FALSE)*VLOOKUP($D87,素材!$1:$1016,COLUMN($E$1),FALSE)/(LEN(VLOOKUP($D87,素材!$1:$1016,COLUMN($F$1),FALSE))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C87">
        <f>IF(ISNUMBER(SEARCH(SUBSTITUTE(AC$1,RIGHT(AC$1,2),""),VLOOKUP($D87,素材!$1:$1016,COLUMN($F$1),FALSE))),VLOOKUP($C87,武器!$1:$998,COLUMN($O$1),FALSE)*VLOOKUP($D87,素材!$1:$1016,COLUMN($E$1),FALSE)/(LEN(VLOOKUP($D87,素材!$1:$1016,COLUMN($F$1),FALSE))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D87">
        <f>IF(ISNUMBER(SEARCH(SUBSTITUTE(AD$1,RIGHT(AD$1,2),""),VLOOKUP($D87,素材!$1:$1016,COLUMN($F$1),FALSE))),VLOOKUP($C87,武器!$1:$998,COLUMN($O$1),FALSE)*VLOOKUP($D87,素材!$1:$1016,COLUMN($E$1),FALSE)/(LEN(VLOOKUP($D87,素材!$1:$1016,COLUMN($F$1),FALSE))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E87">
        <f>IF(ISNUMBER(SEARCH(SUBSTITUTE(AE$1,RIGHT(AE$1,2),""),VLOOKUP($D87,素材!$1:$1016,COLUMN($F$1),FALSE))),VLOOKUP($C87,武器!$1:$998,COLUMN($O$1),FALSE)*VLOOKUP($D87,素材!$1:$1016,COLUMN($E$1),FALSE)/(LEN(VLOOKUP($D87,素材!$1:$1016,COLUMN($F$1),FALSE))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F87">
        <f>IF(ISNUMBER(SEARCH(SUBSTITUTE(AF$1,RIGHT(AF$1,2),""),VLOOKUP($D87,素材!$1:$1016,COLUMN($F$1),FALSE))),VLOOKUP($C87,武器!$1:$998,COLUMN($O$1),FALSE)*VLOOKUP($D87,素材!$1:$1016,COLUMN($E$1),FALSE)/(LEN(VLOOKUP($D87,素材!$1:$1016,COLUMN($F$1),FALSE))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G87">
        <f>IF(ISNUMBER(SEARCH(SUBSTITUTE(AG$1,RIGHT(AG$1,2),""),VLOOKUP($D87,素材!$1:$1016,COLUMN($F$1),FALSE))),VLOOKUP($C87,武器!$1:$998,COLUMN($O$1),FALSE)*VLOOKUP($D87,素材!$1:$1016,COLUMN($E$1),FALSE)/(LEN(VLOOKUP($D87,素材!$1:$1016,COLUMN($F$1),FALSE))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H87">
        <f>IF(ISNUMBER(SEARCH(SUBSTITUTE(AH$1,RIGHT(AH$1,2),""),VLOOKUP($D87,素材!$1:$1016,COLUMN($F$1),FALSE))),VLOOKUP($C87,武器!$1:$998,COLUMN($O$1),FALSE)*VLOOKUP($D87,素材!$1:$1016,COLUMN($E$1),FALSE)/(LEN(VLOOKUP($D87,素材!$1:$1016,COLUMN($F$1),FALSE))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I87">
        <f>IF(ISNUMBER(SEARCH(SUBSTITUTE(AI$1,RIGHT(AI$1,2),""),VLOOKUP($D87,素材!$1:$1016,COLUMN($F$1),FALSE))),VLOOKUP($C87,武器!$1:$998,COLUMN($O$1),FALSE)*VLOOKUP($D87,素材!$1:$1016,COLUMN($E$1),FALSE)/(LEN(VLOOKUP($D87,素材!$1:$1016,COLUMN($F$1),FALSE))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J87">
        <f>IF(ISNUMBER(SEARCH(SUBSTITUTE(AJ$1,RIGHT(AJ$1,2),""),VLOOKUP($D87,素材!$1:$1016,COLUMN($F$1),FALSE))),VLOOKUP($C87,武器!$1:$998,COLUMN($O$1),FALSE)*VLOOKUP($D87,素材!$1:$1016,COLUMN($E$1),FALSE)/(LEN(VLOOKUP($D87,素材!$1:$1016,COLUMN($F$1),FALSE))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K87">
        <f>IF(ISNUMBER(SEARCH(SUBSTITUTE(AK$1,RIGHT(AK$1,2),""),VLOOKUP($D87,素材!$1:$1016,COLUMN($F$1),FALSE))),VLOOKUP($C87,武器!$1:$998,COLUMN($O$1),FALSE)*VLOOKUP($D87,素材!$1:$1016,COLUMN($E$1),FALSE)/(LEN(VLOOKUP($D87,素材!$1:$1016,COLUMN($F$1),FALSE))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L87">
        <f>IF(ISNUMBER(SEARCH(SUBSTITUTE(AL$1,RIGHT(AL$1,2),""),VLOOKUP($D87,素材!$1:$1016,COLUMN($F$1),FALSE))),VLOOKUP($C87,武器!$1:$998,COLUMN($O$1),FALSE)*VLOOKUP($D87,素材!$1:$1016,COLUMN($E$1),FALSE)/(LEN(VLOOKUP($D87,素材!$1:$1016,COLUMN($F$1),FALSE))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M87">
        <f>IF(ISNUMBER(SEARCH(SUBSTITUTE(AM$1,RIGHT(AM$1,2),""),VLOOKUP($D87,素材!$1:$1016,COLUMN($F$1),FALSE))),VLOOKUP($C87,武器!$1:$998,COLUMN($O$1),FALSE)*VLOOKUP($D87,素材!$1:$1016,COLUMN($E$1),FALSE)/(LEN(VLOOKUP($D87,素材!$1:$1016,COLUMN($F$1),FALSE))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N87">
        <f>IF(ISNUMBER(SEARCH(SUBSTITUTE(AN$1,RIGHT(AN$1,2),""),VLOOKUP($D87,素材!$1:$1016,COLUMN($F$1),FALSE))),VLOOKUP($C87,武器!$1:$998,COLUMN($O$1),FALSE)*VLOOKUP($D87,素材!$1:$1016,COLUMN($E$1),FALSE)/(LEN(VLOOKUP($D87,素材!$1:$1016,COLUMN($F$1),FALSE))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O87">
        <f>IF(ISNUMBER(SEARCH(SUBSTITUTE(AO$1,RIGHT(AO$1,2),""),VLOOKUP($D87,素材!$1:$1016,COLUMN($F$1),FALSE))),VLOOKUP($C87,武器!$1:$998,COLUMN($O$1),FALSE)*VLOOKUP($D87,素材!$1:$1016,COLUMN($E$1),FALSE)/(LEN(VLOOKUP($D87,素材!$1:$1016,COLUMN($F$1),FALSE))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P87">
        <f>IF(ISNUMBER(SEARCH(SUBSTITUTE(AP$1,RIGHT(AP$1,2),""),VLOOKUP($D87,素材!$1:$1016,COLUMN($F$1),FALSE))),VLOOKUP($C87,武器!$1:$998,COLUMN($O$1),FALSE)*VLOOKUP($D87,素材!$1:$1016,COLUMN($E$1),FALSE)/(LEN(VLOOKUP($D87,素材!$1:$1016,COLUMN($F$1),FALSE))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Q87">
        <f>IF(ISNUMBER(SEARCH(SUBSTITUTE(AQ$1,RIGHT(AQ$1,2),""),VLOOKUP($D87,素材!$1:$1016,COLUMN($F$1),FALSE))),VLOOKUP($C87,武器!$1:$998,COLUMN($O$1),FALSE)*VLOOKUP($D87,素材!$1:$1016,COLUMN($E$1),FALSE)/(LEN(VLOOKUP($D87,素材!$1:$1016,COLUMN($F$1),FALSE))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R87">
        <f>IF(ISNUMBER(SEARCH(SUBSTITUTE(AR$1,RIGHT(AR$1,2),""),VLOOKUP($D87,素材!$1:$1016,COLUMN($F$1),FALSE))),VLOOKUP($C87,武器!$1:$998,COLUMN($O$1),FALSE)*VLOOKUP($D87,素材!$1:$1016,COLUMN($E$1),FALSE)/(LEN(VLOOKUP($D87,素材!$1:$1016,COLUMN($F$1),FALSE))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S87">
        <f>IF(ISNUMBER(SEARCH(SUBSTITUTE(AS$1,RIGHT(AS$1,2),""),VLOOKUP($D87,素材!$1:$1016,COLUMN($F$1),FALSE))),VLOOKUP($C87,武器!$1:$998,COLUMN($O$1),FALSE)*VLOOKUP($D87,素材!$1:$1016,COLUMN($E$1),FALSE)/(LEN(VLOOKUP($D87,素材!$1:$1016,COLUMN($F$1),FALSE))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T87">
        <f>IF(ISNUMBER(SEARCH(SUBSTITUTE(AT$1,RIGHT(AT$1,2),""),VLOOKUP($D87,素材!$1:$1016,COLUMN($F$1),FALSE))),VLOOKUP($C87,武器!$1:$998,COLUMN($O$1),FALSE)*VLOOKUP($D87,素材!$1:$1016,COLUMN($E$1),FALSE)/(LEN(VLOOKUP($D87,素材!$1:$1016,COLUMN($F$1),FALSE))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U87">
        <f>IF(ISNUMBER(SEARCH(SUBSTITUTE(AU$1,RIGHT(AU$1,2),""),VLOOKUP($D87,素材!$1:$1016,COLUMN($F$1),FALSE))),VLOOKUP($C87,武器!$1:$998,COLUMN($O$1),FALSE)*VLOOKUP($D87,素材!$1:$1016,COLUMN($E$1),FALSE)/(LEN(VLOOKUP($D87,素材!$1:$1016,COLUMN($F$1),FALSE))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V87">
        <f>IF(ISNUMBER(SEARCH(SUBSTITUTE(AV$1,RIGHT(AV$1,2),""),VLOOKUP($D87,素材!$1:$1016,COLUMN($F$1),FALSE))),VLOOKUP($C87,武器!$1:$998,COLUMN($O$1),FALSE)*VLOOKUP($D87,素材!$1:$1016,COLUMN($E$1),FALSE)/(LEN(VLOOKUP($D87,素材!$1:$1016,COLUMN($F$1),FALSE))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W87">
        <f>IF(ISNUMBER(SEARCH(SUBSTITUTE(AW$1,RIGHT(AW$1,2),""),VLOOKUP($D87,素材!$1:$1016,COLUMN($F$1),FALSE))),VLOOKUP($C87,武器!$1:$998,COLUMN($O$1),FALSE)*VLOOKUP($D87,素材!$1:$1016,COLUMN($E$1),FALSE)/(LEN(VLOOKUP($D87,素材!$1:$1016,COLUMN($F$1),FALSE))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X87">
        <f>IF(ISNUMBER(SEARCH(SUBSTITUTE(AX$1,RIGHT(AX$1,2),""),VLOOKUP($D87,素材!$1:$1016,COLUMN($F$1),FALSE))),VLOOKUP($C87,武器!$1:$998,COLUMN($O$1),FALSE)*VLOOKUP($D87,素材!$1:$1016,COLUMN($E$1),FALSE)/(LEN(VLOOKUP($D87,素材!$1:$1016,COLUMN($F$1),FALSE))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Y87">
        <f>IF(ISNUMBER(SEARCH(SUBSTITUTE(AY$1,RIGHT(AY$1,2),""),VLOOKUP($D87,素材!$1:$1016,COLUMN($F$1),FALSE))),VLOOKUP($C87,武器!$1:$998,COLUMN($O$1),FALSE)*VLOOKUP($D87,素材!$1:$1016,COLUMN($E$1),FALSE)/(LEN(VLOOKUP($D87,素材!$1:$1016,COLUMN($F$1),FALSE))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AZ87">
        <f>IF(ISNUMBER(SEARCH(SUBSTITUTE(AZ$1,RIGHT(AZ$1,2),""),VLOOKUP($D87,素材!$1:$1016,COLUMN($F$1),FALSE))),VLOOKUP($C87,武器!$1:$998,COLUMN($O$1),FALSE)*VLOOKUP($D87,素材!$1:$1016,COLUMN($E$1),FALSE)/(LEN(VLOOKUP($D87,素材!$1:$1016,COLUMN($F$1),FALSE))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BA87">
        <f>IF(ISNUMBER(SEARCH(SUBSTITUTE(BA$1,RIGHT(BA$1,2),""),VLOOKUP($D87,素材!$1:$1016,COLUMN($F$1),FALSE))),VLOOKUP($C87,武器!$1:$998,COLUMN($O$1),FALSE)*VLOOKUP($D87,素材!$1:$1016,COLUMN($E$1),FALSE)/(LEN(VLOOKUP($D87,素材!$1:$1016,COLUMN($F$1),FALSE))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BB87">
        <f>IF(ISNUMBER(SEARCH(SUBSTITUTE(BB$1,RIGHT(BB$1,2),""),VLOOKUP($D87,素材!$1:$1016,COLUMN($F$1),FALSE))),VLOOKUP($C87,武器!$1:$998,COLUMN($O$1),FALSE)*VLOOKUP($D87,素材!$1:$1016,COLUMN($E$1),FALSE)/(LEN(VLOOKUP($D87,素材!$1:$1016,COLUMN($F$1),FALSE))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BC87">
        <f>IF(ISNUMBER(SEARCH(SUBSTITUTE(BC$1,RIGHT(BC$1,2),""),VLOOKUP($D87,素材!$1:$1016,COLUMN($F$1),FALSE))),VLOOKUP($C87,武器!$1:$998,COLUMN($O$1),FALSE)*VLOOKUP($D87,素材!$1:$1016,COLUMN($E$1),FALSE)/(LEN(VLOOKUP($D87,素材!$1:$1016,COLUMN($F$1),FALSE))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BD87">
        <f>IF(ISNUMBER(SEARCH(SUBSTITUTE(BD$1,RIGHT(BD$1,2),""),VLOOKUP($D87,素材!$1:$1016,COLUMN($F$1),FALSE))),VLOOKUP($C87,武器!$1:$998,COLUMN($O$1),FALSE)*VLOOKUP($D87,素材!$1:$1016,COLUMN($E$1),FALSE)/(LEN(VLOOKUP($D87,素材!$1:$1016,COLUMN($F$1),FALSE))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BE87">
        <f>IF(ISNUMBER(SEARCH(SUBSTITUTE(BE$1,RIGHT(BE$1,2),""),VLOOKUP($D87,素材!$1:$1016,COLUMN($F$1),FALSE))),VLOOKUP($C87,武器!$1:$998,COLUMN($O$1),FALSE)*VLOOKUP($D87,素材!$1:$1016,COLUMN($E$1),FALSE)/(LEN(VLOOKUP($D87,素材!$1:$1016,COLUMN($F$1),FALSE))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BF87">
        <f>IF(ISNUMBER(SEARCH(SUBSTITUTE(BF$1,RIGHT(BF$1,2),""),VLOOKUP($D87,素材!$1:$1016,COLUMN($F$1),FALSE))),VLOOKUP($C87,武器!$1:$998,COLUMN($O$1),FALSE)*VLOOKUP($D87,素材!$1:$1016,COLUMN($E$1),FALSE)/(LEN(VLOOKUP($D87,素材!$1:$1016,COLUMN($F$1),FALSE)) - LEN(SUBSTITUTE(VLOOKUP($D87,素材!$1:$1016,COLUMN($F$1),FALSE), "・", 0)) + 1), 0)</f>
        <v>0</v>
      </c>
      <c r="CM87">
        <f t="shared" si="8"/>
        <v>35</v>
      </c>
      <c r="CN87" s="22" t="str">
        <f>IF(E87="武器",IF(J87-1&gt;SUM(G87:I87),"盾",IF(MAX(G87:I87)=G87,"切断",IF(MAX(G87:I87)=H87,"貫通",IF(MAX(G87:I87)=I87,"打撃","射撃")))),E87)&amp;".webp"</f>
        <v>貫通.webp</v>
      </c>
      <c r="CO87">
        <f>IFERROR(VLOOKUP($C87,武器!$1:$998,COLUMN(V$1),FALSE)*VLOOKUP($D87,素材!$1:$1016,COLUMN(N$1),FALSE)+IF(CJ87="",0,VLOOKUP($CJ87,装強!$1:$1008,COLUMN($CL$1),FALSE)),"")</f>
        <v>900</v>
      </c>
      <c r="CP87" t="str">
        <f>VLOOKUP(D87,素材!$A:$O,COLUMN(素材!O$1),FALSE)</f>
        <v>鍛えられた鉄。硬度が高く安価なためよく使用される。</v>
      </c>
      <c r="CQ87" t="str">
        <f>VLOOKUP(C87,武器!$A:$W,COLUMN(武器!W$1),FALSE)</f>
        <v>槍。リーチが長く、刺突に優れる武器。</v>
      </c>
      <c r="CS87" t="str">
        <f t="shared" si="7"/>
        <v>e_87</v>
      </c>
      <c r="CT87">
        <f t="shared" si="9"/>
        <v>90000</v>
      </c>
    </row>
    <row r="88" spans="1:98" outlineLevel="1" x14ac:dyDescent="0.4">
      <c r="A88" t="str">
        <f t="shared" si="6"/>
        <v>鋼の騎士槍</v>
      </c>
      <c r="B88" t="str">
        <f>IFERROR(VLOOKUP($D88,素材!$1:$1016,COLUMN($B$1),FALSE)&amp;"・"&amp;VLOOKUP($C88,武器!$1:$998,COLUMN(B$1),FALSE),"")</f>
        <v>スチール・ランス</v>
      </c>
      <c r="C88" s="24" t="s">
        <v>232</v>
      </c>
      <c r="D88" s="24" t="s">
        <v>253</v>
      </c>
      <c r="E88" t="str">
        <f>IFERROR(VLOOKUP(C88,武器!$1:$998,COLUMN(C$1),FALSE),"")</f>
        <v>武器</v>
      </c>
      <c r="F88">
        <f>IFERROR(ROUNDDOWN((VLOOKUP($C88,武器!$1:$998,COLUMN(D$1),FALSE)+IFERROR(VLOOKUP($CJ88,装強!$1:$999,COLUMN(F$1),FALSE),0))*VLOOKUP($D88,素材!$1:$1016,COLUMN(D$1),FALSE),0),"")</f>
        <v>120</v>
      </c>
      <c r="G88">
        <f>IFERROR(ROUNDDOWN((VLOOKUP($C88,武器!$1:$998,COLUMN(E$1),FALSE)+IFERROR(VLOOKUP($CJ88,装強!$1:$999,COLUMN(G$1),FALSE),0))*VLOOKUP($D88,素材!$1:$1016,COLUMN($E$1),FALSE),0),"")</f>
        <v>0</v>
      </c>
      <c r="H88">
        <f>IFERROR(ROUNDDOWN((VLOOKUP($C88,武器!$1:$998,COLUMN(F$1),FALSE)+IFERROR(VLOOKUP($CJ88,装強!$1:$999,COLUMN(H$1),FALSE),0))*VLOOKUP($D88,素材!$1:$1016,COLUMN($E$1),FALSE),0),"")</f>
        <v>25</v>
      </c>
      <c r="I88">
        <f>IFERROR(ROUNDDOWN((VLOOKUP($C88,武器!$1:$998,COLUMN(G$1),FALSE)+IFERROR(VLOOKUP($CJ88,装強!$1:$999,COLUMN(I$1),FALSE),0))*VLOOKUP($D88,素材!$1:$1016,COLUMN($E$1),FALSE),0),"")</f>
        <v>12</v>
      </c>
      <c r="J88">
        <f>IFERROR(ROUNDDOWN((VLOOKUP($C88,武器!$1:$998,COLUMN(H$1),FALSE)+IFERROR(VLOOKUP($CJ88,装強!$1:$999,COLUMN(J$1),FALSE),0))*VLOOKUP($D88,素材!$1:$1016,COLUMN($E$1),FALSE),0),"")</f>
        <v>27</v>
      </c>
      <c r="K88">
        <f>IFERROR(ROUNDDOWN((VLOOKUP($C88,武器!$1:$998,COLUMN(I$1),FALSE)+IFERROR(VLOOKUP($CJ88,装強!$1:$999,COLUMN(K$1),FALSE),0))*VLOOKUP($D88,素材!$1:$1016,COLUMN($E$1),FALSE),0),"")</f>
        <v>0</v>
      </c>
      <c r="L88">
        <f>IFERROR(VLOOKUP($D88,素材!$1:$1016,COLUMN($F$1),FALSE),"")</f>
        <v>0</v>
      </c>
      <c r="M88">
        <f>IFERROR(VLOOKUP($C88,武器!$1:$998,COLUMN(AA$1),FALSE)*VLOOKUP($D88,素材!$1:$1016,COLUMN($G$1),FALSE),"")</f>
        <v>0</v>
      </c>
      <c r="N88">
        <f>IFERROR(VLOOKUP($C88,武器!$1:$998,COLUMN(I$1),FALSE),"")</f>
        <v>0</v>
      </c>
      <c r="O88" s="23">
        <f>IFERROR((VLOOKUP($C88,武器!$1:$998,COLUMN(K$1),FALSE)+VLOOKUP($D88,素材!$1:$1016,COLUMN(H$1),FALSE))*100+IFERROR(VLOOKUP($CJ88,装強!$1:$999,COLUMN(O$1),FALSE),0),"")</f>
        <v>5</v>
      </c>
      <c r="P88" s="23">
        <f>IFERROR((VLOOKUP($C88,武器!$1:$998,COLUMN(L$1),FALSE)+VLOOKUP($D88,素材!$1:$1016,COLUMN(I$1),FALSE))*100+IFERROR(VLOOKUP($CJ88,装強!$1:$999,COLUMN(P$1),FALSE),0),"")</f>
        <v>175</v>
      </c>
      <c r="Q88">
        <f>IFERROR(ROUNDUP(VLOOKUP($C88,武器!$1:$998,COLUMN(M$1),FALSE)*(VLOOKUP($D88,素材!$1:$1002,COLUMN(D$1),FALSE)/100),1),"")</f>
        <v>-5.3</v>
      </c>
      <c r="R88">
        <f>IFERROR(ROUNDUP(VLOOKUP($C88,武器!$1:$998,COLUMN(N$1),FALSE)*(VLOOKUP($D88,素材!$1:$1002,COLUMN(D$1),FALSE)/100),1),"")</f>
        <v>-5.3</v>
      </c>
      <c r="S88">
        <f>IFERROR(VLOOKUP($C88,武器!$1:$998,COLUMN(P$1),FALSE),"")</f>
        <v>0</v>
      </c>
      <c r="T88">
        <f>IFERROR(VLOOKUP($C88,武器!$1:$998,COLUMN(Q$1),FALSE),"")</f>
        <v>0</v>
      </c>
      <c r="U88">
        <f>IFERROR(VLOOKUP($C88,武器!$1:$998,COLUMN(R$1),FALSE),"")</f>
        <v>0</v>
      </c>
      <c r="V88">
        <f>IFERROR(VLOOKUP($C88,武器!$1:$998,COLUMN(Q$1),FALSE),"")</f>
        <v>0</v>
      </c>
      <c r="W88" t="str">
        <f>IFERROR(VLOOKUP($C88,武器!$1:$998,COLUMN(T$1),FALSE),"")</f>
        <v>A</v>
      </c>
      <c r="Y88" t="str">
        <f>IFERROR(VLOOKUP($C88,武器!$1:$998,COLUMN(U$1),FALSE),"")</f>
        <v>突撃強化</v>
      </c>
      <c r="Z88">
        <f>IFERROR(ROUNDUP(VLOOKUP($C88,武器!$1:$998,COLUMN(O$1),FALSE)*VLOOKUP($D88,素材!$1:$1016,COLUMN(E$1),FALSE),1),"")</f>
        <v>0</v>
      </c>
      <c r="AA88">
        <f>IF(ISNUMBER(SEARCH(SUBSTITUTE(AA$1,RIGHT(AA$1,2),""),VLOOKUP($D88,素材!$1:$1016,COLUMN($F$1),FALSE))),VLOOKUP($C88,武器!$1:$998,COLUMN($O$1),FALSE)*VLOOKUP($D88,素材!$1:$1016,COLUMN($E$1),FALSE)/(LEN(VLOOKUP($D88,素材!$1:$1016,COLUMN($F$1),FALSE))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B88">
        <f>IF(ISNUMBER(SEARCH(SUBSTITUTE(AB$1,RIGHT(AB$1,2),""),VLOOKUP($D88,素材!$1:$1016,COLUMN($F$1),FALSE))),VLOOKUP($C88,武器!$1:$998,COLUMN($O$1),FALSE)*VLOOKUP($D88,素材!$1:$1016,COLUMN($E$1),FALSE)/(LEN(VLOOKUP($D88,素材!$1:$1016,COLUMN($F$1),FALSE))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C88">
        <f>IF(ISNUMBER(SEARCH(SUBSTITUTE(AC$1,RIGHT(AC$1,2),""),VLOOKUP($D88,素材!$1:$1016,COLUMN($F$1),FALSE))),VLOOKUP($C88,武器!$1:$998,COLUMN($O$1),FALSE)*VLOOKUP($D88,素材!$1:$1016,COLUMN($E$1),FALSE)/(LEN(VLOOKUP($D88,素材!$1:$1016,COLUMN($F$1),FALSE))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D88">
        <f>IF(ISNUMBER(SEARCH(SUBSTITUTE(AD$1,RIGHT(AD$1,2),""),VLOOKUP($D88,素材!$1:$1016,COLUMN($F$1),FALSE))),VLOOKUP($C88,武器!$1:$998,COLUMN($O$1),FALSE)*VLOOKUP($D88,素材!$1:$1016,COLUMN($E$1),FALSE)/(LEN(VLOOKUP($D88,素材!$1:$1016,COLUMN($F$1),FALSE))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E88">
        <f>IF(ISNUMBER(SEARCH(SUBSTITUTE(AE$1,RIGHT(AE$1,2),""),VLOOKUP($D88,素材!$1:$1016,COLUMN($F$1),FALSE))),VLOOKUP($C88,武器!$1:$998,COLUMN($O$1),FALSE)*VLOOKUP($D88,素材!$1:$1016,COLUMN($E$1),FALSE)/(LEN(VLOOKUP($D88,素材!$1:$1016,COLUMN($F$1),FALSE))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F88">
        <f>IF(ISNUMBER(SEARCH(SUBSTITUTE(AF$1,RIGHT(AF$1,2),""),VLOOKUP($D88,素材!$1:$1016,COLUMN($F$1),FALSE))),VLOOKUP($C88,武器!$1:$998,COLUMN($O$1),FALSE)*VLOOKUP($D88,素材!$1:$1016,COLUMN($E$1),FALSE)/(LEN(VLOOKUP($D88,素材!$1:$1016,COLUMN($F$1),FALSE))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G88">
        <f>IF(ISNUMBER(SEARCH(SUBSTITUTE(AG$1,RIGHT(AG$1,2),""),VLOOKUP($D88,素材!$1:$1016,COLUMN($F$1),FALSE))),VLOOKUP($C88,武器!$1:$998,COLUMN($O$1),FALSE)*VLOOKUP($D88,素材!$1:$1016,COLUMN($E$1),FALSE)/(LEN(VLOOKUP($D88,素材!$1:$1016,COLUMN($F$1),FALSE))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H88">
        <f>IF(ISNUMBER(SEARCH(SUBSTITUTE(AH$1,RIGHT(AH$1,2),""),VLOOKUP($D88,素材!$1:$1016,COLUMN($F$1),FALSE))),VLOOKUP($C88,武器!$1:$998,COLUMN($O$1),FALSE)*VLOOKUP($D88,素材!$1:$1016,COLUMN($E$1),FALSE)/(LEN(VLOOKUP($D88,素材!$1:$1016,COLUMN($F$1),FALSE))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I88">
        <f>IF(ISNUMBER(SEARCH(SUBSTITUTE(AI$1,RIGHT(AI$1,2),""),VLOOKUP($D88,素材!$1:$1016,COLUMN($F$1),FALSE))),VLOOKUP($C88,武器!$1:$998,COLUMN($O$1),FALSE)*VLOOKUP($D88,素材!$1:$1016,COLUMN($E$1),FALSE)/(LEN(VLOOKUP($D88,素材!$1:$1016,COLUMN($F$1),FALSE))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J88">
        <f>IF(ISNUMBER(SEARCH(SUBSTITUTE(AJ$1,RIGHT(AJ$1,2),""),VLOOKUP($D88,素材!$1:$1016,COLUMN($F$1),FALSE))),VLOOKUP($C88,武器!$1:$998,COLUMN($O$1),FALSE)*VLOOKUP($D88,素材!$1:$1016,COLUMN($E$1),FALSE)/(LEN(VLOOKUP($D88,素材!$1:$1016,COLUMN($F$1),FALSE))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K88">
        <f>IF(ISNUMBER(SEARCH(SUBSTITUTE(AK$1,RIGHT(AK$1,2),""),VLOOKUP($D88,素材!$1:$1016,COLUMN($F$1),FALSE))),VLOOKUP($C88,武器!$1:$998,COLUMN($O$1),FALSE)*VLOOKUP($D88,素材!$1:$1016,COLUMN($E$1),FALSE)/(LEN(VLOOKUP($D88,素材!$1:$1016,COLUMN($F$1),FALSE))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L88">
        <f>IF(ISNUMBER(SEARCH(SUBSTITUTE(AL$1,RIGHT(AL$1,2),""),VLOOKUP($D88,素材!$1:$1016,COLUMN($F$1),FALSE))),VLOOKUP($C88,武器!$1:$998,COLUMN($O$1),FALSE)*VLOOKUP($D88,素材!$1:$1016,COLUMN($E$1),FALSE)/(LEN(VLOOKUP($D88,素材!$1:$1016,COLUMN($F$1),FALSE))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M88">
        <f>IF(ISNUMBER(SEARCH(SUBSTITUTE(AM$1,RIGHT(AM$1,2),""),VLOOKUP($D88,素材!$1:$1016,COLUMN($F$1),FALSE))),VLOOKUP($C88,武器!$1:$998,COLUMN($O$1),FALSE)*VLOOKUP($D88,素材!$1:$1016,COLUMN($E$1),FALSE)/(LEN(VLOOKUP($D88,素材!$1:$1016,COLUMN($F$1),FALSE))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N88">
        <f>IF(ISNUMBER(SEARCH(SUBSTITUTE(AN$1,RIGHT(AN$1,2),""),VLOOKUP($D88,素材!$1:$1016,COLUMN($F$1),FALSE))),VLOOKUP($C88,武器!$1:$998,COLUMN($O$1),FALSE)*VLOOKUP($D88,素材!$1:$1016,COLUMN($E$1),FALSE)/(LEN(VLOOKUP($D88,素材!$1:$1016,COLUMN($F$1),FALSE))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O88">
        <f>IF(ISNUMBER(SEARCH(SUBSTITUTE(AO$1,RIGHT(AO$1,2),""),VLOOKUP($D88,素材!$1:$1016,COLUMN($F$1),FALSE))),VLOOKUP($C88,武器!$1:$998,COLUMN($O$1),FALSE)*VLOOKUP($D88,素材!$1:$1016,COLUMN($E$1),FALSE)/(LEN(VLOOKUP($D88,素材!$1:$1016,COLUMN($F$1),FALSE))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P88">
        <f>IF(ISNUMBER(SEARCH(SUBSTITUTE(AP$1,RIGHT(AP$1,2),""),VLOOKUP($D88,素材!$1:$1016,COLUMN($F$1),FALSE))),VLOOKUP($C88,武器!$1:$998,COLUMN($O$1),FALSE)*VLOOKUP($D88,素材!$1:$1016,COLUMN($E$1),FALSE)/(LEN(VLOOKUP($D88,素材!$1:$1016,COLUMN($F$1),FALSE))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Q88">
        <f>IF(ISNUMBER(SEARCH(SUBSTITUTE(AQ$1,RIGHT(AQ$1,2),""),VLOOKUP($D88,素材!$1:$1016,COLUMN($F$1),FALSE))),VLOOKUP($C88,武器!$1:$998,COLUMN($O$1),FALSE)*VLOOKUP($D88,素材!$1:$1016,COLUMN($E$1),FALSE)/(LEN(VLOOKUP($D88,素材!$1:$1016,COLUMN($F$1),FALSE))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R88">
        <f>IF(ISNUMBER(SEARCH(SUBSTITUTE(AR$1,RIGHT(AR$1,2),""),VLOOKUP($D88,素材!$1:$1016,COLUMN($F$1),FALSE))),VLOOKUP($C88,武器!$1:$998,COLUMN($O$1),FALSE)*VLOOKUP($D88,素材!$1:$1016,COLUMN($E$1),FALSE)/(LEN(VLOOKUP($D88,素材!$1:$1016,COLUMN($F$1),FALSE))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S88">
        <f>IF(ISNUMBER(SEARCH(SUBSTITUTE(AS$1,RIGHT(AS$1,2),""),VLOOKUP($D88,素材!$1:$1016,COLUMN($F$1),FALSE))),VLOOKUP($C88,武器!$1:$998,COLUMN($O$1),FALSE)*VLOOKUP($D88,素材!$1:$1016,COLUMN($E$1),FALSE)/(LEN(VLOOKUP($D88,素材!$1:$1016,COLUMN($F$1),FALSE))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T88">
        <f>IF(ISNUMBER(SEARCH(SUBSTITUTE(AT$1,RIGHT(AT$1,2),""),VLOOKUP($D88,素材!$1:$1016,COLUMN($F$1),FALSE))),VLOOKUP($C88,武器!$1:$998,COLUMN($O$1),FALSE)*VLOOKUP($D88,素材!$1:$1016,COLUMN($E$1),FALSE)/(LEN(VLOOKUP($D88,素材!$1:$1016,COLUMN($F$1),FALSE))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U88">
        <f>IF(ISNUMBER(SEARCH(SUBSTITUTE(AU$1,RIGHT(AU$1,2),""),VLOOKUP($D88,素材!$1:$1016,COLUMN($F$1),FALSE))),VLOOKUP($C88,武器!$1:$998,COLUMN($O$1),FALSE)*VLOOKUP($D88,素材!$1:$1016,COLUMN($E$1),FALSE)/(LEN(VLOOKUP($D88,素材!$1:$1016,COLUMN($F$1),FALSE))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V88">
        <f>IF(ISNUMBER(SEARCH(SUBSTITUTE(AV$1,RIGHT(AV$1,2),""),VLOOKUP($D88,素材!$1:$1016,COLUMN($F$1),FALSE))),VLOOKUP($C88,武器!$1:$998,COLUMN($O$1),FALSE)*VLOOKUP($D88,素材!$1:$1016,COLUMN($E$1),FALSE)/(LEN(VLOOKUP($D88,素材!$1:$1016,COLUMN($F$1),FALSE))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W88">
        <f>IF(ISNUMBER(SEARCH(SUBSTITUTE(AW$1,RIGHT(AW$1,2),""),VLOOKUP($D88,素材!$1:$1016,COLUMN($F$1),FALSE))),VLOOKUP($C88,武器!$1:$998,COLUMN($O$1),FALSE)*VLOOKUP($D88,素材!$1:$1016,COLUMN($E$1),FALSE)/(LEN(VLOOKUP($D88,素材!$1:$1016,COLUMN($F$1),FALSE))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X88">
        <f>IF(ISNUMBER(SEARCH(SUBSTITUTE(AX$1,RIGHT(AX$1,2),""),VLOOKUP($D88,素材!$1:$1016,COLUMN($F$1),FALSE))),VLOOKUP($C88,武器!$1:$998,COLUMN($O$1),FALSE)*VLOOKUP($D88,素材!$1:$1016,COLUMN($E$1),FALSE)/(LEN(VLOOKUP($D88,素材!$1:$1016,COLUMN($F$1),FALSE))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Y88">
        <f>IF(ISNUMBER(SEARCH(SUBSTITUTE(AY$1,RIGHT(AY$1,2),""),VLOOKUP($D88,素材!$1:$1016,COLUMN($F$1),FALSE))),VLOOKUP($C88,武器!$1:$998,COLUMN($O$1),FALSE)*VLOOKUP($D88,素材!$1:$1016,COLUMN($E$1),FALSE)/(LEN(VLOOKUP($D88,素材!$1:$1016,COLUMN($F$1),FALSE))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AZ88">
        <f>IF(ISNUMBER(SEARCH(SUBSTITUTE(AZ$1,RIGHT(AZ$1,2),""),VLOOKUP($D88,素材!$1:$1016,COLUMN($F$1),FALSE))),VLOOKUP($C88,武器!$1:$998,COLUMN($O$1),FALSE)*VLOOKUP($D88,素材!$1:$1016,COLUMN($E$1),FALSE)/(LEN(VLOOKUP($D88,素材!$1:$1016,COLUMN($F$1),FALSE))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BA88">
        <f>IF(ISNUMBER(SEARCH(SUBSTITUTE(BA$1,RIGHT(BA$1,2),""),VLOOKUP($D88,素材!$1:$1016,COLUMN($F$1),FALSE))),VLOOKUP($C88,武器!$1:$998,COLUMN($O$1),FALSE)*VLOOKUP($D88,素材!$1:$1016,COLUMN($E$1),FALSE)/(LEN(VLOOKUP($D88,素材!$1:$1016,COLUMN($F$1),FALSE))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BB88">
        <f>IF(ISNUMBER(SEARCH(SUBSTITUTE(BB$1,RIGHT(BB$1,2),""),VLOOKUP($D88,素材!$1:$1016,COLUMN($F$1),FALSE))),VLOOKUP($C88,武器!$1:$998,COLUMN($O$1),FALSE)*VLOOKUP($D88,素材!$1:$1016,COLUMN($E$1),FALSE)/(LEN(VLOOKUP($D88,素材!$1:$1016,COLUMN($F$1),FALSE))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BC88">
        <f>IF(ISNUMBER(SEARCH(SUBSTITUTE(BC$1,RIGHT(BC$1,2),""),VLOOKUP($D88,素材!$1:$1016,COLUMN($F$1),FALSE))),VLOOKUP($C88,武器!$1:$998,COLUMN($O$1),FALSE)*VLOOKUP($D88,素材!$1:$1016,COLUMN($E$1),FALSE)/(LEN(VLOOKUP($D88,素材!$1:$1016,COLUMN($F$1),FALSE))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BD88">
        <f>IF(ISNUMBER(SEARCH(SUBSTITUTE(BD$1,RIGHT(BD$1,2),""),VLOOKUP($D88,素材!$1:$1016,COLUMN($F$1),FALSE))),VLOOKUP($C88,武器!$1:$998,COLUMN($O$1),FALSE)*VLOOKUP($D88,素材!$1:$1016,COLUMN($E$1),FALSE)/(LEN(VLOOKUP($D88,素材!$1:$1016,COLUMN($F$1),FALSE))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BE88">
        <f>IF(ISNUMBER(SEARCH(SUBSTITUTE(BE$1,RIGHT(BE$1,2),""),VLOOKUP($D88,素材!$1:$1016,COLUMN($F$1),FALSE))),VLOOKUP($C88,武器!$1:$998,COLUMN($O$1),FALSE)*VLOOKUP($D88,素材!$1:$1016,COLUMN($E$1),FALSE)/(LEN(VLOOKUP($D88,素材!$1:$1016,COLUMN($F$1),FALSE))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BF88">
        <f>IF(ISNUMBER(SEARCH(SUBSTITUTE(BF$1,RIGHT(BF$1,2),""),VLOOKUP($D88,素材!$1:$1016,COLUMN($F$1),FALSE))),VLOOKUP($C88,武器!$1:$998,COLUMN($O$1),FALSE)*VLOOKUP($D88,素材!$1:$1016,COLUMN($E$1),FALSE)/(LEN(VLOOKUP($D88,素材!$1:$1016,COLUMN($F$1),FALSE)) - LEN(SUBSTITUTE(VLOOKUP($D88,素材!$1:$1016,COLUMN($F$1),FALSE), "・", 0)) + 1), 0)</f>
        <v>0</v>
      </c>
      <c r="CM88">
        <f t="shared" si="8"/>
        <v>37</v>
      </c>
      <c r="CN88" s="22" t="str">
        <f>IF(E88="武器",IF(J88-1&gt;SUM(G88:I88),"盾",IF(MAX(G88:I88)=G88,"切断",IF(MAX(G88:I88)=H88,"貫通",IF(MAX(G88:I88)=I88,"打撃","射撃")))),E88)&amp;".webp"</f>
        <v>貫通.webp</v>
      </c>
      <c r="CO88">
        <f>IFERROR(VLOOKUP($C88,武器!$1:$998,COLUMN(V$1),FALSE)*VLOOKUP($D88,素材!$1:$1016,COLUMN(N$1),FALSE)+IF(CJ88="",0,VLOOKUP($CJ88,装強!$1:$1008,COLUMN($CL$1),FALSE)),"")</f>
        <v>1350</v>
      </c>
      <c r="CP88" t="str">
        <f>VLOOKUP(D88,素材!$A:$O,COLUMN(素材!O$1),FALSE)</f>
        <v>鍛えられた鉄。硬度が高く安価なためよく使用される。</v>
      </c>
      <c r="CQ88" t="str">
        <f>VLOOKUP(C88,武器!$A:$W,COLUMN(武器!W$1),FALSE)</f>
        <v>騎士槍。突撃に特化した武器で、高い攻撃力を誇る。</v>
      </c>
      <c r="CS88" t="str">
        <f t="shared" si="7"/>
        <v>e_88</v>
      </c>
      <c r="CT88">
        <f t="shared" si="9"/>
        <v>135000</v>
      </c>
    </row>
    <row r="89" spans="1:98" outlineLevel="1" x14ac:dyDescent="0.4">
      <c r="A89" t="str">
        <f t="shared" si="6"/>
        <v>鋼の斧槍</v>
      </c>
      <c r="B89" t="str">
        <f>IFERROR(VLOOKUP($D89,素材!$1:$1016,COLUMN($B$1),FALSE)&amp;"・"&amp;VLOOKUP($C89,武器!$1:$998,COLUMN(B$1),FALSE),"")</f>
        <v>スチール・ハルバート</v>
      </c>
      <c r="C89" s="24" t="s">
        <v>231</v>
      </c>
      <c r="D89" s="24" t="s">
        <v>253</v>
      </c>
      <c r="E89" t="str">
        <f>IFERROR(VLOOKUP(C89,武器!$1:$998,COLUMN(C$1),FALSE),"")</f>
        <v>武器</v>
      </c>
      <c r="F89">
        <f>IFERROR(ROUNDDOWN((VLOOKUP($C89,武器!$1:$998,COLUMN(D$1),FALSE)+IFERROR(VLOOKUP($CJ89,装強!$1:$999,COLUMN(F$1),FALSE),0))*VLOOKUP($D89,素材!$1:$1016,COLUMN(D$1),FALSE),0),"")</f>
        <v>115</v>
      </c>
      <c r="G89">
        <f>IFERROR(ROUNDDOWN((VLOOKUP($C89,武器!$1:$998,COLUMN(E$1),FALSE)+IFERROR(VLOOKUP($CJ89,装強!$1:$999,COLUMN(G$1),FALSE),0))*VLOOKUP($D89,素材!$1:$1016,COLUMN($E$1),FALSE),0),"")</f>
        <v>10</v>
      </c>
      <c r="H89">
        <f>IFERROR(ROUNDDOWN((VLOOKUP($C89,武器!$1:$998,COLUMN(F$1),FALSE)+IFERROR(VLOOKUP($CJ89,装強!$1:$999,COLUMN(H$1),FALSE),0))*VLOOKUP($D89,素材!$1:$1016,COLUMN($E$1),FALSE),0),"")</f>
        <v>13</v>
      </c>
      <c r="I89">
        <f>IFERROR(ROUNDDOWN((VLOOKUP($C89,武器!$1:$998,COLUMN(G$1),FALSE)+IFERROR(VLOOKUP($CJ89,装強!$1:$999,COLUMN(I$1),FALSE),0))*VLOOKUP($D89,素材!$1:$1016,COLUMN($E$1),FALSE),0),"")</f>
        <v>8</v>
      </c>
      <c r="J89">
        <f>IFERROR(ROUNDDOWN((VLOOKUP($C89,武器!$1:$998,COLUMN(H$1),FALSE)+IFERROR(VLOOKUP($CJ89,装強!$1:$999,COLUMN(J$1),FALSE),0))*VLOOKUP($D89,素材!$1:$1016,COLUMN($E$1),FALSE),0),"")</f>
        <v>25</v>
      </c>
      <c r="K89">
        <f>IFERROR(ROUNDDOWN((VLOOKUP($C89,武器!$1:$998,COLUMN(I$1),FALSE)+IFERROR(VLOOKUP($CJ89,装強!$1:$999,COLUMN(K$1),FALSE),0))*VLOOKUP($D89,素材!$1:$1016,COLUMN($E$1),FALSE),0),"")</f>
        <v>0</v>
      </c>
      <c r="L89">
        <f>IFERROR(VLOOKUP($D89,素材!$1:$1016,COLUMN($F$1),FALSE),"")</f>
        <v>0</v>
      </c>
      <c r="M89">
        <f>IFERROR(VLOOKUP($C89,武器!$1:$998,COLUMN(AA$1),FALSE)*VLOOKUP($D89,素材!$1:$1016,COLUMN($G$1),FALSE),"")</f>
        <v>0</v>
      </c>
      <c r="N89">
        <f>IFERROR(VLOOKUP($C89,武器!$1:$998,COLUMN(I$1),FALSE),"")</f>
        <v>0</v>
      </c>
      <c r="O89" s="23">
        <f>IFERROR((VLOOKUP($C89,武器!$1:$998,COLUMN(K$1),FALSE)+VLOOKUP($D89,素材!$1:$1016,COLUMN(H$1),FALSE))*100+IFERROR(VLOOKUP($CJ89,装強!$1:$999,COLUMN(O$1),FALSE),0),"")</f>
        <v>10</v>
      </c>
      <c r="P89" s="23">
        <f>IFERROR((VLOOKUP($C89,武器!$1:$998,COLUMN(L$1),FALSE)+VLOOKUP($D89,素材!$1:$1016,COLUMN(I$1),FALSE))*100+IFERROR(VLOOKUP($CJ89,装強!$1:$999,COLUMN(P$1),FALSE),0),"")</f>
        <v>150</v>
      </c>
      <c r="Q89">
        <f>IFERROR(ROUNDUP(VLOOKUP($C89,武器!$1:$998,COLUMN(M$1),FALSE)*(VLOOKUP($D89,素材!$1:$1002,COLUMN(D$1),FALSE)/100),1),"")</f>
        <v>-5.3</v>
      </c>
      <c r="R89">
        <f>IFERROR(ROUNDUP(VLOOKUP($C89,武器!$1:$998,COLUMN(N$1),FALSE)*(VLOOKUP($D89,素材!$1:$1002,COLUMN(D$1),FALSE)/100),1),"")</f>
        <v>-5.3</v>
      </c>
      <c r="S89">
        <f>IFERROR(VLOOKUP($C89,武器!$1:$998,COLUMN(P$1),FALSE),"")</f>
        <v>0</v>
      </c>
      <c r="T89">
        <f>IFERROR(VLOOKUP($C89,武器!$1:$998,COLUMN(Q$1),FALSE),"")</f>
        <v>0</v>
      </c>
      <c r="U89">
        <f>IFERROR(VLOOKUP($C89,武器!$1:$998,COLUMN(R$1),FALSE),"")</f>
        <v>0</v>
      </c>
      <c r="V89">
        <f>IFERROR(VLOOKUP($C89,武器!$1:$998,COLUMN(Q$1),FALSE),"")</f>
        <v>0</v>
      </c>
      <c r="W89" t="str">
        <f>IFERROR(VLOOKUP($C89,武器!$1:$998,COLUMN(T$1),FALSE),"")</f>
        <v>A</v>
      </c>
      <c r="Y89">
        <f>IFERROR(VLOOKUP($C89,武器!$1:$998,COLUMN(U$1),FALSE),"")</f>
        <v>0</v>
      </c>
      <c r="Z89">
        <f>IFERROR(ROUNDUP(VLOOKUP($C89,武器!$1:$998,COLUMN(O$1),FALSE)*VLOOKUP($D89,素材!$1:$1016,COLUMN(E$1),FALSE),1),"")</f>
        <v>0</v>
      </c>
      <c r="AA89">
        <f>IF(ISNUMBER(SEARCH(SUBSTITUTE(AA$1,RIGHT(AA$1,2),""),VLOOKUP($D89,素材!$1:$1016,COLUMN($F$1),FALSE))),VLOOKUP($C89,武器!$1:$998,COLUMN($O$1),FALSE)*VLOOKUP($D89,素材!$1:$1016,COLUMN($E$1),FALSE)/(LEN(VLOOKUP($D89,素材!$1:$1016,COLUMN($F$1),FALSE))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B89">
        <f>IF(ISNUMBER(SEARCH(SUBSTITUTE(AB$1,RIGHT(AB$1,2),""),VLOOKUP($D89,素材!$1:$1016,COLUMN($F$1),FALSE))),VLOOKUP($C89,武器!$1:$998,COLUMN($O$1),FALSE)*VLOOKUP($D89,素材!$1:$1016,COLUMN($E$1),FALSE)/(LEN(VLOOKUP($D89,素材!$1:$1016,COLUMN($F$1),FALSE))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C89">
        <f>IF(ISNUMBER(SEARCH(SUBSTITUTE(AC$1,RIGHT(AC$1,2),""),VLOOKUP($D89,素材!$1:$1016,COLUMN($F$1),FALSE))),VLOOKUP($C89,武器!$1:$998,COLUMN($O$1),FALSE)*VLOOKUP($D89,素材!$1:$1016,COLUMN($E$1),FALSE)/(LEN(VLOOKUP($D89,素材!$1:$1016,COLUMN($F$1),FALSE))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D89">
        <f>IF(ISNUMBER(SEARCH(SUBSTITUTE(AD$1,RIGHT(AD$1,2),""),VLOOKUP($D89,素材!$1:$1016,COLUMN($F$1),FALSE))),VLOOKUP($C89,武器!$1:$998,COLUMN($O$1),FALSE)*VLOOKUP($D89,素材!$1:$1016,COLUMN($E$1),FALSE)/(LEN(VLOOKUP($D89,素材!$1:$1016,COLUMN($F$1),FALSE))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E89">
        <f>IF(ISNUMBER(SEARCH(SUBSTITUTE(AE$1,RIGHT(AE$1,2),""),VLOOKUP($D89,素材!$1:$1016,COLUMN($F$1),FALSE))),VLOOKUP($C89,武器!$1:$998,COLUMN($O$1),FALSE)*VLOOKUP($D89,素材!$1:$1016,COLUMN($E$1),FALSE)/(LEN(VLOOKUP($D89,素材!$1:$1016,COLUMN($F$1),FALSE))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F89">
        <f>IF(ISNUMBER(SEARCH(SUBSTITUTE(AF$1,RIGHT(AF$1,2),""),VLOOKUP($D89,素材!$1:$1016,COLUMN($F$1),FALSE))),VLOOKUP($C89,武器!$1:$998,COLUMN($O$1),FALSE)*VLOOKUP($D89,素材!$1:$1016,COLUMN($E$1),FALSE)/(LEN(VLOOKUP($D89,素材!$1:$1016,COLUMN($F$1),FALSE))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G89">
        <f>IF(ISNUMBER(SEARCH(SUBSTITUTE(AG$1,RIGHT(AG$1,2),""),VLOOKUP($D89,素材!$1:$1016,COLUMN($F$1),FALSE))),VLOOKUP($C89,武器!$1:$998,COLUMN($O$1),FALSE)*VLOOKUP($D89,素材!$1:$1016,COLUMN($E$1),FALSE)/(LEN(VLOOKUP($D89,素材!$1:$1016,COLUMN($F$1),FALSE))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H89">
        <f>IF(ISNUMBER(SEARCH(SUBSTITUTE(AH$1,RIGHT(AH$1,2),""),VLOOKUP($D89,素材!$1:$1016,COLUMN($F$1),FALSE))),VLOOKUP($C89,武器!$1:$998,COLUMN($O$1),FALSE)*VLOOKUP($D89,素材!$1:$1016,COLUMN($E$1),FALSE)/(LEN(VLOOKUP($D89,素材!$1:$1016,COLUMN($F$1),FALSE))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I89">
        <f>IF(ISNUMBER(SEARCH(SUBSTITUTE(AI$1,RIGHT(AI$1,2),""),VLOOKUP($D89,素材!$1:$1016,COLUMN($F$1),FALSE))),VLOOKUP($C89,武器!$1:$998,COLUMN($O$1),FALSE)*VLOOKUP($D89,素材!$1:$1016,COLUMN($E$1),FALSE)/(LEN(VLOOKUP($D89,素材!$1:$1016,COLUMN($F$1),FALSE))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J89">
        <f>IF(ISNUMBER(SEARCH(SUBSTITUTE(AJ$1,RIGHT(AJ$1,2),""),VLOOKUP($D89,素材!$1:$1016,COLUMN($F$1),FALSE))),VLOOKUP($C89,武器!$1:$998,COLUMN($O$1),FALSE)*VLOOKUP($D89,素材!$1:$1016,COLUMN($E$1),FALSE)/(LEN(VLOOKUP($D89,素材!$1:$1016,COLUMN($F$1),FALSE))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K89">
        <f>IF(ISNUMBER(SEARCH(SUBSTITUTE(AK$1,RIGHT(AK$1,2),""),VLOOKUP($D89,素材!$1:$1016,COLUMN($F$1),FALSE))),VLOOKUP($C89,武器!$1:$998,COLUMN($O$1),FALSE)*VLOOKUP($D89,素材!$1:$1016,COLUMN($E$1),FALSE)/(LEN(VLOOKUP($D89,素材!$1:$1016,COLUMN($F$1),FALSE))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L89">
        <f>IF(ISNUMBER(SEARCH(SUBSTITUTE(AL$1,RIGHT(AL$1,2),""),VLOOKUP($D89,素材!$1:$1016,COLUMN($F$1),FALSE))),VLOOKUP($C89,武器!$1:$998,COLUMN($O$1),FALSE)*VLOOKUP($D89,素材!$1:$1016,COLUMN($E$1),FALSE)/(LEN(VLOOKUP($D89,素材!$1:$1016,COLUMN($F$1),FALSE))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M89">
        <f>IF(ISNUMBER(SEARCH(SUBSTITUTE(AM$1,RIGHT(AM$1,2),""),VLOOKUP($D89,素材!$1:$1016,COLUMN($F$1),FALSE))),VLOOKUP($C89,武器!$1:$998,COLUMN($O$1),FALSE)*VLOOKUP($D89,素材!$1:$1016,COLUMN($E$1),FALSE)/(LEN(VLOOKUP($D89,素材!$1:$1016,COLUMN($F$1),FALSE))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N89">
        <f>IF(ISNUMBER(SEARCH(SUBSTITUTE(AN$1,RIGHT(AN$1,2),""),VLOOKUP($D89,素材!$1:$1016,COLUMN($F$1),FALSE))),VLOOKUP($C89,武器!$1:$998,COLUMN($O$1),FALSE)*VLOOKUP($D89,素材!$1:$1016,COLUMN($E$1),FALSE)/(LEN(VLOOKUP($D89,素材!$1:$1016,COLUMN($F$1),FALSE))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O89">
        <f>IF(ISNUMBER(SEARCH(SUBSTITUTE(AO$1,RIGHT(AO$1,2),""),VLOOKUP($D89,素材!$1:$1016,COLUMN($F$1),FALSE))),VLOOKUP($C89,武器!$1:$998,COLUMN($O$1),FALSE)*VLOOKUP($D89,素材!$1:$1016,COLUMN($E$1),FALSE)/(LEN(VLOOKUP($D89,素材!$1:$1016,COLUMN($F$1),FALSE))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P89">
        <f>IF(ISNUMBER(SEARCH(SUBSTITUTE(AP$1,RIGHT(AP$1,2),""),VLOOKUP($D89,素材!$1:$1016,COLUMN($F$1),FALSE))),VLOOKUP($C89,武器!$1:$998,COLUMN($O$1),FALSE)*VLOOKUP($D89,素材!$1:$1016,COLUMN($E$1),FALSE)/(LEN(VLOOKUP($D89,素材!$1:$1016,COLUMN($F$1),FALSE))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Q89">
        <f>IF(ISNUMBER(SEARCH(SUBSTITUTE(AQ$1,RIGHT(AQ$1,2),""),VLOOKUP($D89,素材!$1:$1016,COLUMN($F$1),FALSE))),VLOOKUP($C89,武器!$1:$998,COLUMN($O$1),FALSE)*VLOOKUP($D89,素材!$1:$1016,COLUMN($E$1),FALSE)/(LEN(VLOOKUP($D89,素材!$1:$1016,COLUMN($F$1),FALSE))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R89">
        <f>IF(ISNUMBER(SEARCH(SUBSTITUTE(AR$1,RIGHT(AR$1,2),""),VLOOKUP($D89,素材!$1:$1016,COLUMN($F$1),FALSE))),VLOOKUP($C89,武器!$1:$998,COLUMN($O$1),FALSE)*VLOOKUP($D89,素材!$1:$1016,COLUMN($E$1),FALSE)/(LEN(VLOOKUP($D89,素材!$1:$1016,COLUMN($F$1),FALSE))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S89">
        <f>IF(ISNUMBER(SEARCH(SUBSTITUTE(AS$1,RIGHT(AS$1,2),""),VLOOKUP($D89,素材!$1:$1016,COLUMN($F$1),FALSE))),VLOOKUP($C89,武器!$1:$998,COLUMN($O$1),FALSE)*VLOOKUP($D89,素材!$1:$1016,COLUMN($E$1),FALSE)/(LEN(VLOOKUP($D89,素材!$1:$1016,COLUMN($F$1),FALSE))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T89">
        <f>IF(ISNUMBER(SEARCH(SUBSTITUTE(AT$1,RIGHT(AT$1,2),""),VLOOKUP($D89,素材!$1:$1016,COLUMN($F$1),FALSE))),VLOOKUP($C89,武器!$1:$998,COLUMN($O$1),FALSE)*VLOOKUP($D89,素材!$1:$1016,COLUMN($E$1),FALSE)/(LEN(VLOOKUP($D89,素材!$1:$1016,COLUMN($F$1),FALSE))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U89">
        <f>IF(ISNUMBER(SEARCH(SUBSTITUTE(AU$1,RIGHT(AU$1,2),""),VLOOKUP($D89,素材!$1:$1016,COLUMN($F$1),FALSE))),VLOOKUP($C89,武器!$1:$998,COLUMN($O$1),FALSE)*VLOOKUP($D89,素材!$1:$1016,COLUMN($E$1),FALSE)/(LEN(VLOOKUP($D89,素材!$1:$1016,COLUMN($F$1),FALSE))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V89">
        <f>IF(ISNUMBER(SEARCH(SUBSTITUTE(AV$1,RIGHT(AV$1,2),""),VLOOKUP($D89,素材!$1:$1016,COLUMN($F$1),FALSE))),VLOOKUP($C89,武器!$1:$998,COLUMN($O$1),FALSE)*VLOOKUP($D89,素材!$1:$1016,COLUMN($E$1),FALSE)/(LEN(VLOOKUP($D89,素材!$1:$1016,COLUMN($F$1),FALSE))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W89">
        <f>IF(ISNUMBER(SEARCH(SUBSTITUTE(AW$1,RIGHT(AW$1,2),""),VLOOKUP($D89,素材!$1:$1016,COLUMN($F$1),FALSE))),VLOOKUP($C89,武器!$1:$998,COLUMN($O$1),FALSE)*VLOOKUP($D89,素材!$1:$1016,COLUMN($E$1),FALSE)/(LEN(VLOOKUP($D89,素材!$1:$1016,COLUMN($F$1),FALSE))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X89">
        <f>IF(ISNUMBER(SEARCH(SUBSTITUTE(AX$1,RIGHT(AX$1,2),""),VLOOKUP($D89,素材!$1:$1016,COLUMN($F$1),FALSE))),VLOOKUP($C89,武器!$1:$998,COLUMN($O$1),FALSE)*VLOOKUP($D89,素材!$1:$1016,COLUMN($E$1),FALSE)/(LEN(VLOOKUP($D89,素材!$1:$1016,COLUMN($F$1),FALSE))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Y89">
        <f>IF(ISNUMBER(SEARCH(SUBSTITUTE(AY$1,RIGHT(AY$1,2),""),VLOOKUP($D89,素材!$1:$1016,COLUMN($F$1),FALSE))),VLOOKUP($C89,武器!$1:$998,COLUMN($O$1),FALSE)*VLOOKUP($D89,素材!$1:$1016,COLUMN($E$1),FALSE)/(LEN(VLOOKUP($D89,素材!$1:$1016,COLUMN($F$1),FALSE))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AZ89">
        <f>IF(ISNUMBER(SEARCH(SUBSTITUTE(AZ$1,RIGHT(AZ$1,2),""),VLOOKUP($D89,素材!$1:$1016,COLUMN($F$1),FALSE))),VLOOKUP($C89,武器!$1:$998,COLUMN($O$1),FALSE)*VLOOKUP($D89,素材!$1:$1016,COLUMN($E$1),FALSE)/(LEN(VLOOKUP($D89,素材!$1:$1016,COLUMN($F$1),FALSE))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BA89">
        <f>IF(ISNUMBER(SEARCH(SUBSTITUTE(BA$1,RIGHT(BA$1,2),""),VLOOKUP($D89,素材!$1:$1016,COLUMN($F$1),FALSE))),VLOOKUP($C89,武器!$1:$998,COLUMN($O$1),FALSE)*VLOOKUP($D89,素材!$1:$1016,COLUMN($E$1),FALSE)/(LEN(VLOOKUP($D89,素材!$1:$1016,COLUMN($F$1),FALSE))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BB89">
        <f>IF(ISNUMBER(SEARCH(SUBSTITUTE(BB$1,RIGHT(BB$1,2),""),VLOOKUP($D89,素材!$1:$1016,COLUMN($F$1),FALSE))),VLOOKUP($C89,武器!$1:$998,COLUMN($O$1),FALSE)*VLOOKUP($D89,素材!$1:$1016,COLUMN($E$1),FALSE)/(LEN(VLOOKUP($D89,素材!$1:$1016,COLUMN($F$1),FALSE))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BC89">
        <f>IF(ISNUMBER(SEARCH(SUBSTITUTE(BC$1,RIGHT(BC$1,2),""),VLOOKUP($D89,素材!$1:$1016,COLUMN($F$1),FALSE))),VLOOKUP($C89,武器!$1:$998,COLUMN($O$1),FALSE)*VLOOKUP($D89,素材!$1:$1016,COLUMN($E$1),FALSE)/(LEN(VLOOKUP($D89,素材!$1:$1016,COLUMN($F$1),FALSE))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BD89">
        <f>IF(ISNUMBER(SEARCH(SUBSTITUTE(BD$1,RIGHT(BD$1,2),""),VLOOKUP($D89,素材!$1:$1016,COLUMN($F$1),FALSE))),VLOOKUP($C89,武器!$1:$998,COLUMN($O$1),FALSE)*VLOOKUP($D89,素材!$1:$1016,COLUMN($E$1),FALSE)/(LEN(VLOOKUP($D89,素材!$1:$1016,COLUMN($F$1),FALSE))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BE89">
        <f>IF(ISNUMBER(SEARCH(SUBSTITUTE(BE$1,RIGHT(BE$1,2),""),VLOOKUP($D89,素材!$1:$1016,COLUMN($F$1),FALSE))),VLOOKUP($C89,武器!$1:$998,COLUMN($O$1),FALSE)*VLOOKUP($D89,素材!$1:$1016,COLUMN($E$1),FALSE)/(LEN(VLOOKUP($D89,素材!$1:$1016,COLUMN($F$1),FALSE))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BF89">
        <f>IF(ISNUMBER(SEARCH(SUBSTITUTE(BF$1,RIGHT(BF$1,2),""),VLOOKUP($D89,素材!$1:$1016,COLUMN($F$1),FALSE))),VLOOKUP($C89,武器!$1:$998,COLUMN($O$1),FALSE)*VLOOKUP($D89,素材!$1:$1016,COLUMN($E$1),FALSE)/(LEN(VLOOKUP($D89,素材!$1:$1016,COLUMN($F$1),FALSE)) - LEN(SUBSTITUTE(VLOOKUP($D89,素材!$1:$1016,COLUMN($F$1),FALSE), "・", 0)) + 1), 0)</f>
        <v>0</v>
      </c>
      <c r="CM89">
        <f t="shared" si="8"/>
        <v>31</v>
      </c>
      <c r="CN89" s="22" t="str">
        <f>IF(E89="武器",IF(J89-1&gt;SUM(G89:I89),"盾",IF(MAX(G89:I89)=G89,"切断",IF(MAX(G89:I89)=H89,"貫通",IF(MAX(G89:I89)=I89,"打撃","射撃")))),E89)&amp;".webp"</f>
        <v>貫通.webp</v>
      </c>
      <c r="CO89">
        <f>IFERROR(VLOOKUP($C89,武器!$1:$998,COLUMN(V$1),FALSE)*VLOOKUP($D89,素材!$1:$1016,COLUMN(N$1),FALSE)+IF(CJ89="",0,VLOOKUP($CJ89,装強!$1:$1008,COLUMN($CL$1),FALSE)),"")</f>
        <v>1125</v>
      </c>
      <c r="CP89" t="str">
        <f>VLOOKUP(D89,素材!$A:$O,COLUMN(素材!O$1),FALSE)</f>
        <v>鍛えられた鉄。硬度が高く安価なためよく使用される。</v>
      </c>
      <c r="CQ89" t="str">
        <f>VLOOKUP(C89,武器!$A:$W,COLUMN(武器!W$1),FALSE)</f>
        <v>斧槍。全力時に威力が高く斬撃と突撃の両方に対応できる武器。</v>
      </c>
      <c r="CS89" t="str">
        <f t="shared" si="7"/>
        <v>e_89</v>
      </c>
      <c r="CT89">
        <f t="shared" si="9"/>
        <v>112500</v>
      </c>
    </row>
    <row r="90" spans="1:98" outlineLevel="1" x14ac:dyDescent="0.4">
      <c r="A90" t="str">
        <f t="shared" si="6"/>
        <v>鋼の棍棒</v>
      </c>
      <c r="B90" t="str">
        <f>IFERROR(VLOOKUP($D90,素材!$1:$1016,COLUMN($B$1),FALSE)&amp;"・"&amp;VLOOKUP($C90,武器!$1:$998,COLUMN(B$1),FALSE),"")</f>
        <v>スチール・クラブ</v>
      </c>
      <c r="C90" s="24" t="s">
        <v>230</v>
      </c>
      <c r="D90" s="24" t="s">
        <v>253</v>
      </c>
      <c r="E90" t="str">
        <f>IFERROR(VLOOKUP(C90,武器!$1:$998,COLUMN(C$1),FALSE),"")</f>
        <v>武器</v>
      </c>
      <c r="F90">
        <f>IFERROR(ROUNDDOWN((VLOOKUP($C90,武器!$1:$998,COLUMN(D$1),FALSE)+IFERROR(VLOOKUP($CJ90,装強!$1:$999,COLUMN(F$1),FALSE),0))*VLOOKUP($D90,素材!$1:$1016,COLUMN(D$1),FALSE),0),"")</f>
        <v>110</v>
      </c>
      <c r="G90">
        <f>IFERROR(ROUNDDOWN((VLOOKUP($C90,武器!$1:$998,COLUMN(E$1),FALSE)+IFERROR(VLOOKUP($CJ90,装強!$1:$999,COLUMN(G$1),FALSE),0))*VLOOKUP($D90,素材!$1:$1016,COLUMN($E$1),FALSE),0),"")</f>
        <v>0</v>
      </c>
      <c r="H90">
        <f>IFERROR(ROUNDDOWN((VLOOKUP($C90,武器!$1:$998,COLUMN(F$1),FALSE)+IFERROR(VLOOKUP($CJ90,装強!$1:$999,COLUMN(H$1),FALSE),0))*VLOOKUP($D90,素材!$1:$1016,COLUMN($E$1),FALSE),0),"")</f>
        <v>0</v>
      </c>
      <c r="I90">
        <f>IFERROR(ROUNDDOWN((VLOOKUP($C90,武器!$1:$998,COLUMN(G$1),FALSE)+IFERROR(VLOOKUP($CJ90,装強!$1:$999,COLUMN(I$1),FALSE),0))*VLOOKUP($D90,素材!$1:$1016,COLUMN($E$1),FALSE),0),"")</f>
        <v>29</v>
      </c>
      <c r="J90">
        <f>IFERROR(ROUNDDOWN((VLOOKUP($C90,武器!$1:$998,COLUMN(H$1),FALSE)+IFERROR(VLOOKUP($CJ90,装強!$1:$999,COLUMN(J$1),FALSE),0))*VLOOKUP($D90,素材!$1:$1016,COLUMN($E$1),FALSE),0),"")</f>
        <v>25</v>
      </c>
      <c r="K90">
        <f>IFERROR(ROUNDDOWN((VLOOKUP($C90,武器!$1:$998,COLUMN(I$1),FALSE)+IFERROR(VLOOKUP($CJ90,装強!$1:$999,COLUMN(K$1),FALSE),0))*VLOOKUP($D90,素材!$1:$1016,COLUMN($E$1),FALSE),0),"")</f>
        <v>0</v>
      </c>
      <c r="L90">
        <f>IFERROR(VLOOKUP($D90,素材!$1:$1016,COLUMN($F$1),FALSE),"")</f>
        <v>0</v>
      </c>
      <c r="M90">
        <f>IFERROR(VLOOKUP($C90,武器!$1:$998,COLUMN(AA$1),FALSE)*VLOOKUP($D90,素材!$1:$1016,COLUMN($G$1),FALSE),"")</f>
        <v>0</v>
      </c>
      <c r="N90">
        <f>IFERROR(VLOOKUP($C90,武器!$1:$998,COLUMN(I$1),FALSE),"")</f>
        <v>0</v>
      </c>
      <c r="O90" s="23">
        <f>IFERROR((VLOOKUP($C90,武器!$1:$998,COLUMN(K$1),FALSE)+VLOOKUP($D90,素材!$1:$1016,COLUMN(H$1),FALSE))*100+IFERROR(VLOOKUP($CJ90,装強!$1:$999,COLUMN(O$1),FALSE),0),"")</f>
        <v>5</v>
      </c>
      <c r="P90" s="23">
        <f>IFERROR((VLOOKUP($C90,武器!$1:$998,COLUMN(L$1),FALSE)+VLOOKUP($D90,素材!$1:$1016,COLUMN(I$1),FALSE))*100+IFERROR(VLOOKUP($CJ90,装強!$1:$999,COLUMN(P$1),FALSE),0),"")</f>
        <v>150</v>
      </c>
      <c r="Q90">
        <f>IFERROR(ROUNDUP(VLOOKUP($C90,武器!$1:$998,COLUMN(M$1),FALSE)*(VLOOKUP($D90,素材!$1:$1002,COLUMN(D$1),FALSE)/100),1),"")</f>
        <v>0</v>
      </c>
      <c r="R90">
        <f>IFERROR(ROUNDUP(VLOOKUP($C90,武器!$1:$998,COLUMN(N$1),FALSE)*(VLOOKUP($D90,素材!$1:$1002,COLUMN(D$1),FALSE)/100),1),"")</f>
        <v>0</v>
      </c>
      <c r="S90">
        <f>IFERROR(VLOOKUP($C90,武器!$1:$998,COLUMN(P$1),FALSE),"")</f>
        <v>0</v>
      </c>
      <c r="T90">
        <f>IFERROR(VLOOKUP($C90,武器!$1:$998,COLUMN(Q$1),FALSE),"")</f>
        <v>0</v>
      </c>
      <c r="U90">
        <f>IFERROR(VLOOKUP($C90,武器!$1:$998,COLUMN(R$1),FALSE),"")</f>
        <v>0</v>
      </c>
      <c r="V90">
        <f>IFERROR(VLOOKUP($C90,武器!$1:$998,COLUMN(Q$1),FALSE),"")</f>
        <v>0</v>
      </c>
      <c r="W90" t="str">
        <f>IFERROR(VLOOKUP($C90,武器!$1:$998,COLUMN(T$1),FALSE),"")</f>
        <v>A</v>
      </c>
      <c r="Y90" t="str">
        <f>IFERROR(VLOOKUP($C90,武器!$1:$998,COLUMN(U$1),FALSE),"")</f>
        <v>片手適性Ⅰ</v>
      </c>
      <c r="Z90">
        <f>IFERROR(ROUNDUP(VLOOKUP($C90,武器!$1:$998,COLUMN(O$1),FALSE)*VLOOKUP($D90,素材!$1:$1016,COLUMN(E$1),FALSE),1),"")</f>
        <v>0</v>
      </c>
      <c r="AA90">
        <f>IF(ISNUMBER(SEARCH(SUBSTITUTE(AA$1,RIGHT(AA$1,2),""),VLOOKUP($D90,素材!$1:$1016,COLUMN($F$1),FALSE))),VLOOKUP($C90,武器!$1:$998,COLUMN($O$1),FALSE)*VLOOKUP($D90,素材!$1:$1016,COLUMN($E$1),FALSE)/(LEN(VLOOKUP($D90,素材!$1:$1016,COLUMN($F$1),FALSE))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B90">
        <f>IF(ISNUMBER(SEARCH(SUBSTITUTE(AB$1,RIGHT(AB$1,2),""),VLOOKUP($D90,素材!$1:$1016,COLUMN($F$1),FALSE))),VLOOKUP($C90,武器!$1:$998,COLUMN($O$1),FALSE)*VLOOKUP($D90,素材!$1:$1016,COLUMN($E$1),FALSE)/(LEN(VLOOKUP($D90,素材!$1:$1016,COLUMN($F$1),FALSE))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C90">
        <f>IF(ISNUMBER(SEARCH(SUBSTITUTE(AC$1,RIGHT(AC$1,2),""),VLOOKUP($D90,素材!$1:$1016,COLUMN($F$1),FALSE))),VLOOKUP($C90,武器!$1:$998,COLUMN($O$1),FALSE)*VLOOKUP($D90,素材!$1:$1016,COLUMN($E$1),FALSE)/(LEN(VLOOKUP($D90,素材!$1:$1016,COLUMN($F$1),FALSE))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D90">
        <f>IF(ISNUMBER(SEARCH(SUBSTITUTE(AD$1,RIGHT(AD$1,2),""),VLOOKUP($D90,素材!$1:$1016,COLUMN($F$1),FALSE))),VLOOKUP($C90,武器!$1:$998,COLUMN($O$1),FALSE)*VLOOKUP($D90,素材!$1:$1016,COLUMN($E$1),FALSE)/(LEN(VLOOKUP($D90,素材!$1:$1016,COLUMN($F$1),FALSE))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E90">
        <f>IF(ISNUMBER(SEARCH(SUBSTITUTE(AE$1,RIGHT(AE$1,2),""),VLOOKUP($D90,素材!$1:$1016,COLUMN($F$1),FALSE))),VLOOKUP($C90,武器!$1:$998,COLUMN($O$1),FALSE)*VLOOKUP($D90,素材!$1:$1016,COLUMN($E$1),FALSE)/(LEN(VLOOKUP($D90,素材!$1:$1016,COLUMN($F$1),FALSE))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F90">
        <f>IF(ISNUMBER(SEARCH(SUBSTITUTE(AF$1,RIGHT(AF$1,2),""),VLOOKUP($D90,素材!$1:$1016,COLUMN($F$1),FALSE))),VLOOKUP($C90,武器!$1:$998,COLUMN($O$1),FALSE)*VLOOKUP($D90,素材!$1:$1016,COLUMN($E$1),FALSE)/(LEN(VLOOKUP($D90,素材!$1:$1016,COLUMN($F$1),FALSE))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G90">
        <f>IF(ISNUMBER(SEARCH(SUBSTITUTE(AG$1,RIGHT(AG$1,2),""),VLOOKUP($D90,素材!$1:$1016,COLUMN($F$1),FALSE))),VLOOKUP($C90,武器!$1:$998,COLUMN($O$1),FALSE)*VLOOKUP($D90,素材!$1:$1016,COLUMN($E$1),FALSE)/(LEN(VLOOKUP($D90,素材!$1:$1016,COLUMN($F$1),FALSE))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H90">
        <f>IF(ISNUMBER(SEARCH(SUBSTITUTE(AH$1,RIGHT(AH$1,2),""),VLOOKUP($D90,素材!$1:$1016,COLUMN($F$1),FALSE))),VLOOKUP($C90,武器!$1:$998,COLUMN($O$1),FALSE)*VLOOKUP($D90,素材!$1:$1016,COLUMN($E$1),FALSE)/(LEN(VLOOKUP($D90,素材!$1:$1016,COLUMN($F$1),FALSE))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I90">
        <f>IF(ISNUMBER(SEARCH(SUBSTITUTE(AI$1,RIGHT(AI$1,2),""),VLOOKUP($D90,素材!$1:$1016,COLUMN($F$1),FALSE))),VLOOKUP($C90,武器!$1:$998,COLUMN($O$1),FALSE)*VLOOKUP($D90,素材!$1:$1016,COLUMN($E$1),FALSE)/(LEN(VLOOKUP($D90,素材!$1:$1016,COLUMN($F$1),FALSE))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J90">
        <f>IF(ISNUMBER(SEARCH(SUBSTITUTE(AJ$1,RIGHT(AJ$1,2),""),VLOOKUP($D90,素材!$1:$1016,COLUMN($F$1),FALSE))),VLOOKUP($C90,武器!$1:$998,COLUMN($O$1),FALSE)*VLOOKUP($D90,素材!$1:$1016,COLUMN($E$1),FALSE)/(LEN(VLOOKUP($D90,素材!$1:$1016,COLUMN($F$1),FALSE))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K90">
        <f>IF(ISNUMBER(SEARCH(SUBSTITUTE(AK$1,RIGHT(AK$1,2),""),VLOOKUP($D90,素材!$1:$1016,COLUMN($F$1),FALSE))),VLOOKUP($C90,武器!$1:$998,COLUMN($O$1),FALSE)*VLOOKUP($D90,素材!$1:$1016,COLUMN($E$1),FALSE)/(LEN(VLOOKUP($D90,素材!$1:$1016,COLUMN($F$1),FALSE))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L90">
        <f>IF(ISNUMBER(SEARCH(SUBSTITUTE(AL$1,RIGHT(AL$1,2),""),VLOOKUP($D90,素材!$1:$1016,COLUMN($F$1),FALSE))),VLOOKUP($C90,武器!$1:$998,COLUMN($O$1),FALSE)*VLOOKUP($D90,素材!$1:$1016,COLUMN($E$1),FALSE)/(LEN(VLOOKUP($D90,素材!$1:$1016,COLUMN($F$1),FALSE))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M90">
        <f>IF(ISNUMBER(SEARCH(SUBSTITUTE(AM$1,RIGHT(AM$1,2),""),VLOOKUP($D90,素材!$1:$1016,COLUMN($F$1),FALSE))),VLOOKUP($C90,武器!$1:$998,COLUMN($O$1),FALSE)*VLOOKUP($D90,素材!$1:$1016,COLUMN($E$1),FALSE)/(LEN(VLOOKUP($D90,素材!$1:$1016,COLUMN($F$1),FALSE))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N90">
        <f>IF(ISNUMBER(SEARCH(SUBSTITUTE(AN$1,RIGHT(AN$1,2),""),VLOOKUP($D90,素材!$1:$1016,COLUMN($F$1),FALSE))),VLOOKUP($C90,武器!$1:$998,COLUMN($O$1),FALSE)*VLOOKUP($D90,素材!$1:$1016,COLUMN($E$1),FALSE)/(LEN(VLOOKUP($D90,素材!$1:$1016,COLUMN($F$1),FALSE))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O90">
        <f>IF(ISNUMBER(SEARCH(SUBSTITUTE(AO$1,RIGHT(AO$1,2),""),VLOOKUP($D90,素材!$1:$1016,COLUMN($F$1),FALSE))),VLOOKUP($C90,武器!$1:$998,COLUMN($O$1),FALSE)*VLOOKUP($D90,素材!$1:$1016,COLUMN($E$1),FALSE)/(LEN(VLOOKUP($D90,素材!$1:$1016,COLUMN($F$1),FALSE))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P90">
        <f>IF(ISNUMBER(SEARCH(SUBSTITUTE(AP$1,RIGHT(AP$1,2),""),VLOOKUP($D90,素材!$1:$1016,COLUMN($F$1),FALSE))),VLOOKUP($C90,武器!$1:$998,COLUMN($O$1),FALSE)*VLOOKUP($D90,素材!$1:$1016,COLUMN($E$1),FALSE)/(LEN(VLOOKUP($D90,素材!$1:$1016,COLUMN($F$1),FALSE))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Q90">
        <f>IF(ISNUMBER(SEARCH(SUBSTITUTE(AQ$1,RIGHT(AQ$1,2),""),VLOOKUP($D90,素材!$1:$1016,COLUMN($F$1),FALSE))),VLOOKUP($C90,武器!$1:$998,COLUMN($O$1),FALSE)*VLOOKUP($D90,素材!$1:$1016,COLUMN($E$1),FALSE)/(LEN(VLOOKUP($D90,素材!$1:$1016,COLUMN($F$1),FALSE))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R90">
        <f>IF(ISNUMBER(SEARCH(SUBSTITUTE(AR$1,RIGHT(AR$1,2),""),VLOOKUP($D90,素材!$1:$1016,COLUMN($F$1),FALSE))),VLOOKUP($C90,武器!$1:$998,COLUMN($O$1),FALSE)*VLOOKUP($D90,素材!$1:$1016,COLUMN($E$1),FALSE)/(LEN(VLOOKUP($D90,素材!$1:$1016,COLUMN($F$1),FALSE))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S90">
        <f>IF(ISNUMBER(SEARCH(SUBSTITUTE(AS$1,RIGHT(AS$1,2),""),VLOOKUP($D90,素材!$1:$1016,COLUMN($F$1),FALSE))),VLOOKUP($C90,武器!$1:$998,COLUMN($O$1),FALSE)*VLOOKUP($D90,素材!$1:$1016,COLUMN($E$1),FALSE)/(LEN(VLOOKUP($D90,素材!$1:$1016,COLUMN($F$1),FALSE))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T90">
        <f>IF(ISNUMBER(SEARCH(SUBSTITUTE(AT$1,RIGHT(AT$1,2),""),VLOOKUP($D90,素材!$1:$1016,COLUMN($F$1),FALSE))),VLOOKUP($C90,武器!$1:$998,COLUMN($O$1),FALSE)*VLOOKUP($D90,素材!$1:$1016,COLUMN($E$1),FALSE)/(LEN(VLOOKUP($D90,素材!$1:$1016,COLUMN($F$1),FALSE))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U90">
        <f>IF(ISNUMBER(SEARCH(SUBSTITUTE(AU$1,RIGHT(AU$1,2),""),VLOOKUP($D90,素材!$1:$1016,COLUMN($F$1),FALSE))),VLOOKUP($C90,武器!$1:$998,COLUMN($O$1),FALSE)*VLOOKUP($D90,素材!$1:$1016,COLUMN($E$1),FALSE)/(LEN(VLOOKUP($D90,素材!$1:$1016,COLUMN($F$1),FALSE))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V90">
        <f>IF(ISNUMBER(SEARCH(SUBSTITUTE(AV$1,RIGHT(AV$1,2),""),VLOOKUP($D90,素材!$1:$1016,COLUMN($F$1),FALSE))),VLOOKUP($C90,武器!$1:$998,COLUMN($O$1),FALSE)*VLOOKUP($D90,素材!$1:$1016,COLUMN($E$1),FALSE)/(LEN(VLOOKUP($D90,素材!$1:$1016,COLUMN($F$1),FALSE))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W90">
        <f>IF(ISNUMBER(SEARCH(SUBSTITUTE(AW$1,RIGHT(AW$1,2),""),VLOOKUP($D90,素材!$1:$1016,COLUMN($F$1),FALSE))),VLOOKUP($C90,武器!$1:$998,COLUMN($O$1),FALSE)*VLOOKUP($D90,素材!$1:$1016,COLUMN($E$1),FALSE)/(LEN(VLOOKUP($D90,素材!$1:$1016,COLUMN($F$1),FALSE))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X90">
        <f>IF(ISNUMBER(SEARCH(SUBSTITUTE(AX$1,RIGHT(AX$1,2),""),VLOOKUP($D90,素材!$1:$1016,COLUMN($F$1),FALSE))),VLOOKUP($C90,武器!$1:$998,COLUMN($O$1),FALSE)*VLOOKUP($D90,素材!$1:$1016,COLUMN($E$1),FALSE)/(LEN(VLOOKUP($D90,素材!$1:$1016,COLUMN($F$1),FALSE))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Y90">
        <f>IF(ISNUMBER(SEARCH(SUBSTITUTE(AY$1,RIGHT(AY$1,2),""),VLOOKUP($D90,素材!$1:$1016,COLUMN($F$1),FALSE))),VLOOKUP($C90,武器!$1:$998,COLUMN($O$1),FALSE)*VLOOKUP($D90,素材!$1:$1016,COLUMN($E$1),FALSE)/(LEN(VLOOKUP($D90,素材!$1:$1016,COLUMN($F$1),FALSE))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AZ90">
        <f>IF(ISNUMBER(SEARCH(SUBSTITUTE(AZ$1,RIGHT(AZ$1,2),""),VLOOKUP($D90,素材!$1:$1016,COLUMN($F$1),FALSE))),VLOOKUP($C90,武器!$1:$998,COLUMN($O$1),FALSE)*VLOOKUP($D90,素材!$1:$1016,COLUMN($E$1),FALSE)/(LEN(VLOOKUP($D90,素材!$1:$1016,COLUMN($F$1),FALSE))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BA90">
        <f>IF(ISNUMBER(SEARCH(SUBSTITUTE(BA$1,RIGHT(BA$1,2),""),VLOOKUP($D90,素材!$1:$1016,COLUMN($F$1),FALSE))),VLOOKUP($C90,武器!$1:$998,COLUMN($O$1),FALSE)*VLOOKUP($D90,素材!$1:$1016,COLUMN($E$1),FALSE)/(LEN(VLOOKUP($D90,素材!$1:$1016,COLUMN($F$1),FALSE))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BB90">
        <f>IF(ISNUMBER(SEARCH(SUBSTITUTE(BB$1,RIGHT(BB$1,2),""),VLOOKUP($D90,素材!$1:$1016,COLUMN($F$1),FALSE))),VLOOKUP($C90,武器!$1:$998,COLUMN($O$1),FALSE)*VLOOKUP($D90,素材!$1:$1016,COLUMN($E$1),FALSE)/(LEN(VLOOKUP($D90,素材!$1:$1016,COLUMN($F$1),FALSE))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BC90">
        <f>IF(ISNUMBER(SEARCH(SUBSTITUTE(BC$1,RIGHT(BC$1,2),""),VLOOKUP($D90,素材!$1:$1016,COLUMN($F$1),FALSE))),VLOOKUP($C90,武器!$1:$998,COLUMN($O$1),FALSE)*VLOOKUP($D90,素材!$1:$1016,COLUMN($E$1),FALSE)/(LEN(VLOOKUP($D90,素材!$1:$1016,COLUMN($F$1),FALSE))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BD90">
        <f>IF(ISNUMBER(SEARCH(SUBSTITUTE(BD$1,RIGHT(BD$1,2),""),VLOOKUP($D90,素材!$1:$1016,COLUMN($F$1),FALSE))),VLOOKUP($C90,武器!$1:$998,COLUMN($O$1),FALSE)*VLOOKUP($D90,素材!$1:$1016,COLUMN($E$1),FALSE)/(LEN(VLOOKUP($D90,素材!$1:$1016,COLUMN($F$1),FALSE))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BE90">
        <f>IF(ISNUMBER(SEARCH(SUBSTITUTE(BE$1,RIGHT(BE$1,2),""),VLOOKUP($D90,素材!$1:$1016,COLUMN($F$1),FALSE))),VLOOKUP($C90,武器!$1:$998,COLUMN($O$1),FALSE)*VLOOKUP($D90,素材!$1:$1016,COLUMN($E$1),FALSE)/(LEN(VLOOKUP($D90,素材!$1:$1016,COLUMN($F$1),FALSE))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BF90">
        <f>IF(ISNUMBER(SEARCH(SUBSTITUTE(BF$1,RIGHT(BF$1,2),""),VLOOKUP($D90,素材!$1:$1016,COLUMN($F$1),FALSE))),VLOOKUP($C90,武器!$1:$998,COLUMN($O$1),FALSE)*VLOOKUP($D90,素材!$1:$1016,COLUMN($E$1),FALSE)/(LEN(VLOOKUP($D90,素材!$1:$1016,COLUMN($F$1),FALSE)) - LEN(SUBSTITUTE(VLOOKUP($D90,素材!$1:$1016,COLUMN($F$1),FALSE), "・", 0)) + 1), 0)</f>
        <v>0</v>
      </c>
      <c r="CM90">
        <f t="shared" si="8"/>
        <v>29</v>
      </c>
      <c r="CN90" s="22" t="str">
        <f>IF(E90="武器",IF(J90-1&gt;SUM(G90:I90),"盾",IF(MAX(G90:I90)=G90,"切断",IF(MAX(G90:I90)=H90,"貫通",IF(MAX(G90:I90)=I90,"打撃","射撃")))),E90)&amp;".webp"</f>
        <v>打撃.webp</v>
      </c>
      <c r="CO90">
        <f>IFERROR(VLOOKUP($C90,武器!$1:$998,COLUMN(V$1),FALSE)*VLOOKUP($D90,素材!$1:$1016,COLUMN(N$1),FALSE)+IF(CJ90="",0,VLOOKUP($CJ90,装強!$1:$1008,COLUMN($CL$1),FALSE)),"")</f>
        <v>675</v>
      </c>
      <c r="CP90" t="str">
        <f>VLOOKUP(D90,素材!$A:$O,COLUMN(素材!O$1),FALSE)</f>
        <v>鍛えられた鉄。硬度が高く安価なためよく使用される。</v>
      </c>
      <c r="CQ90" t="str">
        <f>VLOOKUP(C90,武器!$A:$W,COLUMN(武器!W$1),FALSE)</f>
        <v>棍棒。打撃に特化したシンプルな武器。</v>
      </c>
      <c r="CS90" t="str">
        <f t="shared" si="7"/>
        <v>e_90</v>
      </c>
      <c r="CT90">
        <f t="shared" si="9"/>
        <v>67500</v>
      </c>
    </row>
    <row r="91" spans="1:98" outlineLevel="1" x14ac:dyDescent="0.4">
      <c r="A91" t="str">
        <f t="shared" si="6"/>
        <v>鋼の戦棍</v>
      </c>
      <c r="B91" t="str">
        <f>IFERROR(VLOOKUP($D91,素材!$1:$1016,COLUMN($B$1),FALSE)&amp;"・"&amp;VLOOKUP($C91,武器!$1:$998,COLUMN(B$1),FALSE),"")</f>
        <v>スチール・メイス</v>
      </c>
      <c r="C91" s="24" t="s">
        <v>229</v>
      </c>
      <c r="D91" s="24" t="s">
        <v>253</v>
      </c>
      <c r="E91" t="str">
        <f>IFERROR(VLOOKUP(C91,武器!$1:$998,COLUMN(C$1),FALSE),"")</f>
        <v>武器</v>
      </c>
      <c r="F91">
        <f>IFERROR(ROUNDDOWN((VLOOKUP($C91,武器!$1:$998,COLUMN(D$1),FALSE)+IFERROR(VLOOKUP($CJ91,装強!$1:$999,COLUMN(F$1),FALSE),0))*VLOOKUP($D91,素材!$1:$1016,COLUMN(D$1),FALSE),0),"")</f>
        <v>115</v>
      </c>
      <c r="G91">
        <f>IFERROR(ROUNDDOWN((VLOOKUP($C91,武器!$1:$998,COLUMN(E$1),FALSE)+IFERROR(VLOOKUP($CJ91,装強!$1:$999,COLUMN(G$1),FALSE),0))*VLOOKUP($D91,素材!$1:$1016,COLUMN($E$1),FALSE),0),"")</f>
        <v>0</v>
      </c>
      <c r="H91">
        <f>IFERROR(ROUNDDOWN((VLOOKUP($C91,武器!$1:$998,COLUMN(F$1),FALSE)+IFERROR(VLOOKUP($CJ91,装強!$1:$999,COLUMN(H$1),FALSE),0))*VLOOKUP($D91,素材!$1:$1016,COLUMN($E$1),FALSE),0),"")</f>
        <v>0</v>
      </c>
      <c r="I91">
        <f>IFERROR(ROUNDDOWN((VLOOKUP($C91,武器!$1:$998,COLUMN(G$1),FALSE)+IFERROR(VLOOKUP($CJ91,装強!$1:$999,COLUMN(I$1),FALSE),0))*VLOOKUP($D91,素材!$1:$1016,COLUMN($E$1),FALSE),0),"")</f>
        <v>31</v>
      </c>
      <c r="J91">
        <f>IFERROR(ROUNDDOWN((VLOOKUP($C91,武器!$1:$998,COLUMN(H$1),FALSE)+IFERROR(VLOOKUP($CJ91,装強!$1:$999,COLUMN(J$1),FALSE),0))*VLOOKUP($D91,素材!$1:$1016,COLUMN($E$1),FALSE),0),"")</f>
        <v>25</v>
      </c>
      <c r="K91">
        <f>IFERROR(ROUNDDOWN((VLOOKUP($C91,武器!$1:$998,COLUMN(I$1),FALSE)+IFERROR(VLOOKUP($CJ91,装強!$1:$999,COLUMN(K$1),FALSE),0))*VLOOKUP($D91,素材!$1:$1016,COLUMN($E$1),FALSE),0),"")</f>
        <v>0</v>
      </c>
      <c r="L91">
        <f>IFERROR(VLOOKUP($D91,素材!$1:$1016,COLUMN($F$1),FALSE),"")</f>
        <v>0</v>
      </c>
      <c r="M91">
        <f>IFERROR(VLOOKUP($C91,武器!$1:$998,COLUMN(AA$1),FALSE)*VLOOKUP($D91,素材!$1:$1016,COLUMN($G$1),FALSE),"")</f>
        <v>0</v>
      </c>
      <c r="N91">
        <f>IFERROR(VLOOKUP($C91,武器!$1:$998,COLUMN(I$1),FALSE),"")</f>
        <v>0</v>
      </c>
      <c r="O91" s="23">
        <f>IFERROR((VLOOKUP($C91,武器!$1:$998,COLUMN(K$1),FALSE)+VLOOKUP($D91,素材!$1:$1016,COLUMN(H$1),FALSE))*100+IFERROR(VLOOKUP($CJ91,装強!$1:$999,COLUMN(O$1),FALSE),0),"")</f>
        <v>15</v>
      </c>
      <c r="P91" s="23">
        <f>IFERROR((VLOOKUP($C91,武器!$1:$998,COLUMN(L$1),FALSE)+VLOOKUP($D91,素材!$1:$1016,COLUMN(I$1),FALSE))*100+IFERROR(VLOOKUP($CJ91,装強!$1:$999,COLUMN(P$1),FALSE),0),"")</f>
        <v>125</v>
      </c>
      <c r="Q91">
        <f>IFERROR(ROUNDUP(VLOOKUP($C91,武器!$1:$998,COLUMN(M$1),FALSE)*(VLOOKUP($D91,素材!$1:$1002,COLUMN(D$1),FALSE)/100),1),"")</f>
        <v>0</v>
      </c>
      <c r="R91">
        <f>IFERROR(ROUNDUP(VLOOKUP($C91,武器!$1:$998,COLUMN(N$1),FALSE)*(VLOOKUP($D91,素材!$1:$1002,COLUMN(D$1),FALSE)/100),1),"")</f>
        <v>-2.1</v>
      </c>
      <c r="S91">
        <f>IFERROR(VLOOKUP($C91,武器!$1:$998,COLUMN(P$1),FALSE),"")</f>
        <v>0</v>
      </c>
      <c r="T91">
        <f>IFERROR(VLOOKUP($C91,武器!$1:$998,COLUMN(Q$1),FALSE),"")</f>
        <v>0</v>
      </c>
      <c r="U91">
        <f>IFERROR(VLOOKUP($C91,武器!$1:$998,COLUMN(R$1),FALSE),"")</f>
        <v>0</v>
      </c>
      <c r="V91">
        <f>IFERROR(VLOOKUP($C91,武器!$1:$998,COLUMN(Q$1),FALSE),"")</f>
        <v>0</v>
      </c>
      <c r="W91" t="str">
        <f>IFERROR(VLOOKUP($C91,武器!$1:$998,COLUMN(T$1),FALSE),"")</f>
        <v>A</v>
      </c>
      <c r="Y91">
        <f>IFERROR(VLOOKUP($C91,武器!$1:$998,COLUMN(U$1),FALSE),"")</f>
        <v>0</v>
      </c>
      <c r="Z91">
        <f>IFERROR(ROUNDUP(VLOOKUP($C91,武器!$1:$998,COLUMN(O$1),FALSE)*VLOOKUP($D91,素材!$1:$1016,COLUMN(E$1),FALSE),1),"")</f>
        <v>0</v>
      </c>
      <c r="AA91">
        <f>IF(ISNUMBER(SEARCH(SUBSTITUTE(AA$1,RIGHT(AA$1,2),""),VLOOKUP($D91,素材!$1:$1016,COLUMN($F$1),FALSE))),VLOOKUP($C91,武器!$1:$998,COLUMN($O$1),FALSE)*VLOOKUP($D91,素材!$1:$1016,COLUMN($E$1),FALSE)/(LEN(VLOOKUP($D91,素材!$1:$1016,COLUMN($F$1),FALSE))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B91">
        <f>IF(ISNUMBER(SEARCH(SUBSTITUTE(AB$1,RIGHT(AB$1,2),""),VLOOKUP($D91,素材!$1:$1016,COLUMN($F$1),FALSE))),VLOOKUP($C91,武器!$1:$998,COLUMN($O$1),FALSE)*VLOOKUP($D91,素材!$1:$1016,COLUMN($E$1),FALSE)/(LEN(VLOOKUP($D91,素材!$1:$1016,COLUMN($F$1),FALSE))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C91">
        <f>IF(ISNUMBER(SEARCH(SUBSTITUTE(AC$1,RIGHT(AC$1,2),""),VLOOKUP($D91,素材!$1:$1016,COLUMN($F$1),FALSE))),VLOOKUP($C91,武器!$1:$998,COLUMN($O$1),FALSE)*VLOOKUP($D91,素材!$1:$1016,COLUMN($E$1),FALSE)/(LEN(VLOOKUP($D91,素材!$1:$1016,COLUMN($F$1),FALSE))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D91">
        <f>IF(ISNUMBER(SEARCH(SUBSTITUTE(AD$1,RIGHT(AD$1,2),""),VLOOKUP($D91,素材!$1:$1016,COLUMN($F$1),FALSE))),VLOOKUP($C91,武器!$1:$998,COLUMN($O$1),FALSE)*VLOOKUP($D91,素材!$1:$1016,COLUMN($E$1),FALSE)/(LEN(VLOOKUP($D91,素材!$1:$1016,COLUMN($F$1),FALSE))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E91">
        <f>IF(ISNUMBER(SEARCH(SUBSTITUTE(AE$1,RIGHT(AE$1,2),""),VLOOKUP($D91,素材!$1:$1016,COLUMN($F$1),FALSE))),VLOOKUP($C91,武器!$1:$998,COLUMN($O$1),FALSE)*VLOOKUP($D91,素材!$1:$1016,COLUMN($E$1),FALSE)/(LEN(VLOOKUP($D91,素材!$1:$1016,COLUMN($F$1),FALSE))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F91">
        <f>IF(ISNUMBER(SEARCH(SUBSTITUTE(AF$1,RIGHT(AF$1,2),""),VLOOKUP($D91,素材!$1:$1016,COLUMN($F$1),FALSE))),VLOOKUP($C91,武器!$1:$998,COLUMN($O$1),FALSE)*VLOOKUP($D91,素材!$1:$1016,COLUMN($E$1),FALSE)/(LEN(VLOOKUP($D91,素材!$1:$1016,COLUMN($F$1),FALSE))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G91">
        <f>IF(ISNUMBER(SEARCH(SUBSTITUTE(AG$1,RIGHT(AG$1,2),""),VLOOKUP($D91,素材!$1:$1016,COLUMN($F$1),FALSE))),VLOOKUP($C91,武器!$1:$998,COLUMN($O$1),FALSE)*VLOOKUP($D91,素材!$1:$1016,COLUMN($E$1),FALSE)/(LEN(VLOOKUP($D91,素材!$1:$1016,COLUMN($F$1),FALSE))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H91">
        <f>IF(ISNUMBER(SEARCH(SUBSTITUTE(AH$1,RIGHT(AH$1,2),""),VLOOKUP($D91,素材!$1:$1016,COLUMN($F$1),FALSE))),VLOOKUP($C91,武器!$1:$998,COLUMN($O$1),FALSE)*VLOOKUP($D91,素材!$1:$1016,COLUMN($E$1),FALSE)/(LEN(VLOOKUP($D91,素材!$1:$1016,COLUMN($F$1),FALSE))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I91">
        <f>IF(ISNUMBER(SEARCH(SUBSTITUTE(AI$1,RIGHT(AI$1,2),""),VLOOKUP($D91,素材!$1:$1016,COLUMN($F$1),FALSE))),VLOOKUP($C91,武器!$1:$998,COLUMN($O$1),FALSE)*VLOOKUP($D91,素材!$1:$1016,COLUMN($E$1),FALSE)/(LEN(VLOOKUP($D91,素材!$1:$1016,COLUMN($F$1),FALSE))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J91">
        <f>IF(ISNUMBER(SEARCH(SUBSTITUTE(AJ$1,RIGHT(AJ$1,2),""),VLOOKUP($D91,素材!$1:$1016,COLUMN($F$1),FALSE))),VLOOKUP($C91,武器!$1:$998,COLUMN($O$1),FALSE)*VLOOKUP($D91,素材!$1:$1016,COLUMN($E$1),FALSE)/(LEN(VLOOKUP($D91,素材!$1:$1016,COLUMN($F$1),FALSE))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K91">
        <f>IF(ISNUMBER(SEARCH(SUBSTITUTE(AK$1,RIGHT(AK$1,2),""),VLOOKUP($D91,素材!$1:$1016,COLUMN($F$1),FALSE))),VLOOKUP($C91,武器!$1:$998,COLUMN($O$1),FALSE)*VLOOKUP($D91,素材!$1:$1016,COLUMN($E$1),FALSE)/(LEN(VLOOKUP($D91,素材!$1:$1016,COLUMN($F$1),FALSE))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L91">
        <f>IF(ISNUMBER(SEARCH(SUBSTITUTE(AL$1,RIGHT(AL$1,2),""),VLOOKUP($D91,素材!$1:$1016,COLUMN($F$1),FALSE))),VLOOKUP($C91,武器!$1:$998,COLUMN($O$1),FALSE)*VLOOKUP($D91,素材!$1:$1016,COLUMN($E$1),FALSE)/(LEN(VLOOKUP($D91,素材!$1:$1016,COLUMN($F$1),FALSE))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M91">
        <f>IF(ISNUMBER(SEARCH(SUBSTITUTE(AM$1,RIGHT(AM$1,2),""),VLOOKUP($D91,素材!$1:$1016,COLUMN($F$1),FALSE))),VLOOKUP($C91,武器!$1:$998,COLUMN($O$1),FALSE)*VLOOKUP($D91,素材!$1:$1016,COLUMN($E$1),FALSE)/(LEN(VLOOKUP($D91,素材!$1:$1016,COLUMN($F$1),FALSE))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N91">
        <f>IF(ISNUMBER(SEARCH(SUBSTITUTE(AN$1,RIGHT(AN$1,2),""),VLOOKUP($D91,素材!$1:$1016,COLUMN($F$1),FALSE))),VLOOKUP($C91,武器!$1:$998,COLUMN($O$1),FALSE)*VLOOKUP($D91,素材!$1:$1016,COLUMN($E$1),FALSE)/(LEN(VLOOKUP($D91,素材!$1:$1016,COLUMN($F$1),FALSE))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O91">
        <f>IF(ISNUMBER(SEARCH(SUBSTITUTE(AO$1,RIGHT(AO$1,2),""),VLOOKUP($D91,素材!$1:$1016,COLUMN($F$1),FALSE))),VLOOKUP($C91,武器!$1:$998,COLUMN($O$1),FALSE)*VLOOKUP($D91,素材!$1:$1016,COLUMN($E$1),FALSE)/(LEN(VLOOKUP($D91,素材!$1:$1016,COLUMN($F$1),FALSE))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P91">
        <f>IF(ISNUMBER(SEARCH(SUBSTITUTE(AP$1,RIGHT(AP$1,2),""),VLOOKUP($D91,素材!$1:$1016,COLUMN($F$1),FALSE))),VLOOKUP($C91,武器!$1:$998,COLUMN($O$1),FALSE)*VLOOKUP($D91,素材!$1:$1016,COLUMN($E$1),FALSE)/(LEN(VLOOKUP($D91,素材!$1:$1016,COLUMN($F$1),FALSE))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Q91">
        <f>IF(ISNUMBER(SEARCH(SUBSTITUTE(AQ$1,RIGHT(AQ$1,2),""),VLOOKUP($D91,素材!$1:$1016,COLUMN($F$1),FALSE))),VLOOKUP($C91,武器!$1:$998,COLUMN($O$1),FALSE)*VLOOKUP($D91,素材!$1:$1016,COLUMN($E$1),FALSE)/(LEN(VLOOKUP($D91,素材!$1:$1016,COLUMN($F$1),FALSE))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R91">
        <f>IF(ISNUMBER(SEARCH(SUBSTITUTE(AR$1,RIGHT(AR$1,2),""),VLOOKUP($D91,素材!$1:$1016,COLUMN($F$1),FALSE))),VLOOKUP($C91,武器!$1:$998,COLUMN($O$1),FALSE)*VLOOKUP($D91,素材!$1:$1016,COLUMN($E$1),FALSE)/(LEN(VLOOKUP($D91,素材!$1:$1016,COLUMN($F$1),FALSE))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S91">
        <f>IF(ISNUMBER(SEARCH(SUBSTITUTE(AS$1,RIGHT(AS$1,2),""),VLOOKUP($D91,素材!$1:$1016,COLUMN($F$1),FALSE))),VLOOKUP($C91,武器!$1:$998,COLUMN($O$1),FALSE)*VLOOKUP($D91,素材!$1:$1016,COLUMN($E$1),FALSE)/(LEN(VLOOKUP($D91,素材!$1:$1016,COLUMN($F$1),FALSE))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T91">
        <f>IF(ISNUMBER(SEARCH(SUBSTITUTE(AT$1,RIGHT(AT$1,2),""),VLOOKUP($D91,素材!$1:$1016,COLUMN($F$1),FALSE))),VLOOKUP($C91,武器!$1:$998,COLUMN($O$1),FALSE)*VLOOKUP($D91,素材!$1:$1016,COLUMN($E$1),FALSE)/(LEN(VLOOKUP($D91,素材!$1:$1016,COLUMN($F$1),FALSE))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U91">
        <f>IF(ISNUMBER(SEARCH(SUBSTITUTE(AU$1,RIGHT(AU$1,2),""),VLOOKUP($D91,素材!$1:$1016,COLUMN($F$1),FALSE))),VLOOKUP($C91,武器!$1:$998,COLUMN($O$1),FALSE)*VLOOKUP($D91,素材!$1:$1016,COLUMN($E$1),FALSE)/(LEN(VLOOKUP($D91,素材!$1:$1016,COLUMN($F$1),FALSE))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V91">
        <f>IF(ISNUMBER(SEARCH(SUBSTITUTE(AV$1,RIGHT(AV$1,2),""),VLOOKUP($D91,素材!$1:$1016,COLUMN($F$1),FALSE))),VLOOKUP($C91,武器!$1:$998,COLUMN($O$1),FALSE)*VLOOKUP($D91,素材!$1:$1016,COLUMN($E$1),FALSE)/(LEN(VLOOKUP($D91,素材!$1:$1016,COLUMN($F$1),FALSE))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W91">
        <f>IF(ISNUMBER(SEARCH(SUBSTITUTE(AW$1,RIGHT(AW$1,2),""),VLOOKUP($D91,素材!$1:$1016,COLUMN($F$1),FALSE))),VLOOKUP($C91,武器!$1:$998,COLUMN($O$1),FALSE)*VLOOKUP($D91,素材!$1:$1016,COLUMN($E$1),FALSE)/(LEN(VLOOKUP($D91,素材!$1:$1016,COLUMN($F$1),FALSE))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X91">
        <f>IF(ISNUMBER(SEARCH(SUBSTITUTE(AX$1,RIGHT(AX$1,2),""),VLOOKUP($D91,素材!$1:$1016,COLUMN($F$1),FALSE))),VLOOKUP($C91,武器!$1:$998,COLUMN($O$1),FALSE)*VLOOKUP($D91,素材!$1:$1016,COLUMN($E$1),FALSE)/(LEN(VLOOKUP($D91,素材!$1:$1016,COLUMN($F$1),FALSE))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Y91">
        <f>IF(ISNUMBER(SEARCH(SUBSTITUTE(AY$1,RIGHT(AY$1,2),""),VLOOKUP($D91,素材!$1:$1016,COLUMN($F$1),FALSE))),VLOOKUP($C91,武器!$1:$998,COLUMN($O$1),FALSE)*VLOOKUP($D91,素材!$1:$1016,COLUMN($E$1),FALSE)/(LEN(VLOOKUP($D91,素材!$1:$1016,COLUMN($F$1),FALSE))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AZ91">
        <f>IF(ISNUMBER(SEARCH(SUBSTITUTE(AZ$1,RIGHT(AZ$1,2),""),VLOOKUP($D91,素材!$1:$1016,COLUMN($F$1),FALSE))),VLOOKUP($C91,武器!$1:$998,COLUMN($O$1),FALSE)*VLOOKUP($D91,素材!$1:$1016,COLUMN($E$1),FALSE)/(LEN(VLOOKUP($D91,素材!$1:$1016,COLUMN($F$1),FALSE))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BA91">
        <f>IF(ISNUMBER(SEARCH(SUBSTITUTE(BA$1,RIGHT(BA$1,2),""),VLOOKUP($D91,素材!$1:$1016,COLUMN($F$1),FALSE))),VLOOKUP($C91,武器!$1:$998,COLUMN($O$1),FALSE)*VLOOKUP($D91,素材!$1:$1016,COLUMN($E$1),FALSE)/(LEN(VLOOKUP($D91,素材!$1:$1016,COLUMN($F$1),FALSE))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BB91">
        <f>IF(ISNUMBER(SEARCH(SUBSTITUTE(BB$1,RIGHT(BB$1,2),""),VLOOKUP($D91,素材!$1:$1016,COLUMN($F$1),FALSE))),VLOOKUP($C91,武器!$1:$998,COLUMN($O$1),FALSE)*VLOOKUP($D91,素材!$1:$1016,COLUMN($E$1),FALSE)/(LEN(VLOOKUP($D91,素材!$1:$1016,COLUMN($F$1),FALSE))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BC91">
        <f>IF(ISNUMBER(SEARCH(SUBSTITUTE(BC$1,RIGHT(BC$1,2),""),VLOOKUP($D91,素材!$1:$1016,COLUMN($F$1),FALSE))),VLOOKUP($C91,武器!$1:$998,COLUMN($O$1),FALSE)*VLOOKUP($D91,素材!$1:$1016,COLUMN($E$1),FALSE)/(LEN(VLOOKUP($D91,素材!$1:$1016,COLUMN($F$1),FALSE))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BD91">
        <f>IF(ISNUMBER(SEARCH(SUBSTITUTE(BD$1,RIGHT(BD$1,2),""),VLOOKUP($D91,素材!$1:$1016,COLUMN($F$1),FALSE))),VLOOKUP($C91,武器!$1:$998,COLUMN($O$1),FALSE)*VLOOKUP($D91,素材!$1:$1016,COLUMN($E$1),FALSE)/(LEN(VLOOKUP($D91,素材!$1:$1016,COLUMN($F$1),FALSE))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BE91">
        <f>IF(ISNUMBER(SEARCH(SUBSTITUTE(BE$1,RIGHT(BE$1,2),""),VLOOKUP($D91,素材!$1:$1016,COLUMN($F$1),FALSE))),VLOOKUP($C91,武器!$1:$998,COLUMN($O$1),FALSE)*VLOOKUP($D91,素材!$1:$1016,COLUMN($E$1),FALSE)/(LEN(VLOOKUP($D91,素材!$1:$1016,COLUMN($F$1),FALSE))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BF91">
        <f>IF(ISNUMBER(SEARCH(SUBSTITUTE(BF$1,RIGHT(BF$1,2),""),VLOOKUP($D91,素材!$1:$1016,COLUMN($F$1),FALSE))),VLOOKUP($C91,武器!$1:$998,COLUMN($O$1),FALSE)*VLOOKUP($D91,素材!$1:$1016,COLUMN($E$1),FALSE)/(LEN(VLOOKUP($D91,素材!$1:$1016,COLUMN($F$1),FALSE)) - LEN(SUBSTITUTE(VLOOKUP($D91,素材!$1:$1016,COLUMN($F$1),FALSE), "・", 0)) + 1), 0)</f>
        <v>0</v>
      </c>
      <c r="CM91">
        <f t="shared" si="8"/>
        <v>31</v>
      </c>
      <c r="CN91" s="22" t="str">
        <f>IF(E91="武器",IF(J91-1&gt;SUM(G91:I91),"盾",IF(MAX(G91:I91)=G91,"切断",IF(MAX(G91:I91)=H91,"貫通",IF(MAX(G91:I91)=I91,"打撃","射撃")))),E91)&amp;".webp"</f>
        <v>打撃.webp</v>
      </c>
      <c r="CO91">
        <f>IFERROR(VLOOKUP($C91,武器!$1:$998,COLUMN(V$1),FALSE)*VLOOKUP($D91,素材!$1:$1016,COLUMN(N$1),FALSE)+IF(CJ91="",0,VLOOKUP($CJ91,装強!$1:$1008,COLUMN($CL$1),FALSE)),"")</f>
        <v>900</v>
      </c>
      <c r="CP91" t="str">
        <f>VLOOKUP(D91,素材!$A:$O,COLUMN(素材!O$1),FALSE)</f>
        <v>鍛えられた鉄。硬度が高く安価なためよく使用される。</v>
      </c>
      <c r="CQ91" t="str">
        <f>VLOOKUP(C91,武器!$A:$W,COLUMN(武器!W$1),FALSE)</f>
        <v>戦棍。打撃に優れた武器。Cr率が高い</v>
      </c>
      <c r="CS91" t="str">
        <f t="shared" si="7"/>
        <v>e_91</v>
      </c>
      <c r="CT91">
        <f t="shared" si="9"/>
        <v>90000</v>
      </c>
    </row>
    <row r="92" spans="1:98" outlineLevel="1" x14ac:dyDescent="0.4">
      <c r="A92" t="str">
        <f t="shared" si="6"/>
        <v>鋼の棘棍</v>
      </c>
      <c r="B92" t="str">
        <f>IFERROR(VLOOKUP($D92,素材!$1:$1016,COLUMN($B$1),FALSE)&amp;"・"&amp;VLOOKUP($C92,武器!$1:$998,COLUMN(B$1),FALSE),"")</f>
        <v>スチール・モーニングスター</v>
      </c>
      <c r="C92" t="s">
        <v>228</v>
      </c>
      <c r="D92" s="24" t="s">
        <v>253</v>
      </c>
      <c r="E92" t="str">
        <f>IFERROR(VLOOKUP(C92,武器!$1:$998,COLUMN(C$1),FALSE),"")</f>
        <v>武器</v>
      </c>
      <c r="F92">
        <f>IFERROR(ROUNDDOWN((VLOOKUP($C92,武器!$1:$998,COLUMN(D$1),FALSE)+IFERROR(VLOOKUP($CJ92,装強!$1:$999,COLUMN(F$1),FALSE),0))*VLOOKUP($D92,素材!$1:$1016,COLUMN(D$1),FALSE),0),"")</f>
        <v>110</v>
      </c>
      <c r="G92">
        <f>IFERROR(ROUNDDOWN((VLOOKUP($C92,武器!$1:$998,COLUMN(E$1),FALSE)+IFERROR(VLOOKUP($CJ92,装強!$1:$999,COLUMN(G$1),FALSE),0))*VLOOKUP($D92,素材!$1:$1016,COLUMN($E$1),FALSE),0),"")</f>
        <v>0</v>
      </c>
      <c r="H92">
        <f>IFERROR(ROUNDDOWN((VLOOKUP($C92,武器!$1:$998,COLUMN(F$1),FALSE)+IFERROR(VLOOKUP($CJ92,装強!$1:$999,COLUMN(H$1),FALSE),0))*VLOOKUP($D92,素材!$1:$1016,COLUMN($E$1),FALSE),0),"")</f>
        <v>16</v>
      </c>
      <c r="I92">
        <f>IFERROR(ROUNDDOWN((VLOOKUP($C92,武器!$1:$998,COLUMN(G$1),FALSE)+IFERROR(VLOOKUP($CJ92,装強!$1:$999,COLUMN(I$1),FALSE),0))*VLOOKUP($D92,素材!$1:$1016,COLUMN($E$1),FALSE),0),"")</f>
        <v>16</v>
      </c>
      <c r="J92">
        <f>IFERROR(ROUNDDOWN((VLOOKUP($C92,武器!$1:$998,COLUMN(H$1),FALSE)+IFERROR(VLOOKUP($CJ92,装強!$1:$999,COLUMN(J$1),FALSE),0))*VLOOKUP($D92,素材!$1:$1016,COLUMN($E$1),FALSE),0),"")</f>
        <v>25</v>
      </c>
      <c r="K92">
        <f>IFERROR(ROUNDDOWN((VLOOKUP($C92,武器!$1:$998,COLUMN(I$1),FALSE)+IFERROR(VLOOKUP($CJ92,装強!$1:$999,COLUMN(K$1),FALSE),0))*VLOOKUP($D92,素材!$1:$1016,COLUMN($E$1),FALSE),0),"")</f>
        <v>0</v>
      </c>
      <c r="L92">
        <f>IFERROR(VLOOKUP($D92,素材!$1:$1016,COLUMN($F$1),FALSE),"")</f>
        <v>0</v>
      </c>
      <c r="M92">
        <f>IFERROR(VLOOKUP($C92,武器!$1:$998,COLUMN(AA$1),FALSE)*VLOOKUP($D92,素材!$1:$1016,COLUMN($G$1),FALSE),"")</f>
        <v>0</v>
      </c>
      <c r="N92">
        <f>IFERROR(VLOOKUP($C92,武器!$1:$998,COLUMN(I$1),FALSE),"")</f>
        <v>0</v>
      </c>
      <c r="O92" s="23">
        <f>IFERROR((VLOOKUP($C92,武器!$1:$998,COLUMN(K$1),FALSE)+VLOOKUP($D92,素材!$1:$1016,COLUMN(H$1),FALSE))*100+IFERROR(VLOOKUP($CJ92,装強!$1:$999,COLUMN(O$1),FALSE),0),"")</f>
        <v>10</v>
      </c>
      <c r="P92" s="23">
        <f>IFERROR((VLOOKUP($C92,武器!$1:$998,COLUMN(L$1),FALSE)+VLOOKUP($D92,素材!$1:$1016,COLUMN(I$1),FALSE))*100+IFERROR(VLOOKUP($CJ92,装強!$1:$999,COLUMN(P$1),FALSE),0),"")</f>
        <v>125</v>
      </c>
      <c r="Q92">
        <f>IFERROR(ROUNDUP(VLOOKUP($C92,武器!$1:$998,COLUMN(M$1),FALSE)*(VLOOKUP($D92,素材!$1:$1002,COLUMN(D$1),FALSE)/100),1),"")</f>
        <v>-2.7</v>
      </c>
      <c r="R92">
        <f>IFERROR(ROUNDUP(VLOOKUP($C92,武器!$1:$998,COLUMN(N$1),FALSE)*(VLOOKUP($D92,素材!$1:$1002,COLUMN(D$1),FALSE)/100),1),"")</f>
        <v>-2.7</v>
      </c>
      <c r="S92">
        <f>IFERROR(VLOOKUP($C92,武器!$1:$998,COLUMN(P$1),FALSE),"")</f>
        <v>0</v>
      </c>
      <c r="T92">
        <f>IFERROR(VLOOKUP($C92,武器!$1:$998,COLUMN(Q$1),FALSE),"")</f>
        <v>0</v>
      </c>
      <c r="U92">
        <f>IFERROR(VLOOKUP($C92,武器!$1:$998,COLUMN(R$1),FALSE),"")</f>
        <v>0</v>
      </c>
      <c r="V92">
        <f>IFERROR(VLOOKUP($C92,武器!$1:$998,COLUMN(Q$1),FALSE),"")</f>
        <v>0</v>
      </c>
      <c r="W92" t="str">
        <f>IFERROR(VLOOKUP($C92,武器!$1:$998,COLUMN(T$1),FALSE),"")</f>
        <v>A</v>
      </c>
      <c r="Y92">
        <f>IFERROR(VLOOKUP($C92,武器!$1:$998,COLUMN(U$1),FALSE),"")</f>
        <v>0</v>
      </c>
      <c r="Z92">
        <f>IFERROR(ROUNDUP(VLOOKUP($C92,武器!$1:$998,COLUMN(O$1),FALSE)*VLOOKUP($D92,素材!$1:$1016,COLUMN(E$1),FALSE),1),"")</f>
        <v>0</v>
      </c>
      <c r="AA92">
        <f>IF(ISNUMBER(SEARCH(SUBSTITUTE(AA$1,RIGHT(AA$1,2),""),VLOOKUP($D92,素材!$1:$1016,COLUMN($F$1),FALSE))),VLOOKUP($C92,武器!$1:$998,COLUMN($O$1),FALSE)*VLOOKUP($D92,素材!$1:$1016,COLUMN($E$1),FALSE)/(LEN(VLOOKUP($D92,素材!$1:$1016,COLUMN($F$1),FALSE))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B92">
        <f>IF(ISNUMBER(SEARCH(SUBSTITUTE(AB$1,RIGHT(AB$1,2),""),VLOOKUP($D92,素材!$1:$1016,COLUMN($F$1),FALSE))),VLOOKUP($C92,武器!$1:$998,COLUMN($O$1),FALSE)*VLOOKUP($D92,素材!$1:$1016,COLUMN($E$1),FALSE)/(LEN(VLOOKUP($D92,素材!$1:$1016,COLUMN($F$1),FALSE))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C92">
        <f>IF(ISNUMBER(SEARCH(SUBSTITUTE(AC$1,RIGHT(AC$1,2),""),VLOOKUP($D92,素材!$1:$1016,COLUMN($F$1),FALSE))),VLOOKUP($C92,武器!$1:$998,COLUMN($O$1),FALSE)*VLOOKUP($D92,素材!$1:$1016,COLUMN($E$1),FALSE)/(LEN(VLOOKUP($D92,素材!$1:$1016,COLUMN($F$1),FALSE))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D92">
        <f>IF(ISNUMBER(SEARCH(SUBSTITUTE(AD$1,RIGHT(AD$1,2),""),VLOOKUP($D92,素材!$1:$1016,COLUMN($F$1),FALSE))),VLOOKUP($C92,武器!$1:$998,COLUMN($O$1),FALSE)*VLOOKUP($D92,素材!$1:$1016,COLUMN($E$1),FALSE)/(LEN(VLOOKUP($D92,素材!$1:$1016,COLUMN($F$1),FALSE))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E92">
        <f>IF(ISNUMBER(SEARCH(SUBSTITUTE(AE$1,RIGHT(AE$1,2),""),VLOOKUP($D92,素材!$1:$1016,COLUMN($F$1),FALSE))),VLOOKUP($C92,武器!$1:$998,COLUMN($O$1),FALSE)*VLOOKUP($D92,素材!$1:$1016,COLUMN($E$1),FALSE)/(LEN(VLOOKUP($D92,素材!$1:$1016,COLUMN($F$1),FALSE))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F92">
        <f>IF(ISNUMBER(SEARCH(SUBSTITUTE(AF$1,RIGHT(AF$1,2),""),VLOOKUP($D92,素材!$1:$1016,COLUMN($F$1),FALSE))),VLOOKUP($C92,武器!$1:$998,COLUMN($O$1),FALSE)*VLOOKUP($D92,素材!$1:$1016,COLUMN($E$1),FALSE)/(LEN(VLOOKUP($D92,素材!$1:$1016,COLUMN($F$1),FALSE))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G92">
        <f>IF(ISNUMBER(SEARCH(SUBSTITUTE(AG$1,RIGHT(AG$1,2),""),VLOOKUP($D92,素材!$1:$1016,COLUMN($F$1),FALSE))),VLOOKUP($C92,武器!$1:$998,COLUMN($O$1),FALSE)*VLOOKUP($D92,素材!$1:$1016,COLUMN($E$1),FALSE)/(LEN(VLOOKUP($D92,素材!$1:$1016,COLUMN($F$1),FALSE))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H92">
        <f>IF(ISNUMBER(SEARCH(SUBSTITUTE(AH$1,RIGHT(AH$1,2),""),VLOOKUP($D92,素材!$1:$1016,COLUMN($F$1),FALSE))),VLOOKUP($C92,武器!$1:$998,COLUMN($O$1),FALSE)*VLOOKUP($D92,素材!$1:$1016,COLUMN($E$1),FALSE)/(LEN(VLOOKUP($D92,素材!$1:$1016,COLUMN($F$1),FALSE))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I92">
        <f>IF(ISNUMBER(SEARCH(SUBSTITUTE(AI$1,RIGHT(AI$1,2),""),VLOOKUP($D92,素材!$1:$1016,COLUMN($F$1),FALSE))),VLOOKUP($C92,武器!$1:$998,COLUMN($O$1),FALSE)*VLOOKUP($D92,素材!$1:$1016,COLUMN($E$1),FALSE)/(LEN(VLOOKUP($D92,素材!$1:$1016,COLUMN($F$1),FALSE))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J92">
        <f>IF(ISNUMBER(SEARCH(SUBSTITUTE(AJ$1,RIGHT(AJ$1,2),""),VLOOKUP($D92,素材!$1:$1016,COLUMN($F$1),FALSE))),VLOOKUP($C92,武器!$1:$998,COLUMN($O$1),FALSE)*VLOOKUP($D92,素材!$1:$1016,COLUMN($E$1),FALSE)/(LEN(VLOOKUP($D92,素材!$1:$1016,COLUMN($F$1),FALSE))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K92">
        <f>IF(ISNUMBER(SEARCH(SUBSTITUTE(AK$1,RIGHT(AK$1,2),""),VLOOKUP($D92,素材!$1:$1016,COLUMN($F$1),FALSE))),VLOOKUP($C92,武器!$1:$998,COLUMN($O$1),FALSE)*VLOOKUP($D92,素材!$1:$1016,COLUMN($E$1),FALSE)/(LEN(VLOOKUP($D92,素材!$1:$1016,COLUMN($F$1),FALSE))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L92">
        <f>IF(ISNUMBER(SEARCH(SUBSTITUTE(AL$1,RIGHT(AL$1,2),""),VLOOKUP($D92,素材!$1:$1016,COLUMN($F$1),FALSE))),VLOOKUP($C92,武器!$1:$998,COLUMN($O$1),FALSE)*VLOOKUP($D92,素材!$1:$1016,COLUMN($E$1),FALSE)/(LEN(VLOOKUP($D92,素材!$1:$1016,COLUMN($F$1),FALSE))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M92">
        <f>IF(ISNUMBER(SEARCH(SUBSTITUTE(AM$1,RIGHT(AM$1,2),""),VLOOKUP($D92,素材!$1:$1016,COLUMN($F$1),FALSE))),VLOOKUP($C92,武器!$1:$998,COLUMN($O$1),FALSE)*VLOOKUP($D92,素材!$1:$1016,COLUMN($E$1),FALSE)/(LEN(VLOOKUP($D92,素材!$1:$1016,COLUMN($F$1),FALSE))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N92">
        <f>IF(ISNUMBER(SEARCH(SUBSTITUTE(AN$1,RIGHT(AN$1,2),""),VLOOKUP($D92,素材!$1:$1016,COLUMN($F$1),FALSE))),VLOOKUP($C92,武器!$1:$998,COLUMN($O$1),FALSE)*VLOOKUP($D92,素材!$1:$1016,COLUMN($E$1),FALSE)/(LEN(VLOOKUP($D92,素材!$1:$1016,COLUMN($F$1),FALSE))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O92">
        <f>IF(ISNUMBER(SEARCH(SUBSTITUTE(AO$1,RIGHT(AO$1,2),""),VLOOKUP($D92,素材!$1:$1016,COLUMN($F$1),FALSE))),VLOOKUP($C92,武器!$1:$998,COLUMN($O$1),FALSE)*VLOOKUP($D92,素材!$1:$1016,COLUMN($E$1),FALSE)/(LEN(VLOOKUP($D92,素材!$1:$1016,COLUMN($F$1),FALSE))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P92">
        <f>IF(ISNUMBER(SEARCH(SUBSTITUTE(AP$1,RIGHT(AP$1,2),""),VLOOKUP($D92,素材!$1:$1016,COLUMN($F$1),FALSE))),VLOOKUP($C92,武器!$1:$998,COLUMN($O$1),FALSE)*VLOOKUP($D92,素材!$1:$1016,COLUMN($E$1),FALSE)/(LEN(VLOOKUP($D92,素材!$1:$1016,COLUMN($F$1),FALSE))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Q92">
        <f>IF(ISNUMBER(SEARCH(SUBSTITUTE(AQ$1,RIGHT(AQ$1,2),""),VLOOKUP($D92,素材!$1:$1016,COLUMN($F$1),FALSE))),VLOOKUP($C92,武器!$1:$998,COLUMN($O$1),FALSE)*VLOOKUP($D92,素材!$1:$1016,COLUMN($E$1),FALSE)/(LEN(VLOOKUP($D92,素材!$1:$1016,COLUMN($F$1),FALSE))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R92">
        <f>IF(ISNUMBER(SEARCH(SUBSTITUTE(AR$1,RIGHT(AR$1,2),""),VLOOKUP($D92,素材!$1:$1016,COLUMN($F$1),FALSE))),VLOOKUP($C92,武器!$1:$998,COLUMN($O$1),FALSE)*VLOOKUP($D92,素材!$1:$1016,COLUMN($E$1),FALSE)/(LEN(VLOOKUP($D92,素材!$1:$1016,COLUMN($F$1),FALSE))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S92">
        <f>IF(ISNUMBER(SEARCH(SUBSTITUTE(AS$1,RIGHT(AS$1,2),""),VLOOKUP($D92,素材!$1:$1016,COLUMN($F$1),FALSE))),VLOOKUP($C92,武器!$1:$998,COLUMN($O$1),FALSE)*VLOOKUP($D92,素材!$1:$1016,COLUMN($E$1),FALSE)/(LEN(VLOOKUP($D92,素材!$1:$1016,COLUMN($F$1),FALSE))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T92">
        <f>IF(ISNUMBER(SEARCH(SUBSTITUTE(AT$1,RIGHT(AT$1,2),""),VLOOKUP($D92,素材!$1:$1016,COLUMN($F$1),FALSE))),VLOOKUP($C92,武器!$1:$998,COLUMN($O$1),FALSE)*VLOOKUP($D92,素材!$1:$1016,COLUMN($E$1),FALSE)/(LEN(VLOOKUP($D92,素材!$1:$1016,COLUMN($F$1),FALSE))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U92">
        <f>IF(ISNUMBER(SEARCH(SUBSTITUTE(AU$1,RIGHT(AU$1,2),""),VLOOKUP($D92,素材!$1:$1016,COLUMN($F$1),FALSE))),VLOOKUP($C92,武器!$1:$998,COLUMN($O$1),FALSE)*VLOOKUP($D92,素材!$1:$1016,COLUMN($E$1),FALSE)/(LEN(VLOOKUP($D92,素材!$1:$1016,COLUMN($F$1),FALSE))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V92">
        <f>IF(ISNUMBER(SEARCH(SUBSTITUTE(AV$1,RIGHT(AV$1,2),""),VLOOKUP($D92,素材!$1:$1016,COLUMN($F$1),FALSE))),VLOOKUP($C92,武器!$1:$998,COLUMN($O$1),FALSE)*VLOOKUP($D92,素材!$1:$1016,COLUMN($E$1),FALSE)/(LEN(VLOOKUP($D92,素材!$1:$1016,COLUMN($F$1),FALSE))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W92">
        <f>IF(ISNUMBER(SEARCH(SUBSTITUTE(AW$1,RIGHT(AW$1,2),""),VLOOKUP($D92,素材!$1:$1016,COLUMN($F$1),FALSE))),VLOOKUP($C92,武器!$1:$998,COLUMN($O$1),FALSE)*VLOOKUP($D92,素材!$1:$1016,COLUMN($E$1),FALSE)/(LEN(VLOOKUP($D92,素材!$1:$1016,COLUMN($F$1),FALSE))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X92">
        <f>IF(ISNUMBER(SEARCH(SUBSTITUTE(AX$1,RIGHT(AX$1,2),""),VLOOKUP($D92,素材!$1:$1016,COLUMN($F$1),FALSE))),VLOOKUP($C92,武器!$1:$998,COLUMN($O$1),FALSE)*VLOOKUP($D92,素材!$1:$1016,COLUMN($E$1),FALSE)/(LEN(VLOOKUP($D92,素材!$1:$1016,COLUMN($F$1),FALSE))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Y92">
        <f>IF(ISNUMBER(SEARCH(SUBSTITUTE(AY$1,RIGHT(AY$1,2),""),VLOOKUP($D92,素材!$1:$1016,COLUMN($F$1),FALSE))),VLOOKUP($C92,武器!$1:$998,COLUMN($O$1),FALSE)*VLOOKUP($D92,素材!$1:$1016,COLUMN($E$1),FALSE)/(LEN(VLOOKUP($D92,素材!$1:$1016,COLUMN($F$1),FALSE))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AZ92">
        <f>IF(ISNUMBER(SEARCH(SUBSTITUTE(AZ$1,RIGHT(AZ$1,2),""),VLOOKUP($D92,素材!$1:$1016,COLUMN($F$1),FALSE))),VLOOKUP($C92,武器!$1:$998,COLUMN($O$1),FALSE)*VLOOKUP($D92,素材!$1:$1016,COLUMN($E$1),FALSE)/(LEN(VLOOKUP($D92,素材!$1:$1016,COLUMN($F$1),FALSE))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BA92">
        <f>IF(ISNUMBER(SEARCH(SUBSTITUTE(BA$1,RIGHT(BA$1,2),""),VLOOKUP($D92,素材!$1:$1016,COLUMN($F$1),FALSE))),VLOOKUP($C92,武器!$1:$998,COLUMN($O$1),FALSE)*VLOOKUP($D92,素材!$1:$1016,COLUMN($E$1),FALSE)/(LEN(VLOOKUP($D92,素材!$1:$1016,COLUMN($F$1),FALSE))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BB92">
        <f>IF(ISNUMBER(SEARCH(SUBSTITUTE(BB$1,RIGHT(BB$1,2),""),VLOOKUP($D92,素材!$1:$1016,COLUMN($F$1),FALSE))),VLOOKUP($C92,武器!$1:$998,COLUMN($O$1),FALSE)*VLOOKUP($D92,素材!$1:$1016,COLUMN($E$1),FALSE)/(LEN(VLOOKUP($D92,素材!$1:$1016,COLUMN($F$1),FALSE))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BC92">
        <f>IF(ISNUMBER(SEARCH(SUBSTITUTE(BC$1,RIGHT(BC$1,2),""),VLOOKUP($D92,素材!$1:$1016,COLUMN($F$1),FALSE))),VLOOKUP($C92,武器!$1:$998,COLUMN($O$1),FALSE)*VLOOKUP($D92,素材!$1:$1016,COLUMN($E$1),FALSE)/(LEN(VLOOKUP($D92,素材!$1:$1016,COLUMN($F$1),FALSE))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BD92">
        <f>IF(ISNUMBER(SEARCH(SUBSTITUTE(BD$1,RIGHT(BD$1,2),""),VLOOKUP($D92,素材!$1:$1016,COLUMN($F$1),FALSE))),VLOOKUP($C92,武器!$1:$998,COLUMN($O$1),FALSE)*VLOOKUP($D92,素材!$1:$1016,COLUMN($E$1),FALSE)/(LEN(VLOOKUP($D92,素材!$1:$1016,COLUMN($F$1),FALSE))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BE92">
        <f>IF(ISNUMBER(SEARCH(SUBSTITUTE(BE$1,RIGHT(BE$1,2),""),VLOOKUP($D92,素材!$1:$1016,COLUMN($F$1),FALSE))),VLOOKUP($C92,武器!$1:$998,COLUMN($O$1),FALSE)*VLOOKUP($D92,素材!$1:$1016,COLUMN($E$1),FALSE)/(LEN(VLOOKUP($D92,素材!$1:$1016,COLUMN($F$1),FALSE))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BF92">
        <f>IF(ISNUMBER(SEARCH(SUBSTITUTE(BF$1,RIGHT(BF$1,2),""),VLOOKUP($D92,素材!$1:$1016,COLUMN($F$1),FALSE))),VLOOKUP($C92,武器!$1:$998,COLUMN($O$1),FALSE)*VLOOKUP($D92,素材!$1:$1016,COLUMN($E$1),FALSE)/(LEN(VLOOKUP($D92,素材!$1:$1016,COLUMN($F$1),FALSE)) - LEN(SUBSTITUTE(VLOOKUP($D92,素材!$1:$1016,COLUMN($F$1),FALSE), "・", 0)) + 1), 0)</f>
        <v>0</v>
      </c>
      <c r="CM92">
        <f t="shared" si="8"/>
        <v>32</v>
      </c>
      <c r="CN92" s="22" t="str">
        <f>IF(E92="武器",IF(J92-1&gt;SUM(G92:I92),"盾",IF(MAX(G92:I92)=G92,"切断",IF(MAX(G92:I92)=H92,"貫通",IF(MAX(G92:I92)=I92,"打撃","射撃")))),E92)&amp;".webp"</f>
        <v>貫通.webp</v>
      </c>
      <c r="CO92">
        <f>IFERROR(VLOOKUP($C92,武器!$1:$998,COLUMN(V$1),FALSE)*VLOOKUP($D92,素材!$1:$1016,COLUMN(N$1),FALSE)+IF(CJ92="",0,VLOOKUP($CJ92,装強!$1:$1008,COLUMN($CL$1),FALSE)),"")</f>
        <v>900</v>
      </c>
      <c r="CP92" t="str">
        <f>VLOOKUP(D92,素材!$A:$O,COLUMN(素材!O$1),FALSE)</f>
        <v>鍛えられた鉄。硬度が高く安価なためよく使用される。</v>
      </c>
      <c r="CQ92" t="str">
        <f>VLOOKUP(C92,武器!$A:$W,COLUMN(武器!W$1),FALSE)</f>
        <v>棘棍。打撃と刺突を兼ね備えた武器。</v>
      </c>
      <c r="CS92" t="str">
        <f t="shared" si="7"/>
        <v>e_92</v>
      </c>
      <c r="CT92">
        <f t="shared" si="9"/>
        <v>90000</v>
      </c>
    </row>
    <row r="93" spans="1:98" outlineLevel="1" x14ac:dyDescent="0.4">
      <c r="A93" t="str">
        <f t="shared" si="6"/>
        <v>鋼の鎚</v>
      </c>
      <c r="B93" t="str">
        <f>IFERROR(VLOOKUP($D93,素材!$1:$1016,COLUMN($B$1),FALSE)&amp;"・"&amp;VLOOKUP($C93,武器!$1:$998,COLUMN(B$1),FALSE),"")</f>
        <v>スチール・ハンマー</v>
      </c>
      <c r="C93" t="s">
        <v>227</v>
      </c>
      <c r="D93" s="24" t="s">
        <v>253</v>
      </c>
      <c r="E93" t="str">
        <f>IFERROR(VLOOKUP(C93,武器!$1:$998,COLUMN(C$1),FALSE),"")</f>
        <v>武器</v>
      </c>
      <c r="F93">
        <f>IFERROR(ROUNDDOWN((VLOOKUP($C93,武器!$1:$998,COLUMN(D$1),FALSE)+IFERROR(VLOOKUP($CJ93,装強!$1:$999,COLUMN(F$1),FALSE),0))*VLOOKUP($D93,素材!$1:$1016,COLUMN(D$1),FALSE),0),"")</f>
        <v>115</v>
      </c>
      <c r="G93">
        <f>IFERROR(ROUNDDOWN((VLOOKUP($C93,武器!$1:$998,COLUMN(E$1),FALSE)+IFERROR(VLOOKUP($CJ93,装強!$1:$999,COLUMN(G$1),FALSE),0))*VLOOKUP($D93,素材!$1:$1016,COLUMN($E$1),FALSE),0),"")</f>
        <v>0</v>
      </c>
      <c r="H93">
        <f>IFERROR(ROUNDDOWN((VLOOKUP($C93,武器!$1:$998,COLUMN(F$1),FALSE)+IFERROR(VLOOKUP($CJ93,装強!$1:$999,COLUMN(H$1),FALSE),0))*VLOOKUP($D93,素材!$1:$1016,COLUMN($E$1),FALSE),0),"")</f>
        <v>0</v>
      </c>
      <c r="I93">
        <f>IFERROR(ROUNDDOWN((VLOOKUP($C93,武器!$1:$998,COLUMN(G$1),FALSE)+IFERROR(VLOOKUP($CJ93,装強!$1:$999,COLUMN(I$1),FALSE),0))*VLOOKUP($D93,素材!$1:$1016,COLUMN($E$1),FALSE),0),"")</f>
        <v>29</v>
      </c>
      <c r="J93">
        <f>IFERROR(ROUNDDOWN((VLOOKUP($C93,武器!$1:$998,COLUMN(H$1),FALSE)+IFERROR(VLOOKUP($CJ93,装強!$1:$999,COLUMN(J$1),FALSE),0))*VLOOKUP($D93,素材!$1:$1016,COLUMN($E$1),FALSE),0),"")</f>
        <v>25</v>
      </c>
      <c r="K93">
        <f>IFERROR(ROUNDDOWN((VLOOKUP($C93,武器!$1:$998,COLUMN(I$1),FALSE)+IFERROR(VLOOKUP($CJ93,装強!$1:$999,COLUMN(K$1),FALSE),0))*VLOOKUP($D93,素材!$1:$1016,COLUMN($E$1),FALSE),0),"")</f>
        <v>0</v>
      </c>
      <c r="L93">
        <f>IFERROR(VLOOKUP($D93,素材!$1:$1016,COLUMN($F$1),FALSE),"")</f>
        <v>0</v>
      </c>
      <c r="M93">
        <f>IFERROR(VLOOKUP($C93,武器!$1:$998,COLUMN(AA$1),FALSE)*VLOOKUP($D93,素材!$1:$1016,COLUMN($G$1),FALSE),"")</f>
        <v>0</v>
      </c>
      <c r="N93">
        <f>IFERROR(VLOOKUP($C93,武器!$1:$998,COLUMN(I$1),FALSE),"")</f>
        <v>0</v>
      </c>
      <c r="O93" s="23">
        <f>IFERROR((VLOOKUP($C93,武器!$1:$998,COLUMN(K$1),FALSE)+VLOOKUP($D93,素材!$1:$1016,COLUMN(H$1),FALSE))*100+IFERROR(VLOOKUP($CJ93,装強!$1:$999,COLUMN(O$1),FALSE),0),"")</f>
        <v>10</v>
      </c>
      <c r="P93" s="23">
        <f>IFERROR((VLOOKUP($C93,武器!$1:$998,COLUMN(L$1),FALSE)+VLOOKUP($D93,素材!$1:$1016,COLUMN(I$1),FALSE))*100+IFERROR(VLOOKUP($CJ93,装強!$1:$999,COLUMN(P$1),FALSE),0),"")</f>
        <v>150</v>
      </c>
      <c r="Q93">
        <f>IFERROR(ROUNDUP(VLOOKUP($C93,武器!$1:$998,COLUMN(M$1),FALSE)*(VLOOKUP($D93,素材!$1:$1002,COLUMN(D$1),FALSE)/100),1),"")</f>
        <v>-2.7</v>
      </c>
      <c r="R93">
        <f>IFERROR(ROUNDUP(VLOOKUP($C93,武器!$1:$998,COLUMN(N$1),FALSE)*(VLOOKUP($D93,素材!$1:$1002,COLUMN(D$1),FALSE)/100),1),"")</f>
        <v>0</v>
      </c>
      <c r="S93">
        <f>IFERROR(VLOOKUP($C93,武器!$1:$998,COLUMN(P$1),FALSE),"")</f>
        <v>0</v>
      </c>
      <c r="T93">
        <f>IFERROR(VLOOKUP($C93,武器!$1:$998,COLUMN(Q$1),FALSE),"")</f>
        <v>0</v>
      </c>
      <c r="U93">
        <f>IFERROR(VLOOKUP($C93,武器!$1:$998,COLUMN(R$1),FALSE),"")</f>
        <v>0</v>
      </c>
      <c r="V93">
        <f>IFERROR(VLOOKUP($C93,武器!$1:$998,COLUMN(Q$1),FALSE),"")</f>
        <v>0</v>
      </c>
      <c r="W93" t="str">
        <f>IFERROR(VLOOKUP($C93,武器!$1:$998,COLUMN(T$1),FALSE),"")</f>
        <v>A</v>
      </c>
      <c r="Y93" t="str">
        <f>IFERROR(VLOOKUP($C93,武器!$1:$998,COLUMN(U$1),FALSE),"")</f>
        <v>投擲強化</v>
      </c>
      <c r="Z93">
        <f>IFERROR(ROUNDUP(VLOOKUP($C93,武器!$1:$998,COLUMN(O$1),FALSE)*VLOOKUP($D93,素材!$1:$1016,COLUMN(E$1),FALSE),1),"")</f>
        <v>0</v>
      </c>
      <c r="AA93">
        <f>IF(ISNUMBER(SEARCH(SUBSTITUTE(AA$1,RIGHT(AA$1,2),""),VLOOKUP($D93,素材!$1:$1016,COLUMN($F$1),FALSE))),VLOOKUP($C93,武器!$1:$998,COLUMN($O$1),FALSE)*VLOOKUP($D93,素材!$1:$1016,COLUMN($E$1),FALSE)/(LEN(VLOOKUP($D93,素材!$1:$1016,COLUMN($F$1),FALSE))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B93">
        <f>IF(ISNUMBER(SEARCH(SUBSTITUTE(AB$1,RIGHT(AB$1,2),""),VLOOKUP($D93,素材!$1:$1016,COLUMN($F$1),FALSE))),VLOOKUP($C93,武器!$1:$998,COLUMN($O$1),FALSE)*VLOOKUP($D93,素材!$1:$1016,COLUMN($E$1),FALSE)/(LEN(VLOOKUP($D93,素材!$1:$1016,COLUMN($F$1),FALSE))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C93">
        <f>IF(ISNUMBER(SEARCH(SUBSTITUTE(AC$1,RIGHT(AC$1,2),""),VLOOKUP($D93,素材!$1:$1016,COLUMN($F$1),FALSE))),VLOOKUP($C93,武器!$1:$998,COLUMN($O$1),FALSE)*VLOOKUP($D93,素材!$1:$1016,COLUMN($E$1),FALSE)/(LEN(VLOOKUP($D93,素材!$1:$1016,COLUMN($F$1),FALSE))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D93">
        <f>IF(ISNUMBER(SEARCH(SUBSTITUTE(AD$1,RIGHT(AD$1,2),""),VLOOKUP($D93,素材!$1:$1016,COLUMN($F$1),FALSE))),VLOOKUP($C93,武器!$1:$998,COLUMN($O$1),FALSE)*VLOOKUP($D93,素材!$1:$1016,COLUMN($E$1),FALSE)/(LEN(VLOOKUP($D93,素材!$1:$1016,COLUMN($F$1),FALSE))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E93">
        <f>IF(ISNUMBER(SEARCH(SUBSTITUTE(AE$1,RIGHT(AE$1,2),""),VLOOKUP($D93,素材!$1:$1016,COLUMN($F$1),FALSE))),VLOOKUP($C93,武器!$1:$998,COLUMN($O$1),FALSE)*VLOOKUP($D93,素材!$1:$1016,COLUMN($E$1),FALSE)/(LEN(VLOOKUP($D93,素材!$1:$1016,COLUMN($F$1),FALSE))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F93">
        <f>IF(ISNUMBER(SEARCH(SUBSTITUTE(AF$1,RIGHT(AF$1,2),""),VLOOKUP($D93,素材!$1:$1016,COLUMN($F$1),FALSE))),VLOOKUP($C93,武器!$1:$998,COLUMN($O$1),FALSE)*VLOOKUP($D93,素材!$1:$1016,COLUMN($E$1),FALSE)/(LEN(VLOOKUP($D93,素材!$1:$1016,COLUMN($F$1),FALSE))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G93">
        <f>IF(ISNUMBER(SEARCH(SUBSTITUTE(AG$1,RIGHT(AG$1,2),""),VLOOKUP($D93,素材!$1:$1016,COLUMN($F$1),FALSE))),VLOOKUP($C93,武器!$1:$998,COLUMN($O$1),FALSE)*VLOOKUP($D93,素材!$1:$1016,COLUMN($E$1),FALSE)/(LEN(VLOOKUP($D93,素材!$1:$1016,COLUMN($F$1),FALSE))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H93">
        <f>IF(ISNUMBER(SEARCH(SUBSTITUTE(AH$1,RIGHT(AH$1,2),""),VLOOKUP($D93,素材!$1:$1016,COLUMN($F$1),FALSE))),VLOOKUP($C93,武器!$1:$998,COLUMN($O$1),FALSE)*VLOOKUP($D93,素材!$1:$1016,COLUMN($E$1),FALSE)/(LEN(VLOOKUP($D93,素材!$1:$1016,COLUMN($F$1),FALSE))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I93">
        <f>IF(ISNUMBER(SEARCH(SUBSTITUTE(AI$1,RIGHT(AI$1,2),""),VLOOKUP($D93,素材!$1:$1016,COLUMN($F$1),FALSE))),VLOOKUP($C93,武器!$1:$998,COLUMN($O$1),FALSE)*VLOOKUP($D93,素材!$1:$1016,COLUMN($E$1),FALSE)/(LEN(VLOOKUP($D93,素材!$1:$1016,COLUMN($F$1),FALSE))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J93">
        <f>IF(ISNUMBER(SEARCH(SUBSTITUTE(AJ$1,RIGHT(AJ$1,2),""),VLOOKUP($D93,素材!$1:$1016,COLUMN($F$1),FALSE))),VLOOKUP($C93,武器!$1:$998,COLUMN($O$1),FALSE)*VLOOKUP($D93,素材!$1:$1016,COLUMN($E$1),FALSE)/(LEN(VLOOKUP($D93,素材!$1:$1016,COLUMN($F$1),FALSE))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K93">
        <f>IF(ISNUMBER(SEARCH(SUBSTITUTE(AK$1,RIGHT(AK$1,2),""),VLOOKUP($D93,素材!$1:$1016,COLUMN($F$1),FALSE))),VLOOKUP($C93,武器!$1:$998,COLUMN($O$1),FALSE)*VLOOKUP($D93,素材!$1:$1016,COLUMN($E$1),FALSE)/(LEN(VLOOKUP($D93,素材!$1:$1016,COLUMN($F$1),FALSE))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L93">
        <f>IF(ISNUMBER(SEARCH(SUBSTITUTE(AL$1,RIGHT(AL$1,2),""),VLOOKUP($D93,素材!$1:$1016,COLUMN($F$1),FALSE))),VLOOKUP($C93,武器!$1:$998,COLUMN($O$1),FALSE)*VLOOKUP($D93,素材!$1:$1016,COLUMN($E$1),FALSE)/(LEN(VLOOKUP($D93,素材!$1:$1016,COLUMN($F$1),FALSE))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M93">
        <f>IF(ISNUMBER(SEARCH(SUBSTITUTE(AM$1,RIGHT(AM$1,2),""),VLOOKUP($D93,素材!$1:$1016,COLUMN($F$1),FALSE))),VLOOKUP($C93,武器!$1:$998,COLUMN($O$1),FALSE)*VLOOKUP($D93,素材!$1:$1016,COLUMN($E$1),FALSE)/(LEN(VLOOKUP($D93,素材!$1:$1016,COLUMN($F$1),FALSE))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N93">
        <f>IF(ISNUMBER(SEARCH(SUBSTITUTE(AN$1,RIGHT(AN$1,2),""),VLOOKUP($D93,素材!$1:$1016,COLUMN($F$1),FALSE))),VLOOKUP($C93,武器!$1:$998,COLUMN($O$1),FALSE)*VLOOKUP($D93,素材!$1:$1016,COLUMN($E$1),FALSE)/(LEN(VLOOKUP($D93,素材!$1:$1016,COLUMN($F$1),FALSE))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O93">
        <f>IF(ISNUMBER(SEARCH(SUBSTITUTE(AO$1,RIGHT(AO$1,2),""),VLOOKUP($D93,素材!$1:$1016,COLUMN($F$1),FALSE))),VLOOKUP($C93,武器!$1:$998,COLUMN($O$1),FALSE)*VLOOKUP($D93,素材!$1:$1016,COLUMN($E$1),FALSE)/(LEN(VLOOKUP($D93,素材!$1:$1016,COLUMN($F$1),FALSE))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P93">
        <f>IF(ISNUMBER(SEARCH(SUBSTITUTE(AP$1,RIGHT(AP$1,2),""),VLOOKUP($D93,素材!$1:$1016,COLUMN($F$1),FALSE))),VLOOKUP($C93,武器!$1:$998,COLUMN($O$1),FALSE)*VLOOKUP($D93,素材!$1:$1016,COLUMN($E$1),FALSE)/(LEN(VLOOKUP($D93,素材!$1:$1016,COLUMN($F$1),FALSE))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Q93">
        <f>IF(ISNUMBER(SEARCH(SUBSTITUTE(AQ$1,RIGHT(AQ$1,2),""),VLOOKUP($D93,素材!$1:$1016,COLUMN($F$1),FALSE))),VLOOKUP($C93,武器!$1:$998,COLUMN($O$1),FALSE)*VLOOKUP($D93,素材!$1:$1016,COLUMN($E$1),FALSE)/(LEN(VLOOKUP($D93,素材!$1:$1016,COLUMN($F$1),FALSE))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R93">
        <f>IF(ISNUMBER(SEARCH(SUBSTITUTE(AR$1,RIGHT(AR$1,2),""),VLOOKUP($D93,素材!$1:$1016,COLUMN($F$1),FALSE))),VLOOKUP($C93,武器!$1:$998,COLUMN($O$1),FALSE)*VLOOKUP($D93,素材!$1:$1016,COLUMN($E$1),FALSE)/(LEN(VLOOKUP($D93,素材!$1:$1016,COLUMN($F$1),FALSE))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S93">
        <f>IF(ISNUMBER(SEARCH(SUBSTITUTE(AS$1,RIGHT(AS$1,2),""),VLOOKUP($D93,素材!$1:$1016,COLUMN($F$1),FALSE))),VLOOKUP($C93,武器!$1:$998,COLUMN($O$1),FALSE)*VLOOKUP($D93,素材!$1:$1016,COLUMN($E$1),FALSE)/(LEN(VLOOKUP($D93,素材!$1:$1016,COLUMN($F$1),FALSE))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T93">
        <f>IF(ISNUMBER(SEARCH(SUBSTITUTE(AT$1,RIGHT(AT$1,2),""),VLOOKUP($D93,素材!$1:$1016,COLUMN($F$1),FALSE))),VLOOKUP($C93,武器!$1:$998,COLUMN($O$1),FALSE)*VLOOKUP($D93,素材!$1:$1016,COLUMN($E$1),FALSE)/(LEN(VLOOKUP($D93,素材!$1:$1016,COLUMN($F$1),FALSE))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U93">
        <f>IF(ISNUMBER(SEARCH(SUBSTITUTE(AU$1,RIGHT(AU$1,2),""),VLOOKUP($D93,素材!$1:$1016,COLUMN($F$1),FALSE))),VLOOKUP($C93,武器!$1:$998,COLUMN($O$1),FALSE)*VLOOKUP($D93,素材!$1:$1016,COLUMN($E$1),FALSE)/(LEN(VLOOKUP($D93,素材!$1:$1016,COLUMN($F$1),FALSE))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V93">
        <f>IF(ISNUMBER(SEARCH(SUBSTITUTE(AV$1,RIGHT(AV$1,2),""),VLOOKUP($D93,素材!$1:$1016,COLUMN($F$1),FALSE))),VLOOKUP($C93,武器!$1:$998,COLUMN($O$1),FALSE)*VLOOKUP($D93,素材!$1:$1016,COLUMN($E$1),FALSE)/(LEN(VLOOKUP($D93,素材!$1:$1016,COLUMN($F$1),FALSE))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W93">
        <f>IF(ISNUMBER(SEARCH(SUBSTITUTE(AW$1,RIGHT(AW$1,2),""),VLOOKUP($D93,素材!$1:$1016,COLUMN($F$1),FALSE))),VLOOKUP($C93,武器!$1:$998,COLUMN($O$1),FALSE)*VLOOKUP($D93,素材!$1:$1016,COLUMN($E$1),FALSE)/(LEN(VLOOKUP($D93,素材!$1:$1016,COLUMN($F$1),FALSE))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X93">
        <f>IF(ISNUMBER(SEARCH(SUBSTITUTE(AX$1,RIGHT(AX$1,2),""),VLOOKUP($D93,素材!$1:$1016,COLUMN($F$1),FALSE))),VLOOKUP($C93,武器!$1:$998,COLUMN($O$1),FALSE)*VLOOKUP($D93,素材!$1:$1016,COLUMN($E$1),FALSE)/(LEN(VLOOKUP($D93,素材!$1:$1016,COLUMN($F$1),FALSE))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Y93">
        <f>IF(ISNUMBER(SEARCH(SUBSTITUTE(AY$1,RIGHT(AY$1,2),""),VLOOKUP($D93,素材!$1:$1016,COLUMN($F$1),FALSE))),VLOOKUP($C93,武器!$1:$998,COLUMN($O$1),FALSE)*VLOOKUP($D93,素材!$1:$1016,COLUMN($E$1),FALSE)/(LEN(VLOOKUP($D93,素材!$1:$1016,COLUMN($F$1),FALSE))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AZ93">
        <f>IF(ISNUMBER(SEARCH(SUBSTITUTE(AZ$1,RIGHT(AZ$1,2),""),VLOOKUP($D93,素材!$1:$1016,COLUMN($F$1),FALSE))),VLOOKUP($C93,武器!$1:$998,COLUMN($O$1),FALSE)*VLOOKUP($D93,素材!$1:$1016,COLUMN($E$1),FALSE)/(LEN(VLOOKUP($D93,素材!$1:$1016,COLUMN($F$1),FALSE))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BA93">
        <f>IF(ISNUMBER(SEARCH(SUBSTITUTE(BA$1,RIGHT(BA$1,2),""),VLOOKUP($D93,素材!$1:$1016,COLUMN($F$1),FALSE))),VLOOKUP($C93,武器!$1:$998,COLUMN($O$1),FALSE)*VLOOKUP($D93,素材!$1:$1016,COLUMN($E$1),FALSE)/(LEN(VLOOKUP($D93,素材!$1:$1016,COLUMN($F$1),FALSE))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BB93">
        <f>IF(ISNUMBER(SEARCH(SUBSTITUTE(BB$1,RIGHT(BB$1,2),""),VLOOKUP($D93,素材!$1:$1016,COLUMN($F$1),FALSE))),VLOOKUP($C93,武器!$1:$998,COLUMN($O$1),FALSE)*VLOOKUP($D93,素材!$1:$1016,COLUMN($E$1),FALSE)/(LEN(VLOOKUP($D93,素材!$1:$1016,COLUMN($F$1),FALSE))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BC93">
        <f>IF(ISNUMBER(SEARCH(SUBSTITUTE(BC$1,RIGHT(BC$1,2),""),VLOOKUP($D93,素材!$1:$1016,COLUMN($F$1),FALSE))),VLOOKUP($C93,武器!$1:$998,COLUMN($O$1),FALSE)*VLOOKUP($D93,素材!$1:$1016,COLUMN($E$1),FALSE)/(LEN(VLOOKUP($D93,素材!$1:$1016,COLUMN($F$1),FALSE))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BD93">
        <f>IF(ISNUMBER(SEARCH(SUBSTITUTE(BD$1,RIGHT(BD$1,2),""),VLOOKUP($D93,素材!$1:$1016,COLUMN($F$1),FALSE))),VLOOKUP($C93,武器!$1:$998,COLUMN($O$1),FALSE)*VLOOKUP($D93,素材!$1:$1016,COLUMN($E$1),FALSE)/(LEN(VLOOKUP($D93,素材!$1:$1016,COLUMN($F$1),FALSE))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BE93">
        <f>IF(ISNUMBER(SEARCH(SUBSTITUTE(BE$1,RIGHT(BE$1,2),""),VLOOKUP($D93,素材!$1:$1016,COLUMN($F$1),FALSE))),VLOOKUP($C93,武器!$1:$998,COLUMN($O$1),FALSE)*VLOOKUP($D93,素材!$1:$1016,COLUMN($E$1),FALSE)/(LEN(VLOOKUP($D93,素材!$1:$1016,COLUMN($F$1),FALSE))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BF93">
        <f>IF(ISNUMBER(SEARCH(SUBSTITUTE(BF$1,RIGHT(BF$1,2),""),VLOOKUP($D93,素材!$1:$1016,COLUMN($F$1),FALSE))),VLOOKUP($C93,武器!$1:$998,COLUMN($O$1),FALSE)*VLOOKUP($D93,素材!$1:$1016,COLUMN($E$1),FALSE)/(LEN(VLOOKUP($D93,素材!$1:$1016,COLUMN($F$1),FALSE)) - LEN(SUBSTITUTE(VLOOKUP($D93,素材!$1:$1016,COLUMN($F$1),FALSE), "・", 0)) + 1), 0)</f>
        <v>0</v>
      </c>
      <c r="CM93">
        <f t="shared" si="8"/>
        <v>29</v>
      </c>
      <c r="CN93" s="22" t="str">
        <f>IF(E93="武器",IF(J93-1&gt;SUM(G93:I93),"盾",IF(MAX(G93:I93)=G93,"切断",IF(MAX(G93:I93)=H93,"貫通",IF(MAX(G93:I93)=I93,"打撃","射撃")))),E93)&amp;".webp"</f>
        <v>打撃.webp</v>
      </c>
      <c r="CO93">
        <f>IFERROR(VLOOKUP($C93,武器!$1:$998,COLUMN(V$1),FALSE)*VLOOKUP($D93,素材!$1:$1016,COLUMN(N$1),FALSE)+IF(CJ93="",0,VLOOKUP($CJ93,装強!$1:$1008,COLUMN($CL$1),FALSE)),"")</f>
        <v>900</v>
      </c>
      <c r="CP93" t="str">
        <f>VLOOKUP(D93,素材!$A:$O,COLUMN(素材!O$1),FALSE)</f>
        <v>鍛えられた鉄。硬度が高く安価なためよく使用される。</v>
      </c>
      <c r="CQ93" t="str">
        <f>VLOOKUP(C93,武器!$A:$W,COLUMN(武器!W$1),FALSE)</f>
        <v>鎚。打撃力に優れ、投擲にも対応。</v>
      </c>
      <c r="CS93" t="str">
        <f t="shared" si="7"/>
        <v>e_93</v>
      </c>
      <c r="CT93">
        <f t="shared" si="9"/>
        <v>90000</v>
      </c>
    </row>
    <row r="94" spans="1:98" outlineLevel="1" x14ac:dyDescent="0.4">
      <c r="A94" t="str">
        <f t="shared" si="6"/>
        <v>鋼の戦鎚</v>
      </c>
      <c r="B94" t="str">
        <f>IFERROR(VLOOKUP($D94,素材!$1:$1016,COLUMN($B$1),FALSE)&amp;"・"&amp;VLOOKUP($C94,武器!$1:$998,COLUMN(B$1),FALSE),"")</f>
        <v>スチール・ウォーハンマー</v>
      </c>
      <c r="C94" t="s">
        <v>226</v>
      </c>
      <c r="D94" s="24" t="s">
        <v>253</v>
      </c>
      <c r="E94" t="str">
        <f>IFERROR(VLOOKUP(C94,武器!$1:$998,COLUMN(C$1),FALSE),"")</f>
        <v>武器</v>
      </c>
      <c r="F94">
        <f>IFERROR(ROUNDDOWN((VLOOKUP($C94,武器!$1:$998,COLUMN(D$1),FALSE)+IFERROR(VLOOKUP($CJ94,装強!$1:$999,COLUMN(F$1),FALSE),0))*VLOOKUP($D94,素材!$1:$1016,COLUMN(D$1),FALSE),0),"")</f>
        <v>131</v>
      </c>
      <c r="G94">
        <f>IFERROR(ROUNDDOWN((VLOOKUP($C94,武器!$1:$998,COLUMN(E$1),FALSE)+IFERROR(VLOOKUP($CJ94,装強!$1:$999,COLUMN(G$1),FALSE),0))*VLOOKUP($D94,素材!$1:$1016,COLUMN($E$1),FALSE),0),"")</f>
        <v>0</v>
      </c>
      <c r="H94">
        <f>IFERROR(ROUNDDOWN((VLOOKUP($C94,武器!$1:$998,COLUMN(F$1),FALSE)+IFERROR(VLOOKUP($CJ94,装強!$1:$999,COLUMN(H$1),FALSE),0))*VLOOKUP($D94,素材!$1:$1016,COLUMN($E$1),FALSE),0),"")</f>
        <v>0</v>
      </c>
      <c r="I94">
        <f>IFERROR(ROUNDDOWN((VLOOKUP($C94,武器!$1:$998,COLUMN(G$1),FALSE)+IFERROR(VLOOKUP($CJ94,装強!$1:$999,COLUMN(I$1),FALSE),0))*VLOOKUP($D94,素材!$1:$1016,COLUMN($E$1),FALSE),0),"")</f>
        <v>32</v>
      </c>
      <c r="J94">
        <f>IFERROR(ROUNDDOWN((VLOOKUP($C94,武器!$1:$998,COLUMN(H$1),FALSE)+IFERROR(VLOOKUP($CJ94,装強!$1:$999,COLUMN(J$1),FALSE),0))*VLOOKUP($D94,素材!$1:$1016,COLUMN($E$1),FALSE),0),"")</f>
        <v>28</v>
      </c>
      <c r="K94">
        <f>IFERROR(ROUNDDOWN((VLOOKUP($C94,武器!$1:$998,COLUMN(I$1),FALSE)+IFERROR(VLOOKUP($CJ94,装強!$1:$999,COLUMN(K$1),FALSE),0))*VLOOKUP($D94,素材!$1:$1016,COLUMN($E$1),FALSE),0),"")</f>
        <v>0</v>
      </c>
      <c r="L94">
        <f>IFERROR(VLOOKUP($D94,素材!$1:$1016,COLUMN($F$1),FALSE),"")</f>
        <v>0</v>
      </c>
      <c r="M94">
        <f>IFERROR(VLOOKUP($C94,武器!$1:$998,COLUMN(AA$1),FALSE)*VLOOKUP($D94,素材!$1:$1016,COLUMN($G$1),FALSE),"")</f>
        <v>0</v>
      </c>
      <c r="N94">
        <f>IFERROR(VLOOKUP($C94,武器!$1:$998,COLUMN(I$1),FALSE),"")</f>
        <v>0</v>
      </c>
      <c r="O94" s="23">
        <f>IFERROR((VLOOKUP($C94,武器!$1:$998,COLUMN(K$1),FALSE)+VLOOKUP($D94,素材!$1:$1016,COLUMN(H$1),FALSE))*100+IFERROR(VLOOKUP($CJ94,装強!$1:$999,COLUMN(O$1),FALSE),0),"")</f>
        <v>10</v>
      </c>
      <c r="P94" s="23">
        <f>IFERROR((VLOOKUP($C94,武器!$1:$998,COLUMN(L$1),FALSE)+VLOOKUP($D94,素材!$1:$1016,COLUMN(I$1),FALSE))*100+IFERROR(VLOOKUP($CJ94,装強!$1:$999,COLUMN(P$1),FALSE),0),"")</f>
        <v>150</v>
      </c>
      <c r="Q94">
        <f>IFERROR(ROUNDUP(VLOOKUP($C94,武器!$1:$998,COLUMN(M$1),FALSE)*(VLOOKUP($D94,素材!$1:$1002,COLUMN(D$1),FALSE)/100),1),"")</f>
        <v>-5.3</v>
      </c>
      <c r="R94">
        <f>IFERROR(ROUNDUP(VLOOKUP($C94,武器!$1:$998,COLUMN(N$1),FALSE)*(VLOOKUP($D94,素材!$1:$1002,COLUMN(D$1),FALSE)/100),1),"")</f>
        <v>-5.3</v>
      </c>
      <c r="S94">
        <f>IFERROR(VLOOKUP($C94,武器!$1:$998,COLUMN(P$1),FALSE),"")</f>
        <v>0</v>
      </c>
      <c r="T94">
        <f>IFERROR(VLOOKUP($C94,武器!$1:$998,COLUMN(Q$1),FALSE),"")</f>
        <v>0</v>
      </c>
      <c r="U94">
        <f>IFERROR(VLOOKUP($C94,武器!$1:$998,COLUMN(R$1),FALSE),"")</f>
        <v>0</v>
      </c>
      <c r="V94">
        <f>IFERROR(VLOOKUP($C94,武器!$1:$998,COLUMN(Q$1),FALSE),"")</f>
        <v>0</v>
      </c>
      <c r="W94" t="str">
        <f>IFERROR(VLOOKUP($C94,武器!$1:$998,COLUMN(T$1),FALSE),"")</f>
        <v>A</v>
      </c>
      <c r="Y94">
        <f>IFERROR(VLOOKUP($C94,武器!$1:$998,COLUMN(U$1),FALSE),"")</f>
        <v>0</v>
      </c>
      <c r="Z94">
        <f>IFERROR(ROUNDUP(VLOOKUP($C94,武器!$1:$998,COLUMN(O$1),FALSE)*VLOOKUP($D94,素材!$1:$1016,COLUMN(E$1),FALSE),1),"")</f>
        <v>0</v>
      </c>
      <c r="AA94">
        <f>IF(ISNUMBER(SEARCH(SUBSTITUTE(AA$1,RIGHT(AA$1,2),""),VLOOKUP($D94,素材!$1:$1016,COLUMN($F$1),FALSE))),VLOOKUP($C94,武器!$1:$998,COLUMN($O$1),FALSE)*VLOOKUP($D94,素材!$1:$1016,COLUMN($E$1),FALSE)/(LEN(VLOOKUP($D94,素材!$1:$1016,COLUMN($F$1),FALSE))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B94">
        <f>IF(ISNUMBER(SEARCH(SUBSTITUTE(AB$1,RIGHT(AB$1,2),""),VLOOKUP($D94,素材!$1:$1016,COLUMN($F$1),FALSE))),VLOOKUP($C94,武器!$1:$998,COLUMN($O$1),FALSE)*VLOOKUP($D94,素材!$1:$1016,COLUMN($E$1),FALSE)/(LEN(VLOOKUP($D94,素材!$1:$1016,COLUMN($F$1),FALSE))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C94">
        <f>IF(ISNUMBER(SEARCH(SUBSTITUTE(AC$1,RIGHT(AC$1,2),""),VLOOKUP($D94,素材!$1:$1016,COLUMN($F$1),FALSE))),VLOOKUP($C94,武器!$1:$998,COLUMN($O$1),FALSE)*VLOOKUP($D94,素材!$1:$1016,COLUMN($E$1),FALSE)/(LEN(VLOOKUP($D94,素材!$1:$1016,COLUMN($F$1),FALSE))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D94">
        <f>IF(ISNUMBER(SEARCH(SUBSTITUTE(AD$1,RIGHT(AD$1,2),""),VLOOKUP($D94,素材!$1:$1016,COLUMN($F$1),FALSE))),VLOOKUP($C94,武器!$1:$998,COLUMN($O$1),FALSE)*VLOOKUP($D94,素材!$1:$1016,COLUMN($E$1),FALSE)/(LEN(VLOOKUP($D94,素材!$1:$1016,COLUMN($F$1),FALSE))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E94">
        <f>IF(ISNUMBER(SEARCH(SUBSTITUTE(AE$1,RIGHT(AE$1,2),""),VLOOKUP($D94,素材!$1:$1016,COLUMN($F$1),FALSE))),VLOOKUP($C94,武器!$1:$998,COLUMN($O$1),FALSE)*VLOOKUP($D94,素材!$1:$1016,COLUMN($E$1),FALSE)/(LEN(VLOOKUP($D94,素材!$1:$1016,COLUMN($F$1),FALSE))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F94">
        <f>IF(ISNUMBER(SEARCH(SUBSTITUTE(AF$1,RIGHT(AF$1,2),""),VLOOKUP($D94,素材!$1:$1016,COLUMN($F$1),FALSE))),VLOOKUP($C94,武器!$1:$998,COLUMN($O$1),FALSE)*VLOOKUP($D94,素材!$1:$1016,COLUMN($E$1),FALSE)/(LEN(VLOOKUP($D94,素材!$1:$1016,COLUMN($F$1),FALSE))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G94">
        <f>IF(ISNUMBER(SEARCH(SUBSTITUTE(AG$1,RIGHT(AG$1,2),""),VLOOKUP($D94,素材!$1:$1016,COLUMN($F$1),FALSE))),VLOOKUP($C94,武器!$1:$998,COLUMN($O$1),FALSE)*VLOOKUP($D94,素材!$1:$1016,COLUMN($E$1),FALSE)/(LEN(VLOOKUP($D94,素材!$1:$1016,COLUMN($F$1),FALSE))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H94">
        <f>IF(ISNUMBER(SEARCH(SUBSTITUTE(AH$1,RIGHT(AH$1,2),""),VLOOKUP($D94,素材!$1:$1016,COLUMN($F$1),FALSE))),VLOOKUP($C94,武器!$1:$998,COLUMN($O$1),FALSE)*VLOOKUP($D94,素材!$1:$1016,COLUMN($E$1),FALSE)/(LEN(VLOOKUP($D94,素材!$1:$1016,COLUMN($F$1),FALSE))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I94">
        <f>IF(ISNUMBER(SEARCH(SUBSTITUTE(AI$1,RIGHT(AI$1,2),""),VLOOKUP($D94,素材!$1:$1016,COLUMN($F$1),FALSE))),VLOOKUP($C94,武器!$1:$998,COLUMN($O$1),FALSE)*VLOOKUP($D94,素材!$1:$1016,COLUMN($E$1),FALSE)/(LEN(VLOOKUP($D94,素材!$1:$1016,COLUMN($F$1),FALSE))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J94">
        <f>IF(ISNUMBER(SEARCH(SUBSTITUTE(AJ$1,RIGHT(AJ$1,2),""),VLOOKUP($D94,素材!$1:$1016,COLUMN($F$1),FALSE))),VLOOKUP($C94,武器!$1:$998,COLUMN($O$1),FALSE)*VLOOKUP($D94,素材!$1:$1016,COLUMN($E$1),FALSE)/(LEN(VLOOKUP($D94,素材!$1:$1016,COLUMN($F$1),FALSE))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K94">
        <f>IF(ISNUMBER(SEARCH(SUBSTITUTE(AK$1,RIGHT(AK$1,2),""),VLOOKUP($D94,素材!$1:$1016,COLUMN($F$1),FALSE))),VLOOKUP($C94,武器!$1:$998,COLUMN($O$1),FALSE)*VLOOKUP($D94,素材!$1:$1016,COLUMN($E$1),FALSE)/(LEN(VLOOKUP($D94,素材!$1:$1016,COLUMN($F$1),FALSE))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L94">
        <f>IF(ISNUMBER(SEARCH(SUBSTITUTE(AL$1,RIGHT(AL$1,2),""),VLOOKUP($D94,素材!$1:$1016,COLUMN($F$1),FALSE))),VLOOKUP($C94,武器!$1:$998,COLUMN($O$1),FALSE)*VLOOKUP($D94,素材!$1:$1016,COLUMN($E$1),FALSE)/(LEN(VLOOKUP($D94,素材!$1:$1016,COLUMN($F$1),FALSE))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M94">
        <f>IF(ISNUMBER(SEARCH(SUBSTITUTE(AM$1,RIGHT(AM$1,2),""),VLOOKUP($D94,素材!$1:$1016,COLUMN($F$1),FALSE))),VLOOKUP($C94,武器!$1:$998,COLUMN($O$1),FALSE)*VLOOKUP($D94,素材!$1:$1016,COLUMN($E$1),FALSE)/(LEN(VLOOKUP($D94,素材!$1:$1016,COLUMN($F$1),FALSE))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N94">
        <f>IF(ISNUMBER(SEARCH(SUBSTITUTE(AN$1,RIGHT(AN$1,2),""),VLOOKUP($D94,素材!$1:$1016,COLUMN($F$1),FALSE))),VLOOKUP($C94,武器!$1:$998,COLUMN($O$1),FALSE)*VLOOKUP($D94,素材!$1:$1016,COLUMN($E$1),FALSE)/(LEN(VLOOKUP($D94,素材!$1:$1016,COLUMN($F$1),FALSE))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O94">
        <f>IF(ISNUMBER(SEARCH(SUBSTITUTE(AO$1,RIGHT(AO$1,2),""),VLOOKUP($D94,素材!$1:$1016,COLUMN($F$1),FALSE))),VLOOKUP($C94,武器!$1:$998,COLUMN($O$1),FALSE)*VLOOKUP($D94,素材!$1:$1016,COLUMN($E$1),FALSE)/(LEN(VLOOKUP($D94,素材!$1:$1016,COLUMN($F$1),FALSE))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P94">
        <f>IF(ISNUMBER(SEARCH(SUBSTITUTE(AP$1,RIGHT(AP$1,2),""),VLOOKUP($D94,素材!$1:$1016,COLUMN($F$1),FALSE))),VLOOKUP($C94,武器!$1:$998,COLUMN($O$1),FALSE)*VLOOKUP($D94,素材!$1:$1016,COLUMN($E$1),FALSE)/(LEN(VLOOKUP($D94,素材!$1:$1016,COLUMN($F$1),FALSE))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Q94">
        <f>IF(ISNUMBER(SEARCH(SUBSTITUTE(AQ$1,RIGHT(AQ$1,2),""),VLOOKUP($D94,素材!$1:$1016,COLUMN($F$1),FALSE))),VLOOKUP($C94,武器!$1:$998,COLUMN($O$1),FALSE)*VLOOKUP($D94,素材!$1:$1016,COLUMN($E$1),FALSE)/(LEN(VLOOKUP($D94,素材!$1:$1016,COLUMN($F$1),FALSE))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R94">
        <f>IF(ISNUMBER(SEARCH(SUBSTITUTE(AR$1,RIGHT(AR$1,2),""),VLOOKUP($D94,素材!$1:$1016,COLUMN($F$1),FALSE))),VLOOKUP($C94,武器!$1:$998,COLUMN($O$1),FALSE)*VLOOKUP($D94,素材!$1:$1016,COLUMN($E$1),FALSE)/(LEN(VLOOKUP($D94,素材!$1:$1016,COLUMN($F$1),FALSE))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S94">
        <f>IF(ISNUMBER(SEARCH(SUBSTITUTE(AS$1,RIGHT(AS$1,2),""),VLOOKUP($D94,素材!$1:$1016,COLUMN($F$1),FALSE))),VLOOKUP($C94,武器!$1:$998,COLUMN($O$1),FALSE)*VLOOKUP($D94,素材!$1:$1016,COLUMN($E$1),FALSE)/(LEN(VLOOKUP($D94,素材!$1:$1016,COLUMN($F$1),FALSE))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T94">
        <f>IF(ISNUMBER(SEARCH(SUBSTITUTE(AT$1,RIGHT(AT$1,2),""),VLOOKUP($D94,素材!$1:$1016,COLUMN($F$1),FALSE))),VLOOKUP($C94,武器!$1:$998,COLUMN($O$1),FALSE)*VLOOKUP($D94,素材!$1:$1016,COLUMN($E$1),FALSE)/(LEN(VLOOKUP($D94,素材!$1:$1016,COLUMN($F$1),FALSE))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U94">
        <f>IF(ISNUMBER(SEARCH(SUBSTITUTE(AU$1,RIGHT(AU$1,2),""),VLOOKUP($D94,素材!$1:$1016,COLUMN($F$1),FALSE))),VLOOKUP($C94,武器!$1:$998,COLUMN($O$1),FALSE)*VLOOKUP($D94,素材!$1:$1016,COLUMN($E$1),FALSE)/(LEN(VLOOKUP($D94,素材!$1:$1016,COLUMN($F$1),FALSE))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V94">
        <f>IF(ISNUMBER(SEARCH(SUBSTITUTE(AV$1,RIGHT(AV$1,2),""),VLOOKUP($D94,素材!$1:$1016,COLUMN($F$1),FALSE))),VLOOKUP($C94,武器!$1:$998,COLUMN($O$1),FALSE)*VLOOKUP($D94,素材!$1:$1016,COLUMN($E$1),FALSE)/(LEN(VLOOKUP($D94,素材!$1:$1016,COLUMN($F$1),FALSE))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W94">
        <f>IF(ISNUMBER(SEARCH(SUBSTITUTE(AW$1,RIGHT(AW$1,2),""),VLOOKUP($D94,素材!$1:$1016,COLUMN($F$1),FALSE))),VLOOKUP($C94,武器!$1:$998,COLUMN($O$1),FALSE)*VLOOKUP($D94,素材!$1:$1016,COLUMN($E$1),FALSE)/(LEN(VLOOKUP($D94,素材!$1:$1016,COLUMN($F$1),FALSE))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X94">
        <f>IF(ISNUMBER(SEARCH(SUBSTITUTE(AX$1,RIGHT(AX$1,2),""),VLOOKUP($D94,素材!$1:$1016,COLUMN($F$1),FALSE))),VLOOKUP($C94,武器!$1:$998,COLUMN($O$1),FALSE)*VLOOKUP($D94,素材!$1:$1016,COLUMN($E$1),FALSE)/(LEN(VLOOKUP($D94,素材!$1:$1016,COLUMN($F$1),FALSE))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Y94">
        <f>IF(ISNUMBER(SEARCH(SUBSTITUTE(AY$1,RIGHT(AY$1,2),""),VLOOKUP($D94,素材!$1:$1016,COLUMN($F$1),FALSE))),VLOOKUP($C94,武器!$1:$998,COLUMN($O$1),FALSE)*VLOOKUP($D94,素材!$1:$1016,COLUMN($E$1),FALSE)/(LEN(VLOOKUP($D94,素材!$1:$1016,COLUMN($F$1),FALSE))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AZ94">
        <f>IF(ISNUMBER(SEARCH(SUBSTITUTE(AZ$1,RIGHT(AZ$1,2),""),VLOOKUP($D94,素材!$1:$1016,COLUMN($F$1),FALSE))),VLOOKUP($C94,武器!$1:$998,COLUMN($O$1),FALSE)*VLOOKUP($D94,素材!$1:$1016,COLUMN($E$1),FALSE)/(LEN(VLOOKUP($D94,素材!$1:$1016,COLUMN($F$1),FALSE))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BA94">
        <f>IF(ISNUMBER(SEARCH(SUBSTITUTE(BA$1,RIGHT(BA$1,2),""),VLOOKUP($D94,素材!$1:$1016,COLUMN($F$1),FALSE))),VLOOKUP($C94,武器!$1:$998,COLUMN($O$1),FALSE)*VLOOKUP($D94,素材!$1:$1016,COLUMN($E$1),FALSE)/(LEN(VLOOKUP($D94,素材!$1:$1016,COLUMN($F$1),FALSE))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BB94">
        <f>IF(ISNUMBER(SEARCH(SUBSTITUTE(BB$1,RIGHT(BB$1,2),""),VLOOKUP($D94,素材!$1:$1016,COLUMN($F$1),FALSE))),VLOOKUP($C94,武器!$1:$998,COLUMN($O$1),FALSE)*VLOOKUP($D94,素材!$1:$1016,COLUMN($E$1),FALSE)/(LEN(VLOOKUP($D94,素材!$1:$1016,COLUMN($F$1),FALSE))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BC94">
        <f>IF(ISNUMBER(SEARCH(SUBSTITUTE(BC$1,RIGHT(BC$1,2),""),VLOOKUP($D94,素材!$1:$1016,COLUMN($F$1),FALSE))),VLOOKUP($C94,武器!$1:$998,COLUMN($O$1),FALSE)*VLOOKUP($D94,素材!$1:$1016,COLUMN($E$1),FALSE)/(LEN(VLOOKUP($D94,素材!$1:$1016,COLUMN($F$1),FALSE))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BD94">
        <f>IF(ISNUMBER(SEARCH(SUBSTITUTE(BD$1,RIGHT(BD$1,2),""),VLOOKUP($D94,素材!$1:$1016,COLUMN($F$1),FALSE))),VLOOKUP($C94,武器!$1:$998,COLUMN($O$1),FALSE)*VLOOKUP($D94,素材!$1:$1016,COLUMN($E$1),FALSE)/(LEN(VLOOKUP($D94,素材!$1:$1016,COLUMN($F$1),FALSE))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BE94">
        <f>IF(ISNUMBER(SEARCH(SUBSTITUTE(BE$1,RIGHT(BE$1,2),""),VLOOKUP($D94,素材!$1:$1016,COLUMN($F$1),FALSE))),VLOOKUP($C94,武器!$1:$998,COLUMN($O$1),FALSE)*VLOOKUP($D94,素材!$1:$1016,COLUMN($E$1),FALSE)/(LEN(VLOOKUP($D94,素材!$1:$1016,COLUMN($F$1),FALSE))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BF94">
        <f>IF(ISNUMBER(SEARCH(SUBSTITUTE(BF$1,RIGHT(BF$1,2),""),VLOOKUP($D94,素材!$1:$1016,COLUMN($F$1),FALSE))),VLOOKUP($C94,武器!$1:$998,COLUMN($O$1),FALSE)*VLOOKUP($D94,素材!$1:$1016,COLUMN($E$1),FALSE)/(LEN(VLOOKUP($D94,素材!$1:$1016,COLUMN($F$1),FALSE)) - LEN(SUBSTITUTE(VLOOKUP($D94,素材!$1:$1016,COLUMN($F$1),FALSE), "・", 0)) + 1), 0)</f>
        <v>0</v>
      </c>
      <c r="CM94">
        <f t="shared" si="8"/>
        <v>32</v>
      </c>
      <c r="CN94" s="22" t="str">
        <f>IF(E94="武器",IF(J94-1&gt;SUM(G94:I94),"盾",IF(MAX(G94:I94)=G94,"切断",IF(MAX(G94:I94)=H94,"貫通",IF(MAX(G94:I94)=I94,"打撃","射撃")))),E94)&amp;".webp"</f>
        <v>打撃.webp</v>
      </c>
      <c r="CO94">
        <f>IFERROR(VLOOKUP($C94,武器!$1:$998,COLUMN(V$1),FALSE)*VLOOKUP($D94,素材!$1:$1016,COLUMN(N$1),FALSE)+IF(CJ94="",0,VLOOKUP($CJ94,装強!$1:$1008,COLUMN($CL$1),FALSE)),"")</f>
        <v>1125</v>
      </c>
      <c r="CP94" t="str">
        <f>VLOOKUP(D94,素材!$A:$O,COLUMN(素材!O$1),FALSE)</f>
        <v>鍛えられた鉄。硬度が高く安価なためよく使用される。</v>
      </c>
      <c r="CQ94" t="str">
        <f>VLOOKUP(C94,武器!$A:$W,COLUMN(武器!W$1),FALSE)</f>
        <v>戦鎚。重い打撃を与える強力な武器。</v>
      </c>
      <c r="CS94" t="str">
        <f t="shared" si="7"/>
        <v>e_94</v>
      </c>
      <c r="CT94">
        <f t="shared" si="9"/>
        <v>112500</v>
      </c>
    </row>
    <row r="95" spans="1:98" outlineLevel="1" x14ac:dyDescent="0.4">
      <c r="A95" t="str">
        <f t="shared" si="6"/>
        <v>鋼の鎌</v>
      </c>
      <c r="B95" t="str">
        <f>IFERROR(VLOOKUP($D95,素材!$1:$1016,COLUMN($B$1),FALSE)&amp;"・"&amp;VLOOKUP($C95,武器!$1:$998,COLUMN(B$1),FALSE),"")</f>
        <v>スチール・シックル</v>
      </c>
      <c r="C95" t="s">
        <v>225</v>
      </c>
      <c r="D95" s="24" t="s">
        <v>253</v>
      </c>
      <c r="E95" t="str">
        <f>IFERROR(VLOOKUP(C95,武器!$1:$998,COLUMN(C$1),FALSE),"")</f>
        <v>武器</v>
      </c>
      <c r="F95">
        <f>IFERROR(ROUNDDOWN((VLOOKUP($C95,武器!$1:$998,COLUMN(D$1),FALSE)+IFERROR(VLOOKUP($CJ95,装強!$1:$999,COLUMN(F$1),FALSE),0))*VLOOKUP($D95,素材!$1:$1016,COLUMN(D$1),FALSE),0),"")</f>
        <v>131</v>
      </c>
      <c r="G95">
        <f>IFERROR(ROUNDDOWN((VLOOKUP($C95,武器!$1:$998,COLUMN(E$1),FALSE)+IFERROR(VLOOKUP($CJ95,装強!$1:$999,COLUMN(G$1),FALSE),0))*VLOOKUP($D95,素材!$1:$1016,COLUMN($E$1),FALSE),0),"")</f>
        <v>12</v>
      </c>
      <c r="H95">
        <f>IFERROR(ROUNDDOWN((VLOOKUP($C95,武器!$1:$998,COLUMN(F$1),FALSE)+IFERROR(VLOOKUP($CJ95,装強!$1:$999,COLUMN(H$1),FALSE),0))*VLOOKUP($D95,素材!$1:$1016,COLUMN($E$1),FALSE),0),"")</f>
        <v>14</v>
      </c>
      <c r="I95">
        <f>IFERROR(ROUNDDOWN((VLOOKUP($C95,武器!$1:$998,COLUMN(G$1),FALSE)+IFERROR(VLOOKUP($CJ95,装強!$1:$999,COLUMN(I$1),FALSE),0))*VLOOKUP($D95,素材!$1:$1016,COLUMN($E$1),FALSE),0),"")</f>
        <v>1</v>
      </c>
      <c r="J95">
        <f>IFERROR(ROUNDDOWN((VLOOKUP($C95,武器!$1:$998,COLUMN(H$1),FALSE)+IFERROR(VLOOKUP($CJ95,装強!$1:$999,COLUMN(J$1),FALSE),0))*VLOOKUP($D95,素材!$1:$1016,COLUMN($E$1),FALSE),0),"")</f>
        <v>22</v>
      </c>
      <c r="K95">
        <f>IFERROR(ROUNDDOWN((VLOOKUP($C95,武器!$1:$998,COLUMN(I$1),FALSE)+IFERROR(VLOOKUP($CJ95,装強!$1:$999,COLUMN(K$1),FALSE),0))*VLOOKUP($D95,素材!$1:$1016,COLUMN($E$1),FALSE),0),"")</f>
        <v>0</v>
      </c>
      <c r="L95">
        <f>IFERROR(VLOOKUP($D95,素材!$1:$1016,COLUMN($F$1),FALSE),"")</f>
        <v>0</v>
      </c>
      <c r="M95">
        <f>IFERROR(VLOOKUP($C95,武器!$1:$998,COLUMN(AA$1),FALSE)*VLOOKUP($D95,素材!$1:$1016,COLUMN($G$1),FALSE),"")</f>
        <v>0</v>
      </c>
      <c r="N95">
        <f>IFERROR(VLOOKUP($C95,武器!$1:$998,COLUMN(I$1),FALSE),"")</f>
        <v>0</v>
      </c>
      <c r="O95" s="23">
        <f>IFERROR((VLOOKUP($C95,武器!$1:$998,COLUMN(K$1),FALSE)+VLOOKUP($D95,素材!$1:$1016,COLUMN(H$1),FALSE))*100+IFERROR(VLOOKUP($CJ95,装強!$1:$999,COLUMN(O$1),FALSE),0),"")</f>
        <v>5</v>
      </c>
      <c r="P95" s="23">
        <f>IFERROR((VLOOKUP($C95,武器!$1:$998,COLUMN(L$1),FALSE)+VLOOKUP($D95,素材!$1:$1016,COLUMN(I$1),FALSE))*100+IFERROR(VLOOKUP($CJ95,装強!$1:$999,COLUMN(P$1),FALSE),0),"")</f>
        <v>200</v>
      </c>
      <c r="Q95">
        <f>IFERROR(ROUNDUP(VLOOKUP($C95,武器!$1:$998,COLUMN(M$1),FALSE)*(VLOOKUP($D95,素材!$1:$1002,COLUMN(D$1),FALSE)/100),1),"")</f>
        <v>0</v>
      </c>
      <c r="R95">
        <f>IFERROR(ROUNDUP(VLOOKUP($C95,武器!$1:$998,COLUMN(N$1),FALSE)*(VLOOKUP($D95,素材!$1:$1002,COLUMN(D$1),FALSE)/100),1),"")</f>
        <v>0</v>
      </c>
      <c r="S95">
        <f>IFERROR(VLOOKUP($C95,武器!$1:$998,COLUMN(P$1),FALSE),"")</f>
        <v>0</v>
      </c>
      <c r="T95">
        <f>IFERROR(VLOOKUP($C95,武器!$1:$998,COLUMN(Q$1),FALSE),"")</f>
        <v>0</v>
      </c>
      <c r="U95">
        <f>IFERROR(VLOOKUP($C95,武器!$1:$998,COLUMN(R$1),FALSE),"")</f>
        <v>0</v>
      </c>
      <c r="V95">
        <f>IFERROR(VLOOKUP($C95,武器!$1:$998,COLUMN(Q$1),FALSE),"")</f>
        <v>0</v>
      </c>
      <c r="W95" t="str">
        <f>IFERROR(VLOOKUP($C95,武器!$1:$998,COLUMN(T$1),FALSE),"")</f>
        <v>A</v>
      </c>
      <c r="Y95" t="str">
        <f>IFERROR(VLOOKUP($C95,武器!$1:$998,COLUMN(U$1),FALSE),"")</f>
        <v>投擲強化、片手適性Ⅰ</v>
      </c>
      <c r="Z95">
        <f>IFERROR(ROUNDUP(VLOOKUP($C95,武器!$1:$998,COLUMN(O$1),FALSE)*VLOOKUP($D95,素材!$1:$1016,COLUMN(E$1),FALSE),1),"")</f>
        <v>0</v>
      </c>
      <c r="AA95">
        <f>IF(ISNUMBER(SEARCH(SUBSTITUTE(AA$1,RIGHT(AA$1,2),""),VLOOKUP($D95,素材!$1:$1016,COLUMN($F$1),FALSE))),VLOOKUP($C95,武器!$1:$998,COLUMN($O$1),FALSE)*VLOOKUP($D95,素材!$1:$1016,COLUMN($E$1),FALSE)/(LEN(VLOOKUP($D95,素材!$1:$1016,COLUMN($F$1),FALSE))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B95">
        <f>IF(ISNUMBER(SEARCH(SUBSTITUTE(AB$1,RIGHT(AB$1,2),""),VLOOKUP($D95,素材!$1:$1016,COLUMN($F$1),FALSE))),VLOOKUP($C95,武器!$1:$998,COLUMN($O$1),FALSE)*VLOOKUP($D95,素材!$1:$1016,COLUMN($E$1),FALSE)/(LEN(VLOOKUP($D95,素材!$1:$1016,COLUMN($F$1),FALSE))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C95">
        <f>IF(ISNUMBER(SEARCH(SUBSTITUTE(AC$1,RIGHT(AC$1,2),""),VLOOKUP($D95,素材!$1:$1016,COLUMN($F$1),FALSE))),VLOOKUP($C95,武器!$1:$998,COLUMN($O$1),FALSE)*VLOOKUP($D95,素材!$1:$1016,COLUMN($E$1),FALSE)/(LEN(VLOOKUP($D95,素材!$1:$1016,COLUMN($F$1),FALSE))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D95">
        <f>IF(ISNUMBER(SEARCH(SUBSTITUTE(AD$1,RIGHT(AD$1,2),""),VLOOKUP($D95,素材!$1:$1016,COLUMN($F$1),FALSE))),VLOOKUP($C95,武器!$1:$998,COLUMN($O$1),FALSE)*VLOOKUP($D95,素材!$1:$1016,COLUMN($E$1),FALSE)/(LEN(VLOOKUP($D95,素材!$1:$1016,COLUMN($F$1),FALSE))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E95">
        <f>IF(ISNUMBER(SEARCH(SUBSTITUTE(AE$1,RIGHT(AE$1,2),""),VLOOKUP($D95,素材!$1:$1016,COLUMN($F$1),FALSE))),VLOOKUP($C95,武器!$1:$998,COLUMN($O$1),FALSE)*VLOOKUP($D95,素材!$1:$1016,COLUMN($E$1),FALSE)/(LEN(VLOOKUP($D95,素材!$1:$1016,COLUMN($F$1),FALSE))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F95">
        <f>IF(ISNUMBER(SEARCH(SUBSTITUTE(AF$1,RIGHT(AF$1,2),""),VLOOKUP($D95,素材!$1:$1016,COLUMN($F$1),FALSE))),VLOOKUP($C95,武器!$1:$998,COLUMN($O$1),FALSE)*VLOOKUP($D95,素材!$1:$1016,COLUMN($E$1),FALSE)/(LEN(VLOOKUP($D95,素材!$1:$1016,COLUMN($F$1),FALSE))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G95">
        <f>IF(ISNUMBER(SEARCH(SUBSTITUTE(AG$1,RIGHT(AG$1,2),""),VLOOKUP($D95,素材!$1:$1016,COLUMN($F$1),FALSE))),VLOOKUP($C95,武器!$1:$998,COLUMN($O$1),FALSE)*VLOOKUP($D95,素材!$1:$1016,COLUMN($E$1),FALSE)/(LEN(VLOOKUP($D95,素材!$1:$1016,COLUMN($F$1),FALSE))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H95">
        <f>IF(ISNUMBER(SEARCH(SUBSTITUTE(AH$1,RIGHT(AH$1,2),""),VLOOKUP($D95,素材!$1:$1016,COLUMN($F$1),FALSE))),VLOOKUP($C95,武器!$1:$998,COLUMN($O$1),FALSE)*VLOOKUP($D95,素材!$1:$1016,COLUMN($E$1),FALSE)/(LEN(VLOOKUP($D95,素材!$1:$1016,COLUMN($F$1),FALSE))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I95">
        <f>IF(ISNUMBER(SEARCH(SUBSTITUTE(AI$1,RIGHT(AI$1,2),""),VLOOKUP($D95,素材!$1:$1016,COLUMN($F$1),FALSE))),VLOOKUP($C95,武器!$1:$998,COLUMN($O$1),FALSE)*VLOOKUP($D95,素材!$1:$1016,COLUMN($E$1),FALSE)/(LEN(VLOOKUP($D95,素材!$1:$1016,COLUMN($F$1),FALSE))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J95">
        <f>IF(ISNUMBER(SEARCH(SUBSTITUTE(AJ$1,RIGHT(AJ$1,2),""),VLOOKUP($D95,素材!$1:$1016,COLUMN($F$1),FALSE))),VLOOKUP($C95,武器!$1:$998,COLUMN($O$1),FALSE)*VLOOKUP($D95,素材!$1:$1016,COLUMN($E$1),FALSE)/(LEN(VLOOKUP($D95,素材!$1:$1016,COLUMN($F$1),FALSE))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K95">
        <f>IF(ISNUMBER(SEARCH(SUBSTITUTE(AK$1,RIGHT(AK$1,2),""),VLOOKUP($D95,素材!$1:$1016,COLUMN($F$1),FALSE))),VLOOKUP($C95,武器!$1:$998,COLUMN($O$1),FALSE)*VLOOKUP($D95,素材!$1:$1016,COLUMN($E$1),FALSE)/(LEN(VLOOKUP($D95,素材!$1:$1016,COLUMN($F$1),FALSE))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L95">
        <f>IF(ISNUMBER(SEARCH(SUBSTITUTE(AL$1,RIGHT(AL$1,2),""),VLOOKUP($D95,素材!$1:$1016,COLUMN($F$1),FALSE))),VLOOKUP($C95,武器!$1:$998,COLUMN($O$1),FALSE)*VLOOKUP($D95,素材!$1:$1016,COLUMN($E$1),FALSE)/(LEN(VLOOKUP($D95,素材!$1:$1016,COLUMN($F$1),FALSE))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M95">
        <f>IF(ISNUMBER(SEARCH(SUBSTITUTE(AM$1,RIGHT(AM$1,2),""),VLOOKUP($D95,素材!$1:$1016,COLUMN($F$1),FALSE))),VLOOKUP($C95,武器!$1:$998,COLUMN($O$1),FALSE)*VLOOKUP($D95,素材!$1:$1016,COLUMN($E$1),FALSE)/(LEN(VLOOKUP($D95,素材!$1:$1016,COLUMN($F$1),FALSE))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N95">
        <f>IF(ISNUMBER(SEARCH(SUBSTITUTE(AN$1,RIGHT(AN$1,2),""),VLOOKUP($D95,素材!$1:$1016,COLUMN($F$1),FALSE))),VLOOKUP($C95,武器!$1:$998,COLUMN($O$1),FALSE)*VLOOKUP($D95,素材!$1:$1016,COLUMN($E$1),FALSE)/(LEN(VLOOKUP($D95,素材!$1:$1016,COLUMN($F$1),FALSE))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O95">
        <f>IF(ISNUMBER(SEARCH(SUBSTITUTE(AO$1,RIGHT(AO$1,2),""),VLOOKUP($D95,素材!$1:$1016,COLUMN($F$1),FALSE))),VLOOKUP($C95,武器!$1:$998,COLUMN($O$1),FALSE)*VLOOKUP($D95,素材!$1:$1016,COLUMN($E$1),FALSE)/(LEN(VLOOKUP($D95,素材!$1:$1016,COLUMN($F$1),FALSE))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P95">
        <f>IF(ISNUMBER(SEARCH(SUBSTITUTE(AP$1,RIGHT(AP$1,2),""),VLOOKUP($D95,素材!$1:$1016,COLUMN($F$1),FALSE))),VLOOKUP($C95,武器!$1:$998,COLUMN($O$1),FALSE)*VLOOKUP($D95,素材!$1:$1016,COLUMN($E$1),FALSE)/(LEN(VLOOKUP($D95,素材!$1:$1016,COLUMN($F$1),FALSE))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Q95">
        <f>IF(ISNUMBER(SEARCH(SUBSTITUTE(AQ$1,RIGHT(AQ$1,2),""),VLOOKUP($D95,素材!$1:$1016,COLUMN($F$1),FALSE))),VLOOKUP($C95,武器!$1:$998,COLUMN($O$1),FALSE)*VLOOKUP($D95,素材!$1:$1016,COLUMN($E$1),FALSE)/(LEN(VLOOKUP($D95,素材!$1:$1016,COLUMN($F$1),FALSE))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R95">
        <f>IF(ISNUMBER(SEARCH(SUBSTITUTE(AR$1,RIGHT(AR$1,2),""),VLOOKUP($D95,素材!$1:$1016,COLUMN($F$1),FALSE))),VLOOKUP($C95,武器!$1:$998,COLUMN($O$1),FALSE)*VLOOKUP($D95,素材!$1:$1016,COLUMN($E$1),FALSE)/(LEN(VLOOKUP($D95,素材!$1:$1016,COLUMN($F$1),FALSE))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S95">
        <f>IF(ISNUMBER(SEARCH(SUBSTITUTE(AS$1,RIGHT(AS$1,2),""),VLOOKUP($D95,素材!$1:$1016,COLUMN($F$1),FALSE))),VLOOKUP($C95,武器!$1:$998,COLUMN($O$1),FALSE)*VLOOKUP($D95,素材!$1:$1016,COLUMN($E$1),FALSE)/(LEN(VLOOKUP($D95,素材!$1:$1016,COLUMN($F$1),FALSE))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T95">
        <f>IF(ISNUMBER(SEARCH(SUBSTITUTE(AT$1,RIGHT(AT$1,2),""),VLOOKUP($D95,素材!$1:$1016,COLUMN($F$1),FALSE))),VLOOKUP($C95,武器!$1:$998,COLUMN($O$1),FALSE)*VLOOKUP($D95,素材!$1:$1016,COLUMN($E$1),FALSE)/(LEN(VLOOKUP($D95,素材!$1:$1016,COLUMN($F$1),FALSE))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U95">
        <f>IF(ISNUMBER(SEARCH(SUBSTITUTE(AU$1,RIGHT(AU$1,2),""),VLOOKUP($D95,素材!$1:$1016,COLUMN($F$1),FALSE))),VLOOKUP($C95,武器!$1:$998,COLUMN($O$1),FALSE)*VLOOKUP($D95,素材!$1:$1016,COLUMN($E$1),FALSE)/(LEN(VLOOKUP($D95,素材!$1:$1016,COLUMN($F$1),FALSE))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V95">
        <f>IF(ISNUMBER(SEARCH(SUBSTITUTE(AV$1,RIGHT(AV$1,2),""),VLOOKUP($D95,素材!$1:$1016,COLUMN($F$1),FALSE))),VLOOKUP($C95,武器!$1:$998,COLUMN($O$1),FALSE)*VLOOKUP($D95,素材!$1:$1016,COLUMN($E$1),FALSE)/(LEN(VLOOKUP($D95,素材!$1:$1016,COLUMN($F$1),FALSE))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W95">
        <f>IF(ISNUMBER(SEARCH(SUBSTITUTE(AW$1,RIGHT(AW$1,2),""),VLOOKUP($D95,素材!$1:$1016,COLUMN($F$1),FALSE))),VLOOKUP($C95,武器!$1:$998,COLUMN($O$1),FALSE)*VLOOKUP($D95,素材!$1:$1016,COLUMN($E$1),FALSE)/(LEN(VLOOKUP($D95,素材!$1:$1016,COLUMN($F$1),FALSE))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X95">
        <f>IF(ISNUMBER(SEARCH(SUBSTITUTE(AX$1,RIGHT(AX$1,2),""),VLOOKUP($D95,素材!$1:$1016,COLUMN($F$1),FALSE))),VLOOKUP($C95,武器!$1:$998,COLUMN($O$1),FALSE)*VLOOKUP($D95,素材!$1:$1016,COLUMN($E$1),FALSE)/(LEN(VLOOKUP($D95,素材!$1:$1016,COLUMN($F$1),FALSE))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Y95">
        <f>IF(ISNUMBER(SEARCH(SUBSTITUTE(AY$1,RIGHT(AY$1,2),""),VLOOKUP($D95,素材!$1:$1016,COLUMN($F$1),FALSE))),VLOOKUP($C95,武器!$1:$998,COLUMN($O$1),FALSE)*VLOOKUP($D95,素材!$1:$1016,COLUMN($E$1),FALSE)/(LEN(VLOOKUP($D95,素材!$1:$1016,COLUMN($F$1),FALSE))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AZ95">
        <f>IF(ISNUMBER(SEARCH(SUBSTITUTE(AZ$1,RIGHT(AZ$1,2),""),VLOOKUP($D95,素材!$1:$1016,COLUMN($F$1),FALSE))),VLOOKUP($C95,武器!$1:$998,COLUMN($O$1),FALSE)*VLOOKUP($D95,素材!$1:$1016,COLUMN($E$1),FALSE)/(LEN(VLOOKUP($D95,素材!$1:$1016,COLUMN($F$1),FALSE))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BA95">
        <f>IF(ISNUMBER(SEARCH(SUBSTITUTE(BA$1,RIGHT(BA$1,2),""),VLOOKUP($D95,素材!$1:$1016,COLUMN($F$1),FALSE))),VLOOKUP($C95,武器!$1:$998,COLUMN($O$1),FALSE)*VLOOKUP($D95,素材!$1:$1016,COLUMN($E$1),FALSE)/(LEN(VLOOKUP($D95,素材!$1:$1016,COLUMN($F$1),FALSE))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BB95">
        <f>IF(ISNUMBER(SEARCH(SUBSTITUTE(BB$1,RIGHT(BB$1,2),""),VLOOKUP($D95,素材!$1:$1016,COLUMN($F$1),FALSE))),VLOOKUP($C95,武器!$1:$998,COLUMN($O$1),FALSE)*VLOOKUP($D95,素材!$1:$1016,COLUMN($E$1),FALSE)/(LEN(VLOOKUP($D95,素材!$1:$1016,COLUMN($F$1),FALSE))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BC95">
        <f>IF(ISNUMBER(SEARCH(SUBSTITUTE(BC$1,RIGHT(BC$1,2),""),VLOOKUP($D95,素材!$1:$1016,COLUMN($F$1),FALSE))),VLOOKUP($C95,武器!$1:$998,COLUMN($O$1),FALSE)*VLOOKUP($D95,素材!$1:$1016,COLUMN($E$1),FALSE)/(LEN(VLOOKUP($D95,素材!$1:$1016,COLUMN($F$1),FALSE))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BD95">
        <f>IF(ISNUMBER(SEARCH(SUBSTITUTE(BD$1,RIGHT(BD$1,2),""),VLOOKUP($D95,素材!$1:$1016,COLUMN($F$1),FALSE))),VLOOKUP($C95,武器!$1:$998,COLUMN($O$1),FALSE)*VLOOKUP($D95,素材!$1:$1016,COLUMN($E$1),FALSE)/(LEN(VLOOKUP($D95,素材!$1:$1016,COLUMN($F$1),FALSE))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BE95">
        <f>IF(ISNUMBER(SEARCH(SUBSTITUTE(BE$1,RIGHT(BE$1,2),""),VLOOKUP($D95,素材!$1:$1016,COLUMN($F$1),FALSE))),VLOOKUP($C95,武器!$1:$998,COLUMN($O$1),FALSE)*VLOOKUP($D95,素材!$1:$1016,COLUMN($E$1),FALSE)/(LEN(VLOOKUP($D95,素材!$1:$1016,COLUMN($F$1),FALSE))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BF95">
        <f>IF(ISNUMBER(SEARCH(SUBSTITUTE(BF$1,RIGHT(BF$1,2),""),VLOOKUP($D95,素材!$1:$1016,COLUMN($F$1),FALSE))),VLOOKUP($C95,武器!$1:$998,COLUMN($O$1),FALSE)*VLOOKUP($D95,素材!$1:$1016,COLUMN($E$1),FALSE)/(LEN(VLOOKUP($D95,素材!$1:$1016,COLUMN($F$1),FALSE)) - LEN(SUBSTITUTE(VLOOKUP($D95,素材!$1:$1016,COLUMN($F$1),FALSE), "・", 0)) + 1), 0)</f>
        <v>0</v>
      </c>
      <c r="CM95">
        <f t="shared" si="8"/>
        <v>27</v>
      </c>
      <c r="CN95" s="22" t="str">
        <f>IF(E95="武器",IF(J95-1&gt;SUM(G95:I95),"盾",IF(MAX(G95:I95)=G95,"切断",IF(MAX(G95:I95)=H95,"貫通",IF(MAX(G95:I95)=I95,"打撃","射撃")))),E95)&amp;".webp"</f>
        <v>貫通.webp</v>
      </c>
      <c r="CO95">
        <f>IFERROR(VLOOKUP($C95,武器!$1:$998,COLUMN(V$1),FALSE)*VLOOKUP($D95,素材!$1:$1016,COLUMN(N$1),FALSE)+IF(CJ95="",0,VLOOKUP($CJ95,装強!$1:$1008,COLUMN($CL$1),FALSE)),"")</f>
        <v>900</v>
      </c>
      <c r="CP95" t="str">
        <f>VLOOKUP(D95,素材!$A:$O,COLUMN(素材!O$1),FALSE)</f>
        <v>鍛えられた鉄。硬度が高く安価なためよく使用される。</v>
      </c>
      <c r="CQ95" t="str">
        <f>VLOOKUP(C95,武器!$A:$W,COLUMN(武器!W$1),FALSE)</f>
        <v>鎌。農具を転用した武器で、鋭い斬撃を与える。</v>
      </c>
      <c r="CS95" t="str">
        <f t="shared" si="7"/>
        <v>e_95</v>
      </c>
      <c r="CT95">
        <f t="shared" si="9"/>
        <v>90000</v>
      </c>
    </row>
    <row r="96" spans="1:98" outlineLevel="1" x14ac:dyDescent="0.4">
      <c r="A96" t="str">
        <f t="shared" si="6"/>
        <v>鋼の戦斧</v>
      </c>
      <c r="B96" t="str">
        <f>IFERROR(VLOOKUP($D96,素材!$1:$1016,COLUMN($B$1),FALSE)&amp;"・"&amp;VLOOKUP($C96,武器!$1:$998,COLUMN(B$1),FALSE),"")</f>
        <v>スチール・バトルアックス</v>
      </c>
      <c r="C96" t="s">
        <v>224</v>
      </c>
      <c r="D96" s="24" t="s">
        <v>253</v>
      </c>
      <c r="E96" t="str">
        <f>IFERROR(VLOOKUP(C96,武器!$1:$998,COLUMN(C$1),FALSE),"")</f>
        <v>武器</v>
      </c>
      <c r="F96">
        <f>IFERROR(ROUNDDOWN((VLOOKUP($C96,武器!$1:$998,COLUMN(D$1),FALSE)+IFERROR(VLOOKUP($CJ96,装強!$1:$999,COLUMN(F$1),FALSE),0))*VLOOKUP($D96,素材!$1:$1016,COLUMN(D$1),FALSE),0),"")</f>
        <v>120</v>
      </c>
      <c r="G96">
        <f>IFERROR(ROUNDDOWN((VLOOKUP($C96,武器!$1:$998,COLUMN(E$1),FALSE)+IFERROR(VLOOKUP($CJ96,装強!$1:$999,COLUMN(G$1),FALSE),0))*VLOOKUP($D96,素材!$1:$1016,COLUMN($E$1),FALSE),0),"")</f>
        <v>25</v>
      </c>
      <c r="H96">
        <f>IFERROR(ROUNDDOWN((VLOOKUP($C96,武器!$1:$998,COLUMN(F$1),FALSE)+IFERROR(VLOOKUP($CJ96,装強!$1:$999,COLUMN(H$1),FALSE),0))*VLOOKUP($D96,素材!$1:$1016,COLUMN($E$1),FALSE),0),"")</f>
        <v>0</v>
      </c>
      <c r="I96">
        <f>IFERROR(ROUNDDOWN((VLOOKUP($C96,武器!$1:$998,COLUMN(G$1),FALSE)+IFERROR(VLOOKUP($CJ96,装強!$1:$999,COLUMN(I$1),FALSE),0))*VLOOKUP($D96,素材!$1:$1016,COLUMN($E$1),FALSE),0),"")</f>
        <v>8</v>
      </c>
      <c r="J96">
        <f>IFERROR(ROUNDDOWN((VLOOKUP($C96,武器!$1:$998,COLUMN(H$1),FALSE)+IFERROR(VLOOKUP($CJ96,装強!$1:$999,COLUMN(J$1),FALSE),0))*VLOOKUP($D96,素材!$1:$1016,COLUMN($E$1),FALSE),0),"")</f>
        <v>27</v>
      </c>
      <c r="K96">
        <f>IFERROR(ROUNDDOWN((VLOOKUP($C96,武器!$1:$998,COLUMN(I$1),FALSE)+IFERROR(VLOOKUP($CJ96,装強!$1:$999,COLUMN(K$1),FALSE),0))*VLOOKUP($D96,素材!$1:$1016,COLUMN($E$1),FALSE),0),"")</f>
        <v>0</v>
      </c>
      <c r="L96">
        <f>IFERROR(VLOOKUP($D96,素材!$1:$1016,COLUMN($F$1),FALSE),"")</f>
        <v>0</v>
      </c>
      <c r="M96">
        <f>IFERROR(VLOOKUP($C96,武器!$1:$998,COLUMN(AA$1),FALSE)*VLOOKUP($D96,素材!$1:$1016,COLUMN($G$1),FALSE),"")</f>
        <v>0</v>
      </c>
      <c r="N96">
        <f>IFERROR(VLOOKUP($C96,武器!$1:$998,COLUMN(I$1),FALSE),"")</f>
        <v>0</v>
      </c>
      <c r="O96" s="23">
        <f>IFERROR((VLOOKUP($C96,武器!$1:$998,COLUMN(K$1),FALSE)+VLOOKUP($D96,素材!$1:$1016,COLUMN(H$1),FALSE))*100+IFERROR(VLOOKUP($CJ96,装強!$1:$999,COLUMN(O$1),FALSE),0),"")</f>
        <v>5</v>
      </c>
      <c r="P96" s="23">
        <f>IFERROR((VLOOKUP($C96,武器!$1:$998,COLUMN(L$1),FALSE)+VLOOKUP($D96,素材!$1:$1016,COLUMN(I$1),FALSE))*100+IFERROR(VLOOKUP($CJ96,装強!$1:$999,COLUMN(P$1),FALSE),0),"")</f>
        <v>175</v>
      </c>
      <c r="Q96">
        <f>IFERROR(ROUNDUP(VLOOKUP($C96,武器!$1:$998,COLUMN(M$1),FALSE)*(VLOOKUP($D96,素材!$1:$1002,COLUMN(D$1),FALSE)/100),1),"")</f>
        <v>-2.7</v>
      </c>
      <c r="R96">
        <f>IFERROR(ROUNDUP(VLOOKUP($C96,武器!$1:$998,COLUMN(N$1),FALSE)*(VLOOKUP($D96,素材!$1:$1002,COLUMN(D$1),FALSE)/100),1),"")</f>
        <v>0</v>
      </c>
      <c r="S96">
        <f>IFERROR(VLOOKUP($C96,武器!$1:$998,COLUMN(P$1),FALSE),"")</f>
        <v>0</v>
      </c>
      <c r="T96">
        <f>IFERROR(VLOOKUP($C96,武器!$1:$998,COLUMN(Q$1),FALSE),"")</f>
        <v>0</v>
      </c>
      <c r="U96">
        <f>IFERROR(VLOOKUP($C96,武器!$1:$998,COLUMN(R$1),FALSE),"")</f>
        <v>0</v>
      </c>
      <c r="V96">
        <f>IFERROR(VLOOKUP($C96,武器!$1:$998,COLUMN(Q$1),FALSE),"")</f>
        <v>0</v>
      </c>
      <c r="W96" t="str">
        <f>IFERROR(VLOOKUP($C96,武器!$1:$998,COLUMN(T$1),FALSE),"")</f>
        <v>A</v>
      </c>
      <c r="Y96">
        <f>IFERROR(VLOOKUP($C96,武器!$1:$998,COLUMN(U$1),FALSE),"")</f>
        <v>0</v>
      </c>
      <c r="Z96">
        <f>IFERROR(ROUNDUP(VLOOKUP($C96,武器!$1:$998,COLUMN(O$1),FALSE)*VLOOKUP($D96,素材!$1:$1016,COLUMN(E$1),FALSE),1),"")</f>
        <v>0</v>
      </c>
      <c r="AA96">
        <f>IF(ISNUMBER(SEARCH(SUBSTITUTE(AA$1,RIGHT(AA$1,2),""),VLOOKUP($D96,素材!$1:$1016,COLUMN($F$1),FALSE))),VLOOKUP($C96,武器!$1:$998,COLUMN($O$1),FALSE)*VLOOKUP($D96,素材!$1:$1016,COLUMN($E$1),FALSE)/(LEN(VLOOKUP($D96,素材!$1:$1016,COLUMN($F$1),FALSE))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B96">
        <f>IF(ISNUMBER(SEARCH(SUBSTITUTE(AB$1,RIGHT(AB$1,2),""),VLOOKUP($D96,素材!$1:$1016,COLUMN($F$1),FALSE))),VLOOKUP($C96,武器!$1:$998,COLUMN($O$1),FALSE)*VLOOKUP($D96,素材!$1:$1016,COLUMN($E$1),FALSE)/(LEN(VLOOKUP($D96,素材!$1:$1016,COLUMN($F$1),FALSE))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C96">
        <f>IF(ISNUMBER(SEARCH(SUBSTITUTE(AC$1,RIGHT(AC$1,2),""),VLOOKUP($D96,素材!$1:$1016,COLUMN($F$1),FALSE))),VLOOKUP($C96,武器!$1:$998,COLUMN($O$1),FALSE)*VLOOKUP($D96,素材!$1:$1016,COLUMN($E$1),FALSE)/(LEN(VLOOKUP($D96,素材!$1:$1016,COLUMN($F$1),FALSE))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D96">
        <f>IF(ISNUMBER(SEARCH(SUBSTITUTE(AD$1,RIGHT(AD$1,2),""),VLOOKUP($D96,素材!$1:$1016,COLUMN($F$1),FALSE))),VLOOKUP($C96,武器!$1:$998,COLUMN($O$1),FALSE)*VLOOKUP($D96,素材!$1:$1016,COLUMN($E$1),FALSE)/(LEN(VLOOKUP($D96,素材!$1:$1016,COLUMN($F$1),FALSE))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E96">
        <f>IF(ISNUMBER(SEARCH(SUBSTITUTE(AE$1,RIGHT(AE$1,2),""),VLOOKUP($D96,素材!$1:$1016,COLUMN($F$1),FALSE))),VLOOKUP($C96,武器!$1:$998,COLUMN($O$1),FALSE)*VLOOKUP($D96,素材!$1:$1016,COLUMN($E$1),FALSE)/(LEN(VLOOKUP($D96,素材!$1:$1016,COLUMN($F$1),FALSE))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F96">
        <f>IF(ISNUMBER(SEARCH(SUBSTITUTE(AF$1,RIGHT(AF$1,2),""),VLOOKUP($D96,素材!$1:$1016,COLUMN($F$1),FALSE))),VLOOKUP($C96,武器!$1:$998,COLUMN($O$1),FALSE)*VLOOKUP($D96,素材!$1:$1016,COLUMN($E$1),FALSE)/(LEN(VLOOKUP($D96,素材!$1:$1016,COLUMN($F$1),FALSE))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G96">
        <f>IF(ISNUMBER(SEARCH(SUBSTITUTE(AG$1,RIGHT(AG$1,2),""),VLOOKUP($D96,素材!$1:$1016,COLUMN($F$1),FALSE))),VLOOKUP($C96,武器!$1:$998,COLUMN($O$1),FALSE)*VLOOKUP($D96,素材!$1:$1016,COLUMN($E$1),FALSE)/(LEN(VLOOKUP($D96,素材!$1:$1016,COLUMN($F$1),FALSE))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H96">
        <f>IF(ISNUMBER(SEARCH(SUBSTITUTE(AH$1,RIGHT(AH$1,2),""),VLOOKUP($D96,素材!$1:$1016,COLUMN($F$1),FALSE))),VLOOKUP($C96,武器!$1:$998,COLUMN($O$1),FALSE)*VLOOKUP($D96,素材!$1:$1016,COLUMN($E$1),FALSE)/(LEN(VLOOKUP($D96,素材!$1:$1016,COLUMN($F$1),FALSE))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I96">
        <f>IF(ISNUMBER(SEARCH(SUBSTITUTE(AI$1,RIGHT(AI$1,2),""),VLOOKUP($D96,素材!$1:$1016,COLUMN($F$1),FALSE))),VLOOKUP($C96,武器!$1:$998,COLUMN($O$1),FALSE)*VLOOKUP($D96,素材!$1:$1016,COLUMN($E$1),FALSE)/(LEN(VLOOKUP($D96,素材!$1:$1016,COLUMN($F$1),FALSE))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J96">
        <f>IF(ISNUMBER(SEARCH(SUBSTITUTE(AJ$1,RIGHT(AJ$1,2),""),VLOOKUP($D96,素材!$1:$1016,COLUMN($F$1),FALSE))),VLOOKUP($C96,武器!$1:$998,COLUMN($O$1),FALSE)*VLOOKUP($D96,素材!$1:$1016,COLUMN($E$1),FALSE)/(LEN(VLOOKUP($D96,素材!$1:$1016,COLUMN($F$1),FALSE))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K96">
        <f>IF(ISNUMBER(SEARCH(SUBSTITUTE(AK$1,RIGHT(AK$1,2),""),VLOOKUP($D96,素材!$1:$1016,COLUMN($F$1),FALSE))),VLOOKUP($C96,武器!$1:$998,COLUMN($O$1),FALSE)*VLOOKUP($D96,素材!$1:$1016,COLUMN($E$1),FALSE)/(LEN(VLOOKUP($D96,素材!$1:$1016,COLUMN($F$1),FALSE))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L96">
        <f>IF(ISNUMBER(SEARCH(SUBSTITUTE(AL$1,RIGHT(AL$1,2),""),VLOOKUP($D96,素材!$1:$1016,COLUMN($F$1),FALSE))),VLOOKUP($C96,武器!$1:$998,COLUMN($O$1),FALSE)*VLOOKUP($D96,素材!$1:$1016,COLUMN($E$1),FALSE)/(LEN(VLOOKUP($D96,素材!$1:$1016,COLUMN($F$1),FALSE))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M96">
        <f>IF(ISNUMBER(SEARCH(SUBSTITUTE(AM$1,RIGHT(AM$1,2),""),VLOOKUP($D96,素材!$1:$1016,COLUMN($F$1),FALSE))),VLOOKUP($C96,武器!$1:$998,COLUMN($O$1),FALSE)*VLOOKUP($D96,素材!$1:$1016,COLUMN($E$1),FALSE)/(LEN(VLOOKUP($D96,素材!$1:$1016,COLUMN($F$1),FALSE))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N96">
        <f>IF(ISNUMBER(SEARCH(SUBSTITUTE(AN$1,RIGHT(AN$1,2),""),VLOOKUP($D96,素材!$1:$1016,COLUMN($F$1),FALSE))),VLOOKUP($C96,武器!$1:$998,COLUMN($O$1),FALSE)*VLOOKUP($D96,素材!$1:$1016,COLUMN($E$1),FALSE)/(LEN(VLOOKUP($D96,素材!$1:$1016,COLUMN($F$1),FALSE))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O96">
        <f>IF(ISNUMBER(SEARCH(SUBSTITUTE(AO$1,RIGHT(AO$1,2),""),VLOOKUP($D96,素材!$1:$1016,COLUMN($F$1),FALSE))),VLOOKUP($C96,武器!$1:$998,COLUMN($O$1),FALSE)*VLOOKUP($D96,素材!$1:$1016,COLUMN($E$1),FALSE)/(LEN(VLOOKUP($D96,素材!$1:$1016,COLUMN($F$1),FALSE))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P96">
        <f>IF(ISNUMBER(SEARCH(SUBSTITUTE(AP$1,RIGHT(AP$1,2),""),VLOOKUP($D96,素材!$1:$1016,COLUMN($F$1),FALSE))),VLOOKUP($C96,武器!$1:$998,COLUMN($O$1),FALSE)*VLOOKUP($D96,素材!$1:$1016,COLUMN($E$1),FALSE)/(LEN(VLOOKUP($D96,素材!$1:$1016,COLUMN($F$1),FALSE))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Q96">
        <f>IF(ISNUMBER(SEARCH(SUBSTITUTE(AQ$1,RIGHT(AQ$1,2),""),VLOOKUP($D96,素材!$1:$1016,COLUMN($F$1),FALSE))),VLOOKUP($C96,武器!$1:$998,COLUMN($O$1),FALSE)*VLOOKUP($D96,素材!$1:$1016,COLUMN($E$1),FALSE)/(LEN(VLOOKUP($D96,素材!$1:$1016,COLUMN($F$1),FALSE))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R96">
        <f>IF(ISNUMBER(SEARCH(SUBSTITUTE(AR$1,RIGHT(AR$1,2),""),VLOOKUP($D96,素材!$1:$1016,COLUMN($F$1),FALSE))),VLOOKUP($C96,武器!$1:$998,COLUMN($O$1),FALSE)*VLOOKUP($D96,素材!$1:$1016,COLUMN($E$1),FALSE)/(LEN(VLOOKUP($D96,素材!$1:$1016,COLUMN($F$1),FALSE))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S96">
        <f>IF(ISNUMBER(SEARCH(SUBSTITUTE(AS$1,RIGHT(AS$1,2),""),VLOOKUP($D96,素材!$1:$1016,COLUMN($F$1),FALSE))),VLOOKUP($C96,武器!$1:$998,COLUMN($O$1),FALSE)*VLOOKUP($D96,素材!$1:$1016,COLUMN($E$1),FALSE)/(LEN(VLOOKUP($D96,素材!$1:$1016,COLUMN($F$1),FALSE))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T96">
        <f>IF(ISNUMBER(SEARCH(SUBSTITUTE(AT$1,RIGHT(AT$1,2),""),VLOOKUP($D96,素材!$1:$1016,COLUMN($F$1),FALSE))),VLOOKUP($C96,武器!$1:$998,COLUMN($O$1),FALSE)*VLOOKUP($D96,素材!$1:$1016,COLUMN($E$1),FALSE)/(LEN(VLOOKUP($D96,素材!$1:$1016,COLUMN($F$1),FALSE))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U96">
        <f>IF(ISNUMBER(SEARCH(SUBSTITUTE(AU$1,RIGHT(AU$1,2),""),VLOOKUP($D96,素材!$1:$1016,COLUMN($F$1),FALSE))),VLOOKUP($C96,武器!$1:$998,COLUMN($O$1),FALSE)*VLOOKUP($D96,素材!$1:$1016,COLUMN($E$1),FALSE)/(LEN(VLOOKUP($D96,素材!$1:$1016,COLUMN($F$1),FALSE))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V96">
        <f>IF(ISNUMBER(SEARCH(SUBSTITUTE(AV$1,RIGHT(AV$1,2),""),VLOOKUP($D96,素材!$1:$1016,COLUMN($F$1),FALSE))),VLOOKUP($C96,武器!$1:$998,COLUMN($O$1),FALSE)*VLOOKUP($D96,素材!$1:$1016,COLUMN($E$1),FALSE)/(LEN(VLOOKUP($D96,素材!$1:$1016,COLUMN($F$1),FALSE))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W96">
        <f>IF(ISNUMBER(SEARCH(SUBSTITUTE(AW$1,RIGHT(AW$1,2),""),VLOOKUP($D96,素材!$1:$1016,COLUMN($F$1),FALSE))),VLOOKUP($C96,武器!$1:$998,COLUMN($O$1),FALSE)*VLOOKUP($D96,素材!$1:$1016,COLUMN($E$1),FALSE)/(LEN(VLOOKUP($D96,素材!$1:$1016,COLUMN($F$1),FALSE))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X96">
        <f>IF(ISNUMBER(SEARCH(SUBSTITUTE(AX$1,RIGHT(AX$1,2),""),VLOOKUP($D96,素材!$1:$1016,COLUMN($F$1),FALSE))),VLOOKUP($C96,武器!$1:$998,COLUMN($O$1),FALSE)*VLOOKUP($D96,素材!$1:$1016,COLUMN($E$1),FALSE)/(LEN(VLOOKUP($D96,素材!$1:$1016,COLUMN($F$1),FALSE))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Y96">
        <f>IF(ISNUMBER(SEARCH(SUBSTITUTE(AY$1,RIGHT(AY$1,2),""),VLOOKUP($D96,素材!$1:$1016,COLUMN($F$1),FALSE))),VLOOKUP($C96,武器!$1:$998,COLUMN($O$1),FALSE)*VLOOKUP($D96,素材!$1:$1016,COLUMN($E$1),FALSE)/(LEN(VLOOKUP($D96,素材!$1:$1016,COLUMN($F$1),FALSE))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AZ96">
        <f>IF(ISNUMBER(SEARCH(SUBSTITUTE(AZ$1,RIGHT(AZ$1,2),""),VLOOKUP($D96,素材!$1:$1016,COLUMN($F$1),FALSE))),VLOOKUP($C96,武器!$1:$998,COLUMN($O$1),FALSE)*VLOOKUP($D96,素材!$1:$1016,COLUMN($E$1),FALSE)/(LEN(VLOOKUP($D96,素材!$1:$1016,COLUMN($F$1),FALSE))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BA96">
        <f>IF(ISNUMBER(SEARCH(SUBSTITUTE(BA$1,RIGHT(BA$1,2),""),VLOOKUP($D96,素材!$1:$1016,COLUMN($F$1),FALSE))),VLOOKUP($C96,武器!$1:$998,COLUMN($O$1),FALSE)*VLOOKUP($D96,素材!$1:$1016,COLUMN($E$1),FALSE)/(LEN(VLOOKUP($D96,素材!$1:$1016,COLUMN($F$1),FALSE))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BB96">
        <f>IF(ISNUMBER(SEARCH(SUBSTITUTE(BB$1,RIGHT(BB$1,2),""),VLOOKUP($D96,素材!$1:$1016,COLUMN($F$1),FALSE))),VLOOKUP($C96,武器!$1:$998,COLUMN($O$1),FALSE)*VLOOKUP($D96,素材!$1:$1016,COLUMN($E$1),FALSE)/(LEN(VLOOKUP($D96,素材!$1:$1016,COLUMN($F$1),FALSE))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BC96">
        <f>IF(ISNUMBER(SEARCH(SUBSTITUTE(BC$1,RIGHT(BC$1,2),""),VLOOKUP($D96,素材!$1:$1016,COLUMN($F$1),FALSE))),VLOOKUP($C96,武器!$1:$998,COLUMN($O$1),FALSE)*VLOOKUP($D96,素材!$1:$1016,COLUMN($E$1),FALSE)/(LEN(VLOOKUP($D96,素材!$1:$1016,COLUMN($F$1),FALSE))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BD96">
        <f>IF(ISNUMBER(SEARCH(SUBSTITUTE(BD$1,RIGHT(BD$1,2),""),VLOOKUP($D96,素材!$1:$1016,COLUMN($F$1),FALSE))),VLOOKUP($C96,武器!$1:$998,COLUMN($O$1),FALSE)*VLOOKUP($D96,素材!$1:$1016,COLUMN($E$1),FALSE)/(LEN(VLOOKUP($D96,素材!$1:$1016,COLUMN($F$1),FALSE))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BE96">
        <f>IF(ISNUMBER(SEARCH(SUBSTITUTE(BE$1,RIGHT(BE$1,2),""),VLOOKUP($D96,素材!$1:$1016,COLUMN($F$1),FALSE))),VLOOKUP($C96,武器!$1:$998,COLUMN($O$1),FALSE)*VLOOKUP($D96,素材!$1:$1016,COLUMN($E$1),FALSE)/(LEN(VLOOKUP($D96,素材!$1:$1016,COLUMN($F$1),FALSE))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BF96">
        <f>IF(ISNUMBER(SEARCH(SUBSTITUTE(BF$1,RIGHT(BF$1,2),""),VLOOKUP($D96,素材!$1:$1016,COLUMN($F$1),FALSE))),VLOOKUP($C96,武器!$1:$998,COLUMN($O$1),FALSE)*VLOOKUP($D96,素材!$1:$1016,COLUMN($E$1),FALSE)/(LEN(VLOOKUP($D96,素材!$1:$1016,COLUMN($F$1),FALSE)) - LEN(SUBSTITUTE(VLOOKUP($D96,素材!$1:$1016,COLUMN($F$1),FALSE), "・", 0)) + 1), 0)</f>
        <v>0</v>
      </c>
      <c r="CM96">
        <f t="shared" si="8"/>
        <v>33</v>
      </c>
      <c r="CN96" s="22" t="str">
        <f>IF(E96="武器",IF(J96-1&gt;SUM(G96:I96),"盾",IF(MAX(G96:I96)=G96,"切断",IF(MAX(G96:I96)=H96,"貫通",IF(MAX(G96:I96)=I96,"打撃","射撃")))),E96)&amp;".webp"</f>
        <v>切断.webp</v>
      </c>
      <c r="CO96">
        <f>IFERROR(VLOOKUP($C96,武器!$1:$998,COLUMN(V$1),FALSE)*VLOOKUP($D96,素材!$1:$1016,COLUMN(N$1),FALSE)+IF(CJ96="",0,VLOOKUP($CJ96,装強!$1:$1008,COLUMN($CL$1),FALSE)),"")</f>
        <v>900</v>
      </c>
      <c r="CP96" t="str">
        <f>VLOOKUP(D96,素材!$A:$O,COLUMN(素材!O$1),FALSE)</f>
        <v>鍛えられた鉄。硬度が高く安価なためよく使用される。</v>
      </c>
      <c r="CQ96" t="str">
        <f>VLOOKUP(C96,武器!$A:$W,COLUMN(武器!W$1),FALSE)</f>
        <v>戦斧。攻撃力が高く、重いが信頼性がある武器。</v>
      </c>
      <c r="CS96" t="str">
        <f t="shared" si="7"/>
        <v>e_96</v>
      </c>
      <c r="CT96">
        <f t="shared" si="9"/>
        <v>90000</v>
      </c>
    </row>
    <row r="97" spans="1:98" outlineLevel="1" x14ac:dyDescent="0.4">
      <c r="A97" t="str">
        <f t="shared" si="6"/>
        <v>鋼の鞭</v>
      </c>
      <c r="B97" t="str">
        <f>IFERROR(VLOOKUP($D97,素材!$1:$1016,COLUMN($B$1),FALSE)&amp;"・"&amp;VLOOKUP($C97,武器!$1:$998,COLUMN(B$1),FALSE),"")</f>
        <v>スチール・ウィップ</v>
      </c>
      <c r="C97" t="s">
        <v>223</v>
      </c>
      <c r="D97" s="24" t="s">
        <v>253</v>
      </c>
      <c r="E97" t="str">
        <f>IFERROR(VLOOKUP(C97,武器!$1:$998,COLUMN(C$1),FALSE),"")</f>
        <v>武器</v>
      </c>
      <c r="F97">
        <f>IFERROR(ROUNDDOWN((VLOOKUP($C97,武器!$1:$998,COLUMN(D$1),FALSE)+IFERROR(VLOOKUP($CJ97,装強!$1:$999,COLUMN(F$1),FALSE),0))*VLOOKUP($D97,素材!$1:$1016,COLUMN(D$1),FALSE),0),"")</f>
        <v>110</v>
      </c>
      <c r="G97">
        <f>IFERROR(ROUNDDOWN((VLOOKUP($C97,武器!$1:$998,COLUMN(E$1),FALSE)+IFERROR(VLOOKUP($CJ97,装強!$1:$999,COLUMN(G$1),FALSE),0))*VLOOKUP($D97,素材!$1:$1016,COLUMN($E$1),FALSE),0),"")</f>
        <v>24</v>
      </c>
      <c r="H97">
        <f>IFERROR(ROUNDDOWN((VLOOKUP($C97,武器!$1:$998,COLUMN(F$1),FALSE)+IFERROR(VLOOKUP($CJ97,装強!$1:$999,COLUMN(H$1),FALSE),0))*VLOOKUP($D97,素材!$1:$1016,COLUMN($E$1),FALSE),0),"")</f>
        <v>0</v>
      </c>
      <c r="I97">
        <f>IFERROR(ROUNDDOWN((VLOOKUP($C97,武器!$1:$998,COLUMN(G$1),FALSE)+IFERROR(VLOOKUP($CJ97,装強!$1:$999,COLUMN(I$1),FALSE),0))*VLOOKUP($D97,素材!$1:$1016,COLUMN($E$1),FALSE),0),"")</f>
        <v>5</v>
      </c>
      <c r="J97">
        <f>IFERROR(ROUNDDOWN((VLOOKUP($C97,武器!$1:$998,COLUMN(H$1),FALSE)+IFERROR(VLOOKUP($CJ97,装強!$1:$999,COLUMN(J$1),FALSE),0))*VLOOKUP($D97,素材!$1:$1016,COLUMN($E$1),FALSE),0),"")</f>
        <v>14</v>
      </c>
      <c r="K97">
        <f>IFERROR(ROUNDDOWN((VLOOKUP($C97,武器!$1:$998,COLUMN(I$1),FALSE)+IFERROR(VLOOKUP($CJ97,装強!$1:$999,COLUMN(K$1),FALSE),0))*VLOOKUP($D97,素材!$1:$1016,COLUMN($E$1),FALSE),0),"")</f>
        <v>0</v>
      </c>
      <c r="L97">
        <f>IFERROR(VLOOKUP($D97,素材!$1:$1016,COLUMN($F$1),FALSE),"")</f>
        <v>0</v>
      </c>
      <c r="M97">
        <f>IFERROR(VLOOKUP($C97,武器!$1:$998,COLUMN(AA$1),FALSE)*VLOOKUP($D97,素材!$1:$1016,COLUMN($G$1),FALSE),"")</f>
        <v>0</v>
      </c>
      <c r="N97">
        <f>IFERROR(VLOOKUP($C97,武器!$1:$998,COLUMN(I$1),FALSE),"")</f>
        <v>0</v>
      </c>
      <c r="O97" s="23">
        <f>IFERROR((VLOOKUP($C97,武器!$1:$998,COLUMN(K$1),FALSE)+VLOOKUP($D97,素材!$1:$1016,COLUMN(H$1),FALSE))*100+IFERROR(VLOOKUP($CJ97,装強!$1:$999,COLUMN(O$1),FALSE),0),"")</f>
        <v>10</v>
      </c>
      <c r="P97" s="23">
        <f>IFERROR((VLOOKUP($C97,武器!$1:$998,COLUMN(L$1),FALSE)+VLOOKUP($D97,素材!$1:$1016,COLUMN(I$1),FALSE))*100+IFERROR(VLOOKUP($CJ97,装強!$1:$999,COLUMN(P$1),FALSE),0),"")</f>
        <v>150</v>
      </c>
      <c r="Q97">
        <f>IFERROR(ROUNDUP(VLOOKUP($C97,武器!$1:$998,COLUMN(M$1),FALSE)*(VLOOKUP($D97,素材!$1:$1002,COLUMN(D$1),FALSE)/100),1),"")</f>
        <v>0</v>
      </c>
      <c r="R97">
        <f>IFERROR(ROUNDUP(VLOOKUP($C97,武器!$1:$998,COLUMN(N$1),FALSE)*(VLOOKUP($D97,素材!$1:$1002,COLUMN(D$1),FALSE)/100),1),"")</f>
        <v>0</v>
      </c>
      <c r="S97">
        <f>IFERROR(VLOOKUP($C97,武器!$1:$998,COLUMN(P$1),FALSE),"")</f>
        <v>1</v>
      </c>
      <c r="T97">
        <f>IFERROR(VLOOKUP($C97,武器!$1:$998,COLUMN(Q$1),FALSE),"")</f>
        <v>0</v>
      </c>
      <c r="U97">
        <f>IFERROR(VLOOKUP($C97,武器!$1:$998,COLUMN(R$1),FALSE),"")</f>
        <v>0</v>
      </c>
      <c r="V97">
        <f>IFERROR(VLOOKUP($C97,武器!$1:$998,COLUMN(Q$1),FALSE),"")</f>
        <v>0</v>
      </c>
      <c r="W97" t="str">
        <f>IFERROR(VLOOKUP($C97,武器!$1:$998,COLUMN(T$1),FALSE),"")</f>
        <v>A</v>
      </c>
      <c r="Y97">
        <f>IFERROR(VLOOKUP($C97,武器!$1:$998,COLUMN(U$1),FALSE),"")</f>
        <v>0</v>
      </c>
      <c r="Z97">
        <f>IFERROR(ROUNDUP(VLOOKUP($C97,武器!$1:$998,COLUMN(O$1),FALSE)*VLOOKUP($D97,素材!$1:$1016,COLUMN(E$1),FALSE),1),"")</f>
        <v>0</v>
      </c>
      <c r="AA97">
        <f>IF(ISNUMBER(SEARCH(SUBSTITUTE(AA$1,RIGHT(AA$1,2),""),VLOOKUP($D97,素材!$1:$1016,COLUMN($F$1),FALSE))),VLOOKUP($C97,武器!$1:$998,COLUMN($O$1),FALSE)*VLOOKUP($D97,素材!$1:$1016,COLUMN($E$1),FALSE)/(LEN(VLOOKUP($D97,素材!$1:$1016,COLUMN($F$1),FALSE))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B97">
        <f>IF(ISNUMBER(SEARCH(SUBSTITUTE(AB$1,RIGHT(AB$1,2),""),VLOOKUP($D97,素材!$1:$1016,COLUMN($F$1),FALSE))),VLOOKUP($C97,武器!$1:$998,COLUMN($O$1),FALSE)*VLOOKUP($D97,素材!$1:$1016,COLUMN($E$1),FALSE)/(LEN(VLOOKUP($D97,素材!$1:$1016,COLUMN($F$1),FALSE))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C97">
        <f>IF(ISNUMBER(SEARCH(SUBSTITUTE(AC$1,RIGHT(AC$1,2),""),VLOOKUP($D97,素材!$1:$1016,COLUMN($F$1),FALSE))),VLOOKUP($C97,武器!$1:$998,COLUMN($O$1),FALSE)*VLOOKUP($D97,素材!$1:$1016,COLUMN($E$1),FALSE)/(LEN(VLOOKUP($D97,素材!$1:$1016,COLUMN($F$1),FALSE))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D97">
        <f>IF(ISNUMBER(SEARCH(SUBSTITUTE(AD$1,RIGHT(AD$1,2),""),VLOOKUP($D97,素材!$1:$1016,COLUMN($F$1),FALSE))),VLOOKUP($C97,武器!$1:$998,COLUMN($O$1),FALSE)*VLOOKUP($D97,素材!$1:$1016,COLUMN($E$1),FALSE)/(LEN(VLOOKUP($D97,素材!$1:$1016,COLUMN($F$1),FALSE))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E97">
        <f>IF(ISNUMBER(SEARCH(SUBSTITUTE(AE$1,RIGHT(AE$1,2),""),VLOOKUP($D97,素材!$1:$1016,COLUMN($F$1),FALSE))),VLOOKUP($C97,武器!$1:$998,COLUMN($O$1),FALSE)*VLOOKUP($D97,素材!$1:$1016,COLUMN($E$1),FALSE)/(LEN(VLOOKUP($D97,素材!$1:$1016,COLUMN($F$1),FALSE))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F97">
        <f>IF(ISNUMBER(SEARCH(SUBSTITUTE(AF$1,RIGHT(AF$1,2),""),VLOOKUP($D97,素材!$1:$1016,COLUMN($F$1),FALSE))),VLOOKUP($C97,武器!$1:$998,COLUMN($O$1),FALSE)*VLOOKUP($D97,素材!$1:$1016,COLUMN($E$1),FALSE)/(LEN(VLOOKUP($D97,素材!$1:$1016,COLUMN($F$1),FALSE))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G97">
        <f>IF(ISNUMBER(SEARCH(SUBSTITUTE(AG$1,RIGHT(AG$1,2),""),VLOOKUP($D97,素材!$1:$1016,COLUMN($F$1),FALSE))),VLOOKUP($C97,武器!$1:$998,COLUMN($O$1),FALSE)*VLOOKUP($D97,素材!$1:$1016,COLUMN($E$1),FALSE)/(LEN(VLOOKUP($D97,素材!$1:$1016,COLUMN($F$1),FALSE))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H97">
        <f>IF(ISNUMBER(SEARCH(SUBSTITUTE(AH$1,RIGHT(AH$1,2),""),VLOOKUP($D97,素材!$1:$1016,COLUMN($F$1),FALSE))),VLOOKUP($C97,武器!$1:$998,COLUMN($O$1),FALSE)*VLOOKUP($D97,素材!$1:$1016,COLUMN($E$1),FALSE)/(LEN(VLOOKUP($D97,素材!$1:$1016,COLUMN($F$1),FALSE))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I97">
        <f>IF(ISNUMBER(SEARCH(SUBSTITUTE(AI$1,RIGHT(AI$1,2),""),VLOOKUP($D97,素材!$1:$1016,COLUMN($F$1),FALSE))),VLOOKUP($C97,武器!$1:$998,COLUMN($O$1),FALSE)*VLOOKUP($D97,素材!$1:$1016,COLUMN($E$1),FALSE)/(LEN(VLOOKUP($D97,素材!$1:$1016,COLUMN($F$1),FALSE))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J97">
        <f>IF(ISNUMBER(SEARCH(SUBSTITUTE(AJ$1,RIGHT(AJ$1,2),""),VLOOKUP($D97,素材!$1:$1016,COLUMN($F$1),FALSE))),VLOOKUP($C97,武器!$1:$998,COLUMN($O$1),FALSE)*VLOOKUP($D97,素材!$1:$1016,COLUMN($E$1),FALSE)/(LEN(VLOOKUP($D97,素材!$1:$1016,COLUMN($F$1),FALSE))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K97">
        <f>IF(ISNUMBER(SEARCH(SUBSTITUTE(AK$1,RIGHT(AK$1,2),""),VLOOKUP($D97,素材!$1:$1016,COLUMN($F$1),FALSE))),VLOOKUP($C97,武器!$1:$998,COLUMN($O$1),FALSE)*VLOOKUP($D97,素材!$1:$1016,COLUMN($E$1),FALSE)/(LEN(VLOOKUP($D97,素材!$1:$1016,COLUMN($F$1),FALSE))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L97">
        <f>IF(ISNUMBER(SEARCH(SUBSTITUTE(AL$1,RIGHT(AL$1,2),""),VLOOKUP($D97,素材!$1:$1016,COLUMN($F$1),FALSE))),VLOOKUP($C97,武器!$1:$998,COLUMN($O$1),FALSE)*VLOOKUP($D97,素材!$1:$1016,COLUMN($E$1),FALSE)/(LEN(VLOOKUP($D97,素材!$1:$1016,COLUMN($F$1),FALSE))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M97">
        <f>IF(ISNUMBER(SEARCH(SUBSTITUTE(AM$1,RIGHT(AM$1,2),""),VLOOKUP($D97,素材!$1:$1016,COLUMN($F$1),FALSE))),VLOOKUP($C97,武器!$1:$998,COLUMN($O$1),FALSE)*VLOOKUP($D97,素材!$1:$1016,COLUMN($E$1),FALSE)/(LEN(VLOOKUP($D97,素材!$1:$1016,COLUMN($F$1),FALSE))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N97">
        <f>IF(ISNUMBER(SEARCH(SUBSTITUTE(AN$1,RIGHT(AN$1,2),""),VLOOKUP($D97,素材!$1:$1016,COLUMN($F$1),FALSE))),VLOOKUP($C97,武器!$1:$998,COLUMN($O$1),FALSE)*VLOOKUP($D97,素材!$1:$1016,COLUMN($E$1),FALSE)/(LEN(VLOOKUP($D97,素材!$1:$1016,COLUMN($F$1),FALSE))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O97">
        <f>IF(ISNUMBER(SEARCH(SUBSTITUTE(AO$1,RIGHT(AO$1,2),""),VLOOKUP($D97,素材!$1:$1016,COLUMN($F$1),FALSE))),VLOOKUP($C97,武器!$1:$998,COLUMN($O$1),FALSE)*VLOOKUP($D97,素材!$1:$1016,COLUMN($E$1),FALSE)/(LEN(VLOOKUP($D97,素材!$1:$1016,COLUMN($F$1),FALSE))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P97">
        <f>IF(ISNUMBER(SEARCH(SUBSTITUTE(AP$1,RIGHT(AP$1,2),""),VLOOKUP($D97,素材!$1:$1016,COLUMN($F$1),FALSE))),VLOOKUP($C97,武器!$1:$998,COLUMN($O$1),FALSE)*VLOOKUP($D97,素材!$1:$1016,COLUMN($E$1),FALSE)/(LEN(VLOOKUP($D97,素材!$1:$1016,COLUMN($F$1),FALSE))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Q97">
        <f>IF(ISNUMBER(SEARCH(SUBSTITUTE(AQ$1,RIGHT(AQ$1,2),""),VLOOKUP($D97,素材!$1:$1016,COLUMN($F$1),FALSE))),VLOOKUP($C97,武器!$1:$998,COLUMN($O$1),FALSE)*VLOOKUP($D97,素材!$1:$1016,COLUMN($E$1),FALSE)/(LEN(VLOOKUP($D97,素材!$1:$1016,COLUMN($F$1),FALSE))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R97">
        <f>IF(ISNUMBER(SEARCH(SUBSTITUTE(AR$1,RIGHT(AR$1,2),""),VLOOKUP($D97,素材!$1:$1016,COLUMN($F$1),FALSE))),VLOOKUP($C97,武器!$1:$998,COLUMN($O$1),FALSE)*VLOOKUP($D97,素材!$1:$1016,COLUMN($E$1),FALSE)/(LEN(VLOOKUP($D97,素材!$1:$1016,COLUMN($F$1),FALSE))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S97">
        <f>IF(ISNUMBER(SEARCH(SUBSTITUTE(AS$1,RIGHT(AS$1,2),""),VLOOKUP($D97,素材!$1:$1016,COLUMN($F$1),FALSE))),VLOOKUP($C97,武器!$1:$998,COLUMN($O$1),FALSE)*VLOOKUP($D97,素材!$1:$1016,COLUMN($E$1),FALSE)/(LEN(VLOOKUP($D97,素材!$1:$1016,COLUMN($F$1),FALSE))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T97">
        <f>IF(ISNUMBER(SEARCH(SUBSTITUTE(AT$1,RIGHT(AT$1,2),""),VLOOKUP($D97,素材!$1:$1016,COLUMN($F$1),FALSE))),VLOOKUP($C97,武器!$1:$998,COLUMN($O$1),FALSE)*VLOOKUP($D97,素材!$1:$1016,COLUMN($E$1),FALSE)/(LEN(VLOOKUP($D97,素材!$1:$1016,COLUMN($F$1),FALSE))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U97">
        <f>IF(ISNUMBER(SEARCH(SUBSTITUTE(AU$1,RIGHT(AU$1,2),""),VLOOKUP($D97,素材!$1:$1016,COLUMN($F$1),FALSE))),VLOOKUP($C97,武器!$1:$998,COLUMN($O$1),FALSE)*VLOOKUP($D97,素材!$1:$1016,COLUMN($E$1),FALSE)/(LEN(VLOOKUP($D97,素材!$1:$1016,COLUMN($F$1),FALSE))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V97">
        <f>IF(ISNUMBER(SEARCH(SUBSTITUTE(AV$1,RIGHT(AV$1,2),""),VLOOKUP($D97,素材!$1:$1016,COLUMN($F$1),FALSE))),VLOOKUP($C97,武器!$1:$998,COLUMN($O$1),FALSE)*VLOOKUP($D97,素材!$1:$1016,COLUMN($E$1),FALSE)/(LEN(VLOOKUP($D97,素材!$1:$1016,COLUMN($F$1),FALSE))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W97">
        <f>IF(ISNUMBER(SEARCH(SUBSTITUTE(AW$1,RIGHT(AW$1,2),""),VLOOKUP($D97,素材!$1:$1016,COLUMN($F$1),FALSE))),VLOOKUP($C97,武器!$1:$998,COLUMN($O$1),FALSE)*VLOOKUP($D97,素材!$1:$1016,COLUMN($E$1),FALSE)/(LEN(VLOOKUP($D97,素材!$1:$1016,COLUMN($F$1),FALSE))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X97">
        <f>IF(ISNUMBER(SEARCH(SUBSTITUTE(AX$1,RIGHT(AX$1,2),""),VLOOKUP($D97,素材!$1:$1016,COLUMN($F$1),FALSE))),VLOOKUP($C97,武器!$1:$998,COLUMN($O$1),FALSE)*VLOOKUP($D97,素材!$1:$1016,COLUMN($E$1),FALSE)/(LEN(VLOOKUP($D97,素材!$1:$1016,COLUMN($F$1),FALSE))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Y97">
        <f>IF(ISNUMBER(SEARCH(SUBSTITUTE(AY$1,RIGHT(AY$1,2),""),VLOOKUP($D97,素材!$1:$1016,COLUMN($F$1),FALSE))),VLOOKUP($C97,武器!$1:$998,COLUMN($O$1),FALSE)*VLOOKUP($D97,素材!$1:$1016,COLUMN($E$1),FALSE)/(LEN(VLOOKUP($D97,素材!$1:$1016,COLUMN($F$1),FALSE))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AZ97">
        <f>IF(ISNUMBER(SEARCH(SUBSTITUTE(AZ$1,RIGHT(AZ$1,2),""),VLOOKUP($D97,素材!$1:$1016,COLUMN($F$1),FALSE))),VLOOKUP($C97,武器!$1:$998,COLUMN($O$1),FALSE)*VLOOKUP($D97,素材!$1:$1016,COLUMN($E$1),FALSE)/(LEN(VLOOKUP($D97,素材!$1:$1016,COLUMN($F$1),FALSE))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BA97">
        <f>IF(ISNUMBER(SEARCH(SUBSTITUTE(BA$1,RIGHT(BA$1,2),""),VLOOKUP($D97,素材!$1:$1016,COLUMN($F$1),FALSE))),VLOOKUP($C97,武器!$1:$998,COLUMN($O$1),FALSE)*VLOOKUP($D97,素材!$1:$1016,COLUMN($E$1),FALSE)/(LEN(VLOOKUP($D97,素材!$1:$1016,COLUMN($F$1),FALSE))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BB97">
        <f>IF(ISNUMBER(SEARCH(SUBSTITUTE(BB$1,RIGHT(BB$1,2),""),VLOOKUP($D97,素材!$1:$1016,COLUMN($F$1),FALSE))),VLOOKUP($C97,武器!$1:$998,COLUMN($O$1),FALSE)*VLOOKUP($D97,素材!$1:$1016,COLUMN($E$1),FALSE)/(LEN(VLOOKUP($D97,素材!$1:$1016,COLUMN($F$1),FALSE))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BC97">
        <f>IF(ISNUMBER(SEARCH(SUBSTITUTE(BC$1,RIGHT(BC$1,2),""),VLOOKUP($D97,素材!$1:$1016,COLUMN($F$1),FALSE))),VLOOKUP($C97,武器!$1:$998,COLUMN($O$1),FALSE)*VLOOKUP($D97,素材!$1:$1016,COLUMN($E$1),FALSE)/(LEN(VLOOKUP($D97,素材!$1:$1016,COLUMN($F$1),FALSE))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BD97">
        <f>IF(ISNUMBER(SEARCH(SUBSTITUTE(BD$1,RIGHT(BD$1,2),""),VLOOKUP($D97,素材!$1:$1016,COLUMN($F$1),FALSE))),VLOOKUP($C97,武器!$1:$998,COLUMN($O$1),FALSE)*VLOOKUP($D97,素材!$1:$1016,COLUMN($E$1),FALSE)/(LEN(VLOOKUP($D97,素材!$1:$1016,COLUMN($F$1),FALSE))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BE97">
        <f>IF(ISNUMBER(SEARCH(SUBSTITUTE(BE$1,RIGHT(BE$1,2),""),VLOOKUP($D97,素材!$1:$1016,COLUMN($F$1),FALSE))),VLOOKUP($C97,武器!$1:$998,COLUMN($O$1),FALSE)*VLOOKUP($D97,素材!$1:$1016,COLUMN($E$1),FALSE)/(LEN(VLOOKUP($D97,素材!$1:$1016,COLUMN($F$1),FALSE))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BF97">
        <f>IF(ISNUMBER(SEARCH(SUBSTITUTE(BF$1,RIGHT(BF$1,2),""),VLOOKUP($D97,素材!$1:$1016,COLUMN($F$1),FALSE))),VLOOKUP($C97,武器!$1:$998,COLUMN($O$1),FALSE)*VLOOKUP($D97,素材!$1:$1016,COLUMN($E$1),FALSE)/(LEN(VLOOKUP($D97,素材!$1:$1016,COLUMN($F$1),FALSE)) - LEN(SUBSTITUTE(VLOOKUP($D97,素材!$1:$1016,COLUMN($F$1),FALSE), "・", 0)) + 1), 0)</f>
        <v>0</v>
      </c>
      <c r="CM97">
        <f t="shared" si="8"/>
        <v>29</v>
      </c>
      <c r="CN97" s="22" t="str">
        <f>IF(E97="武器",IF(J97-1&gt;SUM(G97:I97),"盾",IF(MAX(G97:I97)=G97,"切断",IF(MAX(G97:I97)=H97,"貫通",IF(MAX(G97:I97)=I97,"打撃","射撃")))),E97)&amp;".webp"</f>
        <v>切断.webp</v>
      </c>
      <c r="CO97">
        <f>IFERROR(VLOOKUP($C97,武器!$1:$998,COLUMN(V$1),FALSE)*VLOOKUP($D97,素材!$1:$1016,COLUMN(N$1),FALSE)+IF(CJ97="",0,VLOOKUP($CJ97,装強!$1:$1008,COLUMN($CL$1),FALSE)),"")</f>
        <v>1125</v>
      </c>
      <c r="CP97" t="str">
        <f>VLOOKUP(D97,素材!$A:$O,COLUMN(素材!O$1),FALSE)</f>
        <v>鍛えられた鉄。硬度が高く安価なためよく使用される。</v>
      </c>
      <c r="CQ97" t="str">
        <f>VLOOKUP(C97,武器!$A:$W,COLUMN(武器!W$1),FALSE)</f>
        <v>鞭。リーチが長く、敵を絡め取る戦闘に適する。</v>
      </c>
      <c r="CS97" t="str">
        <f t="shared" si="7"/>
        <v>e_97</v>
      </c>
      <c r="CT97">
        <f t="shared" si="9"/>
        <v>112500</v>
      </c>
    </row>
    <row r="98" spans="1:98" outlineLevel="1" x14ac:dyDescent="0.4">
      <c r="A98" t="str">
        <f t="shared" si="6"/>
        <v>鋼の丸盾</v>
      </c>
      <c r="B98" t="str">
        <f>IFERROR(VLOOKUP($D98,素材!$1:$1016,COLUMN($B$1),FALSE)&amp;"・"&amp;VLOOKUP($C98,武器!$1:$998,COLUMN(B$1),FALSE),"")</f>
        <v>スチール・バックラー</v>
      </c>
      <c r="C98" t="s">
        <v>222</v>
      </c>
      <c r="D98" s="24" t="s">
        <v>253</v>
      </c>
      <c r="E98" t="str">
        <f>IFERROR(VLOOKUP(C98,武器!$1:$998,COLUMN(C$1),FALSE),"")</f>
        <v>盾</v>
      </c>
      <c r="F98">
        <f>IFERROR(ROUNDDOWN((VLOOKUP($C98,武器!$1:$998,COLUMN(D$1),FALSE)+IFERROR(VLOOKUP($CJ98,装強!$1:$999,COLUMN(F$1),FALSE),0))*VLOOKUP($D98,素材!$1:$1016,COLUMN(D$1),FALSE),0),"")</f>
        <v>105</v>
      </c>
      <c r="G98">
        <f>IFERROR(ROUNDDOWN((VLOOKUP($C98,武器!$1:$998,COLUMN(E$1),FALSE)+IFERROR(VLOOKUP($CJ98,装強!$1:$999,COLUMN(G$1),FALSE),0))*VLOOKUP($D98,素材!$1:$1016,COLUMN($E$1),FALSE),0),"")</f>
        <v>10</v>
      </c>
      <c r="H98">
        <f>IFERROR(ROUNDDOWN((VLOOKUP($C98,武器!$1:$998,COLUMN(F$1),FALSE)+IFERROR(VLOOKUP($CJ98,装強!$1:$999,COLUMN(H$1),FALSE),0))*VLOOKUP($D98,素材!$1:$1016,COLUMN($E$1),FALSE),0),"")</f>
        <v>0</v>
      </c>
      <c r="I98">
        <f>IFERROR(ROUNDDOWN((VLOOKUP($C98,武器!$1:$998,COLUMN(G$1),FALSE)+IFERROR(VLOOKUP($CJ98,装強!$1:$999,COLUMN(I$1),FALSE),0))*VLOOKUP($D98,素材!$1:$1016,COLUMN($E$1),FALSE),0),"")</f>
        <v>10</v>
      </c>
      <c r="J98">
        <f>IFERROR(ROUNDDOWN((VLOOKUP($C98,武器!$1:$998,COLUMN(H$1),FALSE)+IFERROR(VLOOKUP($CJ98,装強!$1:$999,COLUMN(J$1),FALSE),0))*VLOOKUP($D98,素材!$1:$1016,COLUMN($E$1),FALSE),0),"")</f>
        <v>31</v>
      </c>
      <c r="K98">
        <f>IFERROR(ROUNDDOWN((VLOOKUP($C98,武器!$1:$998,COLUMN(I$1),FALSE)+IFERROR(VLOOKUP($CJ98,装強!$1:$999,COLUMN(K$1),FALSE),0))*VLOOKUP($D98,素材!$1:$1016,COLUMN($E$1),FALSE),0),"")</f>
        <v>0</v>
      </c>
      <c r="L98">
        <f>IFERROR(VLOOKUP($D98,素材!$1:$1016,COLUMN($F$1),FALSE),"")</f>
        <v>0</v>
      </c>
      <c r="M98">
        <f>IFERROR(VLOOKUP($C98,武器!$1:$998,COLUMN(AA$1),FALSE)*VLOOKUP($D98,素材!$1:$1016,COLUMN($G$1),FALSE),"")</f>
        <v>0</v>
      </c>
      <c r="N98">
        <f>IFERROR(VLOOKUP($C98,武器!$1:$998,COLUMN(I$1),FALSE),"")</f>
        <v>0</v>
      </c>
      <c r="O98" s="23">
        <f>IFERROR((VLOOKUP($C98,武器!$1:$998,COLUMN(K$1),FALSE)+VLOOKUP($D98,素材!$1:$1016,COLUMN(H$1),FALSE))*100+IFERROR(VLOOKUP($CJ98,装強!$1:$999,COLUMN(O$1),FALSE),0),"")</f>
        <v>5</v>
      </c>
      <c r="P98" s="23">
        <f>IFERROR((VLOOKUP($C98,武器!$1:$998,COLUMN(L$1),FALSE)+VLOOKUP($D98,素材!$1:$1016,COLUMN(I$1),FALSE))*100+IFERROR(VLOOKUP($CJ98,装強!$1:$999,COLUMN(P$1),FALSE),0),"")</f>
        <v>125</v>
      </c>
      <c r="Q98">
        <f>IFERROR(ROUNDUP(VLOOKUP($C98,武器!$1:$998,COLUMN(M$1),FALSE)*(VLOOKUP($D98,素材!$1:$1002,COLUMN(D$1),FALSE)/100),1),"")</f>
        <v>0</v>
      </c>
      <c r="R98">
        <f>IFERROR(ROUNDUP(VLOOKUP($C98,武器!$1:$998,COLUMN(N$1),FALSE)*(VLOOKUP($D98,素材!$1:$1002,COLUMN(D$1),FALSE)/100),1),"")</f>
        <v>0</v>
      </c>
      <c r="S98">
        <f>IFERROR(VLOOKUP($C98,武器!$1:$998,COLUMN(P$1),FALSE),"")</f>
        <v>0</v>
      </c>
      <c r="T98">
        <f>IFERROR(VLOOKUP($C98,武器!$1:$998,COLUMN(Q$1),FALSE),"")</f>
        <v>0</v>
      </c>
      <c r="U98">
        <f>IFERROR(VLOOKUP($C98,武器!$1:$998,COLUMN(R$1),FALSE),"")</f>
        <v>0</v>
      </c>
      <c r="V98">
        <f>IFERROR(VLOOKUP($C98,武器!$1:$998,COLUMN(Q$1),FALSE),"")</f>
        <v>0</v>
      </c>
      <c r="W98" t="str">
        <f>IFERROR(VLOOKUP($C98,武器!$1:$998,COLUMN(T$1),FALSE),"")</f>
        <v>A</v>
      </c>
      <c r="Y98" t="str">
        <f>IFERROR(VLOOKUP($C98,武器!$1:$998,COLUMN(U$1),FALSE),"")</f>
        <v>投擲強化,片手適性Ⅱ</v>
      </c>
      <c r="Z98">
        <f>IFERROR(ROUNDUP(VLOOKUP($C98,武器!$1:$998,COLUMN(O$1),FALSE)*VLOOKUP($D98,素材!$1:$1016,COLUMN(E$1),FALSE),1),"")</f>
        <v>0</v>
      </c>
      <c r="AA98">
        <f>IF(ISNUMBER(SEARCH(SUBSTITUTE(AA$1,RIGHT(AA$1,2),""),VLOOKUP($D98,素材!$1:$1016,COLUMN($F$1),FALSE))),VLOOKUP($C98,武器!$1:$998,COLUMN($O$1),FALSE)*VLOOKUP($D98,素材!$1:$1016,COLUMN($E$1),FALSE)/(LEN(VLOOKUP($D98,素材!$1:$1016,COLUMN($F$1),FALSE))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B98">
        <f>IF(ISNUMBER(SEARCH(SUBSTITUTE(AB$1,RIGHT(AB$1,2),""),VLOOKUP($D98,素材!$1:$1016,COLUMN($F$1),FALSE))),VLOOKUP($C98,武器!$1:$998,COLUMN($O$1),FALSE)*VLOOKUP($D98,素材!$1:$1016,COLUMN($E$1),FALSE)/(LEN(VLOOKUP($D98,素材!$1:$1016,COLUMN($F$1),FALSE))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C98">
        <f>IF(ISNUMBER(SEARCH(SUBSTITUTE(AC$1,RIGHT(AC$1,2),""),VLOOKUP($D98,素材!$1:$1016,COLUMN($F$1),FALSE))),VLOOKUP($C98,武器!$1:$998,COLUMN($O$1),FALSE)*VLOOKUP($D98,素材!$1:$1016,COLUMN($E$1),FALSE)/(LEN(VLOOKUP($D98,素材!$1:$1016,COLUMN($F$1),FALSE))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D98">
        <f>IF(ISNUMBER(SEARCH(SUBSTITUTE(AD$1,RIGHT(AD$1,2),""),VLOOKUP($D98,素材!$1:$1016,COLUMN($F$1),FALSE))),VLOOKUP($C98,武器!$1:$998,COLUMN($O$1),FALSE)*VLOOKUP($D98,素材!$1:$1016,COLUMN($E$1),FALSE)/(LEN(VLOOKUP($D98,素材!$1:$1016,COLUMN($F$1),FALSE))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E98">
        <f>IF(ISNUMBER(SEARCH(SUBSTITUTE(AE$1,RIGHT(AE$1,2),""),VLOOKUP($D98,素材!$1:$1016,COLUMN($F$1),FALSE))),VLOOKUP($C98,武器!$1:$998,COLUMN($O$1),FALSE)*VLOOKUP($D98,素材!$1:$1016,COLUMN($E$1),FALSE)/(LEN(VLOOKUP($D98,素材!$1:$1016,COLUMN($F$1),FALSE))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F98">
        <f>IF(ISNUMBER(SEARCH(SUBSTITUTE(AF$1,RIGHT(AF$1,2),""),VLOOKUP($D98,素材!$1:$1016,COLUMN($F$1),FALSE))),VLOOKUP($C98,武器!$1:$998,COLUMN($O$1),FALSE)*VLOOKUP($D98,素材!$1:$1016,COLUMN($E$1),FALSE)/(LEN(VLOOKUP($D98,素材!$1:$1016,COLUMN($F$1),FALSE))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G98">
        <f>IF(ISNUMBER(SEARCH(SUBSTITUTE(AG$1,RIGHT(AG$1,2),""),VLOOKUP($D98,素材!$1:$1016,COLUMN($F$1),FALSE))),VLOOKUP($C98,武器!$1:$998,COLUMN($O$1),FALSE)*VLOOKUP($D98,素材!$1:$1016,COLUMN($E$1),FALSE)/(LEN(VLOOKUP($D98,素材!$1:$1016,COLUMN($F$1),FALSE))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H98">
        <f>IF(ISNUMBER(SEARCH(SUBSTITUTE(AH$1,RIGHT(AH$1,2),""),VLOOKUP($D98,素材!$1:$1016,COLUMN($F$1),FALSE))),VLOOKUP($C98,武器!$1:$998,COLUMN($O$1),FALSE)*VLOOKUP($D98,素材!$1:$1016,COLUMN($E$1),FALSE)/(LEN(VLOOKUP($D98,素材!$1:$1016,COLUMN($F$1),FALSE))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I98">
        <f>IF(ISNUMBER(SEARCH(SUBSTITUTE(AI$1,RIGHT(AI$1,2),""),VLOOKUP($D98,素材!$1:$1016,COLUMN($F$1),FALSE))),VLOOKUP($C98,武器!$1:$998,COLUMN($O$1),FALSE)*VLOOKUP($D98,素材!$1:$1016,COLUMN($E$1),FALSE)/(LEN(VLOOKUP($D98,素材!$1:$1016,COLUMN($F$1),FALSE))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J98">
        <f>IF(ISNUMBER(SEARCH(SUBSTITUTE(AJ$1,RIGHT(AJ$1,2),""),VLOOKUP($D98,素材!$1:$1016,COLUMN($F$1),FALSE))),VLOOKUP($C98,武器!$1:$998,COLUMN($O$1),FALSE)*VLOOKUP($D98,素材!$1:$1016,COLUMN($E$1),FALSE)/(LEN(VLOOKUP($D98,素材!$1:$1016,COLUMN($F$1),FALSE))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K98">
        <f>IF(ISNUMBER(SEARCH(SUBSTITUTE(AK$1,RIGHT(AK$1,2),""),VLOOKUP($D98,素材!$1:$1016,COLUMN($F$1),FALSE))),VLOOKUP($C98,武器!$1:$998,COLUMN($O$1),FALSE)*VLOOKUP($D98,素材!$1:$1016,COLUMN($E$1),FALSE)/(LEN(VLOOKUP($D98,素材!$1:$1016,COLUMN($F$1),FALSE))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L98">
        <f>IF(ISNUMBER(SEARCH(SUBSTITUTE(AL$1,RIGHT(AL$1,2),""),VLOOKUP($D98,素材!$1:$1016,COLUMN($F$1),FALSE))),VLOOKUP($C98,武器!$1:$998,COLUMN($O$1),FALSE)*VLOOKUP($D98,素材!$1:$1016,COLUMN($E$1),FALSE)/(LEN(VLOOKUP($D98,素材!$1:$1016,COLUMN($F$1),FALSE))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M98">
        <f>IF(ISNUMBER(SEARCH(SUBSTITUTE(AM$1,RIGHT(AM$1,2),""),VLOOKUP($D98,素材!$1:$1016,COLUMN($F$1),FALSE))),VLOOKUP($C98,武器!$1:$998,COLUMN($O$1),FALSE)*VLOOKUP($D98,素材!$1:$1016,COLUMN($E$1),FALSE)/(LEN(VLOOKUP($D98,素材!$1:$1016,COLUMN($F$1),FALSE))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N98">
        <f>IF(ISNUMBER(SEARCH(SUBSTITUTE(AN$1,RIGHT(AN$1,2),""),VLOOKUP($D98,素材!$1:$1016,COLUMN($F$1),FALSE))),VLOOKUP($C98,武器!$1:$998,COLUMN($O$1),FALSE)*VLOOKUP($D98,素材!$1:$1016,COLUMN($E$1),FALSE)/(LEN(VLOOKUP($D98,素材!$1:$1016,COLUMN($F$1),FALSE))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O98">
        <f>IF(ISNUMBER(SEARCH(SUBSTITUTE(AO$1,RIGHT(AO$1,2),""),VLOOKUP($D98,素材!$1:$1016,COLUMN($F$1),FALSE))),VLOOKUP($C98,武器!$1:$998,COLUMN($O$1),FALSE)*VLOOKUP($D98,素材!$1:$1016,COLUMN($E$1),FALSE)/(LEN(VLOOKUP($D98,素材!$1:$1016,COLUMN($F$1),FALSE))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P98">
        <f>IF(ISNUMBER(SEARCH(SUBSTITUTE(AP$1,RIGHT(AP$1,2),""),VLOOKUP($D98,素材!$1:$1016,COLUMN($F$1),FALSE))),VLOOKUP($C98,武器!$1:$998,COLUMN($O$1),FALSE)*VLOOKUP($D98,素材!$1:$1016,COLUMN($E$1),FALSE)/(LEN(VLOOKUP($D98,素材!$1:$1016,COLUMN($F$1),FALSE))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Q98">
        <f>IF(ISNUMBER(SEARCH(SUBSTITUTE(AQ$1,RIGHT(AQ$1,2),""),VLOOKUP($D98,素材!$1:$1016,COLUMN($F$1),FALSE))),VLOOKUP($C98,武器!$1:$998,COLUMN($O$1),FALSE)*VLOOKUP($D98,素材!$1:$1016,COLUMN($E$1),FALSE)/(LEN(VLOOKUP($D98,素材!$1:$1016,COLUMN($F$1),FALSE))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R98">
        <f>IF(ISNUMBER(SEARCH(SUBSTITUTE(AR$1,RIGHT(AR$1,2),""),VLOOKUP($D98,素材!$1:$1016,COLUMN($F$1),FALSE))),VLOOKUP($C98,武器!$1:$998,COLUMN($O$1),FALSE)*VLOOKUP($D98,素材!$1:$1016,COLUMN($E$1),FALSE)/(LEN(VLOOKUP($D98,素材!$1:$1016,COLUMN($F$1),FALSE))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S98">
        <f>IF(ISNUMBER(SEARCH(SUBSTITUTE(AS$1,RIGHT(AS$1,2),""),VLOOKUP($D98,素材!$1:$1016,COLUMN($F$1),FALSE))),VLOOKUP($C98,武器!$1:$998,COLUMN($O$1),FALSE)*VLOOKUP($D98,素材!$1:$1016,COLUMN($E$1),FALSE)/(LEN(VLOOKUP($D98,素材!$1:$1016,COLUMN($F$1),FALSE))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T98">
        <f>IF(ISNUMBER(SEARCH(SUBSTITUTE(AT$1,RIGHT(AT$1,2),""),VLOOKUP($D98,素材!$1:$1016,COLUMN($F$1),FALSE))),VLOOKUP($C98,武器!$1:$998,COLUMN($O$1),FALSE)*VLOOKUP($D98,素材!$1:$1016,COLUMN($E$1),FALSE)/(LEN(VLOOKUP($D98,素材!$1:$1016,COLUMN($F$1),FALSE))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U98">
        <f>IF(ISNUMBER(SEARCH(SUBSTITUTE(AU$1,RIGHT(AU$1,2),""),VLOOKUP($D98,素材!$1:$1016,COLUMN($F$1),FALSE))),VLOOKUP($C98,武器!$1:$998,COLUMN($O$1),FALSE)*VLOOKUP($D98,素材!$1:$1016,COLUMN($E$1),FALSE)/(LEN(VLOOKUP($D98,素材!$1:$1016,COLUMN($F$1),FALSE))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V98">
        <f>IF(ISNUMBER(SEARCH(SUBSTITUTE(AV$1,RIGHT(AV$1,2),""),VLOOKUP($D98,素材!$1:$1016,COLUMN($F$1),FALSE))),VLOOKUP($C98,武器!$1:$998,COLUMN($O$1),FALSE)*VLOOKUP($D98,素材!$1:$1016,COLUMN($E$1),FALSE)/(LEN(VLOOKUP($D98,素材!$1:$1016,COLUMN($F$1),FALSE))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W98">
        <f>IF(ISNUMBER(SEARCH(SUBSTITUTE(AW$1,RIGHT(AW$1,2),""),VLOOKUP($D98,素材!$1:$1016,COLUMN($F$1),FALSE))),VLOOKUP($C98,武器!$1:$998,COLUMN($O$1),FALSE)*VLOOKUP($D98,素材!$1:$1016,COLUMN($E$1),FALSE)/(LEN(VLOOKUP($D98,素材!$1:$1016,COLUMN($F$1),FALSE))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X98">
        <f>IF(ISNUMBER(SEARCH(SUBSTITUTE(AX$1,RIGHT(AX$1,2),""),VLOOKUP($D98,素材!$1:$1016,COLUMN($F$1),FALSE))),VLOOKUP($C98,武器!$1:$998,COLUMN($O$1),FALSE)*VLOOKUP($D98,素材!$1:$1016,COLUMN($E$1),FALSE)/(LEN(VLOOKUP($D98,素材!$1:$1016,COLUMN($F$1),FALSE))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Y98">
        <f>IF(ISNUMBER(SEARCH(SUBSTITUTE(AY$1,RIGHT(AY$1,2),""),VLOOKUP($D98,素材!$1:$1016,COLUMN($F$1),FALSE))),VLOOKUP($C98,武器!$1:$998,COLUMN($O$1),FALSE)*VLOOKUP($D98,素材!$1:$1016,COLUMN($E$1),FALSE)/(LEN(VLOOKUP($D98,素材!$1:$1016,COLUMN($F$1),FALSE))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AZ98">
        <f>IF(ISNUMBER(SEARCH(SUBSTITUTE(AZ$1,RIGHT(AZ$1,2),""),VLOOKUP($D98,素材!$1:$1016,COLUMN($F$1),FALSE))),VLOOKUP($C98,武器!$1:$998,COLUMN($O$1),FALSE)*VLOOKUP($D98,素材!$1:$1016,COLUMN($E$1),FALSE)/(LEN(VLOOKUP($D98,素材!$1:$1016,COLUMN($F$1),FALSE))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BA98">
        <f>IF(ISNUMBER(SEARCH(SUBSTITUTE(BA$1,RIGHT(BA$1,2),""),VLOOKUP($D98,素材!$1:$1016,COLUMN($F$1),FALSE))),VLOOKUP($C98,武器!$1:$998,COLUMN($O$1),FALSE)*VLOOKUP($D98,素材!$1:$1016,COLUMN($E$1),FALSE)/(LEN(VLOOKUP($D98,素材!$1:$1016,COLUMN($F$1),FALSE))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BB98">
        <f>IF(ISNUMBER(SEARCH(SUBSTITUTE(BB$1,RIGHT(BB$1,2),""),VLOOKUP($D98,素材!$1:$1016,COLUMN($F$1),FALSE))),VLOOKUP($C98,武器!$1:$998,COLUMN($O$1),FALSE)*VLOOKUP($D98,素材!$1:$1016,COLUMN($E$1),FALSE)/(LEN(VLOOKUP($D98,素材!$1:$1016,COLUMN($F$1),FALSE))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BC98">
        <f>IF(ISNUMBER(SEARCH(SUBSTITUTE(BC$1,RIGHT(BC$1,2),""),VLOOKUP($D98,素材!$1:$1016,COLUMN($F$1),FALSE))),VLOOKUP($C98,武器!$1:$998,COLUMN($O$1),FALSE)*VLOOKUP($D98,素材!$1:$1016,COLUMN($E$1),FALSE)/(LEN(VLOOKUP($D98,素材!$1:$1016,COLUMN($F$1),FALSE))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BD98">
        <f>IF(ISNUMBER(SEARCH(SUBSTITUTE(BD$1,RIGHT(BD$1,2),""),VLOOKUP($D98,素材!$1:$1016,COLUMN($F$1),FALSE))),VLOOKUP($C98,武器!$1:$998,COLUMN($O$1),FALSE)*VLOOKUP($D98,素材!$1:$1016,COLUMN($E$1),FALSE)/(LEN(VLOOKUP($D98,素材!$1:$1016,COLUMN($F$1),FALSE))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BE98">
        <f>IF(ISNUMBER(SEARCH(SUBSTITUTE(BE$1,RIGHT(BE$1,2),""),VLOOKUP($D98,素材!$1:$1016,COLUMN($F$1),FALSE))),VLOOKUP($C98,武器!$1:$998,COLUMN($O$1),FALSE)*VLOOKUP($D98,素材!$1:$1016,COLUMN($E$1),FALSE)/(LEN(VLOOKUP($D98,素材!$1:$1016,COLUMN($F$1),FALSE))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BF98">
        <f>IF(ISNUMBER(SEARCH(SUBSTITUTE(BF$1,RIGHT(BF$1,2),""),VLOOKUP($D98,素材!$1:$1016,COLUMN($F$1),FALSE))),VLOOKUP($C98,武器!$1:$998,COLUMN($O$1),FALSE)*VLOOKUP($D98,素材!$1:$1016,COLUMN($E$1),FALSE)/(LEN(VLOOKUP($D98,素材!$1:$1016,COLUMN($F$1),FALSE)) - LEN(SUBSTITUTE(VLOOKUP($D98,素材!$1:$1016,COLUMN($F$1),FALSE), "・", 0)) + 1), 0)</f>
        <v>0</v>
      </c>
      <c r="CM98">
        <f t="shared" si="8"/>
        <v>20</v>
      </c>
      <c r="CN98" s="22" t="str">
        <f>IF(E98="武器",IF(J98-1&gt;SUM(G98:I98),"盾",IF(MAX(G98:I98)=G98,"切断",IF(MAX(G98:I98)=H98,"貫通",IF(MAX(G98:I98)=I98,"打撃","射撃")))),E98)&amp;".webp"</f>
        <v>盾.webp</v>
      </c>
      <c r="CO98">
        <f>IFERROR(VLOOKUP($C98,武器!$1:$998,COLUMN(V$1),FALSE)*VLOOKUP($D98,素材!$1:$1016,COLUMN(N$1),FALSE)+IF(CJ98="",0,VLOOKUP($CJ98,装強!$1:$1008,COLUMN($CL$1),FALSE)),"")</f>
        <v>675</v>
      </c>
      <c r="CP98" t="str">
        <f>VLOOKUP(D98,素材!$A:$O,COLUMN(素材!O$1),FALSE)</f>
        <v>鍛えられた鉄。硬度が高く安価なためよく使用される。</v>
      </c>
      <c r="CQ98" t="str">
        <f>VLOOKUP(C98,武器!$A:$W,COLUMN(武器!W$1),FALSE)</f>
        <v>丸盾。軽量で投擲にも使える盾。</v>
      </c>
      <c r="CS98" t="str">
        <f t="shared" si="7"/>
        <v>e_98</v>
      </c>
      <c r="CT98">
        <f t="shared" si="9"/>
        <v>67500</v>
      </c>
    </row>
    <row r="99" spans="1:98" outlineLevel="1" x14ac:dyDescent="0.4">
      <c r="A99" t="str">
        <f t="shared" ref="A99:A134" si="10">D99&amp;"の"&amp;C99</f>
        <v>鋼の盾</v>
      </c>
      <c r="B99" t="str">
        <f>IFERROR(VLOOKUP($D99,素材!$1:$1016,COLUMN($B$1),FALSE)&amp;"・"&amp;VLOOKUP($C99,武器!$1:$998,COLUMN(B$1),FALSE),"")</f>
        <v>スチール・シールド</v>
      </c>
      <c r="C99" t="s">
        <v>221</v>
      </c>
      <c r="D99" s="24" t="s">
        <v>253</v>
      </c>
      <c r="E99" t="str">
        <f>IFERROR(VLOOKUP(C99,武器!$1:$998,COLUMN(C$1),FALSE),"")</f>
        <v>盾</v>
      </c>
      <c r="F99">
        <f>IFERROR(ROUNDDOWN((VLOOKUP($C99,武器!$1:$998,COLUMN(D$1),FALSE)+IFERROR(VLOOKUP($CJ99,装強!$1:$999,COLUMN(F$1),FALSE),0))*VLOOKUP($D99,素材!$1:$1016,COLUMN(D$1),FALSE),0),"")</f>
        <v>105</v>
      </c>
      <c r="G99">
        <f>IFERROR(ROUNDDOWN((VLOOKUP($C99,武器!$1:$998,COLUMN(E$1),FALSE)+IFERROR(VLOOKUP($CJ99,装強!$1:$999,COLUMN(G$1),FALSE),0))*VLOOKUP($D99,素材!$1:$1016,COLUMN($E$1),FALSE),0),"")</f>
        <v>0</v>
      </c>
      <c r="H99">
        <f>IFERROR(ROUNDDOWN((VLOOKUP($C99,武器!$1:$998,COLUMN(F$1),FALSE)+IFERROR(VLOOKUP($CJ99,装強!$1:$999,COLUMN(H$1),FALSE),0))*VLOOKUP($D99,素材!$1:$1016,COLUMN($E$1),FALSE),0),"")</f>
        <v>0</v>
      </c>
      <c r="I99">
        <f>IFERROR(ROUNDDOWN((VLOOKUP($C99,武器!$1:$998,COLUMN(G$1),FALSE)+IFERROR(VLOOKUP($CJ99,装強!$1:$999,COLUMN(I$1),FALSE),0))*VLOOKUP($D99,素材!$1:$1016,COLUMN($E$1),FALSE),0),"")</f>
        <v>21</v>
      </c>
      <c r="J99">
        <f>IFERROR(ROUNDDOWN((VLOOKUP($C99,武器!$1:$998,COLUMN(H$1),FALSE)+IFERROR(VLOOKUP($CJ99,装強!$1:$999,COLUMN(J$1),FALSE),0))*VLOOKUP($D99,素材!$1:$1016,COLUMN($E$1),FALSE),0),"")</f>
        <v>33</v>
      </c>
      <c r="K99">
        <f>IFERROR(ROUNDDOWN((VLOOKUP($C99,武器!$1:$998,COLUMN(I$1),FALSE)+IFERROR(VLOOKUP($CJ99,装強!$1:$999,COLUMN(K$1),FALSE),0))*VLOOKUP($D99,素材!$1:$1016,COLUMN($E$1),FALSE),0),"")</f>
        <v>0</v>
      </c>
      <c r="L99">
        <f>IFERROR(VLOOKUP($D99,素材!$1:$1016,COLUMN($F$1),FALSE),"")</f>
        <v>0</v>
      </c>
      <c r="M99">
        <f>IFERROR(VLOOKUP($C99,武器!$1:$998,COLUMN(AA$1),FALSE)*VLOOKUP($D99,素材!$1:$1016,COLUMN($G$1),FALSE),"")</f>
        <v>0</v>
      </c>
      <c r="N99">
        <f>IFERROR(VLOOKUP($C99,武器!$1:$998,COLUMN(I$1),FALSE),"")</f>
        <v>0</v>
      </c>
      <c r="O99" s="23">
        <f>IFERROR((VLOOKUP($C99,武器!$1:$998,COLUMN(K$1),FALSE)+VLOOKUP($D99,素材!$1:$1016,COLUMN(H$1),FALSE))*100+IFERROR(VLOOKUP($CJ99,装強!$1:$999,COLUMN(O$1),FALSE),0),"")</f>
        <v>5</v>
      </c>
      <c r="P99" s="23">
        <f>IFERROR((VLOOKUP($C99,武器!$1:$998,COLUMN(L$1),FALSE)+VLOOKUP($D99,素材!$1:$1016,COLUMN(I$1),FALSE))*100+IFERROR(VLOOKUP($CJ99,装強!$1:$999,COLUMN(P$1),FALSE),0),"")</f>
        <v>125</v>
      </c>
      <c r="Q99">
        <f>IFERROR(ROUNDUP(VLOOKUP($C99,武器!$1:$998,COLUMN(M$1),FALSE)*(VLOOKUP($D99,素材!$1:$1002,COLUMN(D$1),FALSE)/100),1),"")</f>
        <v>0</v>
      </c>
      <c r="R99">
        <f>IFERROR(ROUNDUP(VLOOKUP($C99,武器!$1:$998,COLUMN(N$1),FALSE)*(VLOOKUP($D99,素材!$1:$1002,COLUMN(D$1),FALSE)/100),1),"")</f>
        <v>0</v>
      </c>
      <c r="S99">
        <f>IFERROR(VLOOKUP($C99,武器!$1:$998,COLUMN(P$1),FALSE),"")</f>
        <v>0</v>
      </c>
      <c r="T99">
        <f>IFERROR(VLOOKUP($C99,武器!$1:$998,COLUMN(Q$1),FALSE),"")</f>
        <v>0</v>
      </c>
      <c r="U99">
        <f>IFERROR(VLOOKUP($C99,武器!$1:$998,COLUMN(R$1),FALSE),"")</f>
        <v>0</v>
      </c>
      <c r="V99">
        <f>IFERROR(VLOOKUP($C99,武器!$1:$998,COLUMN(Q$1),FALSE),"")</f>
        <v>0</v>
      </c>
      <c r="W99" t="str">
        <f>IFERROR(VLOOKUP($C99,武器!$1:$998,COLUMN(T$1),FALSE),"")</f>
        <v>A</v>
      </c>
      <c r="Y99" t="str">
        <f>IFERROR(VLOOKUP($C99,武器!$1:$998,COLUMN(U$1),FALSE),"")</f>
        <v>片手適性Ⅱ</v>
      </c>
      <c r="Z99">
        <f>IFERROR(ROUNDUP(VLOOKUP($C99,武器!$1:$998,COLUMN(O$1),FALSE)*VLOOKUP($D99,素材!$1:$1016,COLUMN(E$1),FALSE),1),"")</f>
        <v>0</v>
      </c>
      <c r="AA99">
        <f>IF(ISNUMBER(SEARCH(SUBSTITUTE(AA$1,RIGHT(AA$1,2),""),VLOOKUP($D99,素材!$1:$1016,COLUMN($F$1),FALSE))),VLOOKUP($C99,武器!$1:$998,COLUMN($O$1),FALSE)*VLOOKUP($D99,素材!$1:$1016,COLUMN($E$1),FALSE)/(LEN(VLOOKUP($D99,素材!$1:$1016,COLUMN($F$1),FALSE))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B99">
        <f>IF(ISNUMBER(SEARCH(SUBSTITUTE(AB$1,RIGHT(AB$1,2),""),VLOOKUP($D99,素材!$1:$1016,COLUMN($F$1),FALSE))),VLOOKUP($C99,武器!$1:$998,COLUMN($O$1),FALSE)*VLOOKUP($D99,素材!$1:$1016,COLUMN($E$1),FALSE)/(LEN(VLOOKUP($D99,素材!$1:$1016,COLUMN($F$1),FALSE))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C99">
        <f>IF(ISNUMBER(SEARCH(SUBSTITUTE(AC$1,RIGHT(AC$1,2),""),VLOOKUP($D99,素材!$1:$1016,COLUMN($F$1),FALSE))),VLOOKUP($C99,武器!$1:$998,COLUMN($O$1),FALSE)*VLOOKUP($D99,素材!$1:$1016,COLUMN($E$1),FALSE)/(LEN(VLOOKUP($D99,素材!$1:$1016,COLUMN($F$1),FALSE))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D99">
        <f>IF(ISNUMBER(SEARCH(SUBSTITUTE(AD$1,RIGHT(AD$1,2),""),VLOOKUP($D99,素材!$1:$1016,COLUMN($F$1),FALSE))),VLOOKUP($C99,武器!$1:$998,COLUMN($O$1),FALSE)*VLOOKUP($D99,素材!$1:$1016,COLUMN($E$1),FALSE)/(LEN(VLOOKUP($D99,素材!$1:$1016,COLUMN($F$1),FALSE))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E99">
        <f>IF(ISNUMBER(SEARCH(SUBSTITUTE(AE$1,RIGHT(AE$1,2),""),VLOOKUP($D99,素材!$1:$1016,COLUMN($F$1),FALSE))),VLOOKUP($C99,武器!$1:$998,COLUMN($O$1),FALSE)*VLOOKUP($D99,素材!$1:$1016,COLUMN($E$1),FALSE)/(LEN(VLOOKUP($D99,素材!$1:$1016,COLUMN($F$1),FALSE))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F99">
        <f>IF(ISNUMBER(SEARCH(SUBSTITUTE(AF$1,RIGHT(AF$1,2),""),VLOOKUP($D99,素材!$1:$1016,COLUMN($F$1),FALSE))),VLOOKUP($C99,武器!$1:$998,COLUMN($O$1),FALSE)*VLOOKUP($D99,素材!$1:$1016,COLUMN($E$1),FALSE)/(LEN(VLOOKUP($D99,素材!$1:$1016,COLUMN($F$1),FALSE))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G99">
        <f>IF(ISNUMBER(SEARCH(SUBSTITUTE(AG$1,RIGHT(AG$1,2),""),VLOOKUP($D99,素材!$1:$1016,COLUMN($F$1),FALSE))),VLOOKUP($C99,武器!$1:$998,COLUMN($O$1),FALSE)*VLOOKUP($D99,素材!$1:$1016,COLUMN($E$1),FALSE)/(LEN(VLOOKUP($D99,素材!$1:$1016,COLUMN($F$1),FALSE))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H99">
        <f>IF(ISNUMBER(SEARCH(SUBSTITUTE(AH$1,RIGHT(AH$1,2),""),VLOOKUP($D99,素材!$1:$1016,COLUMN($F$1),FALSE))),VLOOKUP($C99,武器!$1:$998,COLUMN($O$1),FALSE)*VLOOKUP($D99,素材!$1:$1016,COLUMN($E$1),FALSE)/(LEN(VLOOKUP($D99,素材!$1:$1016,COLUMN($F$1),FALSE))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I99">
        <f>IF(ISNUMBER(SEARCH(SUBSTITUTE(AI$1,RIGHT(AI$1,2),""),VLOOKUP($D99,素材!$1:$1016,COLUMN($F$1),FALSE))),VLOOKUP($C99,武器!$1:$998,COLUMN($O$1),FALSE)*VLOOKUP($D99,素材!$1:$1016,COLUMN($E$1),FALSE)/(LEN(VLOOKUP($D99,素材!$1:$1016,COLUMN($F$1),FALSE))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J99">
        <f>IF(ISNUMBER(SEARCH(SUBSTITUTE(AJ$1,RIGHT(AJ$1,2),""),VLOOKUP($D99,素材!$1:$1016,COLUMN($F$1),FALSE))),VLOOKUP($C99,武器!$1:$998,COLUMN($O$1),FALSE)*VLOOKUP($D99,素材!$1:$1016,COLUMN($E$1),FALSE)/(LEN(VLOOKUP($D99,素材!$1:$1016,COLUMN($F$1),FALSE))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K99">
        <f>IF(ISNUMBER(SEARCH(SUBSTITUTE(AK$1,RIGHT(AK$1,2),""),VLOOKUP($D99,素材!$1:$1016,COLUMN($F$1),FALSE))),VLOOKUP($C99,武器!$1:$998,COLUMN($O$1),FALSE)*VLOOKUP($D99,素材!$1:$1016,COLUMN($E$1),FALSE)/(LEN(VLOOKUP($D99,素材!$1:$1016,COLUMN($F$1),FALSE))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L99">
        <f>IF(ISNUMBER(SEARCH(SUBSTITUTE(AL$1,RIGHT(AL$1,2),""),VLOOKUP($D99,素材!$1:$1016,COLUMN($F$1),FALSE))),VLOOKUP($C99,武器!$1:$998,COLUMN($O$1),FALSE)*VLOOKUP($D99,素材!$1:$1016,COLUMN($E$1),FALSE)/(LEN(VLOOKUP($D99,素材!$1:$1016,COLUMN($F$1),FALSE))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M99">
        <f>IF(ISNUMBER(SEARCH(SUBSTITUTE(AM$1,RIGHT(AM$1,2),""),VLOOKUP($D99,素材!$1:$1016,COLUMN($F$1),FALSE))),VLOOKUP($C99,武器!$1:$998,COLUMN($O$1),FALSE)*VLOOKUP($D99,素材!$1:$1016,COLUMN($E$1),FALSE)/(LEN(VLOOKUP($D99,素材!$1:$1016,COLUMN($F$1),FALSE))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N99">
        <f>IF(ISNUMBER(SEARCH(SUBSTITUTE(AN$1,RIGHT(AN$1,2),""),VLOOKUP($D99,素材!$1:$1016,COLUMN($F$1),FALSE))),VLOOKUP($C99,武器!$1:$998,COLUMN($O$1),FALSE)*VLOOKUP($D99,素材!$1:$1016,COLUMN($E$1),FALSE)/(LEN(VLOOKUP($D99,素材!$1:$1016,COLUMN($F$1),FALSE))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O99">
        <f>IF(ISNUMBER(SEARCH(SUBSTITUTE(AO$1,RIGHT(AO$1,2),""),VLOOKUP($D99,素材!$1:$1016,COLUMN($F$1),FALSE))),VLOOKUP($C99,武器!$1:$998,COLUMN($O$1),FALSE)*VLOOKUP($D99,素材!$1:$1016,COLUMN($E$1),FALSE)/(LEN(VLOOKUP($D99,素材!$1:$1016,COLUMN($F$1),FALSE))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P99">
        <f>IF(ISNUMBER(SEARCH(SUBSTITUTE(AP$1,RIGHT(AP$1,2),""),VLOOKUP($D99,素材!$1:$1016,COLUMN($F$1),FALSE))),VLOOKUP($C99,武器!$1:$998,COLUMN($O$1),FALSE)*VLOOKUP($D99,素材!$1:$1016,COLUMN($E$1),FALSE)/(LEN(VLOOKUP($D99,素材!$1:$1016,COLUMN($F$1),FALSE))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Q99">
        <f>IF(ISNUMBER(SEARCH(SUBSTITUTE(AQ$1,RIGHT(AQ$1,2),""),VLOOKUP($D99,素材!$1:$1016,COLUMN($F$1),FALSE))),VLOOKUP($C99,武器!$1:$998,COLUMN($O$1),FALSE)*VLOOKUP($D99,素材!$1:$1016,COLUMN($E$1),FALSE)/(LEN(VLOOKUP($D99,素材!$1:$1016,COLUMN($F$1),FALSE))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R99">
        <f>IF(ISNUMBER(SEARCH(SUBSTITUTE(AR$1,RIGHT(AR$1,2),""),VLOOKUP($D99,素材!$1:$1016,COLUMN($F$1),FALSE))),VLOOKUP($C99,武器!$1:$998,COLUMN($O$1),FALSE)*VLOOKUP($D99,素材!$1:$1016,COLUMN($E$1),FALSE)/(LEN(VLOOKUP($D99,素材!$1:$1016,COLUMN($F$1),FALSE))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S99">
        <f>IF(ISNUMBER(SEARCH(SUBSTITUTE(AS$1,RIGHT(AS$1,2),""),VLOOKUP($D99,素材!$1:$1016,COLUMN($F$1),FALSE))),VLOOKUP($C99,武器!$1:$998,COLUMN($O$1),FALSE)*VLOOKUP($D99,素材!$1:$1016,COLUMN($E$1),FALSE)/(LEN(VLOOKUP($D99,素材!$1:$1016,COLUMN($F$1),FALSE))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T99">
        <f>IF(ISNUMBER(SEARCH(SUBSTITUTE(AT$1,RIGHT(AT$1,2),""),VLOOKUP($D99,素材!$1:$1016,COLUMN($F$1),FALSE))),VLOOKUP($C99,武器!$1:$998,COLUMN($O$1),FALSE)*VLOOKUP($D99,素材!$1:$1016,COLUMN($E$1),FALSE)/(LEN(VLOOKUP($D99,素材!$1:$1016,COLUMN($F$1),FALSE))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U99">
        <f>IF(ISNUMBER(SEARCH(SUBSTITUTE(AU$1,RIGHT(AU$1,2),""),VLOOKUP($D99,素材!$1:$1016,COLUMN($F$1),FALSE))),VLOOKUP($C99,武器!$1:$998,COLUMN($O$1),FALSE)*VLOOKUP($D99,素材!$1:$1016,COLUMN($E$1),FALSE)/(LEN(VLOOKUP($D99,素材!$1:$1016,COLUMN($F$1),FALSE))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V99">
        <f>IF(ISNUMBER(SEARCH(SUBSTITUTE(AV$1,RIGHT(AV$1,2),""),VLOOKUP($D99,素材!$1:$1016,COLUMN($F$1),FALSE))),VLOOKUP($C99,武器!$1:$998,COLUMN($O$1),FALSE)*VLOOKUP($D99,素材!$1:$1016,COLUMN($E$1),FALSE)/(LEN(VLOOKUP($D99,素材!$1:$1016,COLUMN($F$1),FALSE))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W99">
        <f>IF(ISNUMBER(SEARCH(SUBSTITUTE(AW$1,RIGHT(AW$1,2),""),VLOOKUP($D99,素材!$1:$1016,COLUMN($F$1),FALSE))),VLOOKUP($C99,武器!$1:$998,COLUMN($O$1),FALSE)*VLOOKUP($D99,素材!$1:$1016,COLUMN($E$1),FALSE)/(LEN(VLOOKUP($D99,素材!$1:$1016,COLUMN($F$1),FALSE))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X99">
        <f>IF(ISNUMBER(SEARCH(SUBSTITUTE(AX$1,RIGHT(AX$1,2),""),VLOOKUP($D99,素材!$1:$1016,COLUMN($F$1),FALSE))),VLOOKUP($C99,武器!$1:$998,COLUMN($O$1),FALSE)*VLOOKUP($D99,素材!$1:$1016,COLUMN($E$1),FALSE)/(LEN(VLOOKUP($D99,素材!$1:$1016,COLUMN($F$1),FALSE))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Y99">
        <f>IF(ISNUMBER(SEARCH(SUBSTITUTE(AY$1,RIGHT(AY$1,2),""),VLOOKUP($D99,素材!$1:$1016,COLUMN($F$1),FALSE))),VLOOKUP($C99,武器!$1:$998,COLUMN($O$1),FALSE)*VLOOKUP($D99,素材!$1:$1016,COLUMN($E$1),FALSE)/(LEN(VLOOKUP($D99,素材!$1:$1016,COLUMN($F$1),FALSE))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AZ99">
        <f>IF(ISNUMBER(SEARCH(SUBSTITUTE(AZ$1,RIGHT(AZ$1,2),""),VLOOKUP($D99,素材!$1:$1016,COLUMN($F$1),FALSE))),VLOOKUP($C99,武器!$1:$998,COLUMN($O$1),FALSE)*VLOOKUP($D99,素材!$1:$1016,COLUMN($E$1),FALSE)/(LEN(VLOOKUP($D99,素材!$1:$1016,COLUMN($F$1),FALSE))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BA99">
        <f>IF(ISNUMBER(SEARCH(SUBSTITUTE(BA$1,RIGHT(BA$1,2),""),VLOOKUP($D99,素材!$1:$1016,COLUMN($F$1),FALSE))),VLOOKUP($C99,武器!$1:$998,COLUMN($O$1),FALSE)*VLOOKUP($D99,素材!$1:$1016,COLUMN($E$1),FALSE)/(LEN(VLOOKUP($D99,素材!$1:$1016,COLUMN($F$1),FALSE))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BB99">
        <f>IF(ISNUMBER(SEARCH(SUBSTITUTE(BB$1,RIGHT(BB$1,2),""),VLOOKUP($D99,素材!$1:$1016,COLUMN($F$1),FALSE))),VLOOKUP($C99,武器!$1:$998,COLUMN($O$1),FALSE)*VLOOKUP($D99,素材!$1:$1016,COLUMN($E$1),FALSE)/(LEN(VLOOKUP($D99,素材!$1:$1016,COLUMN($F$1),FALSE))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BC99">
        <f>IF(ISNUMBER(SEARCH(SUBSTITUTE(BC$1,RIGHT(BC$1,2),""),VLOOKUP($D99,素材!$1:$1016,COLUMN($F$1),FALSE))),VLOOKUP($C99,武器!$1:$998,COLUMN($O$1),FALSE)*VLOOKUP($D99,素材!$1:$1016,COLUMN($E$1),FALSE)/(LEN(VLOOKUP($D99,素材!$1:$1016,COLUMN($F$1),FALSE))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BD99">
        <f>IF(ISNUMBER(SEARCH(SUBSTITUTE(BD$1,RIGHT(BD$1,2),""),VLOOKUP($D99,素材!$1:$1016,COLUMN($F$1),FALSE))),VLOOKUP($C99,武器!$1:$998,COLUMN($O$1),FALSE)*VLOOKUP($D99,素材!$1:$1016,COLUMN($E$1),FALSE)/(LEN(VLOOKUP($D99,素材!$1:$1016,COLUMN($F$1),FALSE))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BE99">
        <f>IF(ISNUMBER(SEARCH(SUBSTITUTE(BE$1,RIGHT(BE$1,2),""),VLOOKUP($D99,素材!$1:$1016,COLUMN($F$1),FALSE))),VLOOKUP($C99,武器!$1:$998,COLUMN($O$1),FALSE)*VLOOKUP($D99,素材!$1:$1016,COLUMN($E$1),FALSE)/(LEN(VLOOKUP($D99,素材!$1:$1016,COLUMN($F$1),FALSE))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BF99">
        <f>IF(ISNUMBER(SEARCH(SUBSTITUTE(BF$1,RIGHT(BF$1,2),""),VLOOKUP($D99,素材!$1:$1016,COLUMN($F$1),FALSE))),VLOOKUP($C99,武器!$1:$998,COLUMN($O$1),FALSE)*VLOOKUP($D99,素材!$1:$1016,COLUMN($E$1),FALSE)/(LEN(VLOOKUP($D99,素材!$1:$1016,COLUMN($F$1),FALSE)) - LEN(SUBSTITUTE(VLOOKUP($D99,素材!$1:$1016,COLUMN($F$1),FALSE), "・", 0)) + 1), 0)</f>
        <v>0</v>
      </c>
      <c r="CM99">
        <f t="shared" si="8"/>
        <v>21</v>
      </c>
      <c r="CN99" s="22" t="str">
        <f>IF(E99="武器",IF(J99-1&gt;SUM(G99:I99),"盾",IF(MAX(G99:I99)=G99,"切断",IF(MAX(G99:I99)=H99,"貫通",IF(MAX(G99:I99)=I99,"打撃","射撃")))),E99)&amp;".webp"</f>
        <v>盾.webp</v>
      </c>
      <c r="CO99">
        <f>IFERROR(VLOOKUP($C99,武器!$1:$998,COLUMN(V$1),FALSE)*VLOOKUP($D99,素材!$1:$1016,COLUMN(N$1),FALSE)+IF(CJ99="",0,VLOOKUP($CJ99,装強!$1:$1008,COLUMN($CL$1),FALSE)),"")</f>
        <v>675</v>
      </c>
      <c r="CP99" t="str">
        <f>VLOOKUP(D99,素材!$A:$O,COLUMN(素材!O$1),FALSE)</f>
        <v>鍛えられた鉄。硬度が高く安価なためよく使用される。</v>
      </c>
      <c r="CQ99" t="str">
        <f>VLOOKUP(C99,武器!$A:$W,COLUMN(武器!W$1),FALSE)</f>
        <v>盾。防御力が高く、汎用性がある防具。</v>
      </c>
      <c r="CS99" t="str">
        <f t="shared" si="7"/>
        <v>e_99</v>
      </c>
      <c r="CT99">
        <f t="shared" si="9"/>
        <v>67500</v>
      </c>
    </row>
    <row r="100" spans="1:98" outlineLevel="1" x14ac:dyDescent="0.4">
      <c r="A100" t="str">
        <f t="shared" si="10"/>
        <v>鋼の丸大盾</v>
      </c>
      <c r="B100" t="str">
        <f>IFERROR(VLOOKUP($D100,素材!$1:$1016,COLUMN($B$1),FALSE)&amp;"・"&amp;VLOOKUP($C100,武器!$1:$998,COLUMN(B$1),FALSE),"")</f>
        <v>スチール・ラウンドシールド</v>
      </c>
      <c r="C100" t="s">
        <v>220</v>
      </c>
      <c r="D100" s="24" t="s">
        <v>253</v>
      </c>
      <c r="E100" t="str">
        <f>IFERROR(VLOOKUP(C100,武器!$1:$998,COLUMN(C$1),FALSE),"")</f>
        <v>盾</v>
      </c>
      <c r="F100">
        <f>IFERROR(ROUNDDOWN((VLOOKUP($C100,武器!$1:$998,COLUMN(D$1),FALSE)+IFERROR(VLOOKUP($CJ100,装強!$1:$999,COLUMN(F$1),FALSE),0))*VLOOKUP($D100,素材!$1:$1016,COLUMN(D$1),FALSE),0),"")</f>
        <v>115</v>
      </c>
      <c r="G100">
        <f>IFERROR(ROUNDDOWN((VLOOKUP($C100,武器!$1:$998,COLUMN(E$1),FALSE)+IFERROR(VLOOKUP($CJ100,装強!$1:$999,COLUMN(G$1),FALSE),0))*VLOOKUP($D100,素材!$1:$1016,COLUMN($E$1),FALSE),0),"")</f>
        <v>12</v>
      </c>
      <c r="H100">
        <f>IFERROR(ROUNDDOWN((VLOOKUP($C100,武器!$1:$998,COLUMN(F$1),FALSE)+IFERROR(VLOOKUP($CJ100,装強!$1:$999,COLUMN(H$1),FALSE),0))*VLOOKUP($D100,素材!$1:$1016,COLUMN($E$1),FALSE),0),"")</f>
        <v>0</v>
      </c>
      <c r="I100">
        <f>IFERROR(ROUNDDOWN((VLOOKUP($C100,武器!$1:$998,COLUMN(G$1),FALSE)+IFERROR(VLOOKUP($CJ100,装強!$1:$999,COLUMN(I$1),FALSE),0))*VLOOKUP($D100,素材!$1:$1016,COLUMN($E$1),FALSE),0),"")</f>
        <v>12</v>
      </c>
      <c r="J100">
        <f>IFERROR(ROUNDDOWN((VLOOKUP($C100,武器!$1:$998,COLUMN(H$1),FALSE)+IFERROR(VLOOKUP($CJ100,装強!$1:$999,COLUMN(J$1),FALSE),0))*VLOOKUP($D100,素材!$1:$1016,COLUMN($E$1),FALSE),0),"")</f>
        <v>33</v>
      </c>
      <c r="K100">
        <f>IFERROR(ROUNDDOWN((VLOOKUP($C100,武器!$1:$998,COLUMN(I$1),FALSE)+IFERROR(VLOOKUP($CJ100,装強!$1:$999,COLUMN(K$1),FALSE),0))*VLOOKUP($D100,素材!$1:$1016,COLUMN($E$1),FALSE),0),"")</f>
        <v>0</v>
      </c>
      <c r="L100">
        <f>IFERROR(VLOOKUP($D100,素材!$1:$1016,COLUMN($F$1),FALSE),"")</f>
        <v>0</v>
      </c>
      <c r="M100">
        <f>IFERROR(VLOOKUP($C100,武器!$1:$998,COLUMN(AA$1),FALSE)*VLOOKUP($D100,素材!$1:$1016,COLUMN($G$1),FALSE),"")</f>
        <v>0</v>
      </c>
      <c r="N100">
        <f>IFERROR(VLOOKUP($C100,武器!$1:$998,COLUMN(I$1),FALSE),"")</f>
        <v>0</v>
      </c>
      <c r="O100" s="23">
        <f>IFERROR((VLOOKUP($C100,武器!$1:$998,COLUMN(K$1),FALSE)+VLOOKUP($D100,素材!$1:$1016,COLUMN(H$1),FALSE))*100+IFERROR(VLOOKUP($CJ100,装強!$1:$999,COLUMN(O$1),FALSE),0),"")</f>
        <v>5</v>
      </c>
      <c r="P100" s="23">
        <f>IFERROR((VLOOKUP($C100,武器!$1:$998,COLUMN(L$1),FALSE)+VLOOKUP($D100,素材!$1:$1016,COLUMN(I$1),FALSE))*100+IFERROR(VLOOKUP($CJ100,装強!$1:$999,COLUMN(P$1),FALSE),0),"")</f>
        <v>125</v>
      </c>
      <c r="Q100">
        <f>IFERROR(ROUNDUP(VLOOKUP($C100,武器!$1:$998,COLUMN(M$1),FALSE)*(VLOOKUP($D100,素材!$1:$1002,COLUMN(D$1),FALSE)/100),1),"")</f>
        <v>-5.3</v>
      </c>
      <c r="R100">
        <f>IFERROR(ROUNDUP(VLOOKUP($C100,武器!$1:$998,COLUMN(N$1),FALSE)*(VLOOKUP($D100,素材!$1:$1002,COLUMN(D$1),FALSE)/100),1),"")</f>
        <v>0</v>
      </c>
      <c r="S100">
        <f>IFERROR(VLOOKUP($C100,武器!$1:$998,COLUMN(P$1),FALSE),"")</f>
        <v>0</v>
      </c>
      <c r="T100">
        <f>IFERROR(VLOOKUP($C100,武器!$1:$998,COLUMN(Q$1),FALSE),"")</f>
        <v>0</v>
      </c>
      <c r="U100">
        <f>IFERROR(VLOOKUP($C100,武器!$1:$998,COLUMN(R$1),FALSE),"")</f>
        <v>0</v>
      </c>
      <c r="V100">
        <f>IFERROR(VLOOKUP($C100,武器!$1:$998,COLUMN(Q$1),FALSE),"")</f>
        <v>0</v>
      </c>
      <c r="W100" t="str">
        <f>IFERROR(VLOOKUP($C100,武器!$1:$998,COLUMN(T$1),FALSE),"")</f>
        <v>A</v>
      </c>
      <c r="Y100" t="str">
        <f>IFERROR(VLOOKUP($C100,武器!$1:$998,COLUMN(U$1),FALSE),"")</f>
        <v>投擲強化,片手適正Ⅰ</v>
      </c>
      <c r="Z100">
        <f>IFERROR(ROUNDUP(VLOOKUP($C100,武器!$1:$998,COLUMN(O$1),FALSE)*VLOOKUP($D100,素材!$1:$1016,COLUMN(E$1),FALSE),1),"")</f>
        <v>0</v>
      </c>
      <c r="AA100">
        <f>IF(ISNUMBER(SEARCH(SUBSTITUTE(AA$1,RIGHT(AA$1,2),""),VLOOKUP($D100,素材!$1:$1016,COLUMN($F$1),FALSE))),VLOOKUP($C100,武器!$1:$998,COLUMN($O$1),FALSE)*VLOOKUP($D100,素材!$1:$1016,COLUMN($E$1),FALSE)/(LEN(VLOOKUP($D100,素材!$1:$1016,COLUMN($F$1),FALSE))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B100">
        <f>IF(ISNUMBER(SEARCH(SUBSTITUTE(AB$1,RIGHT(AB$1,2),""),VLOOKUP($D100,素材!$1:$1016,COLUMN($F$1),FALSE))),VLOOKUP($C100,武器!$1:$998,COLUMN($O$1),FALSE)*VLOOKUP($D100,素材!$1:$1016,COLUMN($E$1),FALSE)/(LEN(VLOOKUP($D100,素材!$1:$1016,COLUMN($F$1),FALSE))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C100">
        <f>IF(ISNUMBER(SEARCH(SUBSTITUTE(AC$1,RIGHT(AC$1,2),""),VLOOKUP($D100,素材!$1:$1016,COLUMN($F$1),FALSE))),VLOOKUP($C100,武器!$1:$998,COLUMN($O$1),FALSE)*VLOOKUP($D100,素材!$1:$1016,COLUMN($E$1),FALSE)/(LEN(VLOOKUP($D100,素材!$1:$1016,COLUMN($F$1),FALSE))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D100">
        <f>IF(ISNUMBER(SEARCH(SUBSTITUTE(AD$1,RIGHT(AD$1,2),""),VLOOKUP($D100,素材!$1:$1016,COLUMN($F$1),FALSE))),VLOOKUP($C100,武器!$1:$998,COLUMN($O$1),FALSE)*VLOOKUP($D100,素材!$1:$1016,COLUMN($E$1),FALSE)/(LEN(VLOOKUP($D100,素材!$1:$1016,COLUMN($F$1),FALSE))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E100">
        <f>IF(ISNUMBER(SEARCH(SUBSTITUTE(AE$1,RIGHT(AE$1,2),""),VLOOKUP($D100,素材!$1:$1016,COLUMN($F$1),FALSE))),VLOOKUP($C100,武器!$1:$998,COLUMN($O$1),FALSE)*VLOOKUP($D100,素材!$1:$1016,COLUMN($E$1),FALSE)/(LEN(VLOOKUP($D100,素材!$1:$1016,COLUMN($F$1),FALSE))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F100">
        <f>IF(ISNUMBER(SEARCH(SUBSTITUTE(AF$1,RIGHT(AF$1,2),""),VLOOKUP($D100,素材!$1:$1016,COLUMN($F$1),FALSE))),VLOOKUP($C100,武器!$1:$998,COLUMN($O$1),FALSE)*VLOOKUP($D100,素材!$1:$1016,COLUMN($E$1),FALSE)/(LEN(VLOOKUP($D100,素材!$1:$1016,COLUMN($F$1),FALSE))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G100">
        <f>IF(ISNUMBER(SEARCH(SUBSTITUTE(AG$1,RIGHT(AG$1,2),""),VLOOKUP($D100,素材!$1:$1016,COLUMN($F$1),FALSE))),VLOOKUP($C100,武器!$1:$998,COLUMN($O$1),FALSE)*VLOOKUP($D100,素材!$1:$1016,COLUMN($E$1),FALSE)/(LEN(VLOOKUP($D100,素材!$1:$1016,COLUMN($F$1),FALSE))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H100">
        <f>IF(ISNUMBER(SEARCH(SUBSTITUTE(AH$1,RIGHT(AH$1,2),""),VLOOKUP($D100,素材!$1:$1016,COLUMN($F$1),FALSE))),VLOOKUP($C100,武器!$1:$998,COLUMN($O$1),FALSE)*VLOOKUP($D100,素材!$1:$1016,COLUMN($E$1),FALSE)/(LEN(VLOOKUP($D100,素材!$1:$1016,COLUMN($F$1),FALSE))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I100">
        <f>IF(ISNUMBER(SEARCH(SUBSTITUTE(AI$1,RIGHT(AI$1,2),""),VLOOKUP($D100,素材!$1:$1016,COLUMN($F$1),FALSE))),VLOOKUP($C100,武器!$1:$998,COLUMN($O$1),FALSE)*VLOOKUP($D100,素材!$1:$1016,COLUMN($E$1),FALSE)/(LEN(VLOOKUP($D100,素材!$1:$1016,COLUMN($F$1),FALSE))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J100">
        <f>IF(ISNUMBER(SEARCH(SUBSTITUTE(AJ$1,RIGHT(AJ$1,2),""),VLOOKUP($D100,素材!$1:$1016,COLUMN($F$1),FALSE))),VLOOKUP($C100,武器!$1:$998,COLUMN($O$1),FALSE)*VLOOKUP($D100,素材!$1:$1016,COLUMN($E$1),FALSE)/(LEN(VLOOKUP($D100,素材!$1:$1016,COLUMN($F$1),FALSE))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K100">
        <f>IF(ISNUMBER(SEARCH(SUBSTITUTE(AK$1,RIGHT(AK$1,2),""),VLOOKUP($D100,素材!$1:$1016,COLUMN($F$1),FALSE))),VLOOKUP($C100,武器!$1:$998,COLUMN($O$1),FALSE)*VLOOKUP($D100,素材!$1:$1016,COLUMN($E$1),FALSE)/(LEN(VLOOKUP($D100,素材!$1:$1016,COLUMN($F$1),FALSE))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L100">
        <f>IF(ISNUMBER(SEARCH(SUBSTITUTE(AL$1,RIGHT(AL$1,2),""),VLOOKUP($D100,素材!$1:$1016,COLUMN($F$1),FALSE))),VLOOKUP($C100,武器!$1:$998,COLUMN($O$1),FALSE)*VLOOKUP($D100,素材!$1:$1016,COLUMN($E$1),FALSE)/(LEN(VLOOKUP($D100,素材!$1:$1016,COLUMN($F$1),FALSE))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M100">
        <f>IF(ISNUMBER(SEARCH(SUBSTITUTE(AM$1,RIGHT(AM$1,2),""),VLOOKUP($D100,素材!$1:$1016,COLUMN($F$1),FALSE))),VLOOKUP($C100,武器!$1:$998,COLUMN($O$1),FALSE)*VLOOKUP($D100,素材!$1:$1016,COLUMN($E$1),FALSE)/(LEN(VLOOKUP($D100,素材!$1:$1016,COLUMN($F$1),FALSE))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N100">
        <f>IF(ISNUMBER(SEARCH(SUBSTITUTE(AN$1,RIGHT(AN$1,2),""),VLOOKUP($D100,素材!$1:$1016,COLUMN($F$1),FALSE))),VLOOKUP($C100,武器!$1:$998,COLUMN($O$1),FALSE)*VLOOKUP($D100,素材!$1:$1016,COLUMN($E$1),FALSE)/(LEN(VLOOKUP($D100,素材!$1:$1016,COLUMN($F$1),FALSE))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O100">
        <f>IF(ISNUMBER(SEARCH(SUBSTITUTE(AO$1,RIGHT(AO$1,2),""),VLOOKUP($D100,素材!$1:$1016,COLUMN($F$1),FALSE))),VLOOKUP($C100,武器!$1:$998,COLUMN($O$1),FALSE)*VLOOKUP($D100,素材!$1:$1016,COLUMN($E$1),FALSE)/(LEN(VLOOKUP($D100,素材!$1:$1016,COLUMN($F$1),FALSE))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P100">
        <f>IF(ISNUMBER(SEARCH(SUBSTITUTE(AP$1,RIGHT(AP$1,2),""),VLOOKUP($D100,素材!$1:$1016,COLUMN($F$1),FALSE))),VLOOKUP($C100,武器!$1:$998,COLUMN($O$1),FALSE)*VLOOKUP($D100,素材!$1:$1016,COLUMN($E$1),FALSE)/(LEN(VLOOKUP($D100,素材!$1:$1016,COLUMN($F$1),FALSE))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Q100">
        <f>IF(ISNUMBER(SEARCH(SUBSTITUTE(AQ$1,RIGHT(AQ$1,2),""),VLOOKUP($D100,素材!$1:$1016,COLUMN($F$1),FALSE))),VLOOKUP($C100,武器!$1:$998,COLUMN($O$1),FALSE)*VLOOKUP($D100,素材!$1:$1016,COLUMN($E$1),FALSE)/(LEN(VLOOKUP($D100,素材!$1:$1016,COLUMN($F$1),FALSE))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R100">
        <f>IF(ISNUMBER(SEARCH(SUBSTITUTE(AR$1,RIGHT(AR$1,2),""),VLOOKUP($D100,素材!$1:$1016,COLUMN($F$1),FALSE))),VLOOKUP($C100,武器!$1:$998,COLUMN($O$1),FALSE)*VLOOKUP($D100,素材!$1:$1016,COLUMN($E$1),FALSE)/(LEN(VLOOKUP($D100,素材!$1:$1016,COLUMN($F$1),FALSE))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S100">
        <f>IF(ISNUMBER(SEARCH(SUBSTITUTE(AS$1,RIGHT(AS$1,2),""),VLOOKUP($D100,素材!$1:$1016,COLUMN($F$1),FALSE))),VLOOKUP($C100,武器!$1:$998,COLUMN($O$1),FALSE)*VLOOKUP($D100,素材!$1:$1016,COLUMN($E$1),FALSE)/(LEN(VLOOKUP($D100,素材!$1:$1016,COLUMN($F$1),FALSE))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T100">
        <f>IF(ISNUMBER(SEARCH(SUBSTITUTE(AT$1,RIGHT(AT$1,2),""),VLOOKUP($D100,素材!$1:$1016,COLUMN($F$1),FALSE))),VLOOKUP($C100,武器!$1:$998,COLUMN($O$1),FALSE)*VLOOKUP($D100,素材!$1:$1016,COLUMN($E$1),FALSE)/(LEN(VLOOKUP($D100,素材!$1:$1016,COLUMN($F$1),FALSE))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U100">
        <f>IF(ISNUMBER(SEARCH(SUBSTITUTE(AU$1,RIGHT(AU$1,2),""),VLOOKUP($D100,素材!$1:$1016,COLUMN($F$1),FALSE))),VLOOKUP($C100,武器!$1:$998,COLUMN($O$1),FALSE)*VLOOKUP($D100,素材!$1:$1016,COLUMN($E$1),FALSE)/(LEN(VLOOKUP($D100,素材!$1:$1016,COLUMN($F$1),FALSE))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V100">
        <f>IF(ISNUMBER(SEARCH(SUBSTITUTE(AV$1,RIGHT(AV$1,2),""),VLOOKUP($D100,素材!$1:$1016,COLUMN($F$1),FALSE))),VLOOKUP($C100,武器!$1:$998,COLUMN($O$1),FALSE)*VLOOKUP($D100,素材!$1:$1016,COLUMN($E$1),FALSE)/(LEN(VLOOKUP($D100,素材!$1:$1016,COLUMN($F$1),FALSE))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W100">
        <f>IF(ISNUMBER(SEARCH(SUBSTITUTE(AW$1,RIGHT(AW$1,2),""),VLOOKUP($D100,素材!$1:$1016,COLUMN($F$1),FALSE))),VLOOKUP($C100,武器!$1:$998,COLUMN($O$1),FALSE)*VLOOKUP($D100,素材!$1:$1016,COLUMN($E$1),FALSE)/(LEN(VLOOKUP($D100,素材!$1:$1016,COLUMN($F$1),FALSE))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X100">
        <f>IF(ISNUMBER(SEARCH(SUBSTITUTE(AX$1,RIGHT(AX$1,2),""),VLOOKUP($D100,素材!$1:$1016,COLUMN($F$1),FALSE))),VLOOKUP($C100,武器!$1:$998,COLUMN($O$1),FALSE)*VLOOKUP($D100,素材!$1:$1016,COLUMN($E$1),FALSE)/(LEN(VLOOKUP($D100,素材!$1:$1016,COLUMN($F$1),FALSE))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Y100">
        <f>IF(ISNUMBER(SEARCH(SUBSTITUTE(AY$1,RIGHT(AY$1,2),""),VLOOKUP($D100,素材!$1:$1016,COLUMN($F$1),FALSE))),VLOOKUP($C100,武器!$1:$998,COLUMN($O$1),FALSE)*VLOOKUP($D100,素材!$1:$1016,COLUMN($E$1),FALSE)/(LEN(VLOOKUP($D100,素材!$1:$1016,COLUMN($F$1),FALSE))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AZ100">
        <f>IF(ISNUMBER(SEARCH(SUBSTITUTE(AZ$1,RIGHT(AZ$1,2),""),VLOOKUP($D100,素材!$1:$1016,COLUMN($F$1),FALSE))),VLOOKUP($C100,武器!$1:$998,COLUMN($O$1),FALSE)*VLOOKUP($D100,素材!$1:$1016,COLUMN($E$1),FALSE)/(LEN(VLOOKUP($D100,素材!$1:$1016,COLUMN($F$1),FALSE))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BA100">
        <f>IF(ISNUMBER(SEARCH(SUBSTITUTE(BA$1,RIGHT(BA$1,2),""),VLOOKUP($D100,素材!$1:$1016,COLUMN($F$1),FALSE))),VLOOKUP($C100,武器!$1:$998,COLUMN($O$1),FALSE)*VLOOKUP($D100,素材!$1:$1016,COLUMN($E$1),FALSE)/(LEN(VLOOKUP($D100,素材!$1:$1016,COLUMN($F$1),FALSE))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BB100">
        <f>IF(ISNUMBER(SEARCH(SUBSTITUTE(BB$1,RIGHT(BB$1,2),""),VLOOKUP($D100,素材!$1:$1016,COLUMN($F$1),FALSE))),VLOOKUP($C100,武器!$1:$998,COLUMN($O$1),FALSE)*VLOOKUP($D100,素材!$1:$1016,COLUMN($E$1),FALSE)/(LEN(VLOOKUP($D100,素材!$1:$1016,COLUMN($F$1),FALSE))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BC100">
        <f>IF(ISNUMBER(SEARCH(SUBSTITUTE(BC$1,RIGHT(BC$1,2),""),VLOOKUP($D100,素材!$1:$1016,COLUMN($F$1),FALSE))),VLOOKUP($C100,武器!$1:$998,COLUMN($O$1),FALSE)*VLOOKUP($D100,素材!$1:$1016,COLUMN($E$1),FALSE)/(LEN(VLOOKUP($D100,素材!$1:$1016,COLUMN($F$1),FALSE))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BD100">
        <f>IF(ISNUMBER(SEARCH(SUBSTITUTE(BD$1,RIGHT(BD$1,2),""),VLOOKUP($D100,素材!$1:$1016,COLUMN($F$1),FALSE))),VLOOKUP($C100,武器!$1:$998,COLUMN($O$1),FALSE)*VLOOKUP($D100,素材!$1:$1016,COLUMN($E$1),FALSE)/(LEN(VLOOKUP($D100,素材!$1:$1016,COLUMN($F$1),FALSE))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BE100">
        <f>IF(ISNUMBER(SEARCH(SUBSTITUTE(BE$1,RIGHT(BE$1,2),""),VLOOKUP($D100,素材!$1:$1016,COLUMN($F$1),FALSE))),VLOOKUP($C100,武器!$1:$998,COLUMN($O$1),FALSE)*VLOOKUP($D100,素材!$1:$1016,COLUMN($E$1),FALSE)/(LEN(VLOOKUP($D100,素材!$1:$1016,COLUMN($F$1),FALSE))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BF100">
        <f>IF(ISNUMBER(SEARCH(SUBSTITUTE(BF$1,RIGHT(BF$1,2),""),VLOOKUP($D100,素材!$1:$1016,COLUMN($F$1),FALSE))),VLOOKUP($C100,武器!$1:$998,COLUMN($O$1),FALSE)*VLOOKUP($D100,素材!$1:$1016,COLUMN($E$1),FALSE)/(LEN(VLOOKUP($D100,素材!$1:$1016,COLUMN($F$1),FALSE)) - LEN(SUBSTITUTE(VLOOKUP($D100,素材!$1:$1016,COLUMN($F$1),FALSE), "・", 0)) + 1), 0)</f>
        <v>0</v>
      </c>
      <c r="CM100">
        <f t="shared" si="8"/>
        <v>24</v>
      </c>
      <c r="CN100" s="22" t="str">
        <f>IF(E100="武器",IF(J100-1&gt;SUM(G100:I100),"盾",IF(MAX(G100:I100)=G100,"切断",IF(MAX(G100:I100)=H100,"貫通",IF(MAX(G100:I100)=I100,"打撃","射撃")))),E100)&amp;".webp"</f>
        <v>盾.webp</v>
      </c>
      <c r="CO100">
        <f>IFERROR(VLOOKUP($C100,武器!$1:$998,COLUMN(V$1),FALSE)*VLOOKUP($D100,素材!$1:$1016,COLUMN(N$1),FALSE)+IF(CJ100="",0,VLOOKUP($CJ100,装強!$1:$1008,COLUMN($CL$1),FALSE)),"")</f>
        <v>900</v>
      </c>
      <c r="CP100" t="str">
        <f>VLOOKUP(D100,素材!$A:$O,COLUMN(素材!O$1),FALSE)</f>
        <v>鍛えられた鉄。硬度が高く安価なためよく使用される。</v>
      </c>
      <c r="CQ100" t="str">
        <f>VLOOKUP(C100,武器!$A:$W,COLUMN(武器!W$1),FALSE)</f>
        <v>丸大盾。防御範囲が広く、投擲も可能。</v>
      </c>
      <c r="CS100" t="str">
        <f t="shared" si="7"/>
        <v>e_100</v>
      </c>
      <c r="CT100">
        <f t="shared" si="9"/>
        <v>90000</v>
      </c>
    </row>
    <row r="101" spans="1:98" outlineLevel="1" x14ac:dyDescent="0.4">
      <c r="A101" t="str">
        <f t="shared" si="10"/>
        <v>鋼の大盾</v>
      </c>
      <c r="B101" t="str">
        <f>IFERROR(VLOOKUP($D101,素材!$1:$1016,COLUMN($B$1),FALSE)&amp;"・"&amp;VLOOKUP($C101,武器!$1:$998,COLUMN(B$1),FALSE),"")</f>
        <v>スチール・ラージシールド</v>
      </c>
      <c r="C101" t="s">
        <v>219</v>
      </c>
      <c r="D101" s="24" t="s">
        <v>253</v>
      </c>
      <c r="E101" t="str">
        <f>IFERROR(VLOOKUP(C101,武器!$1:$998,COLUMN(C$1),FALSE),"")</f>
        <v>盾</v>
      </c>
      <c r="F101">
        <f>IFERROR(ROUNDDOWN((VLOOKUP($C101,武器!$1:$998,COLUMN(D$1),FALSE)+IFERROR(VLOOKUP($CJ101,装強!$1:$999,COLUMN(F$1),FALSE),0))*VLOOKUP($D101,素材!$1:$1016,COLUMN(D$1),FALSE),0),"")</f>
        <v>120</v>
      </c>
      <c r="G101">
        <f>IFERROR(ROUNDDOWN((VLOOKUP($C101,武器!$1:$998,COLUMN(E$1),FALSE)+IFERROR(VLOOKUP($CJ101,装強!$1:$999,COLUMN(G$1),FALSE),0))*VLOOKUP($D101,素材!$1:$1016,COLUMN($E$1),FALSE),0),"")</f>
        <v>0</v>
      </c>
      <c r="H101">
        <f>IFERROR(ROUNDDOWN((VLOOKUP($C101,武器!$1:$998,COLUMN(F$1),FALSE)+IFERROR(VLOOKUP($CJ101,装強!$1:$999,COLUMN(H$1),FALSE),0))*VLOOKUP($D101,素材!$1:$1016,COLUMN($E$1),FALSE),0),"")</f>
        <v>0</v>
      </c>
      <c r="I101">
        <f>IFERROR(ROUNDDOWN((VLOOKUP($C101,武器!$1:$998,COLUMN(G$1),FALSE)+IFERROR(VLOOKUP($CJ101,装強!$1:$999,COLUMN(I$1),FALSE),0))*VLOOKUP($D101,素材!$1:$1016,COLUMN($E$1),FALSE),0),"")</f>
        <v>22</v>
      </c>
      <c r="J101">
        <f>IFERROR(ROUNDDOWN((VLOOKUP($C101,武器!$1:$998,COLUMN(H$1),FALSE)+IFERROR(VLOOKUP($CJ101,装強!$1:$999,COLUMN(J$1),FALSE),0))*VLOOKUP($D101,素材!$1:$1016,COLUMN($E$1),FALSE),0),"")</f>
        <v>36</v>
      </c>
      <c r="K101">
        <f>IFERROR(ROUNDDOWN((VLOOKUP($C101,武器!$1:$998,COLUMN(I$1),FALSE)+IFERROR(VLOOKUP($CJ101,装強!$1:$999,COLUMN(K$1),FALSE),0))*VLOOKUP($D101,素材!$1:$1016,COLUMN($E$1),FALSE),0),"")</f>
        <v>0</v>
      </c>
      <c r="L101">
        <f>IFERROR(VLOOKUP($D101,素材!$1:$1016,COLUMN($F$1),FALSE),"")</f>
        <v>0</v>
      </c>
      <c r="M101">
        <f>IFERROR(VLOOKUP($C101,武器!$1:$998,COLUMN(AA$1),FALSE)*VLOOKUP($D101,素材!$1:$1016,COLUMN($G$1),FALSE),"")</f>
        <v>0</v>
      </c>
      <c r="N101">
        <f>IFERROR(VLOOKUP($C101,武器!$1:$998,COLUMN(I$1),FALSE),"")</f>
        <v>0</v>
      </c>
      <c r="O101" s="23">
        <f>IFERROR((VLOOKUP($C101,武器!$1:$998,COLUMN(K$1),FALSE)+VLOOKUP($D101,素材!$1:$1016,COLUMN(H$1),FALSE))*100+IFERROR(VLOOKUP($CJ101,装強!$1:$999,COLUMN(O$1),FALSE),0),"")</f>
        <v>5</v>
      </c>
      <c r="P101" s="23">
        <f>IFERROR((VLOOKUP($C101,武器!$1:$998,COLUMN(L$1),FALSE)+VLOOKUP($D101,素材!$1:$1016,COLUMN(I$1),FALSE))*100+IFERROR(VLOOKUP($CJ101,装強!$1:$999,COLUMN(P$1),FALSE),0),"")</f>
        <v>125</v>
      </c>
      <c r="Q101">
        <f>IFERROR(ROUNDUP(VLOOKUP($C101,武器!$1:$998,COLUMN(M$1),FALSE)*(VLOOKUP($D101,素材!$1:$1002,COLUMN(D$1),FALSE)/100),1),"")</f>
        <v>-5.3</v>
      </c>
      <c r="R101">
        <f>IFERROR(ROUNDUP(VLOOKUP($C101,武器!$1:$998,COLUMN(N$1),FALSE)*(VLOOKUP($D101,素材!$1:$1002,COLUMN(D$1),FALSE)/100),1),"")</f>
        <v>0</v>
      </c>
      <c r="S101">
        <f>IFERROR(VLOOKUP($C101,武器!$1:$998,COLUMN(P$1),FALSE),"")</f>
        <v>0</v>
      </c>
      <c r="T101">
        <f>IFERROR(VLOOKUP($C101,武器!$1:$998,COLUMN(Q$1),FALSE),"")</f>
        <v>0</v>
      </c>
      <c r="U101">
        <f>IFERROR(VLOOKUP($C101,武器!$1:$998,COLUMN(R$1),FALSE),"")</f>
        <v>0</v>
      </c>
      <c r="V101">
        <f>IFERROR(VLOOKUP($C101,武器!$1:$998,COLUMN(Q$1),FALSE),"")</f>
        <v>0</v>
      </c>
      <c r="W101" t="str">
        <f>IFERROR(VLOOKUP($C101,武器!$1:$998,COLUMN(T$1),FALSE),"")</f>
        <v>A</v>
      </c>
      <c r="Y101" t="str">
        <f>IFERROR(VLOOKUP($C101,武器!$1:$998,COLUMN(U$1),FALSE),"")</f>
        <v>片手適正Ⅰ</v>
      </c>
      <c r="Z101">
        <f>IFERROR(ROUNDUP(VLOOKUP($C101,武器!$1:$998,COLUMN(O$1),FALSE)*VLOOKUP($D101,素材!$1:$1016,COLUMN(E$1),FALSE),1),"")</f>
        <v>0</v>
      </c>
      <c r="AA101">
        <f>IF(ISNUMBER(SEARCH(SUBSTITUTE(AA$1,RIGHT(AA$1,2),""),VLOOKUP($D101,素材!$1:$1016,COLUMN($F$1),FALSE))),VLOOKUP($C101,武器!$1:$998,COLUMN($O$1),FALSE)*VLOOKUP($D101,素材!$1:$1016,COLUMN($E$1),FALSE)/(LEN(VLOOKUP($D101,素材!$1:$1016,COLUMN($F$1),FALSE))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B101">
        <f>IF(ISNUMBER(SEARCH(SUBSTITUTE(AB$1,RIGHT(AB$1,2),""),VLOOKUP($D101,素材!$1:$1016,COLUMN($F$1),FALSE))),VLOOKUP($C101,武器!$1:$998,COLUMN($O$1),FALSE)*VLOOKUP($D101,素材!$1:$1016,COLUMN($E$1),FALSE)/(LEN(VLOOKUP($D101,素材!$1:$1016,COLUMN($F$1),FALSE))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C101">
        <f>IF(ISNUMBER(SEARCH(SUBSTITUTE(AC$1,RIGHT(AC$1,2),""),VLOOKUP($D101,素材!$1:$1016,COLUMN($F$1),FALSE))),VLOOKUP($C101,武器!$1:$998,COLUMN($O$1),FALSE)*VLOOKUP($D101,素材!$1:$1016,COLUMN($E$1),FALSE)/(LEN(VLOOKUP($D101,素材!$1:$1016,COLUMN($F$1),FALSE))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D101">
        <f>IF(ISNUMBER(SEARCH(SUBSTITUTE(AD$1,RIGHT(AD$1,2),""),VLOOKUP($D101,素材!$1:$1016,COLUMN($F$1),FALSE))),VLOOKUP($C101,武器!$1:$998,COLUMN($O$1),FALSE)*VLOOKUP($D101,素材!$1:$1016,COLUMN($E$1),FALSE)/(LEN(VLOOKUP($D101,素材!$1:$1016,COLUMN($F$1),FALSE))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E101">
        <f>IF(ISNUMBER(SEARCH(SUBSTITUTE(AE$1,RIGHT(AE$1,2),""),VLOOKUP($D101,素材!$1:$1016,COLUMN($F$1),FALSE))),VLOOKUP($C101,武器!$1:$998,COLUMN($O$1),FALSE)*VLOOKUP($D101,素材!$1:$1016,COLUMN($E$1),FALSE)/(LEN(VLOOKUP($D101,素材!$1:$1016,COLUMN($F$1),FALSE))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F101">
        <f>IF(ISNUMBER(SEARCH(SUBSTITUTE(AF$1,RIGHT(AF$1,2),""),VLOOKUP($D101,素材!$1:$1016,COLUMN($F$1),FALSE))),VLOOKUP($C101,武器!$1:$998,COLUMN($O$1),FALSE)*VLOOKUP($D101,素材!$1:$1016,COLUMN($E$1),FALSE)/(LEN(VLOOKUP($D101,素材!$1:$1016,COLUMN($F$1),FALSE))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G101">
        <f>IF(ISNUMBER(SEARCH(SUBSTITUTE(AG$1,RIGHT(AG$1,2),""),VLOOKUP($D101,素材!$1:$1016,COLUMN($F$1),FALSE))),VLOOKUP($C101,武器!$1:$998,COLUMN($O$1),FALSE)*VLOOKUP($D101,素材!$1:$1016,COLUMN($E$1),FALSE)/(LEN(VLOOKUP($D101,素材!$1:$1016,COLUMN($F$1),FALSE))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H101">
        <f>IF(ISNUMBER(SEARCH(SUBSTITUTE(AH$1,RIGHT(AH$1,2),""),VLOOKUP($D101,素材!$1:$1016,COLUMN($F$1),FALSE))),VLOOKUP($C101,武器!$1:$998,COLUMN($O$1),FALSE)*VLOOKUP($D101,素材!$1:$1016,COLUMN($E$1),FALSE)/(LEN(VLOOKUP($D101,素材!$1:$1016,COLUMN($F$1),FALSE))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I101">
        <f>IF(ISNUMBER(SEARCH(SUBSTITUTE(AI$1,RIGHT(AI$1,2),""),VLOOKUP($D101,素材!$1:$1016,COLUMN($F$1),FALSE))),VLOOKUP($C101,武器!$1:$998,COLUMN($O$1),FALSE)*VLOOKUP($D101,素材!$1:$1016,COLUMN($E$1),FALSE)/(LEN(VLOOKUP($D101,素材!$1:$1016,COLUMN($F$1),FALSE))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J101">
        <f>IF(ISNUMBER(SEARCH(SUBSTITUTE(AJ$1,RIGHT(AJ$1,2),""),VLOOKUP($D101,素材!$1:$1016,COLUMN($F$1),FALSE))),VLOOKUP($C101,武器!$1:$998,COLUMN($O$1),FALSE)*VLOOKUP($D101,素材!$1:$1016,COLUMN($E$1),FALSE)/(LEN(VLOOKUP($D101,素材!$1:$1016,COLUMN($F$1),FALSE))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K101">
        <f>IF(ISNUMBER(SEARCH(SUBSTITUTE(AK$1,RIGHT(AK$1,2),""),VLOOKUP($D101,素材!$1:$1016,COLUMN($F$1),FALSE))),VLOOKUP($C101,武器!$1:$998,COLUMN($O$1),FALSE)*VLOOKUP($D101,素材!$1:$1016,COLUMN($E$1),FALSE)/(LEN(VLOOKUP($D101,素材!$1:$1016,COLUMN($F$1),FALSE))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L101">
        <f>IF(ISNUMBER(SEARCH(SUBSTITUTE(AL$1,RIGHT(AL$1,2),""),VLOOKUP($D101,素材!$1:$1016,COLUMN($F$1),FALSE))),VLOOKUP($C101,武器!$1:$998,COLUMN($O$1),FALSE)*VLOOKUP($D101,素材!$1:$1016,COLUMN($E$1),FALSE)/(LEN(VLOOKUP($D101,素材!$1:$1016,COLUMN($F$1),FALSE))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M101">
        <f>IF(ISNUMBER(SEARCH(SUBSTITUTE(AM$1,RIGHT(AM$1,2),""),VLOOKUP($D101,素材!$1:$1016,COLUMN($F$1),FALSE))),VLOOKUP($C101,武器!$1:$998,COLUMN($O$1),FALSE)*VLOOKUP($D101,素材!$1:$1016,COLUMN($E$1),FALSE)/(LEN(VLOOKUP($D101,素材!$1:$1016,COLUMN($F$1),FALSE))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N101">
        <f>IF(ISNUMBER(SEARCH(SUBSTITUTE(AN$1,RIGHT(AN$1,2),""),VLOOKUP($D101,素材!$1:$1016,COLUMN($F$1),FALSE))),VLOOKUP($C101,武器!$1:$998,COLUMN($O$1),FALSE)*VLOOKUP($D101,素材!$1:$1016,COLUMN($E$1),FALSE)/(LEN(VLOOKUP($D101,素材!$1:$1016,COLUMN($F$1),FALSE))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O101">
        <f>IF(ISNUMBER(SEARCH(SUBSTITUTE(AO$1,RIGHT(AO$1,2),""),VLOOKUP($D101,素材!$1:$1016,COLUMN($F$1),FALSE))),VLOOKUP($C101,武器!$1:$998,COLUMN($O$1),FALSE)*VLOOKUP($D101,素材!$1:$1016,COLUMN($E$1),FALSE)/(LEN(VLOOKUP($D101,素材!$1:$1016,COLUMN($F$1),FALSE))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P101">
        <f>IF(ISNUMBER(SEARCH(SUBSTITUTE(AP$1,RIGHT(AP$1,2),""),VLOOKUP($D101,素材!$1:$1016,COLUMN($F$1),FALSE))),VLOOKUP($C101,武器!$1:$998,COLUMN($O$1),FALSE)*VLOOKUP($D101,素材!$1:$1016,COLUMN($E$1),FALSE)/(LEN(VLOOKUP($D101,素材!$1:$1016,COLUMN($F$1),FALSE))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Q101">
        <f>IF(ISNUMBER(SEARCH(SUBSTITUTE(AQ$1,RIGHT(AQ$1,2),""),VLOOKUP($D101,素材!$1:$1016,COLUMN($F$1),FALSE))),VLOOKUP($C101,武器!$1:$998,COLUMN($O$1),FALSE)*VLOOKUP($D101,素材!$1:$1016,COLUMN($E$1),FALSE)/(LEN(VLOOKUP($D101,素材!$1:$1016,COLUMN($F$1),FALSE))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R101">
        <f>IF(ISNUMBER(SEARCH(SUBSTITUTE(AR$1,RIGHT(AR$1,2),""),VLOOKUP($D101,素材!$1:$1016,COLUMN($F$1),FALSE))),VLOOKUP($C101,武器!$1:$998,COLUMN($O$1),FALSE)*VLOOKUP($D101,素材!$1:$1016,COLUMN($E$1),FALSE)/(LEN(VLOOKUP($D101,素材!$1:$1016,COLUMN($F$1),FALSE))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S101">
        <f>IF(ISNUMBER(SEARCH(SUBSTITUTE(AS$1,RIGHT(AS$1,2),""),VLOOKUP($D101,素材!$1:$1016,COLUMN($F$1),FALSE))),VLOOKUP($C101,武器!$1:$998,COLUMN($O$1),FALSE)*VLOOKUP($D101,素材!$1:$1016,COLUMN($E$1),FALSE)/(LEN(VLOOKUP($D101,素材!$1:$1016,COLUMN($F$1),FALSE))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T101">
        <f>IF(ISNUMBER(SEARCH(SUBSTITUTE(AT$1,RIGHT(AT$1,2),""),VLOOKUP($D101,素材!$1:$1016,COLUMN($F$1),FALSE))),VLOOKUP($C101,武器!$1:$998,COLUMN($O$1),FALSE)*VLOOKUP($D101,素材!$1:$1016,COLUMN($E$1),FALSE)/(LEN(VLOOKUP($D101,素材!$1:$1016,COLUMN($F$1),FALSE))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U101">
        <f>IF(ISNUMBER(SEARCH(SUBSTITUTE(AU$1,RIGHT(AU$1,2),""),VLOOKUP($D101,素材!$1:$1016,COLUMN($F$1),FALSE))),VLOOKUP($C101,武器!$1:$998,COLUMN($O$1),FALSE)*VLOOKUP($D101,素材!$1:$1016,COLUMN($E$1),FALSE)/(LEN(VLOOKUP($D101,素材!$1:$1016,COLUMN($F$1),FALSE))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V101">
        <f>IF(ISNUMBER(SEARCH(SUBSTITUTE(AV$1,RIGHT(AV$1,2),""),VLOOKUP($D101,素材!$1:$1016,COLUMN($F$1),FALSE))),VLOOKUP($C101,武器!$1:$998,COLUMN($O$1),FALSE)*VLOOKUP($D101,素材!$1:$1016,COLUMN($E$1),FALSE)/(LEN(VLOOKUP($D101,素材!$1:$1016,COLUMN($F$1),FALSE))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W101">
        <f>IF(ISNUMBER(SEARCH(SUBSTITUTE(AW$1,RIGHT(AW$1,2),""),VLOOKUP($D101,素材!$1:$1016,COLUMN($F$1),FALSE))),VLOOKUP($C101,武器!$1:$998,COLUMN($O$1),FALSE)*VLOOKUP($D101,素材!$1:$1016,COLUMN($E$1),FALSE)/(LEN(VLOOKUP($D101,素材!$1:$1016,COLUMN($F$1),FALSE))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X101">
        <f>IF(ISNUMBER(SEARCH(SUBSTITUTE(AX$1,RIGHT(AX$1,2),""),VLOOKUP($D101,素材!$1:$1016,COLUMN($F$1),FALSE))),VLOOKUP($C101,武器!$1:$998,COLUMN($O$1),FALSE)*VLOOKUP($D101,素材!$1:$1016,COLUMN($E$1),FALSE)/(LEN(VLOOKUP($D101,素材!$1:$1016,COLUMN($F$1),FALSE))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Y101">
        <f>IF(ISNUMBER(SEARCH(SUBSTITUTE(AY$1,RIGHT(AY$1,2),""),VLOOKUP($D101,素材!$1:$1016,COLUMN($F$1),FALSE))),VLOOKUP($C101,武器!$1:$998,COLUMN($O$1),FALSE)*VLOOKUP($D101,素材!$1:$1016,COLUMN($E$1),FALSE)/(LEN(VLOOKUP($D101,素材!$1:$1016,COLUMN($F$1),FALSE))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AZ101">
        <f>IF(ISNUMBER(SEARCH(SUBSTITUTE(AZ$1,RIGHT(AZ$1,2),""),VLOOKUP($D101,素材!$1:$1016,COLUMN($F$1),FALSE))),VLOOKUP($C101,武器!$1:$998,COLUMN($O$1),FALSE)*VLOOKUP($D101,素材!$1:$1016,COLUMN($E$1),FALSE)/(LEN(VLOOKUP($D101,素材!$1:$1016,COLUMN($F$1),FALSE))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BA101">
        <f>IF(ISNUMBER(SEARCH(SUBSTITUTE(BA$1,RIGHT(BA$1,2),""),VLOOKUP($D101,素材!$1:$1016,COLUMN($F$1),FALSE))),VLOOKUP($C101,武器!$1:$998,COLUMN($O$1),FALSE)*VLOOKUP($D101,素材!$1:$1016,COLUMN($E$1),FALSE)/(LEN(VLOOKUP($D101,素材!$1:$1016,COLUMN($F$1),FALSE))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BB101">
        <f>IF(ISNUMBER(SEARCH(SUBSTITUTE(BB$1,RIGHT(BB$1,2),""),VLOOKUP($D101,素材!$1:$1016,COLUMN($F$1),FALSE))),VLOOKUP($C101,武器!$1:$998,COLUMN($O$1),FALSE)*VLOOKUP($D101,素材!$1:$1016,COLUMN($E$1),FALSE)/(LEN(VLOOKUP($D101,素材!$1:$1016,COLUMN($F$1),FALSE))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BC101">
        <f>IF(ISNUMBER(SEARCH(SUBSTITUTE(BC$1,RIGHT(BC$1,2),""),VLOOKUP($D101,素材!$1:$1016,COLUMN($F$1),FALSE))),VLOOKUP($C101,武器!$1:$998,COLUMN($O$1),FALSE)*VLOOKUP($D101,素材!$1:$1016,COLUMN($E$1),FALSE)/(LEN(VLOOKUP($D101,素材!$1:$1016,COLUMN($F$1),FALSE))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BD101">
        <f>IF(ISNUMBER(SEARCH(SUBSTITUTE(BD$1,RIGHT(BD$1,2),""),VLOOKUP($D101,素材!$1:$1016,COLUMN($F$1),FALSE))),VLOOKUP($C101,武器!$1:$998,COLUMN($O$1),FALSE)*VLOOKUP($D101,素材!$1:$1016,COLUMN($E$1),FALSE)/(LEN(VLOOKUP($D101,素材!$1:$1016,COLUMN($F$1),FALSE))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BE101">
        <f>IF(ISNUMBER(SEARCH(SUBSTITUTE(BE$1,RIGHT(BE$1,2),""),VLOOKUP($D101,素材!$1:$1016,COLUMN($F$1),FALSE))),VLOOKUP($C101,武器!$1:$998,COLUMN($O$1),FALSE)*VLOOKUP($D101,素材!$1:$1016,COLUMN($E$1),FALSE)/(LEN(VLOOKUP($D101,素材!$1:$1016,COLUMN($F$1),FALSE))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BF101">
        <f>IF(ISNUMBER(SEARCH(SUBSTITUTE(BF$1,RIGHT(BF$1,2),""),VLOOKUP($D101,素材!$1:$1016,COLUMN($F$1),FALSE))),VLOOKUP($C101,武器!$1:$998,COLUMN($O$1),FALSE)*VLOOKUP($D101,素材!$1:$1016,COLUMN($E$1),FALSE)/(LEN(VLOOKUP($D101,素材!$1:$1016,COLUMN($F$1),FALSE)) - LEN(SUBSTITUTE(VLOOKUP($D101,素材!$1:$1016,COLUMN($F$1),FALSE), "・", 0)) + 1), 0)</f>
        <v>0</v>
      </c>
      <c r="CM101">
        <f t="shared" si="8"/>
        <v>22</v>
      </c>
      <c r="CN101" s="22" t="str">
        <f>IF(E101="武器",IF(J101-1&gt;SUM(G101:I101),"盾",IF(MAX(G101:I101)=G101,"切断",IF(MAX(G101:I101)=H101,"貫通",IF(MAX(G101:I101)=I101,"打撃","射撃")))),E101)&amp;".webp"</f>
        <v>盾.webp</v>
      </c>
      <c r="CO101">
        <f>IFERROR(VLOOKUP($C101,武器!$1:$998,COLUMN(V$1),FALSE)*VLOOKUP($D101,素材!$1:$1016,COLUMN(N$1),FALSE)+IF(CJ101="",0,VLOOKUP($CJ101,装強!$1:$1008,COLUMN($CL$1),FALSE)),"")</f>
        <v>900</v>
      </c>
      <c r="CP101" t="str">
        <f>VLOOKUP(D101,素材!$A:$O,COLUMN(素材!O$1),FALSE)</f>
        <v>鍛えられた鉄。硬度が高く安価なためよく使用される。</v>
      </c>
      <c r="CQ101" t="str">
        <f>VLOOKUP(C101,武器!$A:$W,COLUMN(武器!W$1),FALSE)</f>
        <v>大盾。さらに大きな盾で、高い防御力を持つ。</v>
      </c>
      <c r="CS101" t="str">
        <f t="shared" si="7"/>
        <v>e_101</v>
      </c>
      <c r="CT101">
        <f t="shared" si="9"/>
        <v>90000</v>
      </c>
    </row>
    <row r="102" spans="1:98" outlineLevel="1" x14ac:dyDescent="0.4">
      <c r="A102" t="str">
        <f t="shared" si="10"/>
        <v>鋼の短弓</v>
      </c>
      <c r="B102" t="str">
        <f>IFERROR(VLOOKUP($D102,素材!$1:$1016,COLUMN($B$1),FALSE)&amp;"・"&amp;VLOOKUP($C102,武器!$1:$998,COLUMN(B$1),FALSE),"")</f>
        <v>スチール・ボウ</v>
      </c>
      <c r="C102" t="s">
        <v>218</v>
      </c>
      <c r="D102" s="24" t="s">
        <v>253</v>
      </c>
      <c r="E102" t="str">
        <f>IFERROR(VLOOKUP(C102,武器!$1:$998,COLUMN(C$1),FALSE),"")</f>
        <v>武器</v>
      </c>
      <c r="F102">
        <f>IFERROR(ROUNDDOWN((VLOOKUP($C102,武器!$1:$998,COLUMN(D$1),FALSE)+IFERROR(VLOOKUP($CJ102,装強!$1:$999,COLUMN(F$1),FALSE),0))*VLOOKUP($D102,素材!$1:$1016,COLUMN(D$1),FALSE),0),"")</f>
        <v>115</v>
      </c>
      <c r="G102">
        <f>IFERROR(ROUNDDOWN((VLOOKUP($C102,武器!$1:$998,COLUMN(E$1),FALSE)+IFERROR(VLOOKUP($CJ102,装強!$1:$999,COLUMN(G$1),FALSE),0))*VLOOKUP($D102,素材!$1:$1016,COLUMN($E$1),FALSE),0),"")</f>
        <v>6</v>
      </c>
      <c r="H102">
        <f>IFERROR(ROUNDDOWN((VLOOKUP($C102,武器!$1:$998,COLUMN(F$1),FALSE)+IFERROR(VLOOKUP($CJ102,装強!$1:$999,COLUMN(H$1),FALSE),0))*VLOOKUP($D102,素材!$1:$1016,COLUMN($E$1),FALSE),0),"")</f>
        <v>6</v>
      </c>
      <c r="I102">
        <f>IFERROR(ROUNDDOWN((VLOOKUP($C102,武器!$1:$998,COLUMN(G$1),FALSE)+IFERROR(VLOOKUP($CJ102,装強!$1:$999,COLUMN(I$1),FALSE),0))*VLOOKUP($D102,素材!$1:$1016,COLUMN($E$1),FALSE),0),"")</f>
        <v>0</v>
      </c>
      <c r="J102">
        <f>IFERROR(ROUNDDOWN((VLOOKUP($C102,武器!$1:$998,COLUMN(H$1),FALSE)+IFERROR(VLOOKUP($CJ102,装強!$1:$999,COLUMN(J$1),FALSE),0))*VLOOKUP($D102,素材!$1:$1016,COLUMN($E$1),FALSE),0),"")</f>
        <v>0</v>
      </c>
      <c r="K102">
        <f>IFERROR(ROUNDDOWN((VLOOKUP($C102,武器!$1:$998,COLUMN(I$1),FALSE)+IFERROR(VLOOKUP($CJ102,装強!$1:$999,COLUMN(K$1),FALSE),0))*VLOOKUP($D102,素材!$1:$1016,COLUMN($E$1),FALSE),0),"")</f>
        <v>27</v>
      </c>
      <c r="L102">
        <f>IFERROR(VLOOKUP($D102,素材!$1:$1016,COLUMN($F$1),FALSE),"")</f>
        <v>0</v>
      </c>
      <c r="M102">
        <f>IFERROR(VLOOKUP($C102,武器!$1:$998,COLUMN(AA$1),FALSE)*VLOOKUP($D102,素材!$1:$1016,COLUMN($G$1),FALSE),"")</f>
        <v>0</v>
      </c>
      <c r="N102">
        <f>IFERROR(VLOOKUP($C102,武器!$1:$998,COLUMN(I$1),FALSE),"")</f>
        <v>1</v>
      </c>
      <c r="O102" s="23">
        <f>IFERROR((VLOOKUP($C102,武器!$1:$998,COLUMN(K$1),FALSE)+VLOOKUP($D102,素材!$1:$1016,COLUMN(H$1),FALSE))*100+IFERROR(VLOOKUP($CJ102,装強!$1:$999,COLUMN(O$1),FALSE),0),"")</f>
        <v>10</v>
      </c>
      <c r="P102" s="23">
        <f>IFERROR((VLOOKUP($C102,武器!$1:$998,COLUMN(L$1),FALSE)+VLOOKUP($D102,素材!$1:$1016,COLUMN(I$1),FALSE))*100+IFERROR(VLOOKUP($CJ102,装強!$1:$999,COLUMN(P$1),FALSE),0),"")</f>
        <v>130</v>
      </c>
      <c r="Q102">
        <f>IFERROR(ROUNDUP(VLOOKUP($C102,武器!$1:$998,COLUMN(M$1),FALSE)*(VLOOKUP($D102,素材!$1:$1002,COLUMN(D$1),FALSE)/100),1),"")</f>
        <v>-2.7</v>
      </c>
      <c r="R102">
        <f>IFERROR(ROUNDUP(VLOOKUP($C102,武器!$1:$998,COLUMN(N$1),FALSE)*(VLOOKUP($D102,素材!$1:$1002,COLUMN(D$1),FALSE)/100),1),"")</f>
        <v>0</v>
      </c>
      <c r="S102">
        <f>IFERROR(VLOOKUP($C102,武器!$1:$998,COLUMN(P$1),FALSE),"")</f>
        <v>2</v>
      </c>
      <c r="T102">
        <f>IFERROR(VLOOKUP($C102,武器!$1:$998,COLUMN(Q$1),FALSE),"")</f>
        <v>0</v>
      </c>
      <c r="U102">
        <f>IFERROR(VLOOKUP($C102,武器!$1:$998,COLUMN(R$1),FALSE),"")</f>
        <v>0</v>
      </c>
      <c r="V102">
        <f>IFERROR(VLOOKUP($C102,武器!$1:$998,COLUMN(Q$1),FALSE),"")</f>
        <v>0</v>
      </c>
      <c r="W102" t="str">
        <f>IFERROR(VLOOKUP($C102,武器!$1:$998,COLUMN(T$1),FALSE),"")</f>
        <v>A</v>
      </c>
      <c r="Y102">
        <f>IFERROR(VLOOKUP($C102,武器!$1:$998,COLUMN(U$1),FALSE),"")</f>
        <v>0</v>
      </c>
      <c r="Z102">
        <f>IFERROR(ROUNDUP(VLOOKUP($C102,武器!$1:$998,COLUMN(O$1),FALSE)*VLOOKUP($D102,素材!$1:$1016,COLUMN(E$1),FALSE),1),"")</f>
        <v>0</v>
      </c>
      <c r="AA102">
        <f>IF(ISNUMBER(SEARCH(SUBSTITUTE(AA$1,RIGHT(AA$1,2),""),VLOOKUP($D102,素材!$1:$1016,COLUMN($F$1),FALSE))),VLOOKUP($C102,武器!$1:$998,COLUMN($O$1),FALSE)*VLOOKUP($D102,素材!$1:$1016,COLUMN($E$1),FALSE)/(LEN(VLOOKUP($D102,素材!$1:$1016,COLUMN($F$1),FALSE))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B102">
        <f>IF(ISNUMBER(SEARCH(SUBSTITUTE(AB$1,RIGHT(AB$1,2),""),VLOOKUP($D102,素材!$1:$1016,COLUMN($F$1),FALSE))),VLOOKUP($C102,武器!$1:$998,COLUMN($O$1),FALSE)*VLOOKUP($D102,素材!$1:$1016,COLUMN($E$1),FALSE)/(LEN(VLOOKUP($D102,素材!$1:$1016,COLUMN($F$1),FALSE))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C102">
        <f>IF(ISNUMBER(SEARCH(SUBSTITUTE(AC$1,RIGHT(AC$1,2),""),VLOOKUP($D102,素材!$1:$1016,COLUMN($F$1),FALSE))),VLOOKUP($C102,武器!$1:$998,COLUMN($O$1),FALSE)*VLOOKUP($D102,素材!$1:$1016,COLUMN($E$1),FALSE)/(LEN(VLOOKUP($D102,素材!$1:$1016,COLUMN($F$1),FALSE))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D102">
        <f>IF(ISNUMBER(SEARCH(SUBSTITUTE(AD$1,RIGHT(AD$1,2),""),VLOOKUP($D102,素材!$1:$1016,COLUMN($F$1),FALSE))),VLOOKUP($C102,武器!$1:$998,COLUMN($O$1),FALSE)*VLOOKUP($D102,素材!$1:$1016,COLUMN($E$1),FALSE)/(LEN(VLOOKUP($D102,素材!$1:$1016,COLUMN($F$1),FALSE))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E102">
        <f>IF(ISNUMBER(SEARCH(SUBSTITUTE(AE$1,RIGHT(AE$1,2),""),VLOOKUP($D102,素材!$1:$1016,COLUMN($F$1),FALSE))),VLOOKUP($C102,武器!$1:$998,COLUMN($O$1),FALSE)*VLOOKUP($D102,素材!$1:$1016,COLUMN($E$1),FALSE)/(LEN(VLOOKUP($D102,素材!$1:$1016,COLUMN($F$1),FALSE))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F102">
        <f>IF(ISNUMBER(SEARCH(SUBSTITUTE(AF$1,RIGHT(AF$1,2),""),VLOOKUP($D102,素材!$1:$1016,COLUMN($F$1),FALSE))),VLOOKUP($C102,武器!$1:$998,COLUMN($O$1),FALSE)*VLOOKUP($D102,素材!$1:$1016,COLUMN($E$1),FALSE)/(LEN(VLOOKUP($D102,素材!$1:$1016,COLUMN($F$1),FALSE))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G102">
        <f>IF(ISNUMBER(SEARCH(SUBSTITUTE(AG$1,RIGHT(AG$1,2),""),VLOOKUP($D102,素材!$1:$1016,COLUMN($F$1),FALSE))),VLOOKUP($C102,武器!$1:$998,COLUMN($O$1),FALSE)*VLOOKUP($D102,素材!$1:$1016,COLUMN($E$1),FALSE)/(LEN(VLOOKUP($D102,素材!$1:$1016,COLUMN($F$1),FALSE))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H102">
        <f>IF(ISNUMBER(SEARCH(SUBSTITUTE(AH$1,RIGHT(AH$1,2),""),VLOOKUP($D102,素材!$1:$1016,COLUMN($F$1),FALSE))),VLOOKUP($C102,武器!$1:$998,COLUMN($O$1),FALSE)*VLOOKUP($D102,素材!$1:$1016,COLUMN($E$1),FALSE)/(LEN(VLOOKUP($D102,素材!$1:$1016,COLUMN($F$1),FALSE))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I102">
        <f>IF(ISNUMBER(SEARCH(SUBSTITUTE(AI$1,RIGHT(AI$1,2),""),VLOOKUP($D102,素材!$1:$1016,COLUMN($F$1),FALSE))),VLOOKUP($C102,武器!$1:$998,COLUMN($O$1),FALSE)*VLOOKUP($D102,素材!$1:$1016,COLUMN($E$1),FALSE)/(LEN(VLOOKUP($D102,素材!$1:$1016,COLUMN($F$1),FALSE))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J102">
        <f>IF(ISNUMBER(SEARCH(SUBSTITUTE(AJ$1,RIGHT(AJ$1,2),""),VLOOKUP($D102,素材!$1:$1016,COLUMN($F$1),FALSE))),VLOOKUP($C102,武器!$1:$998,COLUMN($O$1),FALSE)*VLOOKUP($D102,素材!$1:$1016,COLUMN($E$1),FALSE)/(LEN(VLOOKUP($D102,素材!$1:$1016,COLUMN($F$1),FALSE))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K102">
        <f>IF(ISNUMBER(SEARCH(SUBSTITUTE(AK$1,RIGHT(AK$1,2),""),VLOOKUP($D102,素材!$1:$1016,COLUMN($F$1),FALSE))),VLOOKUP($C102,武器!$1:$998,COLUMN($O$1),FALSE)*VLOOKUP($D102,素材!$1:$1016,COLUMN($E$1),FALSE)/(LEN(VLOOKUP($D102,素材!$1:$1016,COLUMN($F$1),FALSE))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L102">
        <f>IF(ISNUMBER(SEARCH(SUBSTITUTE(AL$1,RIGHT(AL$1,2),""),VLOOKUP($D102,素材!$1:$1016,COLUMN($F$1),FALSE))),VLOOKUP($C102,武器!$1:$998,COLUMN($O$1),FALSE)*VLOOKUP($D102,素材!$1:$1016,COLUMN($E$1),FALSE)/(LEN(VLOOKUP($D102,素材!$1:$1016,COLUMN($F$1),FALSE))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M102">
        <f>IF(ISNUMBER(SEARCH(SUBSTITUTE(AM$1,RIGHT(AM$1,2),""),VLOOKUP($D102,素材!$1:$1016,COLUMN($F$1),FALSE))),VLOOKUP($C102,武器!$1:$998,COLUMN($O$1),FALSE)*VLOOKUP($D102,素材!$1:$1016,COLUMN($E$1),FALSE)/(LEN(VLOOKUP($D102,素材!$1:$1016,COLUMN($F$1),FALSE))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N102">
        <f>IF(ISNUMBER(SEARCH(SUBSTITUTE(AN$1,RIGHT(AN$1,2),""),VLOOKUP($D102,素材!$1:$1016,COLUMN($F$1),FALSE))),VLOOKUP($C102,武器!$1:$998,COLUMN($O$1),FALSE)*VLOOKUP($D102,素材!$1:$1016,COLUMN($E$1),FALSE)/(LEN(VLOOKUP($D102,素材!$1:$1016,COLUMN($F$1),FALSE))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O102">
        <f>IF(ISNUMBER(SEARCH(SUBSTITUTE(AO$1,RIGHT(AO$1,2),""),VLOOKUP($D102,素材!$1:$1016,COLUMN($F$1),FALSE))),VLOOKUP($C102,武器!$1:$998,COLUMN($O$1),FALSE)*VLOOKUP($D102,素材!$1:$1016,COLUMN($E$1),FALSE)/(LEN(VLOOKUP($D102,素材!$1:$1016,COLUMN($F$1),FALSE))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P102">
        <f>IF(ISNUMBER(SEARCH(SUBSTITUTE(AP$1,RIGHT(AP$1,2),""),VLOOKUP($D102,素材!$1:$1016,COLUMN($F$1),FALSE))),VLOOKUP($C102,武器!$1:$998,COLUMN($O$1),FALSE)*VLOOKUP($D102,素材!$1:$1016,COLUMN($E$1),FALSE)/(LEN(VLOOKUP($D102,素材!$1:$1016,COLUMN($F$1),FALSE))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Q102">
        <f>IF(ISNUMBER(SEARCH(SUBSTITUTE(AQ$1,RIGHT(AQ$1,2),""),VLOOKUP($D102,素材!$1:$1016,COLUMN($F$1),FALSE))),VLOOKUP($C102,武器!$1:$998,COLUMN($O$1),FALSE)*VLOOKUP($D102,素材!$1:$1016,COLUMN($E$1),FALSE)/(LEN(VLOOKUP($D102,素材!$1:$1016,COLUMN($F$1),FALSE))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R102">
        <f>IF(ISNUMBER(SEARCH(SUBSTITUTE(AR$1,RIGHT(AR$1,2),""),VLOOKUP($D102,素材!$1:$1016,COLUMN($F$1),FALSE))),VLOOKUP($C102,武器!$1:$998,COLUMN($O$1),FALSE)*VLOOKUP($D102,素材!$1:$1016,COLUMN($E$1),FALSE)/(LEN(VLOOKUP($D102,素材!$1:$1016,COLUMN($F$1),FALSE))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S102">
        <f>IF(ISNUMBER(SEARCH(SUBSTITUTE(AS$1,RIGHT(AS$1,2),""),VLOOKUP($D102,素材!$1:$1016,COLUMN($F$1),FALSE))),VLOOKUP($C102,武器!$1:$998,COLUMN($O$1),FALSE)*VLOOKUP($D102,素材!$1:$1016,COLUMN($E$1),FALSE)/(LEN(VLOOKUP($D102,素材!$1:$1016,COLUMN($F$1),FALSE))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T102">
        <f>IF(ISNUMBER(SEARCH(SUBSTITUTE(AT$1,RIGHT(AT$1,2),""),VLOOKUP($D102,素材!$1:$1016,COLUMN($F$1),FALSE))),VLOOKUP($C102,武器!$1:$998,COLUMN($O$1),FALSE)*VLOOKUP($D102,素材!$1:$1016,COLUMN($E$1),FALSE)/(LEN(VLOOKUP($D102,素材!$1:$1016,COLUMN($F$1),FALSE))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U102">
        <f>IF(ISNUMBER(SEARCH(SUBSTITUTE(AU$1,RIGHT(AU$1,2),""),VLOOKUP($D102,素材!$1:$1016,COLUMN($F$1),FALSE))),VLOOKUP($C102,武器!$1:$998,COLUMN($O$1),FALSE)*VLOOKUP($D102,素材!$1:$1016,COLUMN($E$1),FALSE)/(LEN(VLOOKUP($D102,素材!$1:$1016,COLUMN($F$1),FALSE))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V102">
        <f>IF(ISNUMBER(SEARCH(SUBSTITUTE(AV$1,RIGHT(AV$1,2),""),VLOOKUP($D102,素材!$1:$1016,COLUMN($F$1),FALSE))),VLOOKUP($C102,武器!$1:$998,COLUMN($O$1),FALSE)*VLOOKUP($D102,素材!$1:$1016,COLUMN($E$1),FALSE)/(LEN(VLOOKUP($D102,素材!$1:$1016,COLUMN($F$1),FALSE))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W102">
        <f>IF(ISNUMBER(SEARCH(SUBSTITUTE(AW$1,RIGHT(AW$1,2),""),VLOOKUP($D102,素材!$1:$1016,COLUMN($F$1),FALSE))),VLOOKUP($C102,武器!$1:$998,COLUMN($O$1),FALSE)*VLOOKUP($D102,素材!$1:$1016,COLUMN($E$1),FALSE)/(LEN(VLOOKUP($D102,素材!$1:$1016,COLUMN($F$1),FALSE))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X102">
        <f>IF(ISNUMBER(SEARCH(SUBSTITUTE(AX$1,RIGHT(AX$1,2),""),VLOOKUP($D102,素材!$1:$1016,COLUMN($F$1),FALSE))),VLOOKUP($C102,武器!$1:$998,COLUMN($O$1),FALSE)*VLOOKUP($D102,素材!$1:$1016,COLUMN($E$1),FALSE)/(LEN(VLOOKUP($D102,素材!$1:$1016,COLUMN($F$1),FALSE))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Y102">
        <f>IF(ISNUMBER(SEARCH(SUBSTITUTE(AY$1,RIGHT(AY$1,2),""),VLOOKUP($D102,素材!$1:$1016,COLUMN($F$1),FALSE))),VLOOKUP($C102,武器!$1:$998,COLUMN($O$1),FALSE)*VLOOKUP($D102,素材!$1:$1016,COLUMN($E$1),FALSE)/(LEN(VLOOKUP($D102,素材!$1:$1016,COLUMN($F$1),FALSE))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AZ102">
        <f>IF(ISNUMBER(SEARCH(SUBSTITUTE(AZ$1,RIGHT(AZ$1,2),""),VLOOKUP($D102,素材!$1:$1016,COLUMN($F$1),FALSE))),VLOOKUP($C102,武器!$1:$998,COLUMN($O$1),FALSE)*VLOOKUP($D102,素材!$1:$1016,COLUMN($E$1),FALSE)/(LEN(VLOOKUP($D102,素材!$1:$1016,COLUMN($F$1),FALSE))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BA102">
        <f>IF(ISNUMBER(SEARCH(SUBSTITUTE(BA$1,RIGHT(BA$1,2),""),VLOOKUP($D102,素材!$1:$1016,COLUMN($F$1),FALSE))),VLOOKUP($C102,武器!$1:$998,COLUMN($O$1),FALSE)*VLOOKUP($D102,素材!$1:$1016,COLUMN($E$1),FALSE)/(LEN(VLOOKUP($D102,素材!$1:$1016,COLUMN($F$1),FALSE))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BB102">
        <f>IF(ISNUMBER(SEARCH(SUBSTITUTE(BB$1,RIGHT(BB$1,2),""),VLOOKUP($D102,素材!$1:$1016,COLUMN($F$1),FALSE))),VLOOKUP($C102,武器!$1:$998,COLUMN($O$1),FALSE)*VLOOKUP($D102,素材!$1:$1016,COLUMN($E$1),FALSE)/(LEN(VLOOKUP($D102,素材!$1:$1016,COLUMN($F$1),FALSE))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BC102">
        <f>IF(ISNUMBER(SEARCH(SUBSTITUTE(BC$1,RIGHT(BC$1,2),""),VLOOKUP($D102,素材!$1:$1016,COLUMN($F$1),FALSE))),VLOOKUP($C102,武器!$1:$998,COLUMN($O$1),FALSE)*VLOOKUP($D102,素材!$1:$1016,COLUMN($E$1),FALSE)/(LEN(VLOOKUP($D102,素材!$1:$1016,COLUMN($F$1),FALSE))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BD102">
        <f>IF(ISNUMBER(SEARCH(SUBSTITUTE(BD$1,RIGHT(BD$1,2),""),VLOOKUP($D102,素材!$1:$1016,COLUMN($F$1),FALSE))),VLOOKUP($C102,武器!$1:$998,COLUMN($O$1),FALSE)*VLOOKUP($D102,素材!$1:$1016,COLUMN($E$1),FALSE)/(LEN(VLOOKUP($D102,素材!$1:$1016,COLUMN($F$1),FALSE))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BE102">
        <f>IF(ISNUMBER(SEARCH(SUBSTITUTE(BE$1,RIGHT(BE$1,2),""),VLOOKUP($D102,素材!$1:$1016,COLUMN($F$1),FALSE))),VLOOKUP($C102,武器!$1:$998,COLUMN($O$1),FALSE)*VLOOKUP($D102,素材!$1:$1016,COLUMN($E$1),FALSE)/(LEN(VLOOKUP($D102,素材!$1:$1016,COLUMN($F$1),FALSE))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BF102">
        <f>IF(ISNUMBER(SEARCH(SUBSTITUTE(BF$1,RIGHT(BF$1,2),""),VLOOKUP($D102,素材!$1:$1016,COLUMN($F$1),FALSE))),VLOOKUP($C102,武器!$1:$998,COLUMN($O$1),FALSE)*VLOOKUP($D102,素材!$1:$1016,COLUMN($E$1),FALSE)/(LEN(VLOOKUP($D102,素材!$1:$1016,COLUMN($F$1),FALSE)) - LEN(SUBSTITUTE(VLOOKUP($D102,素材!$1:$1016,COLUMN($F$1),FALSE), "・", 0)) + 1), 0)</f>
        <v>0</v>
      </c>
      <c r="CM102">
        <f t="shared" si="8"/>
        <v>12</v>
      </c>
      <c r="CN102" s="22" t="str">
        <f>IF(E102="武器",IF(J102-1&gt;SUM(G102:I102),"盾",IF(MAX(G102:I102)=G102,"切断",IF(MAX(G102:I102)=H102,"貫通",IF(MAX(G102:I102)=I102,"打撃","射撃")))),E102)&amp;".webp"</f>
        <v>切断.webp</v>
      </c>
      <c r="CO102">
        <f>IFERROR(VLOOKUP($C102,武器!$1:$998,COLUMN(V$1),FALSE)*VLOOKUP($D102,素材!$1:$1016,COLUMN(N$1),FALSE)+IF(CJ102="",0,VLOOKUP($CJ102,装強!$1:$1008,COLUMN($CL$1),FALSE)),"")</f>
        <v>675</v>
      </c>
      <c r="CP102" t="str">
        <f>VLOOKUP(D102,素材!$A:$O,COLUMN(素材!O$1),FALSE)</f>
        <v>鍛えられた鉄。硬度が高く安価なためよく使用される。</v>
      </c>
      <c r="CQ102" t="str">
        <f>VLOOKUP(C102,武器!$A:$W,COLUMN(武器!W$1),FALSE)</f>
        <v>短弓。軽量で扱いやすい遠距離武器。</v>
      </c>
      <c r="CS102" t="str">
        <f t="shared" si="7"/>
        <v>e_102</v>
      </c>
      <c r="CT102">
        <f t="shared" si="9"/>
        <v>67500</v>
      </c>
    </row>
    <row r="103" spans="1:98" outlineLevel="1" x14ac:dyDescent="0.4">
      <c r="A103" t="str">
        <f t="shared" si="10"/>
        <v>鋼の長弓</v>
      </c>
      <c r="B103" t="str">
        <f>IFERROR(VLOOKUP($D103,素材!$1:$1016,COLUMN($B$1),FALSE)&amp;"・"&amp;VLOOKUP($C103,武器!$1:$998,COLUMN(B$1),FALSE),"")</f>
        <v>スチール・ロングボウ</v>
      </c>
      <c r="C103" t="s">
        <v>217</v>
      </c>
      <c r="D103" s="24" t="s">
        <v>253</v>
      </c>
      <c r="E103" t="str">
        <f>IFERROR(VLOOKUP(C103,武器!$1:$998,COLUMN(C$1),FALSE),"")</f>
        <v>武器</v>
      </c>
      <c r="F103">
        <f>IFERROR(ROUNDDOWN((VLOOKUP($C103,武器!$1:$998,COLUMN(D$1),FALSE)+IFERROR(VLOOKUP($CJ103,装強!$1:$999,COLUMN(F$1),FALSE),0))*VLOOKUP($D103,素材!$1:$1016,COLUMN(D$1),FALSE),0),"")</f>
        <v>126</v>
      </c>
      <c r="G103">
        <f>IFERROR(ROUNDDOWN((VLOOKUP($C103,武器!$1:$998,COLUMN(E$1),FALSE)+IFERROR(VLOOKUP($CJ103,装強!$1:$999,COLUMN(G$1),FALSE),0))*VLOOKUP($D103,素材!$1:$1016,COLUMN($E$1),FALSE),0),"")</f>
        <v>6</v>
      </c>
      <c r="H103">
        <f>IFERROR(ROUNDDOWN((VLOOKUP($C103,武器!$1:$998,COLUMN(F$1),FALSE)+IFERROR(VLOOKUP($CJ103,装強!$1:$999,COLUMN(H$1),FALSE),0))*VLOOKUP($D103,素材!$1:$1016,COLUMN($E$1),FALSE),0),"")</f>
        <v>6</v>
      </c>
      <c r="I103">
        <f>IFERROR(ROUNDDOWN((VLOOKUP($C103,武器!$1:$998,COLUMN(G$1),FALSE)+IFERROR(VLOOKUP($CJ103,装強!$1:$999,COLUMN(I$1),FALSE),0))*VLOOKUP($D103,素材!$1:$1016,COLUMN($E$1),FALSE),0),"")</f>
        <v>0</v>
      </c>
      <c r="J103">
        <f>IFERROR(ROUNDDOWN((VLOOKUP($C103,武器!$1:$998,COLUMN(H$1),FALSE)+IFERROR(VLOOKUP($CJ103,装強!$1:$999,COLUMN(J$1),FALSE),0))*VLOOKUP($D103,素材!$1:$1016,COLUMN($E$1),FALSE),0),"")</f>
        <v>0</v>
      </c>
      <c r="K103">
        <f>IFERROR(ROUNDDOWN((VLOOKUP($C103,武器!$1:$998,COLUMN(I$1),FALSE)+IFERROR(VLOOKUP($CJ103,装強!$1:$999,COLUMN(K$1),FALSE),0))*VLOOKUP($D103,素材!$1:$1016,COLUMN($E$1),FALSE),0),"")</f>
        <v>31</v>
      </c>
      <c r="L103">
        <f>IFERROR(VLOOKUP($D103,素材!$1:$1016,COLUMN($F$1),FALSE),"")</f>
        <v>0</v>
      </c>
      <c r="M103">
        <f>IFERROR(VLOOKUP($C103,武器!$1:$998,COLUMN(AA$1),FALSE)*VLOOKUP($D103,素材!$1:$1016,COLUMN($G$1),FALSE),"")</f>
        <v>0</v>
      </c>
      <c r="N103">
        <f>IFERROR(VLOOKUP($C103,武器!$1:$998,COLUMN(I$1),FALSE),"")</f>
        <v>1.1499999999999999</v>
      </c>
      <c r="O103" s="23">
        <f>IFERROR((VLOOKUP($C103,武器!$1:$998,COLUMN(K$1),FALSE)+VLOOKUP($D103,素材!$1:$1016,COLUMN(H$1),FALSE))*100+IFERROR(VLOOKUP($CJ103,装強!$1:$999,COLUMN(O$1),FALSE),0),"")</f>
        <v>10</v>
      </c>
      <c r="P103" s="23">
        <f>IFERROR((VLOOKUP($C103,武器!$1:$998,COLUMN(L$1),FALSE)+VLOOKUP($D103,素材!$1:$1016,COLUMN(I$1),FALSE))*100+IFERROR(VLOOKUP($CJ103,装強!$1:$999,COLUMN(P$1),FALSE),0),"")</f>
        <v>130</v>
      </c>
      <c r="Q103">
        <f>IFERROR(ROUNDUP(VLOOKUP($C103,武器!$1:$998,COLUMN(M$1),FALSE)*(VLOOKUP($D103,素材!$1:$1002,COLUMN(D$1),FALSE)/100),1),"")</f>
        <v>-5.3</v>
      </c>
      <c r="R103">
        <f>IFERROR(ROUNDUP(VLOOKUP($C103,武器!$1:$998,COLUMN(N$1),FALSE)*(VLOOKUP($D103,素材!$1:$1002,COLUMN(D$1),FALSE)/100),1),"")</f>
        <v>-2.7</v>
      </c>
      <c r="S103">
        <f>IFERROR(VLOOKUP($C103,武器!$1:$998,COLUMN(P$1),FALSE),"")</f>
        <v>2</v>
      </c>
      <c r="T103">
        <f>IFERROR(VLOOKUP($C103,武器!$1:$998,COLUMN(Q$1),FALSE),"")</f>
        <v>0</v>
      </c>
      <c r="U103">
        <f>IFERROR(VLOOKUP($C103,武器!$1:$998,COLUMN(R$1),FALSE),"")</f>
        <v>0</v>
      </c>
      <c r="V103">
        <f>IFERROR(VLOOKUP($C103,武器!$1:$998,COLUMN(Q$1),FALSE),"")</f>
        <v>0</v>
      </c>
      <c r="W103" t="str">
        <f>IFERROR(VLOOKUP($C103,武器!$1:$998,COLUMN(T$1),FALSE),"")</f>
        <v>A</v>
      </c>
      <c r="Y103">
        <f>IFERROR(VLOOKUP($C103,武器!$1:$998,COLUMN(U$1),FALSE),"")</f>
        <v>0</v>
      </c>
      <c r="Z103">
        <f>IFERROR(ROUNDUP(VLOOKUP($C103,武器!$1:$998,COLUMN(O$1),FALSE)*VLOOKUP($D103,素材!$1:$1016,COLUMN(E$1),FALSE),1),"")</f>
        <v>0</v>
      </c>
      <c r="AA103">
        <f>IF(ISNUMBER(SEARCH(SUBSTITUTE(AA$1,RIGHT(AA$1,2),""),VLOOKUP($D103,素材!$1:$1016,COLUMN($F$1),FALSE))),VLOOKUP($C103,武器!$1:$998,COLUMN($O$1),FALSE)*VLOOKUP($D103,素材!$1:$1016,COLUMN($E$1),FALSE)/(LEN(VLOOKUP($D103,素材!$1:$1016,COLUMN($F$1),FALSE))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B103">
        <f>IF(ISNUMBER(SEARCH(SUBSTITUTE(AB$1,RIGHT(AB$1,2),""),VLOOKUP($D103,素材!$1:$1016,COLUMN($F$1),FALSE))),VLOOKUP($C103,武器!$1:$998,COLUMN($O$1),FALSE)*VLOOKUP($D103,素材!$1:$1016,COLUMN($E$1),FALSE)/(LEN(VLOOKUP($D103,素材!$1:$1016,COLUMN($F$1),FALSE))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C103">
        <f>IF(ISNUMBER(SEARCH(SUBSTITUTE(AC$1,RIGHT(AC$1,2),""),VLOOKUP($D103,素材!$1:$1016,COLUMN($F$1),FALSE))),VLOOKUP($C103,武器!$1:$998,COLUMN($O$1),FALSE)*VLOOKUP($D103,素材!$1:$1016,COLUMN($E$1),FALSE)/(LEN(VLOOKUP($D103,素材!$1:$1016,COLUMN($F$1),FALSE))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D103">
        <f>IF(ISNUMBER(SEARCH(SUBSTITUTE(AD$1,RIGHT(AD$1,2),""),VLOOKUP($D103,素材!$1:$1016,COLUMN($F$1),FALSE))),VLOOKUP($C103,武器!$1:$998,COLUMN($O$1),FALSE)*VLOOKUP($D103,素材!$1:$1016,COLUMN($E$1),FALSE)/(LEN(VLOOKUP($D103,素材!$1:$1016,COLUMN($F$1),FALSE))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E103">
        <f>IF(ISNUMBER(SEARCH(SUBSTITUTE(AE$1,RIGHT(AE$1,2),""),VLOOKUP($D103,素材!$1:$1016,COLUMN($F$1),FALSE))),VLOOKUP($C103,武器!$1:$998,COLUMN($O$1),FALSE)*VLOOKUP($D103,素材!$1:$1016,COLUMN($E$1),FALSE)/(LEN(VLOOKUP($D103,素材!$1:$1016,COLUMN($F$1),FALSE))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F103">
        <f>IF(ISNUMBER(SEARCH(SUBSTITUTE(AF$1,RIGHT(AF$1,2),""),VLOOKUP($D103,素材!$1:$1016,COLUMN($F$1),FALSE))),VLOOKUP($C103,武器!$1:$998,COLUMN($O$1),FALSE)*VLOOKUP($D103,素材!$1:$1016,COLUMN($E$1),FALSE)/(LEN(VLOOKUP($D103,素材!$1:$1016,COLUMN($F$1),FALSE))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G103">
        <f>IF(ISNUMBER(SEARCH(SUBSTITUTE(AG$1,RIGHT(AG$1,2),""),VLOOKUP($D103,素材!$1:$1016,COLUMN($F$1),FALSE))),VLOOKUP($C103,武器!$1:$998,COLUMN($O$1),FALSE)*VLOOKUP($D103,素材!$1:$1016,COLUMN($E$1),FALSE)/(LEN(VLOOKUP($D103,素材!$1:$1016,COLUMN($F$1),FALSE))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H103">
        <f>IF(ISNUMBER(SEARCH(SUBSTITUTE(AH$1,RIGHT(AH$1,2),""),VLOOKUP($D103,素材!$1:$1016,COLUMN($F$1),FALSE))),VLOOKUP($C103,武器!$1:$998,COLUMN($O$1),FALSE)*VLOOKUP($D103,素材!$1:$1016,COLUMN($E$1),FALSE)/(LEN(VLOOKUP($D103,素材!$1:$1016,COLUMN($F$1),FALSE))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I103">
        <f>IF(ISNUMBER(SEARCH(SUBSTITUTE(AI$1,RIGHT(AI$1,2),""),VLOOKUP($D103,素材!$1:$1016,COLUMN($F$1),FALSE))),VLOOKUP($C103,武器!$1:$998,COLUMN($O$1),FALSE)*VLOOKUP($D103,素材!$1:$1016,COLUMN($E$1),FALSE)/(LEN(VLOOKUP($D103,素材!$1:$1016,COLUMN($F$1),FALSE))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J103">
        <f>IF(ISNUMBER(SEARCH(SUBSTITUTE(AJ$1,RIGHT(AJ$1,2),""),VLOOKUP($D103,素材!$1:$1016,COLUMN($F$1),FALSE))),VLOOKUP($C103,武器!$1:$998,COLUMN($O$1),FALSE)*VLOOKUP($D103,素材!$1:$1016,COLUMN($E$1),FALSE)/(LEN(VLOOKUP($D103,素材!$1:$1016,COLUMN($F$1),FALSE))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K103">
        <f>IF(ISNUMBER(SEARCH(SUBSTITUTE(AK$1,RIGHT(AK$1,2),""),VLOOKUP($D103,素材!$1:$1016,COLUMN($F$1),FALSE))),VLOOKUP($C103,武器!$1:$998,COLUMN($O$1),FALSE)*VLOOKUP($D103,素材!$1:$1016,COLUMN($E$1),FALSE)/(LEN(VLOOKUP($D103,素材!$1:$1016,COLUMN($F$1),FALSE))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L103">
        <f>IF(ISNUMBER(SEARCH(SUBSTITUTE(AL$1,RIGHT(AL$1,2),""),VLOOKUP($D103,素材!$1:$1016,COLUMN($F$1),FALSE))),VLOOKUP($C103,武器!$1:$998,COLUMN($O$1),FALSE)*VLOOKUP($D103,素材!$1:$1016,COLUMN($E$1),FALSE)/(LEN(VLOOKUP($D103,素材!$1:$1016,COLUMN($F$1),FALSE))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M103">
        <f>IF(ISNUMBER(SEARCH(SUBSTITUTE(AM$1,RIGHT(AM$1,2),""),VLOOKUP($D103,素材!$1:$1016,COLUMN($F$1),FALSE))),VLOOKUP($C103,武器!$1:$998,COLUMN($O$1),FALSE)*VLOOKUP($D103,素材!$1:$1016,COLUMN($E$1),FALSE)/(LEN(VLOOKUP($D103,素材!$1:$1016,COLUMN($F$1),FALSE))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N103">
        <f>IF(ISNUMBER(SEARCH(SUBSTITUTE(AN$1,RIGHT(AN$1,2),""),VLOOKUP($D103,素材!$1:$1016,COLUMN($F$1),FALSE))),VLOOKUP($C103,武器!$1:$998,COLUMN($O$1),FALSE)*VLOOKUP($D103,素材!$1:$1016,COLUMN($E$1),FALSE)/(LEN(VLOOKUP($D103,素材!$1:$1016,COLUMN($F$1),FALSE))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O103">
        <f>IF(ISNUMBER(SEARCH(SUBSTITUTE(AO$1,RIGHT(AO$1,2),""),VLOOKUP($D103,素材!$1:$1016,COLUMN($F$1),FALSE))),VLOOKUP($C103,武器!$1:$998,COLUMN($O$1),FALSE)*VLOOKUP($D103,素材!$1:$1016,COLUMN($E$1),FALSE)/(LEN(VLOOKUP($D103,素材!$1:$1016,COLUMN($F$1),FALSE))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P103">
        <f>IF(ISNUMBER(SEARCH(SUBSTITUTE(AP$1,RIGHT(AP$1,2),""),VLOOKUP($D103,素材!$1:$1016,COLUMN($F$1),FALSE))),VLOOKUP($C103,武器!$1:$998,COLUMN($O$1),FALSE)*VLOOKUP($D103,素材!$1:$1016,COLUMN($E$1),FALSE)/(LEN(VLOOKUP($D103,素材!$1:$1016,COLUMN($F$1),FALSE))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Q103">
        <f>IF(ISNUMBER(SEARCH(SUBSTITUTE(AQ$1,RIGHT(AQ$1,2),""),VLOOKUP($D103,素材!$1:$1016,COLUMN($F$1),FALSE))),VLOOKUP($C103,武器!$1:$998,COLUMN($O$1),FALSE)*VLOOKUP($D103,素材!$1:$1016,COLUMN($E$1),FALSE)/(LEN(VLOOKUP($D103,素材!$1:$1016,COLUMN($F$1),FALSE))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R103">
        <f>IF(ISNUMBER(SEARCH(SUBSTITUTE(AR$1,RIGHT(AR$1,2),""),VLOOKUP($D103,素材!$1:$1016,COLUMN($F$1),FALSE))),VLOOKUP($C103,武器!$1:$998,COLUMN($O$1),FALSE)*VLOOKUP($D103,素材!$1:$1016,COLUMN($E$1),FALSE)/(LEN(VLOOKUP($D103,素材!$1:$1016,COLUMN($F$1),FALSE))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S103">
        <f>IF(ISNUMBER(SEARCH(SUBSTITUTE(AS$1,RIGHT(AS$1,2),""),VLOOKUP($D103,素材!$1:$1016,COLUMN($F$1),FALSE))),VLOOKUP($C103,武器!$1:$998,COLUMN($O$1),FALSE)*VLOOKUP($D103,素材!$1:$1016,COLUMN($E$1),FALSE)/(LEN(VLOOKUP($D103,素材!$1:$1016,COLUMN($F$1),FALSE))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T103">
        <f>IF(ISNUMBER(SEARCH(SUBSTITUTE(AT$1,RIGHT(AT$1,2),""),VLOOKUP($D103,素材!$1:$1016,COLUMN($F$1),FALSE))),VLOOKUP($C103,武器!$1:$998,COLUMN($O$1),FALSE)*VLOOKUP($D103,素材!$1:$1016,COLUMN($E$1),FALSE)/(LEN(VLOOKUP($D103,素材!$1:$1016,COLUMN($F$1),FALSE))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U103">
        <f>IF(ISNUMBER(SEARCH(SUBSTITUTE(AU$1,RIGHT(AU$1,2),""),VLOOKUP($D103,素材!$1:$1016,COLUMN($F$1),FALSE))),VLOOKUP($C103,武器!$1:$998,COLUMN($O$1),FALSE)*VLOOKUP($D103,素材!$1:$1016,COLUMN($E$1),FALSE)/(LEN(VLOOKUP($D103,素材!$1:$1016,COLUMN($F$1),FALSE))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V103">
        <f>IF(ISNUMBER(SEARCH(SUBSTITUTE(AV$1,RIGHT(AV$1,2),""),VLOOKUP($D103,素材!$1:$1016,COLUMN($F$1),FALSE))),VLOOKUP($C103,武器!$1:$998,COLUMN($O$1),FALSE)*VLOOKUP($D103,素材!$1:$1016,COLUMN($E$1),FALSE)/(LEN(VLOOKUP($D103,素材!$1:$1016,COLUMN($F$1),FALSE))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W103">
        <f>IF(ISNUMBER(SEARCH(SUBSTITUTE(AW$1,RIGHT(AW$1,2),""),VLOOKUP($D103,素材!$1:$1016,COLUMN($F$1),FALSE))),VLOOKUP($C103,武器!$1:$998,COLUMN($O$1),FALSE)*VLOOKUP($D103,素材!$1:$1016,COLUMN($E$1),FALSE)/(LEN(VLOOKUP($D103,素材!$1:$1016,COLUMN($F$1),FALSE))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X103">
        <f>IF(ISNUMBER(SEARCH(SUBSTITUTE(AX$1,RIGHT(AX$1,2),""),VLOOKUP($D103,素材!$1:$1016,COLUMN($F$1),FALSE))),VLOOKUP($C103,武器!$1:$998,COLUMN($O$1),FALSE)*VLOOKUP($D103,素材!$1:$1016,COLUMN($E$1),FALSE)/(LEN(VLOOKUP($D103,素材!$1:$1016,COLUMN($F$1),FALSE))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Y103">
        <f>IF(ISNUMBER(SEARCH(SUBSTITUTE(AY$1,RIGHT(AY$1,2),""),VLOOKUP($D103,素材!$1:$1016,COLUMN($F$1),FALSE))),VLOOKUP($C103,武器!$1:$998,COLUMN($O$1),FALSE)*VLOOKUP($D103,素材!$1:$1016,COLUMN($E$1),FALSE)/(LEN(VLOOKUP($D103,素材!$1:$1016,COLUMN($F$1),FALSE))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AZ103">
        <f>IF(ISNUMBER(SEARCH(SUBSTITUTE(AZ$1,RIGHT(AZ$1,2),""),VLOOKUP($D103,素材!$1:$1016,COLUMN($F$1),FALSE))),VLOOKUP($C103,武器!$1:$998,COLUMN($O$1),FALSE)*VLOOKUP($D103,素材!$1:$1016,COLUMN($E$1),FALSE)/(LEN(VLOOKUP($D103,素材!$1:$1016,COLUMN($F$1),FALSE))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BA103">
        <f>IF(ISNUMBER(SEARCH(SUBSTITUTE(BA$1,RIGHT(BA$1,2),""),VLOOKUP($D103,素材!$1:$1016,COLUMN($F$1),FALSE))),VLOOKUP($C103,武器!$1:$998,COLUMN($O$1),FALSE)*VLOOKUP($D103,素材!$1:$1016,COLUMN($E$1),FALSE)/(LEN(VLOOKUP($D103,素材!$1:$1016,COLUMN($F$1),FALSE))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BB103">
        <f>IF(ISNUMBER(SEARCH(SUBSTITUTE(BB$1,RIGHT(BB$1,2),""),VLOOKUP($D103,素材!$1:$1016,COLUMN($F$1),FALSE))),VLOOKUP($C103,武器!$1:$998,COLUMN($O$1),FALSE)*VLOOKUP($D103,素材!$1:$1016,COLUMN($E$1),FALSE)/(LEN(VLOOKUP($D103,素材!$1:$1016,COLUMN($F$1),FALSE))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BC103">
        <f>IF(ISNUMBER(SEARCH(SUBSTITUTE(BC$1,RIGHT(BC$1,2),""),VLOOKUP($D103,素材!$1:$1016,COLUMN($F$1),FALSE))),VLOOKUP($C103,武器!$1:$998,COLUMN($O$1),FALSE)*VLOOKUP($D103,素材!$1:$1016,COLUMN($E$1),FALSE)/(LEN(VLOOKUP($D103,素材!$1:$1016,COLUMN($F$1),FALSE))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BD103">
        <f>IF(ISNUMBER(SEARCH(SUBSTITUTE(BD$1,RIGHT(BD$1,2),""),VLOOKUP($D103,素材!$1:$1016,COLUMN($F$1),FALSE))),VLOOKUP($C103,武器!$1:$998,COLUMN($O$1),FALSE)*VLOOKUP($D103,素材!$1:$1016,COLUMN($E$1),FALSE)/(LEN(VLOOKUP($D103,素材!$1:$1016,COLUMN($F$1),FALSE))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BE103">
        <f>IF(ISNUMBER(SEARCH(SUBSTITUTE(BE$1,RIGHT(BE$1,2),""),VLOOKUP($D103,素材!$1:$1016,COLUMN($F$1),FALSE))),VLOOKUP($C103,武器!$1:$998,COLUMN($O$1),FALSE)*VLOOKUP($D103,素材!$1:$1016,COLUMN($E$1),FALSE)/(LEN(VLOOKUP($D103,素材!$1:$1016,COLUMN($F$1),FALSE))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BF103">
        <f>IF(ISNUMBER(SEARCH(SUBSTITUTE(BF$1,RIGHT(BF$1,2),""),VLOOKUP($D103,素材!$1:$1016,COLUMN($F$1),FALSE))),VLOOKUP($C103,武器!$1:$998,COLUMN($O$1),FALSE)*VLOOKUP($D103,素材!$1:$1016,COLUMN($E$1),FALSE)/(LEN(VLOOKUP($D103,素材!$1:$1016,COLUMN($F$1),FALSE)) - LEN(SUBSTITUTE(VLOOKUP($D103,素材!$1:$1016,COLUMN($F$1),FALSE), "・", 0)) + 1), 0)</f>
        <v>0</v>
      </c>
      <c r="CM103">
        <f t="shared" si="8"/>
        <v>12</v>
      </c>
      <c r="CN103" s="22" t="str">
        <f>IF(E103="武器",IF(J103-1&gt;SUM(G103:I103),"盾",IF(MAX(G103:I103)=G103,"切断",IF(MAX(G103:I103)=H103,"貫通",IF(MAX(G103:I103)=I103,"打撃","射撃")))),E103)&amp;".webp"</f>
        <v>切断.webp</v>
      </c>
      <c r="CO103">
        <f>IFERROR(VLOOKUP($C103,武器!$1:$998,COLUMN(V$1),FALSE)*VLOOKUP($D103,素材!$1:$1016,COLUMN(N$1),FALSE)+IF(CJ103="",0,VLOOKUP($CJ103,装強!$1:$1008,COLUMN($CL$1),FALSE)),"")</f>
        <v>900</v>
      </c>
      <c r="CP103" t="str">
        <f>VLOOKUP(D103,素材!$A:$O,COLUMN(素材!O$1),FALSE)</f>
        <v>鍛えられた鉄。硬度が高く安価なためよく使用される。</v>
      </c>
      <c r="CQ103" t="str">
        <f>VLOOKUP(C103,武器!$A:$W,COLUMN(武器!W$1),FALSE)</f>
        <v>長弓。射程が長く、高い威力を持つ。</v>
      </c>
      <c r="CS103" t="str">
        <f t="shared" si="7"/>
        <v>e_103</v>
      </c>
      <c r="CT103">
        <f t="shared" si="9"/>
        <v>90000</v>
      </c>
    </row>
    <row r="104" spans="1:98" outlineLevel="1" x14ac:dyDescent="0.4">
      <c r="A104" t="str">
        <f t="shared" si="10"/>
        <v>鋼の杖</v>
      </c>
      <c r="B104" t="str">
        <f>IFERROR(VLOOKUP($D104,素材!$1:$1016,COLUMN($B$1),FALSE)&amp;"・"&amp;VLOOKUP($C104,武器!$1:$998,COLUMN(B$1),FALSE),"")</f>
        <v>スチール・ロッド</v>
      </c>
      <c r="C104" t="s">
        <v>216</v>
      </c>
      <c r="D104" s="24" t="s">
        <v>253</v>
      </c>
      <c r="E104" t="str">
        <f>IFERROR(VLOOKUP(C104,武器!$1:$998,COLUMN(C$1),FALSE),"")</f>
        <v>杖</v>
      </c>
      <c r="F104">
        <f>IFERROR(ROUNDDOWN((VLOOKUP($C104,武器!$1:$998,COLUMN(D$1),FALSE)+IFERROR(VLOOKUP($CJ104,装強!$1:$999,COLUMN(F$1),FALSE),0))*VLOOKUP($D104,素材!$1:$1016,COLUMN(D$1),FALSE),0),"")</f>
        <v>115</v>
      </c>
      <c r="G104">
        <f>IFERROR(ROUNDDOWN((VLOOKUP($C104,武器!$1:$998,COLUMN(E$1),FALSE)+IFERROR(VLOOKUP($CJ104,装強!$1:$999,COLUMN(G$1),FALSE),0))*VLOOKUP($D104,素材!$1:$1016,COLUMN($E$1),FALSE),0),"")</f>
        <v>0</v>
      </c>
      <c r="H104">
        <f>IFERROR(ROUNDDOWN((VLOOKUP($C104,武器!$1:$998,COLUMN(F$1),FALSE)+IFERROR(VLOOKUP($CJ104,装強!$1:$999,COLUMN(H$1),FALSE),0))*VLOOKUP($D104,素材!$1:$1016,COLUMN($E$1),FALSE),0),"")</f>
        <v>6</v>
      </c>
      <c r="I104">
        <f>IFERROR(ROUNDDOWN((VLOOKUP($C104,武器!$1:$998,COLUMN(G$1),FALSE)+IFERROR(VLOOKUP($CJ104,装強!$1:$999,COLUMN(I$1),FALSE),0))*VLOOKUP($D104,素材!$1:$1016,COLUMN($E$1),FALSE),0),"")</f>
        <v>18</v>
      </c>
      <c r="J104">
        <f>IFERROR(ROUNDDOWN((VLOOKUP($C104,武器!$1:$998,COLUMN(H$1),FALSE)+IFERROR(VLOOKUP($CJ104,装強!$1:$999,COLUMN(J$1),FALSE),0))*VLOOKUP($D104,素材!$1:$1016,COLUMN($E$1),FALSE),0),"")</f>
        <v>24</v>
      </c>
      <c r="K104">
        <f>IFERROR(ROUNDDOWN((VLOOKUP($C104,武器!$1:$998,COLUMN(I$1),FALSE)+IFERROR(VLOOKUP($CJ104,装強!$1:$999,COLUMN(K$1),FALSE),0))*VLOOKUP($D104,素材!$1:$1016,COLUMN($E$1),FALSE),0),"")</f>
        <v>0</v>
      </c>
      <c r="L104">
        <f>IFERROR(VLOOKUP($D104,素材!$1:$1016,COLUMN($F$1),FALSE),"")</f>
        <v>0</v>
      </c>
      <c r="M104">
        <f>IFERROR(VLOOKUP($C104,武器!$1:$998,COLUMN(AA$1),FALSE)*VLOOKUP($D104,素材!$1:$1016,COLUMN($G$1),FALSE),"")</f>
        <v>0</v>
      </c>
      <c r="N104">
        <f>IFERROR(VLOOKUP($C104,武器!$1:$998,COLUMN(I$1),FALSE),"")</f>
        <v>0</v>
      </c>
      <c r="O104" s="23">
        <f>IFERROR((VLOOKUP($C104,武器!$1:$998,COLUMN(K$1),FALSE)+VLOOKUP($D104,素材!$1:$1016,COLUMN(H$1),FALSE))*100+IFERROR(VLOOKUP($CJ104,装強!$1:$999,COLUMN(O$1),FALSE),0),"")</f>
        <v>5</v>
      </c>
      <c r="P104" s="23">
        <f>IFERROR((VLOOKUP($C104,武器!$1:$998,COLUMN(L$1),FALSE)+VLOOKUP($D104,素材!$1:$1016,COLUMN(I$1),FALSE))*100+IFERROR(VLOOKUP($CJ104,装強!$1:$999,COLUMN(P$1),FALSE),0),"")</f>
        <v>150</v>
      </c>
      <c r="Q104">
        <f>IFERROR(ROUNDUP(VLOOKUP($C104,武器!$1:$998,COLUMN(M$1),FALSE)*(VLOOKUP($D104,素材!$1:$1002,COLUMN(D$1),FALSE)/100),1),"")</f>
        <v>0</v>
      </c>
      <c r="R104">
        <f>IFERROR(ROUNDUP(VLOOKUP($C104,武器!$1:$998,COLUMN(N$1),FALSE)*(VLOOKUP($D104,素材!$1:$1002,COLUMN(D$1),FALSE)/100),1),"")</f>
        <v>0</v>
      </c>
      <c r="S104">
        <f>IFERROR(VLOOKUP($C104,武器!$1:$998,COLUMN(P$1),FALSE),"")</f>
        <v>0</v>
      </c>
      <c r="T104">
        <f>IFERROR(VLOOKUP($C104,武器!$1:$998,COLUMN(Q$1),FALSE),"")</f>
        <v>0</v>
      </c>
      <c r="U104">
        <f>IFERROR(VLOOKUP($C104,武器!$1:$998,COLUMN(R$1),FALSE),"")</f>
        <v>0</v>
      </c>
      <c r="V104">
        <f>IFERROR(VLOOKUP($C104,武器!$1:$998,COLUMN(Q$1),FALSE),"")</f>
        <v>0</v>
      </c>
      <c r="W104" t="str">
        <f>IFERROR(VLOOKUP($C104,武器!$1:$998,COLUMN(T$1),FALSE),"")</f>
        <v>A</v>
      </c>
      <c r="Y104" t="str">
        <f>IFERROR(VLOOKUP($C104,武器!$1:$998,COLUMN(U$1),FALSE),"")</f>
        <v>魔法無詠唱Ⅱ</v>
      </c>
      <c r="Z104">
        <f>IFERROR(ROUNDUP(VLOOKUP($C104,武器!$1:$998,COLUMN(O$1),FALSE)*VLOOKUP($D104,素材!$1:$1016,COLUMN(E$1),FALSE),1),"")</f>
        <v>0</v>
      </c>
      <c r="AA104">
        <f>IF(ISNUMBER(SEARCH(SUBSTITUTE(AA$1,RIGHT(AA$1,2),""),VLOOKUP($D104,素材!$1:$1016,COLUMN($F$1),FALSE))),VLOOKUP($C104,武器!$1:$998,COLUMN($O$1),FALSE)*VLOOKUP($D104,素材!$1:$1016,COLUMN($E$1),FALSE)/(LEN(VLOOKUP($D104,素材!$1:$1016,COLUMN($F$1),FALSE))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B104">
        <f>IF(ISNUMBER(SEARCH(SUBSTITUTE(AB$1,RIGHT(AB$1,2),""),VLOOKUP($D104,素材!$1:$1016,COLUMN($F$1),FALSE))),VLOOKUP($C104,武器!$1:$998,COLUMN($O$1),FALSE)*VLOOKUP($D104,素材!$1:$1016,COLUMN($E$1),FALSE)/(LEN(VLOOKUP($D104,素材!$1:$1016,COLUMN($F$1),FALSE))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C104">
        <f>IF(ISNUMBER(SEARCH(SUBSTITUTE(AC$1,RIGHT(AC$1,2),""),VLOOKUP($D104,素材!$1:$1016,COLUMN($F$1),FALSE))),VLOOKUP($C104,武器!$1:$998,COLUMN($O$1),FALSE)*VLOOKUP($D104,素材!$1:$1016,COLUMN($E$1),FALSE)/(LEN(VLOOKUP($D104,素材!$1:$1016,COLUMN($F$1),FALSE))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D104">
        <f>IF(ISNUMBER(SEARCH(SUBSTITUTE(AD$1,RIGHT(AD$1,2),""),VLOOKUP($D104,素材!$1:$1016,COLUMN($F$1),FALSE))),VLOOKUP($C104,武器!$1:$998,COLUMN($O$1),FALSE)*VLOOKUP($D104,素材!$1:$1016,COLUMN($E$1),FALSE)/(LEN(VLOOKUP($D104,素材!$1:$1016,COLUMN($F$1),FALSE))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E104">
        <f>IF(ISNUMBER(SEARCH(SUBSTITUTE(AE$1,RIGHT(AE$1,2),""),VLOOKUP($D104,素材!$1:$1016,COLUMN($F$1),FALSE))),VLOOKUP($C104,武器!$1:$998,COLUMN($O$1),FALSE)*VLOOKUP($D104,素材!$1:$1016,COLUMN($E$1),FALSE)/(LEN(VLOOKUP($D104,素材!$1:$1016,COLUMN($F$1),FALSE))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F104">
        <f>IF(ISNUMBER(SEARCH(SUBSTITUTE(AF$1,RIGHT(AF$1,2),""),VLOOKUP($D104,素材!$1:$1016,COLUMN($F$1),FALSE))),VLOOKUP($C104,武器!$1:$998,COLUMN($O$1),FALSE)*VLOOKUP($D104,素材!$1:$1016,COLUMN($E$1),FALSE)/(LEN(VLOOKUP($D104,素材!$1:$1016,COLUMN($F$1),FALSE))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G104">
        <f>IF(ISNUMBER(SEARCH(SUBSTITUTE(AG$1,RIGHT(AG$1,2),""),VLOOKUP($D104,素材!$1:$1016,COLUMN($F$1),FALSE))),VLOOKUP($C104,武器!$1:$998,COLUMN($O$1),FALSE)*VLOOKUP($D104,素材!$1:$1016,COLUMN($E$1),FALSE)/(LEN(VLOOKUP($D104,素材!$1:$1016,COLUMN($F$1),FALSE))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H104">
        <f>IF(ISNUMBER(SEARCH(SUBSTITUTE(AH$1,RIGHT(AH$1,2),""),VLOOKUP($D104,素材!$1:$1016,COLUMN($F$1),FALSE))),VLOOKUP($C104,武器!$1:$998,COLUMN($O$1),FALSE)*VLOOKUP($D104,素材!$1:$1016,COLUMN($E$1),FALSE)/(LEN(VLOOKUP($D104,素材!$1:$1016,COLUMN($F$1),FALSE))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I104">
        <f>IF(ISNUMBER(SEARCH(SUBSTITUTE(AI$1,RIGHT(AI$1,2),""),VLOOKUP($D104,素材!$1:$1016,COLUMN($F$1),FALSE))),VLOOKUP($C104,武器!$1:$998,COLUMN($O$1),FALSE)*VLOOKUP($D104,素材!$1:$1016,COLUMN($E$1),FALSE)/(LEN(VLOOKUP($D104,素材!$1:$1016,COLUMN($F$1),FALSE))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J104">
        <f>IF(ISNUMBER(SEARCH(SUBSTITUTE(AJ$1,RIGHT(AJ$1,2),""),VLOOKUP($D104,素材!$1:$1016,COLUMN($F$1),FALSE))),VLOOKUP($C104,武器!$1:$998,COLUMN($O$1),FALSE)*VLOOKUP($D104,素材!$1:$1016,COLUMN($E$1),FALSE)/(LEN(VLOOKUP($D104,素材!$1:$1016,COLUMN($F$1),FALSE))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K104">
        <f>IF(ISNUMBER(SEARCH(SUBSTITUTE(AK$1,RIGHT(AK$1,2),""),VLOOKUP($D104,素材!$1:$1016,COLUMN($F$1),FALSE))),VLOOKUP($C104,武器!$1:$998,COLUMN($O$1),FALSE)*VLOOKUP($D104,素材!$1:$1016,COLUMN($E$1),FALSE)/(LEN(VLOOKUP($D104,素材!$1:$1016,COLUMN($F$1),FALSE))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L104">
        <f>IF(ISNUMBER(SEARCH(SUBSTITUTE(AL$1,RIGHT(AL$1,2),""),VLOOKUP($D104,素材!$1:$1016,COLUMN($F$1),FALSE))),VLOOKUP($C104,武器!$1:$998,COLUMN($O$1),FALSE)*VLOOKUP($D104,素材!$1:$1016,COLUMN($E$1),FALSE)/(LEN(VLOOKUP($D104,素材!$1:$1016,COLUMN($F$1),FALSE))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M104">
        <f>IF(ISNUMBER(SEARCH(SUBSTITUTE(AM$1,RIGHT(AM$1,2),""),VLOOKUP($D104,素材!$1:$1016,COLUMN($F$1),FALSE))),VLOOKUP($C104,武器!$1:$998,COLUMN($O$1),FALSE)*VLOOKUP($D104,素材!$1:$1016,COLUMN($E$1),FALSE)/(LEN(VLOOKUP($D104,素材!$1:$1016,COLUMN($F$1),FALSE))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N104">
        <f>IF(ISNUMBER(SEARCH(SUBSTITUTE(AN$1,RIGHT(AN$1,2),""),VLOOKUP($D104,素材!$1:$1016,COLUMN($F$1),FALSE))),VLOOKUP($C104,武器!$1:$998,COLUMN($O$1),FALSE)*VLOOKUP($D104,素材!$1:$1016,COLUMN($E$1),FALSE)/(LEN(VLOOKUP($D104,素材!$1:$1016,COLUMN($F$1),FALSE))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O104">
        <f>IF(ISNUMBER(SEARCH(SUBSTITUTE(AO$1,RIGHT(AO$1,2),""),VLOOKUP($D104,素材!$1:$1016,COLUMN($F$1),FALSE))),VLOOKUP($C104,武器!$1:$998,COLUMN($O$1),FALSE)*VLOOKUP($D104,素材!$1:$1016,COLUMN($E$1),FALSE)/(LEN(VLOOKUP($D104,素材!$1:$1016,COLUMN($F$1),FALSE))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P104">
        <f>IF(ISNUMBER(SEARCH(SUBSTITUTE(AP$1,RIGHT(AP$1,2),""),VLOOKUP($D104,素材!$1:$1016,COLUMN($F$1),FALSE))),VLOOKUP($C104,武器!$1:$998,COLUMN($O$1),FALSE)*VLOOKUP($D104,素材!$1:$1016,COLUMN($E$1),FALSE)/(LEN(VLOOKUP($D104,素材!$1:$1016,COLUMN($F$1),FALSE))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Q104">
        <f>IF(ISNUMBER(SEARCH(SUBSTITUTE(AQ$1,RIGHT(AQ$1,2),""),VLOOKUP($D104,素材!$1:$1016,COLUMN($F$1),FALSE))),VLOOKUP($C104,武器!$1:$998,COLUMN($O$1),FALSE)*VLOOKUP($D104,素材!$1:$1016,COLUMN($E$1),FALSE)/(LEN(VLOOKUP($D104,素材!$1:$1016,COLUMN($F$1),FALSE))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R104">
        <f>IF(ISNUMBER(SEARCH(SUBSTITUTE(AR$1,RIGHT(AR$1,2),""),VLOOKUP($D104,素材!$1:$1016,COLUMN($F$1),FALSE))),VLOOKUP($C104,武器!$1:$998,COLUMN($O$1),FALSE)*VLOOKUP($D104,素材!$1:$1016,COLUMN($E$1),FALSE)/(LEN(VLOOKUP($D104,素材!$1:$1016,COLUMN($F$1),FALSE))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S104">
        <f>IF(ISNUMBER(SEARCH(SUBSTITUTE(AS$1,RIGHT(AS$1,2),""),VLOOKUP($D104,素材!$1:$1016,COLUMN($F$1),FALSE))),VLOOKUP($C104,武器!$1:$998,COLUMN($O$1),FALSE)*VLOOKUP($D104,素材!$1:$1016,COLUMN($E$1),FALSE)/(LEN(VLOOKUP($D104,素材!$1:$1016,COLUMN($F$1),FALSE))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T104">
        <f>IF(ISNUMBER(SEARCH(SUBSTITUTE(AT$1,RIGHT(AT$1,2),""),VLOOKUP($D104,素材!$1:$1016,COLUMN($F$1),FALSE))),VLOOKUP($C104,武器!$1:$998,COLUMN($O$1),FALSE)*VLOOKUP($D104,素材!$1:$1016,COLUMN($E$1),FALSE)/(LEN(VLOOKUP($D104,素材!$1:$1016,COLUMN($F$1),FALSE))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U104">
        <f>IF(ISNUMBER(SEARCH(SUBSTITUTE(AU$1,RIGHT(AU$1,2),""),VLOOKUP($D104,素材!$1:$1016,COLUMN($F$1),FALSE))),VLOOKUP($C104,武器!$1:$998,COLUMN($O$1),FALSE)*VLOOKUP($D104,素材!$1:$1016,COLUMN($E$1),FALSE)/(LEN(VLOOKUP($D104,素材!$1:$1016,COLUMN($F$1),FALSE))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V104">
        <f>IF(ISNUMBER(SEARCH(SUBSTITUTE(AV$1,RIGHT(AV$1,2),""),VLOOKUP($D104,素材!$1:$1016,COLUMN($F$1),FALSE))),VLOOKUP($C104,武器!$1:$998,COLUMN($O$1),FALSE)*VLOOKUP($D104,素材!$1:$1016,COLUMN($E$1),FALSE)/(LEN(VLOOKUP($D104,素材!$1:$1016,COLUMN($F$1),FALSE))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W104">
        <f>IF(ISNUMBER(SEARCH(SUBSTITUTE(AW$1,RIGHT(AW$1,2),""),VLOOKUP($D104,素材!$1:$1016,COLUMN($F$1),FALSE))),VLOOKUP($C104,武器!$1:$998,COLUMN($O$1),FALSE)*VLOOKUP($D104,素材!$1:$1016,COLUMN($E$1),FALSE)/(LEN(VLOOKUP($D104,素材!$1:$1016,COLUMN($F$1),FALSE))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X104">
        <f>IF(ISNUMBER(SEARCH(SUBSTITUTE(AX$1,RIGHT(AX$1,2),""),VLOOKUP($D104,素材!$1:$1016,COLUMN($F$1),FALSE))),VLOOKUP($C104,武器!$1:$998,COLUMN($O$1),FALSE)*VLOOKUP($D104,素材!$1:$1016,COLUMN($E$1),FALSE)/(LEN(VLOOKUP($D104,素材!$1:$1016,COLUMN($F$1),FALSE))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Y104">
        <f>IF(ISNUMBER(SEARCH(SUBSTITUTE(AY$1,RIGHT(AY$1,2),""),VLOOKUP($D104,素材!$1:$1016,COLUMN($F$1),FALSE))),VLOOKUP($C104,武器!$1:$998,COLUMN($O$1),FALSE)*VLOOKUP($D104,素材!$1:$1016,COLUMN($E$1),FALSE)/(LEN(VLOOKUP($D104,素材!$1:$1016,COLUMN($F$1),FALSE))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AZ104">
        <f>IF(ISNUMBER(SEARCH(SUBSTITUTE(AZ$1,RIGHT(AZ$1,2),""),VLOOKUP($D104,素材!$1:$1016,COLUMN($F$1),FALSE))),VLOOKUP($C104,武器!$1:$998,COLUMN($O$1),FALSE)*VLOOKUP($D104,素材!$1:$1016,COLUMN($E$1),FALSE)/(LEN(VLOOKUP($D104,素材!$1:$1016,COLUMN($F$1),FALSE))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BA104">
        <f>IF(ISNUMBER(SEARCH(SUBSTITUTE(BA$1,RIGHT(BA$1,2),""),VLOOKUP($D104,素材!$1:$1016,COLUMN($F$1),FALSE))),VLOOKUP($C104,武器!$1:$998,COLUMN($O$1),FALSE)*VLOOKUP($D104,素材!$1:$1016,COLUMN($E$1),FALSE)/(LEN(VLOOKUP($D104,素材!$1:$1016,COLUMN($F$1),FALSE))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BB104">
        <f>IF(ISNUMBER(SEARCH(SUBSTITUTE(BB$1,RIGHT(BB$1,2),""),VLOOKUP($D104,素材!$1:$1016,COLUMN($F$1),FALSE))),VLOOKUP($C104,武器!$1:$998,COLUMN($O$1),FALSE)*VLOOKUP($D104,素材!$1:$1016,COLUMN($E$1),FALSE)/(LEN(VLOOKUP($D104,素材!$1:$1016,COLUMN($F$1),FALSE))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BC104">
        <f>IF(ISNUMBER(SEARCH(SUBSTITUTE(BC$1,RIGHT(BC$1,2),""),VLOOKUP($D104,素材!$1:$1016,COLUMN($F$1),FALSE))),VLOOKUP($C104,武器!$1:$998,COLUMN($O$1),FALSE)*VLOOKUP($D104,素材!$1:$1016,COLUMN($E$1),FALSE)/(LEN(VLOOKUP($D104,素材!$1:$1016,COLUMN($F$1),FALSE))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BD104">
        <f>IF(ISNUMBER(SEARCH(SUBSTITUTE(BD$1,RIGHT(BD$1,2),""),VLOOKUP($D104,素材!$1:$1016,COLUMN($F$1),FALSE))),VLOOKUP($C104,武器!$1:$998,COLUMN($O$1),FALSE)*VLOOKUP($D104,素材!$1:$1016,COLUMN($E$1),FALSE)/(LEN(VLOOKUP($D104,素材!$1:$1016,COLUMN($F$1),FALSE))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BE104">
        <f>IF(ISNUMBER(SEARCH(SUBSTITUTE(BE$1,RIGHT(BE$1,2),""),VLOOKUP($D104,素材!$1:$1016,COLUMN($F$1),FALSE))),VLOOKUP($C104,武器!$1:$998,COLUMN($O$1),FALSE)*VLOOKUP($D104,素材!$1:$1016,COLUMN($E$1),FALSE)/(LEN(VLOOKUP($D104,素材!$1:$1016,COLUMN($F$1),FALSE))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BF104">
        <f>IF(ISNUMBER(SEARCH(SUBSTITUTE(BF$1,RIGHT(BF$1,2),""),VLOOKUP($D104,素材!$1:$1016,COLUMN($F$1),FALSE))),VLOOKUP($C104,武器!$1:$998,COLUMN($O$1),FALSE)*VLOOKUP($D104,素材!$1:$1016,COLUMN($E$1),FALSE)/(LEN(VLOOKUP($D104,素材!$1:$1016,COLUMN($F$1),FALSE)) - LEN(SUBSTITUTE(VLOOKUP($D104,素材!$1:$1016,COLUMN($F$1),FALSE), "・", 0)) + 1), 0)</f>
        <v>0</v>
      </c>
      <c r="CM104">
        <f t="shared" si="8"/>
        <v>24</v>
      </c>
      <c r="CN104" s="22" t="str">
        <f>IF(E104="武器",IF(J104-1&gt;SUM(G104:I104),"盾",IF(MAX(G104:I104)=G104,"切断",IF(MAX(G104:I104)=H104,"貫通",IF(MAX(G104:I104)=I104,"打撃","射撃")))),E104)&amp;".webp"</f>
        <v>杖.webp</v>
      </c>
      <c r="CO104">
        <f>IFERROR(VLOOKUP($C104,武器!$1:$998,COLUMN(V$1),FALSE)*VLOOKUP($D104,素材!$1:$1016,COLUMN(N$1),FALSE)+IF(CJ104="",0,VLOOKUP($CJ104,装強!$1:$1008,COLUMN($CL$1),FALSE)),"")</f>
        <v>900</v>
      </c>
      <c r="CP104" t="str">
        <f>VLOOKUP(D104,素材!$A:$O,COLUMN(素材!O$1),FALSE)</f>
        <v>鍛えられた鉄。硬度が高く安価なためよく使用される。</v>
      </c>
      <c r="CQ104" t="str">
        <f>VLOOKUP(C104,武器!$A:$W,COLUMN(武器!W$1),FALSE)</f>
        <v>杖。バランスの取れた魔法武器。</v>
      </c>
      <c r="CS104" t="str">
        <f t="shared" si="7"/>
        <v>e_104</v>
      </c>
      <c r="CT104">
        <f t="shared" si="9"/>
        <v>90000</v>
      </c>
    </row>
    <row r="105" spans="1:98" outlineLevel="1" x14ac:dyDescent="0.4">
      <c r="A105" t="str">
        <f t="shared" si="10"/>
        <v>鋼の長杖</v>
      </c>
      <c r="B105" t="str">
        <f>IFERROR(VLOOKUP($D105,素材!$1:$1016,COLUMN($B$1),FALSE)&amp;"・"&amp;VLOOKUP($C105,武器!$1:$998,COLUMN(B$1),FALSE),"")</f>
        <v>スチール・スタッフ</v>
      </c>
      <c r="C105" t="s">
        <v>215</v>
      </c>
      <c r="D105" s="24" t="s">
        <v>253</v>
      </c>
      <c r="E105" t="str">
        <f>IFERROR(VLOOKUP(C105,武器!$1:$998,COLUMN(C$1),FALSE),"")</f>
        <v>杖</v>
      </c>
      <c r="F105">
        <f>IFERROR(ROUNDDOWN((VLOOKUP($C105,武器!$1:$998,COLUMN(D$1),FALSE)+IFERROR(VLOOKUP($CJ105,装強!$1:$999,COLUMN(F$1),FALSE),0))*VLOOKUP($D105,素材!$1:$1016,COLUMN(D$1),FALSE),0),"")</f>
        <v>120</v>
      </c>
      <c r="G105">
        <f>IFERROR(ROUNDDOWN((VLOOKUP($C105,武器!$1:$998,COLUMN(E$1),FALSE)+IFERROR(VLOOKUP($CJ105,装強!$1:$999,COLUMN(G$1),FALSE),0))*VLOOKUP($D105,素材!$1:$1016,COLUMN($E$1),FALSE),0),"")</f>
        <v>0</v>
      </c>
      <c r="H105">
        <f>IFERROR(ROUNDDOWN((VLOOKUP($C105,武器!$1:$998,COLUMN(F$1),FALSE)+IFERROR(VLOOKUP($CJ105,装強!$1:$999,COLUMN(H$1),FALSE),0))*VLOOKUP($D105,素材!$1:$1016,COLUMN($E$1),FALSE),0),"")</f>
        <v>8</v>
      </c>
      <c r="I105">
        <f>IFERROR(ROUNDDOWN((VLOOKUP($C105,武器!$1:$998,COLUMN(G$1),FALSE)+IFERROR(VLOOKUP($CJ105,装強!$1:$999,COLUMN(I$1),FALSE),0))*VLOOKUP($D105,素材!$1:$1016,COLUMN($E$1),FALSE),0),"")</f>
        <v>21</v>
      </c>
      <c r="J105">
        <f>IFERROR(ROUNDDOWN((VLOOKUP($C105,武器!$1:$998,COLUMN(H$1),FALSE)+IFERROR(VLOOKUP($CJ105,装強!$1:$999,COLUMN(J$1),FALSE),0))*VLOOKUP($D105,素材!$1:$1016,COLUMN($E$1),FALSE),0),"")</f>
        <v>25</v>
      </c>
      <c r="K105">
        <f>IFERROR(ROUNDDOWN((VLOOKUP($C105,武器!$1:$998,COLUMN(I$1),FALSE)+IFERROR(VLOOKUP($CJ105,装強!$1:$999,COLUMN(K$1),FALSE),0))*VLOOKUP($D105,素材!$1:$1016,COLUMN($E$1),FALSE),0),"")</f>
        <v>0</v>
      </c>
      <c r="L105">
        <f>IFERROR(VLOOKUP($D105,素材!$1:$1016,COLUMN($F$1),FALSE),"")</f>
        <v>0</v>
      </c>
      <c r="M105">
        <f>IFERROR(VLOOKUP($C105,武器!$1:$998,COLUMN(AA$1),FALSE)*VLOOKUP($D105,素材!$1:$1016,COLUMN($G$1),FALSE),"")</f>
        <v>0</v>
      </c>
      <c r="N105">
        <f>IFERROR(VLOOKUP($C105,武器!$1:$998,COLUMN(I$1),FALSE),"")</f>
        <v>0</v>
      </c>
      <c r="O105" s="23">
        <f>IFERROR((VLOOKUP($C105,武器!$1:$998,COLUMN(K$1),FALSE)+VLOOKUP($D105,素材!$1:$1016,COLUMN(H$1),FALSE))*100+IFERROR(VLOOKUP($CJ105,装強!$1:$999,COLUMN(O$1),FALSE),0),"")</f>
        <v>5</v>
      </c>
      <c r="P105" s="23">
        <f>IFERROR((VLOOKUP($C105,武器!$1:$998,COLUMN(L$1),FALSE)+VLOOKUP($D105,素材!$1:$1016,COLUMN(I$1),FALSE))*100+IFERROR(VLOOKUP($CJ105,装強!$1:$999,COLUMN(P$1),FALSE),0),"")</f>
        <v>150</v>
      </c>
      <c r="Q105">
        <f>IFERROR(ROUNDUP(VLOOKUP($C105,武器!$1:$998,COLUMN(M$1),FALSE)*(VLOOKUP($D105,素材!$1:$1002,COLUMN(D$1),FALSE)/100),1),"")</f>
        <v>-4.2</v>
      </c>
      <c r="R105">
        <f>IFERROR(ROUNDUP(VLOOKUP($C105,武器!$1:$998,COLUMN(N$1),FALSE)*(VLOOKUP($D105,素材!$1:$1002,COLUMN(D$1),FALSE)/100),1),"")</f>
        <v>-4.2</v>
      </c>
      <c r="S105">
        <f>IFERROR(VLOOKUP($C105,武器!$1:$998,COLUMN(P$1),FALSE),"")</f>
        <v>0</v>
      </c>
      <c r="T105">
        <f>IFERROR(VLOOKUP($C105,武器!$1:$998,COLUMN(Q$1),FALSE),"")</f>
        <v>0</v>
      </c>
      <c r="U105">
        <f>IFERROR(VLOOKUP($C105,武器!$1:$998,COLUMN(R$1),FALSE),"")</f>
        <v>0</v>
      </c>
      <c r="V105">
        <f>IFERROR(VLOOKUP($C105,武器!$1:$998,COLUMN(Q$1),FALSE),"")</f>
        <v>0</v>
      </c>
      <c r="W105" t="str">
        <f>IFERROR(VLOOKUP($C105,武器!$1:$998,COLUMN(T$1),FALSE),"")</f>
        <v>A</v>
      </c>
      <c r="Y105" t="str">
        <f>IFERROR(VLOOKUP($C105,武器!$1:$998,COLUMN(U$1),FALSE),"")</f>
        <v>魔法無詠唱Ⅲ</v>
      </c>
      <c r="Z105">
        <f>IFERROR(ROUNDUP(VLOOKUP($C105,武器!$1:$998,COLUMN(O$1),FALSE)*VLOOKUP($D105,素材!$1:$1016,COLUMN(E$1),FALSE),1),"")</f>
        <v>0</v>
      </c>
      <c r="AA105">
        <f>IF(ISNUMBER(SEARCH(SUBSTITUTE(AA$1,RIGHT(AA$1,2),""),VLOOKUP($D105,素材!$1:$1016,COLUMN($F$1),FALSE))),VLOOKUP($C105,武器!$1:$998,COLUMN($O$1),FALSE)*VLOOKUP($D105,素材!$1:$1016,COLUMN($E$1),FALSE)/(LEN(VLOOKUP($D105,素材!$1:$1016,COLUMN($F$1),FALSE))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B105">
        <f>IF(ISNUMBER(SEARCH(SUBSTITUTE(AB$1,RIGHT(AB$1,2),""),VLOOKUP($D105,素材!$1:$1016,COLUMN($F$1),FALSE))),VLOOKUP($C105,武器!$1:$998,COLUMN($O$1),FALSE)*VLOOKUP($D105,素材!$1:$1016,COLUMN($E$1),FALSE)/(LEN(VLOOKUP($D105,素材!$1:$1016,COLUMN($F$1),FALSE))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C105">
        <f>IF(ISNUMBER(SEARCH(SUBSTITUTE(AC$1,RIGHT(AC$1,2),""),VLOOKUP($D105,素材!$1:$1016,COLUMN($F$1),FALSE))),VLOOKUP($C105,武器!$1:$998,COLUMN($O$1),FALSE)*VLOOKUP($D105,素材!$1:$1016,COLUMN($E$1),FALSE)/(LEN(VLOOKUP($D105,素材!$1:$1016,COLUMN($F$1),FALSE))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D105">
        <f>IF(ISNUMBER(SEARCH(SUBSTITUTE(AD$1,RIGHT(AD$1,2),""),VLOOKUP($D105,素材!$1:$1016,COLUMN($F$1),FALSE))),VLOOKUP($C105,武器!$1:$998,COLUMN($O$1),FALSE)*VLOOKUP($D105,素材!$1:$1016,COLUMN($E$1),FALSE)/(LEN(VLOOKUP($D105,素材!$1:$1016,COLUMN($F$1),FALSE))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E105">
        <f>IF(ISNUMBER(SEARCH(SUBSTITUTE(AE$1,RIGHT(AE$1,2),""),VLOOKUP($D105,素材!$1:$1016,COLUMN($F$1),FALSE))),VLOOKUP($C105,武器!$1:$998,COLUMN($O$1),FALSE)*VLOOKUP($D105,素材!$1:$1016,COLUMN($E$1),FALSE)/(LEN(VLOOKUP($D105,素材!$1:$1016,COLUMN($F$1),FALSE))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F105">
        <f>IF(ISNUMBER(SEARCH(SUBSTITUTE(AF$1,RIGHT(AF$1,2),""),VLOOKUP($D105,素材!$1:$1016,COLUMN($F$1),FALSE))),VLOOKUP($C105,武器!$1:$998,COLUMN($O$1),FALSE)*VLOOKUP($D105,素材!$1:$1016,COLUMN($E$1),FALSE)/(LEN(VLOOKUP($D105,素材!$1:$1016,COLUMN($F$1),FALSE))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G105">
        <f>IF(ISNUMBER(SEARCH(SUBSTITUTE(AG$1,RIGHT(AG$1,2),""),VLOOKUP($D105,素材!$1:$1016,COLUMN($F$1),FALSE))),VLOOKUP($C105,武器!$1:$998,COLUMN($O$1),FALSE)*VLOOKUP($D105,素材!$1:$1016,COLUMN($E$1),FALSE)/(LEN(VLOOKUP($D105,素材!$1:$1016,COLUMN($F$1),FALSE))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H105">
        <f>IF(ISNUMBER(SEARCH(SUBSTITUTE(AH$1,RIGHT(AH$1,2),""),VLOOKUP($D105,素材!$1:$1016,COLUMN($F$1),FALSE))),VLOOKUP($C105,武器!$1:$998,COLUMN($O$1),FALSE)*VLOOKUP($D105,素材!$1:$1016,COLUMN($E$1),FALSE)/(LEN(VLOOKUP($D105,素材!$1:$1016,COLUMN($F$1),FALSE))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I105">
        <f>IF(ISNUMBER(SEARCH(SUBSTITUTE(AI$1,RIGHT(AI$1,2),""),VLOOKUP($D105,素材!$1:$1016,COLUMN($F$1),FALSE))),VLOOKUP($C105,武器!$1:$998,COLUMN($O$1),FALSE)*VLOOKUP($D105,素材!$1:$1016,COLUMN($E$1),FALSE)/(LEN(VLOOKUP($D105,素材!$1:$1016,COLUMN($F$1),FALSE))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J105">
        <f>IF(ISNUMBER(SEARCH(SUBSTITUTE(AJ$1,RIGHT(AJ$1,2),""),VLOOKUP($D105,素材!$1:$1016,COLUMN($F$1),FALSE))),VLOOKUP($C105,武器!$1:$998,COLUMN($O$1),FALSE)*VLOOKUP($D105,素材!$1:$1016,COLUMN($E$1),FALSE)/(LEN(VLOOKUP($D105,素材!$1:$1016,COLUMN($F$1),FALSE))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K105">
        <f>IF(ISNUMBER(SEARCH(SUBSTITUTE(AK$1,RIGHT(AK$1,2),""),VLOOKUP($D105,素材!$1:$1016,COLUMN($F$1),FALSE))),VLOOKUP($C105,武器!$1:$998,COLUMN($O$1),FALSE)*VLOOKUP($D105,素材!$1:$1016,COLUMN($E$1),FALSE)/(LEN(VLOOKUP($D105,素材!$1:$1016,COLUMN($F$1),FALSE))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L105">
        <f>IF(ISNUMBER(SEARCH(SUBSTITUTE(AL$1,RIGHT(AL$1,2),""),VLOOKUP($D105,素材!$1:$1016,COLUMN($F$1),FALSE))),VLOOKUP($C105,武器!$1:$998,COLUMN($O$1),FALSE)*VLOOKUP($D105,素材!$1:$1016,COLUMN($E$1),FALSE)/(LEN(VLOOKUP($D105,素材!$1:$1016,COLUMN($F$1),FALSE))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M105">
        <f>IF(ISNUMBER(SEARCH(SUBSTITUTE(AM$1,RIGHT(AM$1,2),""),VLOOKUP($D105,素材!$1:$1016,COLUMN($F$1),FALSE))),VLOOKUP($C105,武器!$1:$998,COLUMN($O$1),FALSE)*VLOOKUP($D105,素材!$1:$1016,COLUMN($E$1),FALSE)/(LEN(VLOOKUP($D105,素材!$1:$1016,COLUMN($F$1),FALSE))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N105">
        <f>IF(ISNUMBER(SEARCH(SUBSTITUTE(AN$1,RIGHT(AN$1,2),""),VLOOKUP($D105,素材!$1:$1016,COLUMN($F$1),FALSE))),VLOOKUP($C105,武器!$1:$998,COLUMN($O$1),FALSE)*VLOOKUP($D105,素材!$1:$1016,COLUMN($E$1),FALSE)/(LEN(VLOOKUP($D105,素材!$1:$1016,COLUMN($F$1),FALSE))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O105">
        <f>IF(ISNUMBER(SEARCH(SUBSTITUTE(AO$1,RIGHT(AO$1,2),""),VLOOKUP($D105,素材!$1:$1016,COLUMN($F$1),FALSE))),VLOOKUP($C105,武器!$1:$998,COLUMN($O$1),FALSE)*VLOOKUP($D105,素材!$1:$1016,COLUMN($E$1),FALSE)/(LEN(VLOOKUP($D105,素材!$1:$1016,COLUMN($F$1),FALSE))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P105">
        <f>IF(ISNUMBER(SEARCH(SUBSTITUTE(AP$1,RIGHT(AP$1,2),""),VLOOKUP($D105,素材!$1:$1016,COLUMN($F$1),FALSE))),VLOOKUP($C105,武器!$1:$998,COLUMN($O$1),FALSE)*VLOOKUP($D105,素材!$1:$1016,COLUMN($E$1),FALSE)/(LEN(VLOOKUP($D105,素材!$1:$1016,COLUMN($F$1),FALSE))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Q105">
        <f>IF(ISNUMBER(SEARCH(SUBSTITUTE(AQ$1,RIGHT(AQ$1,2),""),VLOOKUP($D105,素材!$1:$1016,COLUMN($F$1),FALSE))),VLOOKUP($C105,武器!$1:$998,COLUMN($O$1),FALSE)*VLOOKUP($D105,素材!$1:$1016,COLUMN($E$1),FALSE)/(LEN(VLOOKUP($D105,素材!$1:$1016,COLUMN($F$1),FALSE))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R105">
        <f>IF(ISNUMBER(SEARCH(SUBSTITUTE(AR$1,RIGHT(AR$1,2),""),VLOOKUP($D105,素材!$1:$1016,COLUMN($F$1),FALSE))),VLOOKUP($C105,武器!$1:$998,COLUMN($O$1),FALSE)*VLOOKUP($D105,素材!$1:$1016,COLUMN($E$1),FALSE)/(LEN(VLOOKUP($D105,素材!$1:$1016,COLUMN($F$1),FALSE))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S105">
        <f>IF(ISNUMBER(SEARCH(SUBSTITUTE(AS$1,RIGHT(AS$1,2),""),VLOOKUP($D105,素材!$1:$1016,COLUMN($F$1),FALSE))),VLOOKUP($C105,武器!$1:$998,COLUMN($O$1),FALSE)*VLOOKUP($D105,素材!$1:$1016,COLUMN($E$1),FALSE)/(LEN(VLOOKUP($D105,素材!$1:$1016,COLUMN($F$1),FALSE))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T105">
        <f>IF(ISNUMBER(SEARCH(SUBSTITUTE(AT$1,RIGHT(AT$1,2),""),VLOOKUP($D105,素材!$1:$1016,COLUMN($F$1),FALSE))),VLOOKUP($C105,武器!$1:$998,COLUMN($O$1),FALSE)*VLOOKUP($D105,素材!$1:$1016,COLUMN($E$1),FALSE)/(LEN(VLOOKUP($D105,素材!$1:$1016,COLUMN($F$1),FALSE))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U105">
        <f>IF(ISNUMBER(SEARCH(SUBSTITUTE(AU$1,RIGHT(AU$1,2),""),VLOOKUP($D105,素材!$1:$1016,COLUMN($F$1),FALSE))),VLOOKUP($C105,武器!$1:$998,COLUMN($O$1),FALSE)*VLOOKUP($D105,素材!$1:$1016,COLUMN($E$1),FALSE)/(LEN(VLOOKUP($D105,素材!$1:$1016,COLUMN($F$1),FALSE))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V105">
        <f>IF(ISNUMBER(SEARCH(SUBSTITUTE(AV$1,RIGHT(AV$1,2),""),VLOOKUP($D105,素材!$1:$1016,COLUMN($F$1),FALSE))),VLOOKUP($C105,武器!$1:$998,COLUMN($O$1),FALSE)*VLOOKUP($D105,素材!$1:$1016,COLUMN($E$1),FALSE)/(LEN(VLOOKUP($D105,素材!$1:$1016,COLUMN($F$1),FALSE))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W105">
        <f>IF(ISNUMBER(SEARCH(SUBSTITUTE(AW$1,RIGHT(AW$1,2),""),VLOOKUP($D105,素材!$1:$1016,COLUMN($F$1),FALSE))),VLOOKUP($C105,武器!$1:$998,COLUMN($O$1),FALSE)*VLOOKUP($D105,素材!$1:$1016,COLUMN($E$1),FALSE)/(LEN(VLOOKUP($D105,素材!$1:$1016,COLUMN($F$1),FALSE))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X105">
        <f>IF(ISNUMBER(SEARCH(SUBSTITUTE(AX$1,RIGHT(AX$1,2),""),VLOOKUP($D105,素材!$1:$1016,COLUMN($F$1),FALSE))),VLOOKUP($C105,武器!$1:$998,COLUMN($O$1),FALSE)*VLOOKUP($D105,素材!$1:$1016,COLUMN($E$1),FALSE)/(LEN(VLOOKUP($D105,素材!$1:$1016,COLUMN($F$1),FALSE))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Y105">
        <f>IF(ISNUMBER(SEARCH(SUBSTITUTE(AY$1,RIGHT(AY$1,2),""),VLOOKUP($D105,素材!$1:$1016,COLUMN($F$1),FALSE))),VLOOKUP($C105,武器!$1:$998,COLUMN($O$1),FALSE)*VLOOKUP($D105,素材!$1:$1016,COLUMN($E$1),FALSE)/(LEN(VLOOKUP($D105,素材!$1:$1016,COLUMN($F$1),FALSE))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AZ105">
        <f>IF(ISNUMBER(SEARCH(SUBSTITUTE(AZ$1,RIGHT(AZ$1,2),""),VLOOKUP($D105,素材!$1:$1016,COLUMN($F$1),FALSE))),VLOOKUP($C105,武器!$1:$998,COLUMN($O$1),FALSE)*VLOOKUP($D105,素材!$1:$1016,COLUMN($E$1),FALSE)/(LEN(VLOOKUP($D105,素材!$1:$1016,COLUMN($F$1),FALSE))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BA105">
        <f>IF(ISNUMBER(SEARCH(SUBSTITUTE(BA$1,RIGHT(BA$1,2),""),VLOOKUP($D105,素材!$1:$1016,COLUMN($F$1),FALSE))),VLOOKUP($C105,武器!$1:$998,COLUMN($O$1),FALSE)*VLOOKUP($D105,素材!$1:$1016,COLUMN($E$1),FALSE)/(LEN(VLOOKUP($D105,素材!$1:$1016,COLUMN($F$1),FALSE))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BB105">
        <f>IF(ISNUMBER(SEARCH(SUBSTITUTE(BB$1,RIGHT(BB$1,2),""),VLOOKUP($D105,素材!$1:$1016,COLUMN($F$1),FALSE))),VLOOKUP($C105,武器!$1:$998,COLUMN($O$1),FALSE)*VLOOKUP($D105,素材!$1:$1016,COLUMN($E$1),FALSE)/(LEN(VLOOKUP($D105,素材!$1:$1016,COLUMN($F$1),FALSE))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BC105">
        <f>IF(ISNUMBER(SEARCH(SUBSTITUTE(BC$1,RIGHT(BC$1,2),""),VLOOKUP($D105,素材!$1:$1016,COLUMN($F$1),FALSE))),VLOOKUP($C105,武器!$1:$998,COLUMN($O$1),FALSE)*VLOOKUP($D105,素材!$1:$1016,COLUMN($E$1),FALSE)/(LEN(VLOOKUP($D105,素材!$1:$1016,COLUMN($F$1),FALSE))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BD105">
        <f>IF(ISNUMBER(SEARCH(SUBSTITUTE(BD$1,RIGHT(BD$1,2),""),VLOOKUP($D105,素材!$1:$1016,COLUMN($F$1),FALSE))),VLOOKUP($C105,武器!$1:$998,COLUMN($O$1),FALSE)*VLOOKUP($D105,素材!$1:$1016,COLUMN($E$1),FALSE)/(LEN(VLOOKUP($D105,素材!$1:$1016,COLUMN($F$1),FALSE))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BE105">
        <f>IF(ISNUMBER(SEARCH(SUBSTITUTE(BE$1,RIGHT(BE$1,2),""),VLOOKUP($D105,素材!$1:$1016,COLUMN($F$1),FALSE))),VLOOKUP($C105,武器!$1:$998,COLUMN($O$1),FALSE)*VLOOKUP($D105,素材!$1:$1016,COLUMN($E$1),FALSE)/(LEN(VLOOKUP($D105,素材!$1:$1016,COLUMN($F$1),FALSE))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BF105">
        <f>IF(ISNUMBER(SEARCH(SUBSTITUTE(BF$1,RIGHT(BF$1,2),""),VLOOKUP($D105,素材!$1:$1016,COLUMN($F$1),FALSE))),VLOOKUP($C105,武器!$1:$998,COLUMN($O$1),FALSE)*VLOOKUP($D105,素材!$1:$1016,COLUMN($E$1),FALSE)/(LEN(VLOOKUP($D105,素材!$1:$1016,COLUMN($F$1),FALSE)) - LEN(SUBSTITUTE(VLOOKUP($D105,素材!$1:$1016,COLUMN($F$1),FALSE), "・", 0)) + 1), 0)</f>
        <v>0</v>
      </c>
      <c r="CM105">
        <f t="shared" si="8"/>
        <v>29</v>
      </c>
      <c r="CN105" s="22" t="str">
        <f>IF(E105="武器",IF(J105-1&gt;SUM(G105:I105),"盾",IF(MAX(G105:I105)=G105,"切断",IF(MAX(G105:I105)=H105,"貫通",IF(MAX(G105:I105)=I105,"打撃","射撃")))),E105)&amp;".webp"</f>
        <v>杖.webp</v>
      </c>
      <c r="CO105">
        <f>IFERROR(VLOOKUP($C105,武器!$1:$998,COLUMN(V$1),FALSE)*VLOOKUP($D105,素材!$1:$1016,COLUMN(N$1),FALSE)+IF(CJ105="",0,VLOOKUP($CJ105,装強!$1:$1008,COLUMN($CL$1),FALSE)),"")</f>
        <v>1350</v>
      </c>
      <c r="CP105" t="str">
        <f>VLOOKUP(D105,素材!$A:$O,COLUMN(素材!O$1),FALSE)</f>
        <v>鍛えられた鉄。硬度が高く安価なためよく使用される。</v>
      </c>
      <c r="CQ105" t="str">
        <f>VLOOKUP(C105,武器!$A:$W,COLUMN(武器!W$1),FALSE)</f>
        <v>長杖。強力な魔法を扱える杖だが、重い。</v>
      </c>
      <c r="CS105" t="str">
        <f t="shared" si="7"/>
        <v>e_105</v>
      </c>
      <c r="CT105">
        <f t="shared" si="9"/>
        <v>135000</v>
      </c>
    </row>
    <row r="106" spans="1:98" outlineLevel="1" x14ac:dyDescent="0.4">
      <c r="A106" t="str">
        <f t="shared" si="10"/>
        <v>鋼の軽射出弓</v>
      </c>
      <c r="B106" t="str">
        <f>IFERROR(VLOOKUP($D106,素材!$1:$1016,COLUMN($B$1),FALSE)&amp;"・"&amp;VLOOKUP($C106,武器!$1:$998,COLUMN(B$1),FALSE),"")</f>
        <v>スチール・ライトクロスボウ</v>
      </c>
      <c r="C106" t="s">
        <v>214</v>
      </c>
      <c r="D106" s="24" t="s">
        <v>253</v>
      </c>
      <c r="E106" t="str">
        <f>IFERROR(VLOOKUP(C106,武器!$1:$998,COLUMN(C$1),FALSE),"")</f>
        <v>銃</v>
      </c>
      <c r="F106">
        <f>IFERROR(ROUNDDOWN((VLOOKUP($C106,武器!$1:$998,COLUMN(D$1),FALSE)+IFERROR(VLOOKUP($CJ106,装強!$1:$999,COLUMN(F$1),FALSE),0))*VLOOKUP($D106,素材!$1:$1016,COLUMN(D$1),FALSE),0),"")</f>
        <v>0</v>
      </c>
      <c r="G106">
        <f>IFERROR(ROUNDDOWN((VLOOKUP($C106,武器!$1:$998,COLUMN(E$1),FALSE)+IFERROR(VLOOKUP($CJ106,装強!$1:$999,COLUMN(G$1),FALSE),0))*VLOOKUP($D106,素材!$1:$1016,COLUMN($E$1),FALSE),0),"")</f>
        <v>0</v>
      </c>
      <c r="H106">
        <f>IFERROR(ROUNDDOWN((VLOOKUP($C106,武器!$1:$998,COLUMN(F$1),FALSE)+IFERROR(VLOOKUP($CJ106,装強!$1:$999,COLUMN(H$1),FALSE),0))*VLOOKUP($D106,素材!$1:$1016,COLUMN($E$1),FALSE),0),"")</f>
        <v>0</v>
      </c>
      <c r="I106">
        <f>IFERROR(ROUNDDOWN((VLOOKUP($C106,武器!$1:$998,COLUMN(G$1),FALSE)+IFERROR(VLOOKUP($CJ106,装強!$1:$999,COLUMN(I$1),FALSE),0))*VLOOKUP($D106,素材!$1:$1016,COLUMN($E$1),FALSE),0),"")</f>
        <v>0</v>
      </c>
      <c r="J106">
        <f>IFERROR(ROUNDDOWN((VLOOKUP($C106,武器!$1:$998,COLUMN(H$1),FALSE)+IFERROR(VLOOKUP($CJ106,装強!$1:$999,COLUMN(J$1),FALSE),0))*VLOOKUP($D106,素材!$1:$1016,COLUMN($E$1),FALSE),0),"")</f>
        <v>0</v>
      </c>
      <c r="K106">
        <f>IFERROR(ROUNDDOWN((VLOOKUP($C106,武器!$1:$998,COLUMN(I$1),FALSE)+IFERROR(VLOOKUP($CJ106,装強!$1:$999,COLUMN(K$1),FALSE),0))*VLOOKUP($D106,素材!$1:$1016,COLUMN($E$1),FALSE),0),"")</f>
        <v>72</v>
      </c>
      <c r="L106">
        <f>IFERROR(VLOOKUP($D106,素材!$1:$1016,COLUMN($F$1),FALSE),"")</f>
        <v>0</v>
      </c>
      <c r="M106">
        <f>IFERROR(VLOOKUP($C106,武器!$1:$998,COLUMN(AA$1),FALSE)*VLOOKUP($D106,素材!$1:$1016,COLUMN($G$1),FALSE),"")</f>
        <v>0</v>
      </c>
      <c r="N106">
        <f>IFERROR(VLOOKUP($C106,武器!$1:$998,COLUMN(I$1),FALSE),"")</f>
        <v>2.7</v>
      </c>
      <c r="O106" s="23">
        <f>IFERROR((VLOOKUP($C106,武器!$1:$998,COLUMN(K$1),FALSE)+VLOOKUP($D106,素材!$1:$1016,COLUMN(H$1),FALSE))*100+IFERROR(VLOOKUP($CJ106,装強!$1:$999,COLUMN(O$1),FALSE),0),"")</f>
        <v>10</v>
      </c>
      <c r="P106" s="23">
        <f>IFERROR((VLOOKUP($C106,武器!$1:$998,COLUMN(L$1),FALSE)+VLOOKUP($D106,素材!$1:$1016,COLUMN(I$1),FALSE))*100+IFERROR(VLOOKUP($CJ106,装強!$1:$999,COLUMN(P$1),FALSE),0),"")</f>
        <v>150</v>
      </c>
      <c r="Q106">
        <f>IFERROR(ROUNDUP(VLOOKUP($C106,武器!$1:$998,COLUMN(M$1),FALSE)*(VLOOKUP($D106,素材!$1:$1002,COLUMN(D$1),FALSE)/100),1),"")</f>
        <v>0</v>
      </c>
      <c r="R106">
        <f>IFERROR(ROUNDUP(VLOOKUP($C106,武器!$1:$998,COLUMN(N$1),FALSE)*(VLOOKUP($D106,素材!$1:$1002,COLUMN(D$1),FALSE)/100),1),"")</f>
        <v>0</v>
      </c>
      <c r="S106">
        <f>IFERROR(VLOOKUP($C106,武器!$1:$998,COLUMN(P$1),FALSE),"")</f>
        <v>0</v>
      </c>
      <c r="T106">
        <f>IFERROR(VLOOKUP($C106,武器!$1:$998,COLUMN(Q$1),FALSE),"")</f>
        <v>1</v>
      </c>
      <c r="U106">
        <f>IFERROR(VLOOKUP($C106,武器!$1:$998,COLUMN(R$1),FALSE),"")</f>
        <v>1</v>
      </c>
      <c r="V106">
        <f>IFERROR(VLOOKUP($C106,武器!$1:$998,COLUMN(Q$1),FALSE),"")</f>
        <v>1</v>
      </c>
      <c r="W106" t="str">
        <f>IFERROR(VLOOKUP($C106,武器!$1:$998,COLUMN(T$1),FALSE),"")</f>
        <v>Q</v>
      </c>
      <c r="Y106">
        <f>IFERROR(VLOOKUP($C106,武器!$1:$998,COLUMN(U$1),FALSE),"")</f>
        <v>0</v>
      </c>
      <c r="Z106">
        <f>IFERROR(ROUNDUP(VLOOKUP($C106,武器!$1:$998,COLUMN(O$1),FALSE)*VLOOKUP($D106,素材!$1:$1016,COLUMN(E$1),FALSE),1),"")</f>
        <v>0</v>
      </c>
      <c r="AA106">
        <f>IF(ISNUMBER(SEARCH(SUBSTITUTE(AA$1,RIGHT(AA$1,2),""),VLOOKUP($D106,素材!$1:$1016,COLUMN($F$1),FALSE))),VLOOKUP($C106,武器!$1:$998,COLUMN($O$1),FALSE)*VLOOKUP($D106,素材!$1:$1016,COLUMN($E$1),FALSE)/(LEN(VLOOKUP($D106,素材!$1:$1016,COLUMN($F$1),FALSE))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B106">
        <f>IF(ISNUMBER(SEARCH(SUBSTITUTE(AB$1,RIGHT(AB$1,2),""),VLOOKUP($D106,素材!$1:$1016,COLUMN($F$1),FALSE))),VLOOKUP($C106,武器!$1:$998,COLUMN($O$1),FALSE)*VLOOKUP($D106,素材!$1:$1016,COLUMN($E$1),FALSE)/(LEN(VLOOKUP($D106,素材!$1:$1016,COLUMN($F$1),FALSE))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C106">
        <f>IF(ISNUMBER(SEARCH(SUBSTITUTE(AC$1,RIGHT(AC$1,2),""),VLOOKUP($D106,素材!$1:$1016,COLUMN($F$1),FALSE))),VLOOKUP($C106,武器!$1:$998,COLUMN($O$1),FALSE)*VLOOKUP($D106,素材!$1:$1016,COLUMN($E$1),FALSE)/(LEN(VLOOKUP($D106,素材!$1:$1016,COLUMN($F$1),FALSE))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D106">
        <f>IF(ISNUMBER(SEARCH(SUBSTITUTE(AD$1,RIGHT(AD$1,2),""),VLOOKUP($D106,素材!$1:$1016,COLUMN($F$1),FALSE))),VLOOKUP($C106,武器!$1:$998,COLUMN($O$1),FALSE)*VLOOKUP($D106,素材!$1:$1016,COLUMN($E$1),FALSE)/(LEN(VLOOKUP($D106,素材!$1:$1016,COLUMN($F$1),FALSE))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E106">
        <f>IF(ISNUMBER(SEARCH(SUBSTITUTE(AE$1,RIGHT(AE$1,2),""),VLOOKUP($D106,素材!$1:$1016,COLUMN($F$1),FALSE))),VLOOKUP($C106,武器!$1:$998,COLUMN($O$1),FALSE)*VLOOKUP($D106,素材!$1:$1016,COLUMN($E$1),FALSE)/(LEN(VLOOKUP($D106,素材!$1:$1016,COLUMN($F$1),FALSE))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F106">
        <f>IF(ISNUMBER(SEARCH(SUBSTITUTE(AF$1,RIGHT(AF$1,2),""),VLOOKUP($D106,素材!$1:$1016,COLUMN($F$1),FALSE))),VLOOKUP($C106,武器!$1:$998,COLUMN($O$1),FALSE)*VLOOKUP($D106,素材!$1:$1016,COLUMN($E$1),FALSE)/(LEN(VLOOKUP($D106,素材!$1:$1016,COLUMN($F$1),FALSE))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G106">
        <f>IF(ISNUMBER(SEARCH(SUBSTITUTE(AG$1,RIGHT(AG$1,2),""),VLOOKUP($D106,素材!$1:$1016,COLUMN($F$1),FALSE))),VLOOKUP($C106,武器!$1:$998,COLUMN($O$1),FALSE)*VLOOKUP($D106,素材!$1:$1016,COLUMN($E$1),FALSE)/(LEN(VLOOKUP($D106,素材!$1:$1016,COLUMN($F$1),FALSE))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H106">
        <f>IF(ISNUMBER(SEARCH(SUBSTITUTE(AH$1,RIGHT(AH$1,2),""),VLOOKUP($D106,素材!$1:$1016,COLUMN($F$1),FALSE))),VLOOKUP($C106,武器!$1:$998,COLUMN($O$1),FALSE)*VLOOKUP($D106,素材!$1:$1016,COLUMN($E$1),FALSE)/(LEN(VLOOKUP($D106,素材!$1:$1016,COLUMN($F$1),FALSE))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I106">
        <f>IF(ISNUMBER(SEARCH(SUBSTITUTE(AI$1,RIGHT(AI$1,2),""),VLOOKUP($D106,素材!$1:$1016,COLUMN($F$1),FALSE))),VLOOKUP($C106,武器!$1:$998,COLUMN($O$1),FALSE)*VLOOKUP($D106,素材!$1:$1016,COLUMN($E$1),FALSE)/(LEN(VLOOKUP($D106,素材!$1:$1016,COLUMN($F$1),FALSE))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J106">
        <f>IF(ISNUMBER(SEARCH(SUBSTITUTE(AJ$1,RIGHT(AJ$1,2),""),VLOOKUP($D106,素材!$1:$1016,COLUMN($F$1),FALSE))),VLOOKUP($C106,武器!$1:$998,COLUMN($O$1),FALSE)*VLOOKUP($D106,素材!$1:$1016,COLUMN($E$1),FALSE)/(LEN(VLOOKUP($D106,素材!$1:$1016,COLUMN($F$1),FALSE))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K106">
        <f>IF(ISNUMBER(SEARCH(SUBSTITUTE(AK$1,RIGHT(AK$1,2),""),VLOOKUP($D106,素材!$1:$1016,COLUMN($F$1),FALSE))),VLOOKUP($C106,武器!$1:$998,COLUMN($O$1),FALSE)*VLOOKUP($D106,素材!$1:$1016,COLUMN($E$1),FALSE)/(LEN(VLOOKUP($D106,素材!$1:$1016,COLUMN($F$1),FALSE))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L106">
        <f>IF(ISNUMBER(SEARCH(SUBSTITUTE(AL$1,RIGHT(AL$1,2),""),VLOOKUP($D106,素材!$1:$1016,COLUMN($F$1),FALSE))),VLOOKUP($C106,武器!$1:$998,COLUMN($O$1),FALSE)*VLOOKUP($D106,素材!$1:$1016,COLUMN($E$1),FALSE)/(LEN(VLOOKUP($D106,素材!$1:$1016,COLUMN($F$1),FALSE))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M106">
        <f>IF(ISNUMBER(SEARCH(SUBSTITUTE(AM$1,RIGHT(AM$1,2),""),VLOOKUP($D106,素材!$1:$1016,COLUMN($F$1),FALSE))),VLOOKUP($C106,武器!$1:$998,COLUMN($O$1),FALSE)*VLOOKUP($D106,素材!$1:$1016,COLUMN($E$1),FALSE)/(LEN(VLOOKUP($D106,素材!$1:$1016,COLUMN($F$1),FALSE))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N106">
        <f>IF(ISNUMBER(SEARCH(SUBSTITUTE(AN$1,RIGHT(AN$1,2),""),VLOOKUP($D106,素材!$1:$1016,COLUMN($F$1),FALSE))),VLOOKUP($C106,武器!$1:$998,COLUMN($O$1),FALSE)*VLOOKUP($D106,素材!$1:$1016,COLUMN($E$1),FALSE)/(LEN(VLOOKUP($D106,素材!$1:$1016,COLUMN($F$1),FALSE))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O106">
        <f>IF(ISNUMBER(SEARCH(SUBSTITUTE(AO$1,RIGHT(AO$1,2),""),VLOOKUP($D106,素材!$1:$1016,COLUMN($F$1),FALSE))),VLOOKUP($C106,武器!$1:$998,COLUMN($O$1),FALSE)*VLOOKUP($D106,素材!$1:$1016,COLUMN($E$1),FALSE)/(LEN(VLOOKUP($D106,素材!$1:$1016,COLUMN($F$1),FALSE))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P106">
        <f>IF(ISNUMBER(SEARCH(SUBSTITUTE(AP$1,RIGHT(AP$1,2),""),VLOOKUP($D106,素材!$1:$1016,COLUMN($F$1),FALSE))),VLOOKUP($C106,武器!$1:$998,COLUMN($O$1),FALSE)*VLOOKUP($D106,素材!$1:$1016,COLUMN($E$1),FALSE)/(LEN(VLOOKUP($D106,素材!$1:$1016,COLUMN($F$1),FALSE))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Q106">
        <f>IF(ISNUMBER(SEARCH(SUBSTITUTE(AQ$1,RIGHT(AQ$1,2),""),VLOOKUP($D106,素材!$1:$1016,COLUMN($F$1),FALSE))),VLOOKUP($C106,武器!$1:$998,COLUMN($O$1),FALSE)*VLOOKUP($D106,素材!$1:$1016,COLUMN($E$1),FALSE)/(LEN(VLOOKUP($D106,素材!$1:$1016,COLUMN($F$1),FALSE))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R106">
        <f>IF(ISNUMBER(SEARCH(SUBSTITUTE(AR$1,RIGHT(AR$1,2),""),VLOOKUP($D106,素材!$1:$1016,COLUMN($F$1),FALSE))),VLOOKUP($C106,武器!$1:$998,COLUMN($O$1),FALSE)*VLOOKUP($D106,素材!$1:$1016,COLUMN($E$1),FALSE)/(LEN(VLOOKUP($D106,素材!$1:$1016,COLUMN($F$1),FALSE))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S106">
        <f>IF(ISNUMBER(SEARCH(SUBSTITUTE(AS$1,RIGHT(AS$1,2),""),VLOOKUP($D106,素材!$1:$1016,COLUMN($F$1),FALSE))),VLOOKUP($C106,武器!$1:$998,COLUMN($O$1),FALSE)*VLOOKUP($D106,素材!$1:$1016,COLUMN($E$1),FALSE)/(LEN(VLOOKUP($D106,素材!$1:$1016,COLUMN($F$1),FALSE))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T106">
        <f>IF(ISNUMBER(SEARCH(SUBSTITUTE(AT$1,RIGHT(AT$1,2),""),VLOOKUP($D106,素材!$1:$1016,COLUMN($F$1),FALSE))),VLOOKUP($C106,武器!$1:$998,COLUMN($O$1),FALSE)*VLOOKUP($D106,素材!$1:$1016,COLUMN($E$1),FALSE)/(LEN(VLOOKUP($D106,素材!$1:$1016,COLUMN($F$1),FALSE))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U106">
        <f>IF(ISNUMBER(SEARCH(SUBSTITUTE(AU$1,RIGHT(AU$1,2),""),VLOOKUP($D106,素材!$1:$1016,COLUMN($F$1),FALSE))),VLOOKUP($C106,武器!$1:$998,COLUMN($O$1),FALSE)*VLOOKUP($D106,素材!$1:$1016,COLUMN($E$1),FALSE)/(LEN(VLOOKUP($D106,素材!$1:$1016,COLUMN($F$1),FALSE))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V106">
        <f>IF(ISNUMBER(SEARCH(SUBSTITUTE(AV$1,RIGHT(AV$1,2),""),VLOOKUP($D106,素材!$1:$1016,COLUMN($F$1),FALSE))),VLOOKUP($C106,武器!$1:$998,COLUMN($O$1),FALSE)*VLOOKUP($D106,素材!$1:$1016,COLUMN($E$1),FALSE)/(LEN(VLOOKUP($D106,素材!$1:$1016,COLUMN($F$1),FALSE))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W106">
        <f>IF(ISNUMBER(SEARCH(SUBSTITUTE(AW$1,RIGHT(AW$1,2),""),VLOOKUP($D106,素材!$1:$1016,COLUMN($F$1),FALSE))),VLOOKUP($C106,武器!$1:$998,COLUMN($O$1),FALSE)*VLOOKUP($D106,素材!$1:$1016,COLUMN($E$1),FALSE)/(LEN(VLOOKUP($D106,素材!$1:$1016,COLUMN($F$1),FALSE))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X106">
        <f>IF(ISNUMBER(SEARCH(SUBSTITUTE(AX$1,RIGHT(AX$1,2),""),VLOOKUP($D106,素材!$1:$1016,COLUMN($F$1),FALSE))),VLOOKUP($C106,武器!$1:$998,COLUMN($O$1),FALSE)*VLOOKUP($D106,素材!$1:$1016,COLUMN($E$1),FALSE)/(LEN(VLOOKUP($D106,素材!$1:$1016,COLUMN($F$1),FALSE))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Y106">
        <f>IF(ISNUMBER(SEARCH(SUBSTITUTE(AY$1,RIGHT(AY$1,2),""),VLOOKUP($D106,素材!$1:$1016,COLUMN($F$1),FALSE))),VLOOKUP($C106,武器!$1:$998,COLUMN($O$1),FALSE)*VLOOKUP($D106,素材!$1:$1016,COLUMN($E$1),FALSE)/(LEN(VLOOKUP($D106,素材!$1:$1016,COLUMN($F$1),FALSE))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AZ106">
        <f>IF(ISNUMBER(SEARCH(SUBSTITUTE(AZ$1,RIGHT(AZ$1,2),""),VLOOKUP($D106,素材!$1:$1016,COLUMN($F$1),FALSE))),VLOOKUP($C106,武器!$1:$998,COLUMN($O$1),FALSE)*VLOOKUP($D106,素材!$1:$1016,COLUMN($E$1),FALSE)/(LEN(VLOOKUP($D106,素材!$1:$1016,COLUMN($F$1),FALSE))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BA106">
        <f>IF(ISNUMBER(SEARCH(SUBSTITUTE(BA$1,RIGHT(BA$1,2),""),VLOOKUP($D106,素材!$1:$1016,COLUMN($F$1),FALSE))),VLOOKUP($C106,武器!$1:$998,COLUMN($O$1),FALSE)*VLOOKUP($D106,素材!$1:$1016,COLUMN($E$1),FALSE)/(LEN(VLOOKUP($D106,素材!$1:$1016,COLUMN($F$1),FALSE))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BB106">
        <f>IF(ISNUMBER(SEARCH(SUBSTITUTE(BB$1,RIGHT(BB$1,2),""),VLOOKUP($D106,素材!$1:$1016,COLUMN($F$1),FALSE))),VLOOKUP($C106,武器!$1:$998,COLUMN($O$1),FALSE)*VLOOKUP($D106,素材!$1:$1016,COLUMN($E$1),FALSE)/(LEN(VLOOKUP($D106,素材!$1:$1016,COLUMN($F$1),FALSE))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BC106">
        <f>IF(ISNUMBER(SEARCH(SUBSTITUTE(BC$1,RIGHT(BC$1,2),""),VLOOKUP($D106,素材!$1:$1016,COLUMN($F$1),FALSE))),VLOOKUP($C106,武器!$1:$998,COLUMN($O$1),FALSE)*VLOOKUP($D106,素材!$1:$1016,COLUMN($E$1),FALSE)/(LEN(VLOOKUP($D106,素材!$1:$1016,COLUMN($F$1),FALSE))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BD106">
        <f>IF(ISNUMBER(SEARCH(SUBSTITUTE(BD$1,RIGHT(BD$1,2),""),VLOOKUP($D106,素材!$1:$1016,COLUMN($F$1),FALSE))),VLOOKUP($C106,武器!$1:$998,COLUMN($O$1),FALSE)*VLOOKUP($D106,素材!$1:$1016,COLUMN($E$1),FALSE)/(LEN(VLOOKUP($D106,素材!$1:$1016,COLUMN($F$1),FALSE))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BE106">
        <f>IF(ISNUMBER(SEARCH(SUBSTITUTE(BE$1,RIGHT(BE$1,2),""),VLOOKUP($D106,素材!$1:$1016,COLUMN($F$1),FALSE))),VLOOKUP($C106,武器!$1:$998,COLUMN($O$1),FALSE)*VLOOKUP($D106,素材!$1:$1016,COLUMN($E$1),FALSE)/(LEN(VLOOKUP($D106,素材!$1:$1016,COLUMN($F$1),FALSE))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BF106">
        <f>IF(ISNUMBER(SEARCH(SUBSTITUTE(BF$1,RIGHT(BF$1,2),""),VLOOKUP($D106,素材!$1:$1016,COLUMN($F$1),FALSE))),VLOOKUP($C106,武器!$1:$998,COLUMN($O$1),FALSE)*VLOOKUP($D106,素材!$1:$1016,COLUMN($E$1),FALSE)/(LEN(VLOOKUP($D106,素材!$1:$1016,COLUMN($F$1),FALSE)) - LEN(SUBSTITUTE(VLOOKUP($D106,素材!$1:$1016,COLUMN($F$1),FALSE), "・", 0)) + 1), 0)</f>
        <v>0</v>
      </c>
      <c r="CM106">
        <f t="shared" si="8"/>
        <v>0</v>
      </c>
      <c r="CN106" s="22" t="str">
        <f>IF(E106="武器",IF(J106-1&gt;SUM(G106:I106),"盾",IF(MAX(G106:I106)=G106,"切断",IF(MAX(G106:I106)=H106,"貫通",IF(MAX(G106:I106)=I106,"打撃","射撃")))),E106)&amp;".webp"</f>
        <v>銃.webp</v>
      </c>
      <c r="CO106">
        <f>IFERROR(VLOOKUP($C106,武器!$1:$998,COLUMN(V$1),FALSE)*VLOOKUP($D106,素材!$1:$1016,COLUMN(N$1),FALSE)+IF(CJ106="",0,VLOOKUP($CJ106,装強!$1:$1008,COLUMN($CL$1),FALSE)),"")</f>
        <v>1125</v>
      </c>
      <c r="CP106" t="str">
        <f>VLOOKUP(D106,素材!$A:$O,COLUMN(素材!O$1),FALSE)</f>
        <v>鍛えられた鉄。硬度が高く安価なためよく使用される。</v>
      </c>
      <c r="CQ106" t="str">
        <f>VLOOKUP(C106,武器!$A:$W,COLUMN(武器!W$1),FALSE)</f>
        <v/>
      </c>
      <c r="CS106" t="str">
        <f t="shared" si="7"/>
        <v>e_106</v>
      </c>
      <c r="CT106">
        <f t="shared" si="9"/>
        <v>112500</v>
      </c>
    </row>
    <row r="107" spans="1:98" outlineLevel="1" x14ac:dyDescent="0.4">
      <c r="A107" t="str">
        <f t="shared" si="10"/>
        <v>鋼の射出弓</v>
      </c>
      <c r="B107" t="str">
        <f>IFERROR(VLOOKUP($D107,素材!$1:$1016,COLUMN($B$1),FALSE)&amp;"・"&amp;VLOOKUP($C107,武器!$1:$998,COLUMN(B$1),FALSE),"")</f>
        <v>スチール・クロスボウ</v>
      </c>
      <c r="C107" t="s">
        <v>213</v>
      </c>
      <c r="D107" s="24" t="s">
        <v>253</v>
      </c>
      <c r="E107" t="str">
        <f>IFERROR(VLOOKUP(C107,武器!$1:$998,COLUMN(C$1),FALSE),"")</f>
        <v>銃</v>
      </c>
      <c r="F107">
        <f>IFERROR(ROUNDDOWN((VLOOKUP($C107,武器!$1:$998,COLUMN(D$1),FALSE)+IFERROR(VLOOKUP($CJ107,装強!$1:$999,COLUMN(F$1),FALSE),0))*VLOOKUP($D107,素材!$1:$1016,COLUMN(D$1),FALSE),0),"")</f>
        <v>0</v>
      </c>
      <c r="G107">
        <f>IFERROR(ROUNDDOWN((VLOOKUP($C107,武器!$1:$998,COLUMN(E$1),FALSE)+IFERROR(VLOOKUP($CJ107,装強!$1:$999,COLUMN(G$1),FALSE),0))*VLOOKUP($D107,素材!$1:$1016,COLUMN($E$1),FALSE),0),"")</f>
        <v>0</v>
      </c>
      <c r="H107">
        <f>IFERROR(ROUNDDOWN((VLOOKUP($C107,武器!$1:$998,COLUMN(F$1),FALSE)+IFERROR(VLOOKUP($CJ107,装強!$1:$999,COLUMN(H$1),FALSE),0))*VLOOKUP($D107,素材!$1:$1016,COLUMN($E$1),FALSE),0),"")</f>
        <v>0</v>
      </c>
      <c r="I107">
        <f>IFERROR(ROUNDDOWN((VLOOKUP($C107,武器!$1:$998,COLUMN(G$1),FALSE)+IFERROR(VLOOKUP($CJ107,装強!$1:$999,COLUMN(I$1),FALSE),0))*VLOOKUP($D107,素材!$1:$1016,COLUMN($E$1),FALSE),0),"")</f>
        <v>0</v>
      </c>
      <c r="J107">
        <f>IFERROR(ROUNDDOWN((VLOOKUP($C107,武器!$1:$998,COLUMN(H$1),FALSE)+IFERROR(VLOOKUP($CJ107,装強!$1:$999,COLUMN(J$1),FALSE),0))*VLOOKUP($D107,素材!$1:$1016,COLUMN($E$1),FALSE),0),"")</f>
        <v>0</v>
      </c>
      <c r="K107">
        <f>IFERROR(ROUNDDOWN((VLOOKUP($C107,武器!$1:$998,COLUMN(I$1),FALSE)+IFERROR(VLOOKUP($CJ107,装強!$1:$999,COLUMN(K$1),FALSE),0))*VLOOKUP($D107,素材!$1:$1016,COLUMN($E$1),FALSE),0),"")</f>
        <v>105</v>
      </c>
      <c r="L107">
        <f>IFERROR(VLOOKUP($D107,素材!$1:$1016,COLUMN($F$1),FALSE),"")</f>
        <v>0</v>
      </c>
      <c r="M107">
        <f>IFERROR(VLOOKUP($C107,武器!$1:$998,COLUMN(AA$1),FALSE)*VLOOKUP($D107,素材!$1:$1016,COLUMN($G$1),FALSE),"")</f>
        <v>0</v>
      </c>
      <c r="N107">
        <f>IFERROR(VLOOKUP($C107,武器!$1:$998,COLUMN(I$1),FALSE),"")</f>
        <v>3.9</v>
      </c>
      <c r="O107" s="23">
        <f>IFERROR((VLOOKUP($C107,武器!$1:$998,COLUMN(K$1),FALSE)+VLOOKUP($D107,素材!$1:$1016,COLUMN(H$1),FALSE))*100+IFERROR(VLOOKUP($CJ107,装強!$1:$999,COLUMN(O$1),FALSE),0),"")</f>
        <v>10</v>
      </c>
      <c r="P107" s="23">
        <f>IFERROR((VLOOKUP($C107,武器!$1:$998,COLUMN(L$1),FALSE)+VLOOKUP($D107,素材!$1:$1016,COLUMN(I$1),FALSE))*100+IFERROR(VLOOKUP($CJ107,装強!$1:$999,COLUMN(P$1),FALSE),0),"")</f>
        <v>150</v>
      </c>
      <c r="Q107">
        <f>IFERROR(ROUNDUP(VLOOKUP($C107,武器!$1:$998,COLUMN(M$1),FALSE)*(VLOOKUP($D107,素材!$1:$1002,COLUMN(D$1),FALSE)/100),1),"")</f>
        <v>0</v>
      </c>
      <c r="R107">
        <f>IFERROR(ROUNDUP(VLOOKUP($C107,武器!$1:$998,COLUMN(N$1),FALSE)*(VLOOKUP($D107,素材!$1:$1002,COLUMN(D$1),FALSE)/100),1),"")</f>
        <v>0</v>
      </c>
      <c r="S107">
        <f>IFERROR(VLOOKUP($C107,武器!$1:$998,COLUMN(P$1),FALSE),"")</f>
        <v>0</v>
      </c>
      <c r="T107">
        <f>IFERROR(VLOOKUP($C107,武器!$1:$998,COLUMN(Q$1),FALSE),"")</f>
        <v>1</v>
      </c>
      <c r="U107">
        <f>IFERROR(VLOOKUP($C107,武器!$1:$998,COLUMN(R$1),FALSE),"")</f>
        <v>1</v>
      </c>
      <c r="V107">
        <f>IFERROR(VLOOKUP($C107,武器!$1:$998,COLUMN(Q$1),FALSE),"")</f>
        <v>1</v>
      </c>
      <c r="W107" t="str">
        <f>IFERROR(VLOOKUP($C107,武器!$1:$998,COLUMN(T$1),FALSE),"")</f>
        <v>S</v>
      </c>
      <c r="Y107">
        <f>IFERROR(VLOOKUP($C107,武器!$1:$998,COLUMN(U$1),FALSE),"")</f>
        <v>0</v>
      </c>
      <c r="Z107">
        <f>IFERROR(ROUNDUP(VLOOKUP($C107,武器!$1:$998,COLUMN(O$1),FALSE)*VLOOKUP($D107,素材!$1:$1016,COLUMN(E$1),FALSE),1),"")</f>
        <v>0</v>
      </c>
      <c r="AA107">
        <f>IF(ISNUMBER(SEARCH(SUBSTITUTE(AA$1,RIGHT(AA$1,2),""),VLOOKUP($D107,素材!$1:$1016,COLUMN($F$1),FALSE))),VLOOKUP($C107,武器!$1:$998,COLUMN($O$1),FALSE)*VLOOKUP($D107,素材!$1:$1016,COLUMN($E$1),FALSE)/(LEN(VLOOKUP($D107,素材!$1:$1016,COLUMN($F$1),FALSE))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B107">
        <f>IF(ISNUMBER(SEARCH(SUBSTITUTE(AB$1,RIGHT(AB$1,2),""),VLOOKUP($D107,素材!$1:$1016,COLUMN($F$1),FALSE))),VLOOKUP($C107,武器!$1:$998,COLUMN($O$1),FALSE)*VLOOKUP($D107,素材!$1:$1016,COLUMN($E$1),FALSE)/(LEN(VLOOKUP($D107,素材!$1:$1016,COLUMN($F$1),FALSE))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C107">
        <f>IF(ISNUMBER(SEARCH(SUBSTITUTE(AC$1,RIGHT(AC$1,2),""),VLOOKUP($D107,素材!$1:$1016,COLUMN($F$1),FALSE))),VLOOKUP($C107,武器!$1:$998,COLUMN($O$1),FALSE)*VLOOKUP($D107,素材!$1:$1016,COLUMN($E$1),FALSE)/(LEN(VLOOKUP($D107,素材!$1:$1016,COLUMN($F$1),FALSE))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D107">
        <f>IF(ISNUMBER(SEARCH(SUBSTITUTE(AD$1,RIGHT(AD$1,2),""),VLOOKUP($D107,素材!$1:$1016,COLUMN($F$1),FALSE))),VLOOKUP($C107,武器!$1:$998,COLUMN($O$1),FALSE)*VLOOKUP($D107,素材!$1:$1016,COLUMN($E$1),FALSE)/(LEN(VLOOKUP($D107,素材!$1:$1016,COLUMN($F$1),FALSE))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E107">
        <f>IF(ISNUMBER(SEARCH(SUBSTITUTE(AE$1,RIGHT(AE$1,2),""),VLOOKUP($D107,素材!$1:$1016,COLUMN($F$1),FALSE))),VLOOKUP($C107,武器!$1:$998,COLUMN($O$1),FALSE)*VLOOKUP($D107,素材!$1:$1016,COLUMN($E$1),FALSE)/(LEN(VLOOKUP($D107,素材!$1:$1016,COLUMN($F$1),FALSE))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F107">
        <f>IF(ISNUMBER(SEARCH(SUBSTITUTE(AF$1,RIGHT(AF$1,2),""),VLOOKUP($D107,素材!$1:$1016,COLUMN($F$1),FALSE))),VLOOKUP($C107,武器!$1:$998,COLUMN($O$1),FALSE)*VLOOKUP($D107,素材!$1:$1016,COLUMN($E$1),FALSE)/(LEN(VLOOKUP($D107,素材!$1:$1016,COLUMN($F$1),FALSE))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G107">
        <f>IF(ISNUMBER(SEARCH(SUBSTITUTE(AG$1,RIGHT(AG$1,2),""),VLOOKUP($D107,素材!$1:$1016,COLUMN($F$1),FALSE))),VLOOKUP($C107,武器!$1:$998,COLUMN($O$1),FALSE)*VLOOKUP($D107,素材!$1:$1016,COLUMN($E$1),FALSE)/(LEN(VLOOKUP($D107,素材!$1:$1016,COLUMN($F$1),FALSE))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H107">
        <f>IF(ISNUMBER(SEARCH(SUBSTITUTE(AH$1,RIGHT(AH$1,2),""),VLOOKUP($D107,素材!$1:$1016,COLUMN($F$1),FALSE))),VLOOKUP($C107,武器!$1:$998,COLUMN($O$1),FALSE)*VLOOKUP($D107,素材!$1:$1016,COLUMN($E$1),FALSE)/(LEN(VLOOKUP($D107,素材!$1:$1016,COLUMN($F$1),FALSE))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I107">
        <f>IF(ISNUMBER(SEARCH(SUBSTITUTE(AI$1,RIGHT(AI$1,2),""),VLOOKUP($D107,素材!$1:$1016,COLUMN($F$1),FALSE))),VLOOKUP($C107,武器!$1:$998,COLUMN($O$1),FALSE)*VLOOKUP($D107,素材!$1:$1016,COLUMN($E$1),FALSE)/(LEN(VLOOKUP($D107,素材!$1:$1016,COLUMN($F$1),FALSE))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J107">
        <f>IF(ISNUMBER(SEARCH(SUBSTITUTE(AJ$1,RIGHT(AJ$1,2),""),VLOOKUP($D107,素材!$1:$1016,COLUMN($F$1),FALSE))),VLOOKUP($C107,武器!$1:$998,COLUMN($O$1),FALSE)*VLOOKUP($D107,素材!$1:$1016,COLUMN($E$1),FALSE)/(LEN(VLOOKUP($D107,素材!$1:$1016,COLUMN($F$1),FALSE))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K107">
        <f>IF(ISNUMBER(SEARCH(SUBSTITUTE(AK$1,RIGHT(AK$1,2),""),VLOOKUP($D107,素材!$1:$1016,COLUMN($F$1),FALSE))),VLOOKUP($C107,武器!$1:$998,COLUMN($O$1),FALSE)*VLOOKUP($D107,素材!$1:$1016,COLUMN($E$1),FALSE)/(LEN(VLOOKUP($D107,素材!$1:$1016,COLUMN($F$1),FALSE))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L107">
        <f>IF(ISNUMBER(SEARCH(SUBSTITUTE(AL$1,RIGHT(AL$1,2),""),VLOOKUP($D107,素材!$1:$1016,COLUMN($F$1),FALSE))),VLOOKUP($C107,武器!$1:$998,COLUMN($O$1),FALSE)*VLOOKUP($D107,素材!$1:$1016,COLUMN($E$1),FALSE)/(LEN(VLOOKUP($D107,素材!$1:$1016,COLUMN($F$1),FALSE))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M107">
        <f>IF(ISNUMBER(SEARCH(SUBSTITUTE(AM$1,RIGHT(AM$1,2),""),VLOOKUP($D107,素材!$1:$1016,COLUMN($F$1),FALSE))),VLOOKUP($C107,武器!$1:$998,COLUMN($O$1),FALSE)*VLOOKUP($D107,素材!$1:$1016,COLUMN($E$1),FALSE)/(LEN(VLOOKUP($D107,素材!$1:$1016,COLUMN($F$1),FALSE))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N107">
        <f>IF(ISNUMBER(SEARCH(SUBSTITUTE(AN$1,RIGHT(AN$1,2),""),VLOOKUP($D107,素材!$1:$1016,COLUMN($F$1),FALSE))),VLOOKUP($C107,武器!$1:$998,COLUMN($O$1),FALSE)*VLOOKUP($D107,素材!$1:$1016,COLUMN($E$1),FALSE)/(LEN(VLOOKUP($D107,素材!$1:$1016,COLUMN($F$1),FALSE))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O107">
        <f>IF(ISNUMBER(SEARCH(SUBSTITUTE(AO$1,RIGHT(AO$1,2),""),VLOOKUP($D107,素材!$1:$1016,COLUMN($F$1),FALSE))),VLOOKUP($C107,武器!$1:$998,COLUMN($O$1),FALSE)*VLOOKUP($D107,素材!$1:$1016,COLUMN($E$1),FALSE)/(LEN(VLOOKUP($D107,素材!$1:$1016,COLUMN($F$1),FALSE))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P107">
        <f>IF(ISNUMBER(SEARCH(SUBSTITUTE(AP$1,RIGHT(AP$1,2),""),VLOOKUP($D107,素材!$1:$1016,COLUMN($F$1),FALSE))),VLOOKUP($C107,武器!$1:$998,COLUMN($O$1),FALSE)*VLOOKUP($D107,素材!$1:$1016,COLUMN($E$1),FALSE)/(LEN(VLOOKUP($D107,素材!$1:$1016,COLUMN($F$1),FALSE))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Q107">
        <f>IF(ISNUMBER(SEARCH(SUBSTITUTE(AQ$1,RIGHT(AQ$1,2),""),VLOOKUP($D107,素材!$1:$1016,COLUMN($F$1),FALSE))),VLOOKUP($C107,武器!$1:$998,COLUMN($O$1),FALSE)*VLOOKUP($D107,素材!$1:$1016,COLUMN($E$1),FALSE)/(LEN(VLOOKUP($D107,素材!$1:$1016,COLUMN($F$1),FALSE))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R107">
        <f>IF(ISNUMBER(SEARCH(SUBSTITUTE(AR$1,RIGHT(AR$1,2),""),VLOOKUP($D107,素材!$1:$1016,COLUMN($F$1),FALSE))),VLOOKUP($C107,武器!$1:$998,COLUMN($O$1),FALSE)*VLOOKUP($D107,素材!$1:$1016,COLUMN($E$1),FALSE)/(LEN(VLOOKUP($D107,素材!$1:$1016,COLUMN($F$1),FALSE))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S107">
        <f>IF(ISNUMBER(SEARCH(SUBSTITUTE(AS$1,RIGHT(AS$1,2),""),VLOOKUP($D107,素材!$1:$1016,COLUMN($F$1),FALSE))),VLOOKUP($C107,武器!$1:$998,COLUMN($O$1),FALSE)*VLOOKUP($D107,素材!$1:$1016,COLUMN($E$1),FALSE)/(LEN(VLOOKUP($D107,素材!$1:$1016,COLUMN($F$1),FALSE))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T107">
        <f>IF(ISNUMBER(SEARCH(SUBSTITUTE(AT$1,RIGHT(AT$1,2),""),VLOOKUP($D107,素材!$1:$1016,COLUMN($F$1),FALSE))),VLOOKUP($C107,武器!$1:$998,COLUMN($O$1),FALSE)*VLOOKUP($D107,素材!$1:$1016,COLUMN($E$1),FALSE)/(LEN(VLOOKUP($D107,素材!$1:$1016,COLUMN($F$1),FALSE))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U107">
        <f>IF(ISNUMBER(SEARCH(SUBSTITUTE(AU$1,RIGHT(AU$1,2),""),VLOOKUP($D107,素材!$1:$1016,COLUMN($F$1),FALSE))),VLOOKUP($C107,武器!$1:$998,COLUMN($O$1),FALSE)*VLOOKUP($D107,素材!$1:$1016,COLUMN($E$1),FALSE)/(LEN(VLOOKUP($D107,素材!$1:$1016,COLUMN($F$1),FALSE))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V107">
        <f>IF(ISNUMBER(SEARCH(SUBSTITUTE(AV$1,RIGHT(AV$1,2),""),VLOOKUP($D107,素材!$1:$1016,COLUMN($F$1),FALSE))),VLOOKUP($C107,武器!$1:$998,COLUMN($O$1),FALSE)*VLOOKUP($D107,素材!$1:$1016,COLUMN($E$1),FALSE)/(LEN(VLOOKUP($D107,素材!$1:$1016,COLUMN($F$1),FALSE))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W107">
        <f>IF(ISNUMBER(SEARCH(SUBSTITUTE(AW$1,RIGHT(AW$1,2),""),VLOOKUP($D107,素材!$1:$1016,COLUMN($F$1),FALSE))),VLOOKUP($C107,武器!$1:$998,COLUMN($O$1),FALSE)*VLOOKUP($D107,素材!$1:$1016,COLUMN($E$1),FALSE)/(LEN(VLOOKUP($D107,素材!$1:$1016,COLUMN($F$1),FALSE))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X107">
        <f>IF(ISNUMBER(SEARCH(SUBSTITUTE(AX$1,RIGHT(AX$1,2),""),VLOOKUP($D107,素材!$1:$1016,COLUMN($F$1),FALSE))),VLOOKUP($C107,武器!$1:$998,COLUMN($O$1),FALSE)*VLOOKUP($D107,素材!$1:$1016,COLUMN($E$1),FALSE)/(LEN(VLOOKUP($D107,素材!$1:$1016,COLUMN($F$1),FALSE))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Y107">
        <f>IF(ISNUMBER(SEARCH(SUBSTITUTE(AY$1,RIGHT(AY$1,2),""),VLOOKUP($D107,素材!$1:$1016,COLUMN($F$1),FALSE))),VLOOKUP($C107,武器!$1:$998,COLUMN($O$1),FALSE)*VLOOKUP($D107,素材!$1:$1016,COLUMN($E$1),FALSE)/(LEN(VLOOKUP($D107,素材!$1:$1016,COLUMN($F$1),FALSE))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AZ107">
        <f>IF(ISNUMBER(SEARCH(SUBSTITUTE(AZ$1,RIGHT(AZ$1,2),""),VLOOKUP($D107,素材!$1:$1016,COLUMN($F$1),FALSE))),VLOOKUP($C107,武器!$1:$998,COLUMN($O$1),FALSE)*VLOOKUP($D107,素材!$1:$1016,COLUMN($E$1),FALSE)/(LEN(VLOOKUP($D107,素材!$1:$1016,COLUMN($F$1),FALSE))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BA107">
        <f>IF(ISNUMBER(SEARCH(SUBSTITUTE(BA$1,RIGHT(BA$1,2),""),VLOOKUP($D107,素材!$1:$1016,COLUMN($F$1),FALSE))),VLOOKUP($C107,武器!$1:$998,COLUMN($O$1),FALSE)*VLOOKUP($D107,素材!$1:$1016,COLUMN($E$1),FALSE)/(LEN(VLOOKUP($D107,素材!$1:$1016,COLUMN($F$1),FALSE))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BB107">
        <f>IF(ISNUMBER(SEARCH(SUBSTITUTE(BB$1,RIGHT(BB$1,2),""),VLOOKUP($D107,素材!$1:$1016,COLUMN($F$1),FALSE))),VLOOKUP($C107,武器!$1:$998,COLUMN($O$1),FALSE)*VLOOKUP($D107,素材!$1:$1016,COLUMN($E$1),FALSE)/(LEN(VLOOKUP($D107,素材!$1:$1016,COLUMN($F$1),FALSE))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BC107">
        <f>IF(ISNUMBER(SEARCH(SUBSTITUTE(BC$1,RIGHT(BC$1,2),""),VLOOKUP($D107,素材!$1:$1016,COLUMN($F$1),FALSE))),VLOOKUP($C107,武器!$1:$998,COLUMN($O$1),FALSE)*VLOOKUP($D107,素材!$1:$1016,COLUMN($E$1),FALSE)/(LEN(VLOOKUP($D107,素材!$1:$1016,COLUMN($F$1),FALSE))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BD107">
        <f>IF(ISNUMBER(SEARCH(SUBSTITUTE(BD$1,RIGHT(BD$1,2),""),VLOOKUP($D107,素材!$1:$1016,COLUMN($F$1),FALSE))),VLOOKUP($C107,武器!$1:$998,COLUMN($O$1),FALSE)*VLOOKUP($D107,素材!$1:$1016,COLUMN($E$1),FALSE)/(LEN(VLOOKUP($D107,素材!$1:$1016,COLUMN($F$1),FALSE))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BE107">
        <f>IF(ISNUMBER(SEARCH(SUBSTITUTE(BE$1,RIGHT(BE$1,2),""),VLOOKUP($D107,素材!$1:$1016,COLUMN($F$1),FALSE))),VLOOKUP($C107,武器!$1:$998,COLUMN($O$1),FALSE)*VLOOKUP($D107,素材!$1:$1016,COLUMN($E$1),FALSE)/(LEN(VLOOKUP($D107,素材!$1:$1016,COLUMN($F$1),FALSE))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BF107">
        <f>IF(ISNUMBER(SEARCH(SUBSTITUTE(BF$1,RIGHT(BF$1,2),""),VLOOKUP($D107,素材!$1:$1016,COLUMN($F$1),FALSE))),VLOOKUP($C107,武器!$1:$998,COLUMN($O$1),FALSE)*VLOOKUP($D107,素材!$1:$1016,COLUMN($E$1),FALSE)/(LEN(VLOOKUP($D107,素材!$1:$1016,COLUMN($F$1),FALSE)) - LEN(SUBSTITUTE(VLOOKUP($D107,素材!$1:$1016,COLUMN($F$1),FALSE), "・", 0)) + 1), 0)</f>
        <v>0</v>
      </c>
      <c r="CM107">
        <f t="shared" si="8"/>
        <v>0</v>
      </c>
      <c r="CN107" s="22" t="str">
        <f>IF(E107="武器",IF(J107-1&gt;SUM(G107:I107),"盾",IF(MAX(G107:I107)=G107,"切断",IF(MAX(G107:I107)=H107,"貫通",IF(MAX(G107:I107)=I107,"打撃","射撃")))),E107)&amp;".webp"</f>
        <v>銃.webp</v>
      </c>
      <c r="CO107">
        <f>IFERROR(VLOOKUP($C107,武器!$1:$998,COLUMN(V$1),FALSE)*VLOOKUP($D107,素材!$1:$1016,COLUMN(N$1),FALSE)+IF(CJ107="",0,VLOOKUP($CJ107,装強!$1:$1008,COLUMN($CL$1),FALSE)),"")</f>
        <v>1350</v>
      </c>
      <c r="CP107" t="str">
        <f>VLOOKUP(D107,素材!$A:$O,COLUMN(素材!O$1),FALSE)</f>
        <v>鍛えられた鉄。硬度が高く安価なためよく使用される。</v>
      </c>
      <c r="CQ107" t="str">
        <f>VLOOKUP(C107,武器!$A:$W,COLUMN(武器!W$1),FALSE)</f>
        <v/>
      </c>
      <c r="CS107" t="str">
        <f t="shared" si="7"/>
        <v>e_107</v>
      </c>
      <c r="CT107">
        <f t="shared" si="9"/>
        <v>135000</v>
      </c>
    </row>
    <row r="108" spans="1:98" outlineLevel="1" x14ac:dyDescent="0.4">
      <c r="A108" t="str">
        <f t="shared" si="10"/>
        <v>鋼の回転式拳銃</v>
      </c>
      <c r="B108" t="str">
        <f>IFERROR(VLOOKUP($D108,素材!$1:$1016,COLUMN($B$1),FALSE)&amp;"・"&amp;VLOOKUP($C108,武器!$1:$998,COLUMN(B$1),FALSE),"")</f>
        <v>スチール・リボルバー</v>
      </c>
      <c r="C108" t="s">
        <v>212</v>
      </c>
      <c r="D108" s="24" t="s">
        <v>253</v>
      </c>
      <c r="E108" t="str">
        <f>IFERROR(VLOOKUP(C108,武器!$1:$998,COLUMN(C$1),FALSE),"")</f>
        <v>銃</v>
      </c>
      <c r="F108">
        <f>IFERROR(ROUNDDOWN((VLOOKUP($C108,武器!$1:$998,COLUMN(D$1),FALSE)+IFERROR(VLOOKUP($CJ108,装強!$1:$999,COLUMN(F$1),FALSE),0))*VLOOKUP($D108,素材!$1:$1016,COLUMN(D$1),FALSE),0),"")</f>
        <v>0</v>
      </c>
      <c r="G108">
        <f>IFERROR(ROUNDDOWN((VLOOKUP($C108,武器!$1:$998,COLUMN(E$1),FALSE)+IFERROR(VLOOKUP($CJ108,装強!$1:$999,COLUMN(G$1),FALSE),0))*VLOOKUP($D108,素材!$1:$1016,COLUMN($E$1),FALSE),0),"")</f>
        <v>0</v>
      </c>
      <c r="H108">
        <f>IFERROR(ROUNDDOWN((VLOOKUP($C108,武器!$1:$998,COLUMN(F$1),FALSE)+IFERROR(VLOOKUP($CJ108,装強!$1:$999,COLUMN(H$1),FALSE),0))*VLOOKUP($D108,素材!$1:$1016,COLUMN($E$1),FALSE),0),"")</f>
        <v>0</v>
      </c>
      <c r="I108">
        <f>IFERROR(ROUNDDOWN((VLOOKUP($C108,武器!$1:$998,COLUMN(G$1),FALSE)+IFERROR(VLOOKUP($CJ108,装強!$1:$999,COLUMN(I$1),FALSE),0))*VLOOKUP($D108,素材!$1:$1016,COLUMN($E$1),FALSE),0),"")</f>
        <v>0</v>
      </c>
      <c r="J108">
        <f>IFERROR(ROUNDDOWN((VLOOKUP($C108,武器!$1:$998,COLUMN(H$1),FALSE)+IFERROR(VLOOKUP($CJ108,装強!$1:$999,COLUMN(J$1),FALSE),0))*VLOOKUP($D108,素材!$1:$1016,COLUMN($E$1),FALSE),0),"")</f>
        <v>0</v>
      </c>
      <c r="K108">
        <f>IFERROR(ROUNDDOWN((VLOOKUP($C108,武器!$1:$998,COLUMN(I$1),FALSE)+IFERROR(VLOOKUP($CJ108,装強!$1:$999,COLUMN(K$1),FALSE),0))*VLOOKUP($D108,素材!$1:$1016,COLUMN($E$1),FALSE),0),"")</f>
        <v>69</v>
      </c>
      <c r="L108">
        <f>IFERROR(VLOOKUP($D108,素材!$1:$1016,COLUMN($F$1),FALSE),"")</f>
        <v>0</v>
      </c>
      <c r="M108">
        <f>IFERROR(VLOOKUP($C108,武器!$1:$998,COLUMN(AA$1),FALSE)*VLOOKUP($D108,素材!$1:$1016,COLUMN($G$1),FALSE),"")</f>
        <v>0</v>
      </c>
      <c r="N108">
        <f>IFERROR(VLOOKUP($C108,武器!$1:$998,COLUMN(I$1),FALSE),"")</f>
        <v>2.5700000000000003</v>
      </c>
      <c r="O108" s="23">
        <f>IFERROR((VLOOKUP($C108,武器!$1:$998,COLUMN(K$1),FALSE)+VLOOKUP($D108,素材!$1:$1016,COLUMN(H$1),FALSE))*100+IFERROR(VLOOKUP($CJ108,装強!$1:$999,COLUMN(O$1),FALSE),0),"")</f>
        <v>10</v>
      </c>
      <c r="P108" s="23">
        <f>IFERROR((VLOOKUP($C108,武器!$1:$998,COLUMN(L$1),FALSE)+VLOOKUP($D108,素材!$1:$1016,COLUMN(I$1),FALSE))*100+IFERROR(VLOOKUP($CJ108,装強!$1:$999,COLUMN(P$1),FALSE),0),"")</f>
        <v>140</v>
      </c>
      <c r="Q108">
        <f>IFERROR(ROUNDUP(VLOOKUP($C108,武器!$1:$998,COLUMN(M$1),FALSE)*(VLOOKUP($D108,素材!$1:$1002,COLUMN(D$1),FALSE)/100),1),"")</f>
        <v>0</v>
      </c>
      <c r="R108">
        <f>IFERROR(ROUNDUP(VLOOKUP($C108,武器!$1:$998,COLUMN(N$1),FALSE)*(VLOOKUP($D108,素材!$1:$1002,COLUMN(D$1),FALSE)/100),1),"")</f>
        <v>-15.799999999999999</v>
      </c>
      <c r="S108">
        <f>IFERROR(VLOOKUP($C108,武器!$1:$998,COLUMN(P$1),FALSE),"")</f>
        <v>0</v>
      </c>
      <c r="T108">
        <f>IFERROR(VLOOKUP($C108,武器!$1:$998,COLUMN(Q$1),FALSE),"")</f>
        <v>2</v>
      </c>
      <c r="U108">
        <f>IFERROR(VLOOKUP($C108,武器!$1:$998,COLUMN(R$1),FALSE),"")</f>
        <v>6</v>
      </c>
      <c r="V108">
        <f>IFERROR(VLOOKUP($C108,武器!$1:$998,COLUMN(Q$1),FALSE),"")</f>
        <v>2</v>
      </c>
      <c r="W108">
        <f>IFERROR(VLOOKUP($C108,武器!$1:$998,COLUMN(T$1),FALSE),"")</f>
        <v>0</v>
      </c>
      <c r="Y108">
        <f>IFERROR(VLOOKUP($C108,武器!$1:$998,COLUMN(U$1),FALSE),"")</f>
        <v>0</v>
      </c>
      <c r="Z108">
        <f>IFERROR(ROUNDUP(VLOOKUP($C108,武器!$1:$998,COLUMN(O$1),FALSE)*VLOOKUP($D108,素材!$1:$1016,COLUMN(E$1),FALSE),1),"")</f>
        <v>0</v>
      </c>
      <c r="AA108">
        <f>IF(ISNUMBER(SEARCH(SUBSTITUTE(AA$1,RIGHT(AA$1,2),""),VLOOKUP($D108,素材!$1:$1016,COLUMN($F$1),FALSE))),VLOOKUP($C108,武器!$1:$998,COLUMN($O$1),FALSE)*VLOOKUP($D108,素材!$1:$1016,COLUMN($E$1),FALSE)/(LEN(VLOOKUP($D108,素材!$1:$1016,COLUMN($F$1),FALSE))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B108">
        <f>IF(ISNUMBER(SEARCH(SUBSTITUTE(AB$1,RIGHT(AB$1,2),""),VLOOKUP($D108,素材!$1:$1016,COLUMN($F$1),FALSE))),VLOOKUP($C108,武器!$1:$998,COLUMN($O$1),FALSE)*VLOOKUP($D108,素材!$1:$1016,COLUMN($E$1),FALSE)/(LEN(VLOOKUP($D108,素材!$1:$1016,COLUMN($F$1),FALSE))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C108">
        <f>IF(ISNUMBER(SEARCH(SUBSTITUTE(AC$1,RIGHT(AC$1,2),""),VLOOKUP($D108,素材!$1:$1016,COLUMN($F$1),FALSE))),VLOOKUP($C108,武器!$1:$998,COLUMN($O$1),FALSE)*VLOOKUP($D108,素材!$1:$1016,COLUMN($E$1),FALSE)/(LEN(VLOOKUP($D108,素材!$1:$1016,COLUMN($F$1),FALSE))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D108">
        <f>IF(ISNUMBER(SEARCH(SUBSTITUTE(AD$1,RIGHT(AD$1,2),""),VLOOKUP($D108,素材!$1:$1016,COLUMN($F$1),FALSE))),VLOOKUP($C108,武器!$1:$998,COLUMN($O$1),FALSE)*VLOOKUP($D108,素材!$1:$1016,COLUMN($E$1),FALSE)/(LEN(VLOOKUP($D108,素材!$1:$1016,COLUMN($F$1),FALSE))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E108">
        <f>IF(ISNUMBER(SEARCH(SUBSTITUTE(AE$1,RIGHT(AE$1,2),""),VLOOKUP($D108,素材!$1:$1016,COLUMN($F$1),FALSE))),VLOOKUP($C108,武器!$1:$998,COLUMN($O$1),FALSE)*VLOOKUP($D108,素材!$1:$1016,COLUMN($E$1),FALSE)/(LEN(VLOOKUP($D108,素材!$1:$1016,COLUMN($F$1),FALSE))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F108">
        <f>IF(ISNUMBER(SEARCH(SUBSTITUTE(AF$1,RIGHT(AF$1,2),""),VLOOKUP($D108,素材!$1:$1016,COLUMN($F$1),FALSE))),VLOOKUP($C108,武器!$1:$998,COLUMN($O$1),FALSE)*VLOOKUP($D108,素材!$1:$1016,COLUMN($E$1),FALSE)/(LEN(VLOOKUP($D108,素材!$1:$1016,COLUMN($F$1),FALSE))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G108">
        <f>IF(ISNUMBER(SEARCH(SUBSTITUTE(AG$1,RIGHT(AG$1,2),""),VLOOKUP($D108,素材!$1:$1016,COLUMN($F$1),FALSE))),VLOOKUP($C108,武器!$1:$998,COLUMN($O$1),FALSE)*VLOOKUP($D108,素材!$1:$1016,COLUMN($E$1),FALSE)/(LEN(VLOOKUP($D108,素材!$1:$1016,COLUMN($F$1),FALSE))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H108">
        <f>IF(ISNUMBER(SEARCH(SUBSTITUTE(AH$1,RIGHT(AH$1,2),""),VLOOKUP($D108,素材!$1:$1016,COLUMN($F$1),FALSE))),VLOOKUP($C108,武器!$1:$998,COLUMN($O$1),FALSE)*VLOOKUP($D108,素材!$1:$1016,COLUMN($E$1),FALSE)/(LEN(VLOOKUP($D108,素材!$1:$1016,COLUMN($F$1),FALSE))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I108">
        <f>IF(ISNUMBER(SEARCH(SUBSTITUTE(AI$1,RIGHT(AI$1,2),""),VLOOKUP($D108,素材!$1:$1016,COLUMN($F$1),FALSE))),VLOOKUP($C108,武器!$1:$998,COLUMN($O$1),FALSE)*VLOOKUP($D108,素材!$1:$1016,COLUMN($E$1),FALSE)/(LEN(VLOOKUP($D108,素材!$1:$1016,COLUMN($F$1),FALSE))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J108">
        <f>IF(ISNUMBER(SEARCH(SUBSTITUTE(AJ$1,RIGHT(AJ$1,2),""),VLOOKUP($D108,素材!$1:$1016,COLUMN($F$1),FALSE))),VLOOKUP($C108,武器!$1:$998,COLUMN($O$1),FALSE)*VLOOKUP($D108,素材!$1:$1016,COLUMN($E$1),FALSE)/(LEN(VLOOKUP($D108,素材!$1:$1016,COLUMN($F$1),FALSE))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K108">
        <f>IF(ISNUMBER(SEARCH(SUBSTITUTE(AK$1,RIGHT(AK$1,2),""),VLOOKUP($D108,素材!$1:$1016,COLUMN($F$1),FALSE))),VLOOKUP($C108,武器!$1:$998,COLUMN($O$1),FALSE)*VLOOKUP($D108,素材!$1:$1016,COLUMN($E$1),FALSE)/(LEN(VLOOKUP($D108,素材!$1:$1016,COLUMN($F$1),FALSE))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L108">
        <f>IF(ISNUMBER(SEARCH(SUBSTITUTE(AL$1,RIGHT(AL$1,2),""),VLOOKUP($D108,素材!$1:$1016,COLUMN($F$1),FALSE))),VLOOKUP($C108,武器!$1:$998,COLUMN($O$1),FALSE)*VLOOKUP($D108,素材!$1:$1016,COLUMN($E$1),FALSE)/(LEN(VLOOKUP($D108,素材!$1:$1016,COLUMN($F$1),FALSE))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M108">
        <f>IF(ISNUMBER(SEARCH(SUBSTITUTE(AM$1,RIGHT(AM$1,2),""),VLOOKUP($D108,素材!$1:$1016,COLUMN($F$1),FALSE))),VLOOKUP($C108,武器!$1:$998,COLUMN($O$1),FALSE)*VLOOKUP($D108,素材!$1:$1016,COLUMN($E$1),FALSE)/(LEN(VLOOKUP($D108,素材!$1:$1016,COLUMN($F$1),FALSE))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N108">
        <f>IF(ISNUMBER(SEARCH(SUBSTITUTE(AN$1,RIGHT(AN$1,2),""),VLOOKUP($D108,素材!$1:$1016,COLUMN($F$1),FALSE))),VLOOKUP($C108,武器!$1:$998,COLUMN($O$1),FALSE)*VLOOKUP($D108,素材!$1:$1016,COLUMN($E$1),FALSE)/(LEN(VLOOKUP($D108,素材!$1:$1016,COLUMN($F$1),FALSE))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O108">
        <f>IF(ISNUMBER(SEARCH(SUBSTITUTE(AO$1,RIGHT(AO$1,2),""),VLOOKUP($D108,素材!$1:$1016,COLUMN($F$1),FALSE))),VLOOKUP($C108,武器!$1:$998,COLUMN($O$1),FALSE)*VLOOKUP($D108,素材!$1:$1016,COLUMN($E$1),FALSE)/(LEN(VLOOKUP($D108,素材!$1:$1016,COLUMN($F$1),FALSE))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P108">
        <f>IF(ISNUMBER(SEARCH(SUBSTITUTE(AP$1,RIGHT(AP$1,2),""),VLOOKUP($D108,素材!$1:$1016,COLUMN($F$1),FALSE))),VLOOKUP($C108,武器!$1:$998,COLUMN($O$1),FALSE)*VLOOKUP($D108,素材!$1:$1016,COLUMN($E$1),FALSE)/(LEN(VLOOKUP($D108,素材!$1:$1016,COLUMN($F$1),FALSE))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Q108">
        <f>IF(ISNUMBER(SEARCH(SUBSTITUTE(AQ$1,RIGHT(AQ$1,2),""),VLOOKUP($D108,素材!$1:$1016,COLUMN($F$1),FALSE))),VLOOKUP($C108,武器!$1:$998,COLUMN($O$1),FALSE)*VLOOKUP($D108,素材!$1:$1016,COLUMN($E$1),FALSE)/(LEN(VLOOKUP($D108,素材!$1:$1016,COLUMN($F$1),FALSE))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R108">
        <f>IF(ISNUMBER(SEARCH(SUBSTITUTE(AR$1,RIGHT(AR$1,2),""),VLOOKUP($D108,素材!$1:$1016,COLUMN($F$1),FALSE))),VLOOKUP($C108,武器!$1:$998,COLUMN($O$1),FALSE)*VLOOKUP($D108,素材!$1:$1016,COLUMN($E$1),FALSE)/(LEN(VLOOKUP($D108,素材!$1:$1016,COLUMN($F$1),FALSE))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S108">
        <f>IF(ISNUMBER(SEARCH(SUBSTITUTE(AS$1,RIGHT(AS$1,2),""),VLOOKUP($D108,素材!$1:$1016,COLUMN($F$1),FALSE))),VLOOKUP($C108,武器!$1:$998,COLUMN($O$1),FALSE)*VLOOKUP($D108,素材!$1:$1016,COLUMN($E$1),FALSE)/(LEN(VLOOKUP($D108,素材!$1:$1016,COLUMN($F$1),FALSE))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T108">
        <f>IF(ISNUMBER(SEARCH(SUBSTITUTE(AT$1,RIGHT(AT$1,2),""),VLOOKUP($D108,素材!$1:$1016,COLUMN($F$1),FALSE))),VLOOKUP($C108,武器!$1:$998,COLUMN($O$1),FALSE)*VLOOKUP($D108,素材!$1:$1016,COLUMN($E$1),FALSE)/(LEN(VLOOKUP($D108,素材!$1:$1016,COLUMN($F$1),FALSE))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U108">
        <f>IF(ISNUMBER(SEARCH(SUBSTITUTE(AU$1,RIGHT(AU$1,2),""),VLOOKUP($D108,素材!$1:$1016,COLUMN($F$1),FALSE))),VLOOKUP($C108,武器!$1:$998,COLUMN($O$1),FALSE)*VLOOKUP($D108,素材!$1:$1016,COLUMN($E$1),FALSE)/(LEN(VLOOKUP($D108,素材!$1:$1016,COLUMN($F$1),FALSE))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V108">
        <f>IF(ISNUMBER(SEARCH(SUBSTITUTE(AV$1,RIGHT(AV$1,2),""),VLOOKUP($D108,素材!$1:$1016,COLUMN($F$1),FALSE))),VLOOKUP($C108,武器!$1:$998,COLUMN($O$1),FALSE)*VLOOKUP($D108,素材!$1:$1016,COLUMN($E$1),FALSE)/(LEN(VLOOKUP($D108,素材!$1:$1016,COLUMN($F$1),FALSE))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W108">
        <f>IF(ISNUMBER(SEARCH(SUBSTITUTE(AW$1,RIGHT(AW$1,2),""),VLOOKUP($D108,素材!$1:$1016,COLUMN($F$1),FALSE))),VLOOKUP($C108,武器!$1:$998,COLUMN($O$1),FALSE)*VLOOKUP($D108,素材!$1:$1016,COLUMN($E$1),FALSE)/(LEN(VLOOKUP($D108,素材!$1:$1016,COLUMN($F$1),FALSE))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X108">
        <f>IF(ISNUMBER(SEARCH(SUBSTITUTE(AX$1,RIGHT(AX$1,2),""),VLOOKUP($D108,素材!$1:$1016,COLUMN($F$1),FALSE))),VLOOKUP($C108,武器!$1:$998,COLUMN($O$1),FALSE)*VLOOKUP($D108,素材!$1:$1016,COLUMN($E$1),FALSE)/(LEN(VLOOKUP($D108,素材!$1:$1016,COLUMN($F$1),FALSE))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Y108">
        <f>IF(ISNUMBER(SEARCH(SUBSTITUTE(AY$1,RIGHT(AY$1,2),""),VLOOKUP($D108,素材!$1:$1016,COLUMN($F$1),FALSE))),VLOOKUP($C108,武器!$1:$998,COLUMN($O$1),FALSE)*VLOOKUP($D108,素材!$1:$1016,COLUMN($E$1),FALSE)/(LEN(VLOOKUP($D108,素材!$1:$1016,COLUMN($F$1),FALSE))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AZ108">
        <f>IF(ISNUMBER(SEARCH(SUBSTITUTE(AZ$1,RIGHT(AZ$1,2),""),VLOOKUP($D108,素材!$1:$1016,COLUMN($F$1),FALSE))),VLOOKUP($C108,武器!$1:$998,COLUMN($O$1),FALSE)*VLOOKUP($D108,素材!$1:$1016,COLUMN($E$1),FALSE)/(LEN(VLOOKUP($D108,素材!$1:$1016,COLUMN($F$1),FALSE))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BA108">
        <f>IF(ISNUMBER(SEARCH(SUBSTITUTE(BA$1,RIGHT(BA$1,2),""),VLOOKUP($D108,素材!$1:$1016,COLUMN($F$1),FALSE))),VLOOKUP($C108,武器!$1:$998,COLUMN($O$1),FALSE)*VLOOKUP($D108,素材!$1:$1016,COLUMN($E$1),FALSE)/(LEN(VLOOKUP($D108,素材!$1:$1016,COLUMN($F$1),FALSE))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BB108">
        <f>IF(ISNUMBER(SEARCH(SUBSTITUTE(BB$1,RIGHT(BB$1,2),""),VLOOKUP($D108,素材!$1:$1016,COLUMN($F$1),FALSE))),VLOOKUP($C108,武器!$1:$998,COLUMN($O$1),FALSE)*VLOOKUP($D108,素材!$1:$1016,COLUMN($E$1),FALSE)/(LEN(VLOOKUP($D108,素材!$1:$1016,COLUMN($F$1),FALSE))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BC108">
        <f>IF(ISNUMBER(SEARCH(SUBSTITUTE(BC$1,RIGHT(BC$1,2),""),VLOOKUP($D108,素材!$1:$1016,COLUMN($F$1),FALSE))),VLOOKUP($C108,武器!$1:$998,COLUMN($O$1),FALSE)*VLOOKUP($D108,素材!$1:$1016,COLUMN($E$1),FALSE)/(LEN(VLOOKUP($D108,素材!$1:$1016,COLUMN($F$1),FALSE))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BD108">
        <f>IF(ISNUMBER(SEARCH(SUBSTITUTE(BD$1,RIGHT(BD$1,2),""),VLOOKUP($D108,素材!$1:$1016,COLUMN($F$1),FALSE))),VLOOKUP($C108,武器!$1:$998,COLUMN($O$1),FALSE)*VLOOKUP($D108,素材!$1:$1016,COLUMN($E$1),FALSE)/(LEN(VLOOKUP($D108,素材!$1:$1016,COLUMN($F$1),FALSE))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BE108">
        <f>IF(ISNUMBER(SEARCH(SUBSTITUTE(BE$1,RIGHT(BE$1,2),""),VLOOKUP($D108,素材!$1:$1016,COLUMN($F$1),FALSE))),VLOOKUP($C108,武器!$1:$998,COLUMN($O$1),FALSE)*VLOOKUP($D108,素材!$1:$1016,COLUMN($E$1),FALSE)/(LEN(VLOOKUP($D108,素材!$1:$1016,COLUMN($F$1),FALSE))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BF108">
        <f>IF(ISNUMBER(SEARCH(SUBSTITUTE(BF$1,RIGHT(BF$1,2),""),VLOOKUP($D108,素材!$1:$1016,COLUMN($F$1),FALSE))),VLOOKUP($C108,武器!$1:$998,COLUMN($O$1),FALSE)*VLOOKUP($D108,素材!$1:$1016,COLUMN($E$1),FALSE)/(LEN(VLOOKUP($D108,素材!$1:$1016,COLUMN($F$1),FALSE)) - LEN(SUBSTITUTE(VLOOKUP($D108,素材!$1:$1016,COLUMN($F$1),FALSE), "・", 0)) + 1), 0)</f>
        <v>0</v>
      </c>
      <c r="CM108">
        <f t="shared" si="8"/>
        <v>0</v>
      </c>
      <c r="CN108" s="22" t="str">
        <f>IF(E108="武器",IF(J108-1&gt;SUM(G108:I108),"盾",IF(MAX(G108:I108)=G108,"切断",IF(MAX(G108:I108)=H108,"貫通",IF(MAX(G108:I108)=I108,"打撃","射撃")))),E108)&amp;".webp"</f>
        <v>銃.webp</v>
      </c>
      <c r="CO108">
        <f>IFERROR(VLOOKUP($C108,武器!$1:$998,COLUMN(V$1),FALSE)*VLOOKUP($D108,素材!$1:$1016,COLUMN(N$1),FALSE)+IF(CJ108="",0,VLOOKUP($CJ108,装強!$1:$1008,COLUMN($CL$1),FALSE)),"")</f>
        <v>900</v>
      </c>
      <c r="CP108" t="str">
        <f>VLOOKUP(D108,素材!$A:$O,COLUMN(素材!O$1),FALSE)</f>
        <v>鍛えられた鉄。硬度が高く安価なためよく使用される。</v>
      </c>
      <c r="CQ108" t="str">
        <f>VLOOKUP(C108,武器!$A:$W,COLUMN(武器!W$1),FALSE)</f>
        <v/>
      </c>
      <c r="CS108" t="str">
        <f t="shared" si="7"/>
        <v>e_108</v>
      </c>
      <c r="CT108">
        <f t="shared" si="9"/>
        <v>90000</v>
      </c>
    </row>
    <row r="109" spans="1:98" outlineLevel="1" x14ac:dyDescent="0.4">
      <c r="A109" t="str">
        <f t="shared" si="10"/>
        <v>鋼の拳銃</v>
      </c>
      <c r="B109" t="str">
        <f>IFERROR(VLOOKUP($D109,素材!$1:$1016,COLUMN($B$1),FALSE)&amp;"・"&amp;VLOOKUP($C109,武器!$1:$998,COLUMN(B$1),FALSE),"")</f>
        <v>スチール・ハンドガン</v>
      </c>
      <c r="C109" t="s">
        <v>211</v>
      </c>
      <c r="D109" s="24" t="s">
        <v>253</v>
      </c>
      <c r="E109" t="str">
        <f>IFERROR(VLOOKUP(C109,武器!$1:$998,COLUMN(C$1),FALSE),"")</f>
        <v>銃</v>
      </c>
      <c r="F109">
        <f>IFERROR(ROUNDDOWN((VLOOKUP($C109,武器!$1:$998,COLUMN(D$1),FALSE)+IFERROR(VLOOKUP($CJ109,装強!$1:$999,COLUMN(F$1),FALSE),0))*VLOOKUP($D109,素材!$1:$1016,COLUMN(D$1),FALSE),0),"")</f>
        <v>0</v>
      </c>
      <c r="G109">
        <f>IFERROR(ROUNDDOWN((VLOOKUP($C109,武器!$1:$998,COLUMN(E$1),FALSE)+IFERROR(VLOOKUP($CJ109,装強!$1:$999,COLUMN(G$1),FALSE),0))*VLOOKUP($D109,素材!$1:$1016,COLUMN($E$1),FALSE),0),"")</f>
        <v>0</v>
      </c>
      <c r="H109">
        <f>IFERROR(ROUNDDOWN((VLOOKUP($C109,武器!$1:$998,COLUMN(F$1),FALSE)+IFERROR(VLOOKUP($CJ109,装強!$1:$999,COLUMN(H$1),FALSE),0))*VLOOKUP($D109,素材!$1:$1016,COLUMN($E$1),FALSE),0),"")</f>
        <v>0</v>
      </c>
      <c r="I109">
        <f>IFERROR(ROUNDDOWN((VLOOKUP($C109,武器!$1:$998,COLUMN(G$1),FALSE)+IFERROR(VLOOKUP($CJ109,装強!$1:$999,COLUMN(I$1),FALSE),0))*VLOOKUP($D109,素材!$1:$1016,COLUMN($E$1),FALSE),0),"")</f>
        <v>0</v>
      </c>
      <c r="J109">
        <f>IFERROR(ROUNDDOWN((VLOOKUP($C109,武器!$1:$998,COLUMN(H$1),FALSE)+IFERROR(VLOOKUP($CJ109,装強!$1:$999,COLUMN(J$1),FALSE),0))*VLOOKUP($D109,素材!$1:$1016,COLUMN($E$1),FALSE),0),"")</f>
        <v>0</v>
      </c>
      <c r="K109">
        <f>IFERROR(ROUNDDOWN((VLOOKUP($C109,武器!$1:$998,COLUMN(I$1),FALSE)+IFERROR(VLOOKUP($CJ109,装強!$1:$999,COLUMN(K$1),FALSE),0))*VLOOKUP($D109,素材!$1:$1016,COLUMN($E$1),FALSE),0),"")</f>
        <v>48</v>
      </c>
      <c r="L109">
        <f>IFERROR(VLOOKUP($D109,素材!$1:$1016,COLUMN($F$1),FALSE),"")</f>
        <v>0</v>
      </c>
      <c r="M109">
        <f>IFERROR(VLOOKUP($C109,武器!$1:$998,COLUMN(AA$1),FALSE)*VLOOKUP($D109,素材!$1:$1016,COLUMN($G$1),FALSE),"")</f>
        <v>0</v>
      </c>
      <c r="N109">
        <f>IFERROR(VLOOKUP($C109,武器!$1:$998,COLUMN(I$1),FALSE),"")</f>
        <v>1.8</v>
      </c>
      <c r="O109" s="23">
        <f>IFERROR((VLOOKUP($C109,武器!$1:$998,COLUMN(K$1),FALSE)+VLOOKUP($D109,素材!$1:$1016,COLUMN(H$1),FALSE))*100+IFERROR(VLOOKUP($CJ109,装強!$1:$999,COLUMN(O$1),FALSE),0),"")</f>
        <v>15</v>
      </c>
      <c r="P109" s="23">
        <f>IFERROR((VLOOKUP($C109,武器!$1:$998,COLUMN(L$1),FALSE)+VLOOKUP($D109,素材!$1:$1016,COLUMN(I$1),FALSE))*100+IFERROR(VLOOKUP($CJ109,装強!$1:$999,COLUMN(P$1),FALSE),0),"")</f>
        <v>175</v>
      </c>
      <c r="Q109">
        <f>IFERROR(ROUNDUP(VLOOKUP($C109,武器!$1:$998,COLUMN(M$1),FALSE)*(VLOOKUP($D109,素材!$1:$1002,COLUMN(D$1),FALSE)/100),1),"")</f>
        <v>0</v>
      </c>
      <c r="R109">
        <f>IFERROR(ROUNDUP(VLOOKUP($C109,武器!$1:$998,COLUMN(N$1),FALSE)*(VLOOKUP($D109,素材!$1:$1002,COLUMN(D$1),FALSE)/100),1),"")</f>
        <v>0</v>
      </c>
      <c r="S109">
        <f>IFERROR(VLOOKUP($C109,武器!$1:$998,COLUMN(P$1),FALSE),"")</f>
        <v>0</v>
      </c>
      <c r="T109">
        <f>IFERROR(VLOOKUP($C109,武器!$1:$998,COLUMN(Q$1),FALSE),"")</f>
        <v>3</v>
      </c>
      <c r="U109">
        <f>IFERROR(VLOOKUP($C109,武器!$1:$998,COLUMN(R$1),FALSE),"")</f>
        <v>1</v>
      </c>
      <c r="V109">
        <f>IFERROR(VLOOKUP($C109,武器!$1:$998,COLUMN(Q$1),FALSE),"")</f>
        <v>3</v>
      </c>
      <c r="W109">
        <f>IFERROR(VLOOKUP($C109,武器!$1:$998,COLUMN(T$1),FALSE),"")</f>
        <v>0</v>
      </c>
      <c r="Y109">
        <f>IFERROR(VLOOKUP($C109,武器!$1:$998,COLUMN(U$1),FALSE),"")</f>
        <v>0</v>
      </c>
      <c r="Z109">
        <f>IFERROR(ROUNDUP(VLOOKUP($C109,武器!$1:$998,COLUMN(O$1),FALSE)*VLOOKUP($D109,素材!$1:$1016,COLUMN(E$1),FALSE),1),"")</f>
        <v>0</v>
      </c>
      <c r="AA109">
        <f>IF(ISNUMBER(SEARCH(SUBSTITUTE(AA$1,RIGHT(AA$1,2),""),VLOOKUP($D109,素材!$1:$1016,COLUMN($F$1),FALSE))),VLOOKUP($C109,武器!$1:$998,COLUMN($O$1),FALSE)*VLOOKUP($D109,素材!$1:$1016,COLUMN($E$1),FALSE)/(LEN(VLOOKUP($D109,素材!$1:$1016,COLUMN($F$1),FALSE))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B109">
        <f>IF(ISNUMBER(SEARCH(SUBSTITUTE(AB$1,RIGHT(AB$1,2),""),VLOOKUP($D109,素材!$1:$1016,COLUMN($F$1),FALSE))),VLOOKUP($C109,武器!$1:$998,COLUMN($O$1),FALSE)*VLOOKUP($D109,素材!$1:$1016,COLUMN($E$1),FALSE)/(LEN(VLOOKUP($D109,素材!$1:$1016,COLUMN($F$1),FALSE))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C109">
        <f>IF(ISNUMBER(SEARCH(SUBSTITUTE(AC$1,RIGHT(AC$1,2),""),VLOOKUP($D109,素材!$1:$1016,COLUMN($F$1),FALSE))),VLOOKUP($C109,武器!$1:$998,COLUMN($O$1),FALSE)*VLOOKUP($D109,素材!$1:$1016,COLUMN($E$1),FALSE)/(LEN(VLOOKUP($D109,素材!$1:$1016,COLUMN($F$1),FALSE))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D109">
        <f>IF(ISNUMBER(SEARCH(SUBSTITUTE(AD$1,RIGHT(AD$1,2),""),VLOOKUP($D109,素材!$1:$1016,COLUMN($F$1),FALSE))),VLOOKUP($C109,武器!$1:$998,COLUMN($O$1),FALSE)*VLOOKUP($D109,素材!$1:$1016,COLUMN($E$1),FALSE)/(LEN(VLOOKUP($D109,素材!$1:$1016,COLUMN($F$1),FALSE))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E109">
        <f>IF(ISNUMBER(SEARCH(SUBSTITUTE(AE$1,RIGHT(AE$1,2),""),VLOOKUP($D109,素材!$1:$1016,COLUMN($F$1),FALSE))),VLOOKUP($C109,武器!$1:$998,COLUMN($O$1),FALSE)*VLOOKUP($D109,素材!$1:$1016,COLUMN($E$1),FALSE)/(LEN(VLOOKUP($D109,素材!$1:$1016,COLUMN($F$1),FALSE))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F109">
        <f>IF(ISNUMBER(SEARCH(SUBSTITUTE(AF$1,RIGHT(AF$1,2),""),VLOOKUP($D109,素材!$1:$1016,COLUMN($F$1),FALSE))),VLOOKUP($C109,武器!$1:$998,COLUMN($O$1),FALSE)*VLOOKUP($D109,素材!$1:$1016,COLUMN($E$1),FALSE)/(LEN(VLOOKUP($D109,素材!$1:$1016,COLUMN($F$1),FALSE))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G109">
        <f>IF(ISNUMBER(SEARCH(SUBSTITUTE(AG$1,RIGHT(AG$1,2),""),VLOOKUP($D109,素材!$1:$1016,COLUMN($F$1),FALSE))),VLOOKUP($C109,武器!$1:$998,COLUMN($O$1),FALSE)*VLOOKUP($D109,素材!$1:$1016,COLUMN($E$1),FALSE)/(LEN(VLOOKUP($D109,素材!$1:$1016,COLUMN($F$1),FALSE))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H109">
        <f>IF(ISNUMBER(SEARCH(SUBSTITUTE(AH$1,RIGHT(AH$1,2),""),VLOOKUP($D109,素材!$1:$1016,COLUMN($F$1),FALSE))),VLOOKUP($C109,武器!$1:$998,COLUMN($O$1),FALSE)*VLOOKUP($D109,素材!$1:$1016,COLUMN($E$1),FALSE)/(LEN(VLOOKUP($D109,素材!$1:$1016,COLUMN($F$1),FALSE))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I109">
        <f>IF(ISNUMBER(SEARCH(SUBSTITUTE(AI$1,RIGHT(AI$1,2),""),VLOOKUP($D109,素材!$1:$1016,COLUMN($F$1),FALSE))),VLOOKUP($C109,武器!$1:$998,COLUMN($O$1),FALSE)*VLOOKUP($D109,素材!$1:$1016,COLUMN($E$1),FALSE)/(LEN(VLOOKUP($D109,素材!$1:$1016,COLUMN($F$1),FALSE))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J109">
        <f>IF(ISNUMBER(SEARCH(SUBSTITUTE(AJ$1,RIGHT(AJ$1,2),""),VLOOKUP($D109,素材!$1:$1016,COLUMN($F$1),FALSE))),VLOOKUP($C109,武器!$1:$998,COLUMN($O$1),FALSE)*VLOOKUP($D109,素材!$1:$1016,COLUMN($E$1),FALSE)/(LEN(VLOOKUP($D109,素材!$1:$1016,COLUMN($F$1),FALSE))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K109">
        <f>IF(ISNUMBER(SEARCH(SUBSTITUTE(AK$1,RIGHT(AK$1,2),""),VLOOKUP($D109,素材!$1:$1016,COLUMN($F$1),FALSE))),VLOOKUP($C109,武器!$1:$998,COLUMN($O$1),FALSE)*VLOOKUP($D109,素材!$1:$1016,COLUMN($E$1),FALSE)/(LEN(VLOOKUP($D109,素材!$1:$1016,COLUMN($F$1),FALSE))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L109">
        <f>IF(ISNUMBER(SEARCH(SUBSTITUTE(AL$1,RIGHT(AL$1,2),""),VLOOKUP($D109,素材!$1:$1016,COLUMN($F$1),FALSE))),VLOOKUP($C109,武器!$1:$998,COLUMN($O$1),FALSE)*VLOOKUP($D109,素材!$1:$1016,COLUMN($E$1),FALSE)/(LEN(VLOOKUP($D109,素材!$1:$1016,COLUMN($F$1),FALSE))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M109">
        <f>IF(ISNUMBER(SEARCH(SUBSTITUTE(AM$1,RIGHT(AM$1,2),""),VLOOKUP($D109,素材!$1:$1016,COLUMN($F$1),FALSE))),VLOOKUP($C109,武器!$1:$998,COLUMN($O$1),FALSE)*VLOOKUP($D109,素材!$1:$1016,COLUMN($E$1),FALSE)/(LEN(VLOOKUP($D109,素材!$1:$1016,COLUMN($F$1),FALSE))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N109">
        <f>IF(ISNUMBER(SEARCH(SUBSTITUTE(AN$1,RIGHT(AN$1,2),""),VLOOKUP($D109,素材!$1:$1016,COLUMN($F$1),FALSE))),VLOOKUP($C109,武器!$1:$998,COLUMN($O$1),FALSE)*VLOOKUP($D109,素材!$1:$1016,COLUMN($E$1),FALSE)/(LEN(VLOOKUP($D109,素材!$1:$1016,COLUMN($F$1),FALSE))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O109">
        <f>IF(ISNUMBER(SEARCH(SUBSTITUTE(AO$1,RIGHT(AO$1,2),""),VLOOKUP($D109,素材!$1:$1016,COLUMN($F$1),FALSE))),VLOOKUP($C109,武器!$1:$998,COLUMN($O$1),FALSE)*VLOOKUP($D109,素材!$1:$1016,COLUMN($E$1),FALSE)/(LEN(VLOOKUP($D109,素材!$1:$1016,COLUMN($F$1),FALSE))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P109">
        <f>IF(ISNUMBER(SEARCH(SUBSTITUTE(AP$1,RIGHT(AP$1,2),""),VLOOKUP($D109,素材!$1:$1016,COLUMN($F$1),FALSE))),VLOOKUP($C109,武器!$1:$998,COLUMN($O$1),FALSE)*VLOOKUP($D109,素材!$1:$1016,COLUMN($E$1),FALSE)/(LEN(VLOOKUP($D109,素材!$1:$1016,COLUMN($F$1),FALSE))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Q109">
        <f>IF(ISNUMBER(SEARCH(SUBSTITUTE(AQ$1,RIGHT(AQ$1,2),""),VLOOKUP($D109,素材!$1:$1016,COLUMN($F$1),FALSE))),VLOOKUP($C109,武器!$1:$998,COLUMN($O$1),FALSE)*VLOOKUP($D109,素材!$1:$1016,COLUMN($E$1),FALSE)/(LEN(VLOOKUP($D109,素材!$1:$1016,COLUMN($F$1),FALSE))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R109">
        <f>IF(ISNUMBER(SEARCH(SUBSTITUTE(AR$1,RIGHT(AR$1,2),""),VLOOKUP($D109,素材!$1:$1016,COLUMN($F$1),FALSE))),VLOOKUP($C109,武器!$1:$998,COLUMN($O$1),FALSE)*VLOOKUP($D109,素材!$1:$1016,COLUMN($E$1),FALSE)/(LEN(VLOOKUP($D109,素材!$1:$1016,COLUMN($F$1),FALSE))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S109">
        <f>IF(ISNUMBER(SEARCH(SUBSTITUTE(AS$1,RIGHT(AS$1,2),""),VLOOKUP($D109,素材!$1:$1016,COLUMN($F$1),FALSE))),VLOOKUP($C109,武器!$1:$998,COLUMN($O$1),FALSE)*VLOOKUP($D109,素材!$1:$1016,COLUMN($E$1),FALSE)/(LEN(VLOOKUP($D109,素材!$1:$1016,COLUMN($F$1),FALSE))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T109">
        <f>IF(ISNUMBER(SEARCH(SUBSTITUTE(AT$1,RIGHT(AT$1,2),""),VLOOKUP($D109,素材!$1:$1016,COLUMN($F$1),FALSE))),VLOOKUP($C109,武器!$1:$998,COLUMN($O$1),FALSE)*VLOOKUP($D109,素材!$1:$1016,COLUMN($E$1),FALSE)/(LEN(VLOOKUP($D109,素材!$1:$1016,COLUMN($F$1),FALSE))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U109">
        <f>IF(ISNUMBER(SEARCH(SUBSTITUTE(AU$1,RIGHT(AU$1,2),""),VLOOKUP($D109,素材!$1:$1016,COLUMN($F$1),FALSE))),VLOOKUP($C109,武器!$1:$998,COLUMN($O$1),FALSE)*VLOOKUP($D109,素材!$1:$1016,COLUMN($E$1),FALSE)/(LEN(VLOOKUP($D109,素材!$1:$1016,COLUMN($F$1),FALSE))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V109">
        <f>IF(ISNUMBER(SEARCH(SUBSTITUTE(AV$1,RIGHT(AV$1,2),""),VLOOKUP($D109,素材!$1:$1016,COLUMN($F$1),FALSE))),VLOOKUP($C109,武器!$1:$998,COLUMN($O$1),FALSE)*VLOOKUP($D109,素材!$1:$1016,COLUMN($E$1),FALSE)/(LEN(VLOOKUP($D109,素材!$1:$1016,COLUMN($F$1),FALSE))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W109">
        <f>IF(ISNUMBER(SEARCH(SUBSTITUTE(AW$1,RIGHT(AW$1,2),""),VLOOKUP($D109,素材!$1:$1016,COLUMN($F$1),FALSE))),VLOOKUP($C109,武器!$1:$998,COLUMN($O$1),FALSE)*VLOOKUP($D109,素材!$1:$1016,COLUMN($E$1),FALSE)/(LEN(VLOOKUP($D109,素材!$1:$1016,COLUMN($F$1),FALSE))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X109">
        <f>IF(ISNUMBER(SEARCH(SUBSTITUTE(AX$1,RIGHT(AX$1,2),""),VLOOKUP($D109,素材!$1:$1016,COLUMN($F$1),FALSE))),VLOOKUP($C109,武器!$1:$998,COLUMN($O$1),FALSE)*VLOOKUP($D109,素材!$1:$1016,COLUMN($E$1),FALSE)/(LEN(VLOOKUP($D109,素材!$1:$1016,COLUMN($F$1),FALSE))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Y109">
        <f>IF(ISNUMBER(SEARCH(SUBSTITUTE(AY$1,RIGHT(AY$1,2),""),VLOOKUP($D109,素材!$1:$1016,COLUMN($F$1),FALSE))),VLOOKUP($C109,武器!$1:$998,COLUMN($O$1),FALSE)*VLOOKUP($D109,素材!$1:$1016,COLUMN($E$1),FALSE)/(LEN(VLOOKUP($D109,素材!$1:$1016,COLUMN($F$1),FALSE))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AZ109">
        <f>IF(ISNUMBER(SEARCH(SUBSTITUTE(AZ$1,RIGHT(AZ$1,2),""),VLOOKUP($D109,素材!$1:$1016,COLUMN($F$1),FALSE))),VLOOKUP($C109,武器!$1:$998,COLUMN($O$1),FALSE)*VLOOKUP($D109,素材!$1:$1016,COLUMN($E$1),FALSE)/(LEN(VLOOKUP($D109,素材!$1:$1016,COLUMN($F$1),FALSE))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BA109">
        <f>IF(ISNUMBER(SEARCH(SUBSTITUTE(BA$1,RIGHT(BA$1,2),""),VLOOKUP($D109,素材!$1:$1016,COLUMN($F$1),FALSE))),VLOOKUP($C109,武器!$1:$998,COLUMN($O$1),FALSE)*VLOOKUP($D109,素材!$1:$1016,COLUMN($E$1),FALSE)/(LEN(VLOOKUP($D109,素材!$1:$1016,COLUMN($F$1),FALSE))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BB109">
        <f>IF(ISNUMBER(SEARCH(SUBSTITUTE(BB$1,RIGHT(BB$1,2),""),VLOOKUP($D109,素材!$1:$1016,COLUMN($F$1),FALSE))),VLOOKUP($C109,武器!$1:$998,COLUMN($O$1),FALSE)*VLOOKUP($D109,素材!$1:$1016,COLUMN($E$1),FALSE)/(LEN(VLOOKUP($D109,素材!$1:$1016,COLUMN($F$1),FALSE))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BC109">
        <f>IF(ISNUMBER(SEARCH(SUBSTITUTE(BC$1,RIGHT(BC$1,2),""),VLOOKUP($D109,素材!$1:$1016,COLUMN($F$1),FALSE))),VLOOKUP($C109,武器!$1:$998,COLUMN($O$1),FALSE)*VLOOKUP($D109,素材!$1:$1016,COLUMN($E$1),FALSE)/(LEN(VLOOKUP($D109,素材!$1:$1016,COLUMN($F$1),FALSE))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BD109">
        <f>IF(ISNUMBER(SEARCH(SUBSTITUTE(BD$1,RIGHT(BD$1,2),""),VLOOKUP($D109,素材!$1:$1016,COLUMN($F$1),FALSE))),VLOOKUP($C109,武器!$1:$998,COLUMN($O$1),FALSE)*VLOOKUP($D109,素材!$1:$1016,COLUMN($E$1),FALSE)/(LEN(VLOOKUP($D109,素材!$1:$1016,COLUMN($F$1),FALSE))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BE109">
        <f>IF(ISNUMBER(SEARCH(SUBSTITUTE(BE$1,RIGHT(BE$1,2),""),VLOOKUP($D109,素材!$1:$1016,COLUMN($F$1),FALSE))),VLOOKUP($C109,武器!$1:$998,COLUMN($O$1),FALSE)*VLOOKUP($D109,素材!$1:$1016,COLUMN($E$1),FALSE)/(LEN(VLOOKUP($D109,素材!$1:$1016,COLUMN($F$1),FALSE))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BF109">
        <f>IF(ISNUMBER(SEARCH(SUBSTITUTE(BF$1,RIGHT(BF$1,2),""),VLOOKUP($D109,素材!$1:$1016,COLUMN($F$1),FALSE))),VLOOKUP($C109,武器!$1:$998,COLUMN($O$1),FALSE)*VLOOKUP($D109,素材!$1:$1016,COLUMN($E$1),FALSE)/(LEN(VLOOKUP($D109,素材!$1:$1016,COLUMN($F$1),FALSE)) - LEN(SUBSTITUTE(VLOOKUP($D109,素材!$1:$1016,COLUMN($F$1),FALSE), "・", 0)) + 1), 0)</f>
        <v>0</v>
      </c>
      <c r="CM109">
        <f t="shared" si="8"/>
        <v>0</v>
      </c>
      <c r="CN109" s="22" t="str">
        <f>IF(E109="武器",IF(J109-1&gt;SUM(G109:I109),"盾",IF(MAX(G109:I109)=G109,"切断",IF(MAX(G109:I109)=H109,"貫通",IF(MAX(G109:I109)=I109,"打撃","射撃")))),E109)&amp;".webp"</f>
        <v>銃.webp</v>
      </c>
      <c r="CO109">
        <f>IFERROR(VLOOKUP($C109,武器!$1:$998,COLUMN(V$1),FALSE)*VLOOKUP($D109,素材!$1:$1016,COLUMN(N$1),FALSE)+IF(CJ109="",0,VLOOKUP($CJ109,装強!$1:$1008,COLUMN($CL$1),FALSE)),"")</f>
        <v>900</v>
      </c>
      <c r="CP109" t="str">
        <f>VLOOKUP(D109,素材!$A:$O,COLUMN(素材!O$1),FALSE)</f>
        <v>鍛えられた鉄。硬度が高く安価なためよく使用される。</v>
      </c>
      <c r="CQ109" t="str">
        <f>VLOOKUP(C109,武器!$A:$W,COLUMN(武器!W$1),FALSE)</f>
        <v/>
      </c>
      <c r="CS109" t="str">
        <f t="shared" si="7"/>
        <v>e_109</v>
      </c>
      <c r="CT109">
        <f t="shared" si="9"/>
        <v>90000</v>
      </c>
    </row>
    <row r="110" spans="1:98" outlineLevel="1" x14ac:dyDescent="0.4">
      <c r="A110" t="str">
        <f t="shared" si="10"/>
        <v>鋼の面兜</v>
      </c>
      <c r="B110" t="str">
        <f>IFERROR(VLOOKUP($D110,素材!$1:$1016,COLUMN($B$1),FALSE)&amp;"・"&amp;VLOOKUP($C110,武器!$1:$998,COLUMN(B$1),FALSE),"")</f>
        <v>スチール・バイザーヘルム</v>
      </c>
      <c r="C110" t="s">
        <v>210</v>
      </c>
      <c r="D110" s="24" t="s">
        <v>253</v>
      </c>
      <c r="E110" t="str">
        <f>IFERROR(VLOOKUP(C110,武器!$1:$998,COLUMN(C$1),FALSE),"")</f>
        <v>頭</v>
      </c>
      <c r="F110">
        <f>IFERROR(ROUNDDOWN((VLOOKUP($C110,武器!$1:$998,COLUMN(D$1),FALSE)+IFERROR(VLOOKUP($CJ110,装強!$1:$999,COLUMN(F$1),FALSE),0))*VLOOKUP($D110,素材!$1:$1016,COLUMN(D$1),FALSE),0),"")</f>
        <v>0</v>
      </c>
      <c r="G110">
        <f>IFERROR(ROUNDDOWN((VLOOKUP($C110,武器!$1:$998,COLUMN(E$1),FALSE)+IFERROR(VLOOKUP($CJ110,装強!$1:$999,COLUMN(G$1),FALSE),0))*VLOOKUP($D110,素材!$1:$1016,COLUMN($E$1),FALSE),0),"")</f>
        <v>0</v>
      </c>
      <c r="H110">
        <f>IFERROR(ROUNDDOWN((VLOOKUP($C110,武器!$1:$998,COLUMN(F$1),FALSE)+IFERROR(VLOOKUP($CJ110,装強!$1:$999,COLUMN(H$1),FALSE),0))*VLOOKUP($D110,素材!$1:$1016,COLUMN($E$1),FALSE),0),"")</f>
        <v>0</v>
      </c>
      <c r="I110">
        <f>IFERROR(ROUNDDOWN((VLOOKUP($C110,武器!$1:$998,COLUMN(G$1),FALSE)+IFERROR(VLOOKUP($CJ110,装強!$1:$999,COLUMN(I$1),FALSE),0))*VLOOKUP($D110,素材!$1:$1016,COLUMN($E$1),FALSE),0),"")</f>
        <v>22</v>
      </c>
      <c r="J110">
        <f>IFERROR(ROUNDDOWN((VLOOKUP($C110,武器!$1:$998,COLUMN(H$1),FALSE)+IFERROR(VLOOKUP($CJ110,装強!$1:$999,COLUMN(J$1),FALSE),0))*VLOOKUP($D110,素材!$1:$1016,COLUMN($E$1),FALSE),0),"")</f>
        <v>0</v>
      </c>
      <c r="K110">
        <f>IFERROR(ROUNDDOWN((VLOOKUP($C110,武器!$1:$998,COLUMN(I$1),FALSE)+IFERROR(VLOOKUP($CJ110,装強!$1:$999,COLUMN(K$1),FALSE),0))*VLOOKUP($D110,素材!$1:$1016,COLUMN($E$1),FALSE),0),"")</f>
        <v>0</v>
      </c>
      <c r="L110">
        <f>IFERROR(VLOOKUP($D110,素材!$1:$1016,COLUMN($F$1),FALSE),"")</f>
        <v>0</v>
      </c>
      <c r="M110">
        <f>IFERROR(VLOOKUP($C110,武器!$1:$998,COLUMN(AA$1),FALSE)*VLOOKUP($D110,素材!$1:$1016,COLUMN($G$1),FALSE),"")</f>
        <v>0</v>
      </c>
      <c r="N110">
        <f>IFERROR(VLOOKUP($C110,武器!$1:$998,COLUMN(I$1),FALSE),"")</f>
        <v>0</v>
      </c>
      <c r="O110" s="23">
        <f>IFERROR((VLOOKUP($C110,武器!$1:$998,COLUMN(K$1),FALSE)+VLOOKUP($D110,素材!$1:$1016,COLUMN(H$1),FALSE))*100+IFERROR(VLOOKUP($CJ110,装強!$1:$999,COLUMN(O$1),FALSE),0),"")</f>
        <v>5</v>
      </c>
      <c r="P110" s="23">
        <f>IFERROR((VLOOKUP($C110,武器!$1:$998,COLUMN(L$1),FALSE)+VLOOKUP($D110,素材!$1:$1016,COLUMN(I$1),FALSE))*100+IFERROR(VLOOKUP($CJ110,装強!$1:$999,COLUMN(P$1),FALSE),0),"")</f>
        <v>125</v>
      </c>
      <c r="Q110">
        <f>IFERROR(ROUNDUP(VLOOKUP($C110,武器!$1:$998,COLUMN(M$1),FALSE)*(VLOOKUP($D110,素材!$1:$1002,COLUMN(D$1),FALSE)/100),1),"")</f>
        <v>-7.8999999999999995</v>
      </c>
      <c r="R110">
        <f>IFERROR(ROUNDUP(VLOOKUP($C110,武器!$1:$998,COLUMN(N$1),FALSE)*(VLOOKUP($D110,素材!$1:$1002,COLUMN(D$1),FALSE)/100),1),"")</f>
        <v>0</v>
      </c>
      <c r="S110">
        <f>IFERROR(VLOOKUP($C110,武器!$1:$998,COLUMN(P$1),FALSE),"")</f>
        <v>0</v>
      </c>
      <c r="T110">
        <f>IFERROR(VLOOKUP($C110,武器!$1:$998,COLUMN(Q$1),FALSE),"")</f>
        <v>0</v>
      </c>
      <c r="U110">
        <f>IFERROR(VLOOKUP($C110,武器!$1:$998,COLUMN(R$1),FALSE),"")</f>
        <v>0</v>
      </c>
      <c r="V110">
        <f>IFERROR(VLOOKUP($C110,武器!$1:$998,COLUMN(Q$1),FALSE),"")</f>
        <v>0</v>
      </c>
      <c r="W110">
        <f>IFERROR(VLOOKUP($C110,武器!$1:$998,COLUMN(T$1),FALSE),"")</f>
        <v>0</v>
      </c>
      <c r="Y110">
        <f>IFERROR(VLOOKUP($C110,武器!$1:$998,COLUMN(U$1),FALSE),"")</f>
        <v>0</v>
      </c>
      <c r="Z110">
        <f>IFERROR(ROUNDUP(VLOOKUP($C110,武器!$1:$998,COLUMN(O$1),FALSE)*VLOOKUP($D110,素材!$1:$1016,COLUMN(E$1),FALSE),1),"")</f>
        <v>9.5</v>
      </c>
      <c r="AA110">
        <f>IF(ISNUMBER(SEARCH(SUBSTITUTE(AA$1,RIGHT(AA$1,2),""),VLOOKUP($D110,素材!$1:$1016,COLUMN($F$1),FALSE))),VLOOKUP($C110,武器!$1:$998,COLUMN($O$1),FALSE)*VLOOKUP($D110,素材!$1:$1016,COLUMN($E$1),FALSE)/(LEN(VLOOKUP($D110,素材!$1:$1016,COLUMN($F$1),FALSE))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B110">
        <f>IF(ISNUMBER(SEARCH(SUBSTITUTE(AB$1,RIGHT(AB$1,2),""),VLOOKUP($D110,素材!$1:$1016,COLUMN($F$1),FALSE))),VLOOKUP($C110,武器!$1:$998,COLUMN($O$1),FALSE)*VLOOKUP($D110,素材!$1:$1016,COLUMN($E$1),FALSE)/(LEN(VLOOKUP($D110,素材!$1:$1016,COLUMN($F$1),FALSE))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C110">
        <f>IF(ISNUMBER(SEARCH(SUBSTITUTE(AC$1,RIGHT(AC$1,2),""),VLOOKUP($D110,素材!$1:$1016,COLUMN($F$1),FALSE))),VLOOKUP($C110,武器!$1:$998,COLUMN($O$1),FALSE)*VLOOKUP($D110,素材!$1:$1016,COLUMN($E$1),FALSE)/(LEN(VLOOKUP($D110,素材!$1:$1016,COLUMN($F$1),FALSE))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D110">
        <f>IF(ISNUMBER(SEARCH(SUBSTITUTE(AD$1,RIGHT(AD$1,2),""),VLOOKUP($D110,素材!$1:$1016,COLUMN($F$1),FALSE))),VLOOKUP($C110,武器!$1:$998,COLUMN($O$1),FALSE)*VLOOKUP($D110,素材!$1:$1016,COLUMN($E$1),FALSE)/(LEN(VLOOKUP($D110,素材!$1:$1016,COLUMN($F$1),FALSE))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E110">
        <f>IF(ISNUMBER(SEARCH(SUBSTITUTE(AE$1,RIGHT(AE$1,2),""),VLOOKUP($D110,素材!$1:$1016,COLUMN($F$1),FALSE))),VLOOKUP($C110,武器!$1:$998,COLUMN($O$1),FALSE)*VLOOKUP($D110,素材!$1:$1016,COLUMN($E$1),FALSE)/(LEN(VLOOKUP($D110,素材!$1:$1016,COLUMN($F$1),FALSE))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F110">
        <f>IF(ISNUMBER(SEARCH(SUBSTITUTE(AF$1,RIGHT(AF$1,2),""),VLOOKUP($D110,素材!$1:$1016,COLUMN($F$1),FALSE))),VLOOKUP($C110,武器!$1:$998,COLUMN($O$1),FALSE)*VLOOKUP($D110,素材!$1:$1016,COLUMN($E$1),FALSE)/(LEN(VLOOKUP($D110,素材!$1:$1016,COLUMN($F$1),FALSE))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G110">
        <f>IF(ISNUMBER(SEARCH(SUBSTITUTE(AG$1,RIGHT(AG$1,2),""),VLOOKUP($D110,素材!$1:$1016,COLUMN($F$1),FALSE))),VLOOKUP($C110,武器!$1:$998,COLUMN($O$1),FALSE)*VLOOKUP($D110,素材!$1:$1016,COLUMN($E$1),FALSE)/(LEN(VLOOKUP($D110,素材!$1:$1016,COLUMN($F$1),FALSE))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H110">
        <f>IF(ISNUMBER(SEARCH(SUBSTITUTE(AH$1,RIGHT(AH$1,2),""),VLOOKUP($D110,素材!$1:$1016,COLUMN($F$1),FALSE))),VLOOKUP($C110,武器!$1:$998,COLUMN($O$1),FALSE)*VLOOKUP($D110,素材!$1:$1016,COLUMN($E$1),FALSE)/(LEN(VLOOKUP($D110,素材!$1:$1016,COLUMN($F$1),FALSE))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I110">
        <f>IF(ISNUMBER(SEARCH(SUBSTITUTE(AI$1,RIGHT(AI$1,2),""),VLOOKUP($D110,素材!$1:$1016,COLUMN($F$1),FALSE))),VLOOKUP($C110,武器!$1:$998,COLUMN($O$1),FALSE)*VLOOKUP($D110,素材!$1:$1016,COLUMN($E$1),FALSE)/(LEN(VLOOKUP($D110,素材!$1:$1016,COLUMN($F$1),FALSE))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J110">
        <f>IF(ISNUMBER(SEARCH(SUBSTITUTE(AJ$1,RIGHT(AJ$1,2),""),VLOOKUP($D110,素材!$1:$1016,COLUMN($F$1),FALSE))),VLOOKUP($C110,武器!$1:$998,COLUMN($O$1),FALSE)*VLOOKUP($D110,素材!$1:$1016,COLUMN($E$1),FALSE)/(LEN(VLOOKUP($D110,素材!$1:$1016,COLUMN($F$1),FALSE))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K110">
        <f>IF(ISNUMBER(SEARCH(SUBSTITUTE(AK$1,RIGHT(AK$1,2),""),VLOOKUP($D110,素材!$1:$1016,COLUMN($F$1),FALSE))),VLOOKUP($C110,武器!$1:$998,COLUMN($O$1),FALSE)*VLOOKUP($D110,素材!$1:$1016,COLUMN($E$1),FALSE)/(LEN(VLOOKUP($D110,素材!$1:$1016,COLUMN($F$1),FALSE))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L110">
        <f>IF(ISNUMBER(SEARCH(SUBSTITUTE(AL$1,RIGHT(AL$1,2),""),VLOOKUP($D110,素材!$1:$1016,COLUMN($F$1),FALSE))),VLOOKUP($C110,武器!$1:$998,COLUMN($O$1),FALSE)*VLOOKUP($D110,素材!$1:$1016,COLUMN($E$1),FALSE)/(LEN(VLOOKUP($D110,素材!$1:$1016,COLUMN($F$1),FALSE))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M110">
        <f>IF(ISNUMBER(SEARCH(SUBSTITUTE(AM$1,RIGHT(AM$1,2),""),VLOOKUP($D110,素材!$1:$1016,COLUMN($F$1),FALSE))),VLOOKUP($C110,武器!$1:$998,COLUMN($O$1),FALSE)*VLOOKUP($D110,素材!$1:$1016,COLUMN($E$1),FALSE)/(LEN(VLOOKUP($D110,素材!$1:$1016,COLUMN($F$1),FALSE))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N110">
        <f>IF(ISNUMBER(SEARCH(SUBSTITUTE(AN$1,RIGHT(AN$1,2),""),VLOOKUP($D110,素材!$1:$1016,COLUMN($F$1),FALSE))),VLOOKUP($C110,武器!$1:$998,COLUMN($O$1),FALSE)*VLOOKUP($D110,素材!$1:$1016,COLUMN($E$1),FALSE)/(LEN(VLOOKUP($D110,素材!$1:$1016,COLUMN($F$1),FALSE))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O110">
        <f>IF(ISNUMBER(SEARCH(SUBSTITUTE(AO$1,RIGHT(AO$1,2),""),VLOOKUP($D110,素材!$1:$1016,COLUMN($F$1),FALSE))),VLOOKUP($C110,武器!$1:$998,COLUMN($O$1),FALSE)*VLOOKUP($D110,素材!$1:$1016,COLUMN($E$1),FALSE)/(LEN(VLOOKUP($D110,素材!$1:$1016,COLUMN($F$1),FALSE))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P110">
        <f>IF(ISNUMBER(SEARCH(SUBSTITUTE(AP$1,RIGHT(AP$1,2),""),VLOOKUP($D110,素材!$1:$1016,COLUMN($F$1),FALSE))),VLOOKUP($C110,武器!$1:$998,COLUMN($O$1),FALSE)*VLOOKUP($D110,素材!$1:$1016,COLUMN($E$1),FALSE)/(LEN(VLOOKUP($D110,素材!$1:$1016,COLUMN($F$1),FALSE))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Q110">
        <f>IF(ISNUMBER(SEARCH(SUBSTITUTE(AQ$1,RIGHT(AQ$1,2),""),VLOOKUP($D110,素材!$1:$1016,COLUMN($F$1),FALSE))),VLOOKUP($C110,武器!$1:$998,COLUMN($O$1),FALSE)*VLOOKUP($D110,素材!$1:$1016,COLUMN($E$1),FALSE)/(LEN(VLOOKUP($D110,素材!$1:$1016,COLUMN($F$1),FALSE))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R110">
        <f>IF(ISNUMBER(SEARCH(SUBSTITUTE(AR$1,RIGHT(AR$1,2),""),VLOOKUP($D110,素材!$1:$1016,COLUMN($F$1),FALSE))),VLOOKUP($C110,武器!$1:$998,COLUMN($O$1),FALSE)*VLOOKUP($D110,素材!$1:$1016,COLUMN($E$1),FALSE)/(LEN(VLOOKUP($D110,素材!$1:$1016,COLUMN($F$1),FALSE))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S110">
        <f>IF(ISNUMBER(SEARCH(SUBSTITUTE(AS$1,RIGHT(AS$1,2),""),VLOOKUP($D110,素材!$1:$1016,COLUMN($F$1),FALSE))),VLOOKUP($C110,武器!$1:$998,COLUMN($O$1),FALSE)*VLOOKUP($D110,素材!$1:$1016,COLUMN($E$1),FALSE)/(LEN(VLOOKUP($D110,素材!$1:$1016,COLUMN($F$1),FALSE))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T110">
        <f>IF(ISNUMBER(SEARCH(SUBSTITUTE(AT$1,RIGHT(AT$1,2),""),VLOOKUP($D110,素材!$1:$1016,COLUMN($F$1),FALSE))),VLOOKUP($C110,武器!$1:$998,COLUMN($O$1),FALSE)*VLOOKUP($D110,素材!$1:$1016,COLUMN($E$1),FALSE)/(LEN(VLOOKUP($D110,素材!$1:$1016,COLUMN($F$1),FALSE))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U110">
        <f>IF(ISNUMBER(SEARCH(SUBSTITUTE(AU$1,RIGHT(AU$1,2),""),VLOOKUP($D110,素材!$1:$1016,COLUMN($F$1),FALSE))),VLOOKUP($C110,武器!$1:$998,COLUMN($O$1),FALSE)*VLOOKUP($D110,素材!$1:$1016,COLUMN($E$1),FALSE)/(LEN(VLOOKUP($D110,素材!$1:$1016,COLUMN($F$1),FALSE))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V110">
        <f>IF(ISNUMBER(SEARCH(SUBSTITUTE(AV$1,RIGHT(AV$1,2),""),VLOOKUP($D110,素材!$1:$1016,COLUMN($F$1),FALSE))),VLOOKUP($C110,武器!$1:$998,COLUMN($O$1),FALSE)*VLOOKUP($D110,素材!$1:$1016,COLUMN($E$1),FALSE)/(LEN(VLOOKUP($D110,素材!$1:$1016,COLUMN($F$1),FALSE))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W110">
        <f>IF(ISNUMBER(SEARCH(SUBSTITUTE(AW$1,RIGHT(AW$1,2),""),VLOOKUP($D110,素材!$1:$1016,COLUMN($F$1),FALSE))),VLOOKUP($C110,武器!$1:$998,COLUMN($O$1),FALSE)*VLOOKUP($D110,素材!$1:$1016,COLUMN($E$1),FALSE)/(LEN(VLOOKUP($D110,素材!$1:$1016,COLUMN($F$1),FALSE))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X110">
        <f>IF(ISNUMBER(SEARCH(SUBSTITUTE(AX$1,RIGHT(AX$1,2),""),VLOOKUP($D110,素材!$1:$1016,COLUMN($F$1),FALSE))),VLOOKUP($C110,武器!$1:$998,COLUMN($O$1),FALSE)*VLOOKUP($D110,素材!$1:$1016,COLUMN($E$1),FALSE)/(LEN(VLOOKUP($D110,素材!$1:$1016,COLUMN($F$1),FALSE))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Y110">
        <f>IF(ISNUMBER(SEARCH(SUBSTITUTE(AY$1,RIGHT(AY$1,2),""),VLOOKUP($D110,素材!$1:$1016,COLUMN($F$1),FALSE))),VLOOKUP($C110,武器!$1:$998,COLUMN($O$1),FALSE)*VLOOKUP($D110,素材!$1:$1016,COLUMN($E$1),FALSE)/(LEN(VLOOKUP($D110,素材!$1:$1016,COLUMN($F$1),FALSE))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AZ110">
        <f>IF(ISNUMBER(SEARCH(SUBSTITUTE(AZ$1,RIGHT(AZ$1,2),""),VLOOKUP($D110,素材!$1:$1016,COLUMN($F$1),FALSE))),VLOOKUP($C110,武器!$1:$998,COLUMN($O$1),FALSE)*VLOOKUP($D110,素材!$1:$1016,COLUMN($E$1),FALSE)/(LEN(VLOOKUP($D110,素材!$1:$1016,COLUMN($F$1),FALSE))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BA110">
        <f>IF(ISNUMBER(SEARCH(SUBSTITUTE(BA$1,RIGHT(BA$1,2),""),VLOOKUP($D110,素材!$1:$1016,COLUMN($F$1),FALSE))),VLOOKUP($C110,武器!$1:$998,COLUMN($O$1),FALSE)*VLOOKUP($D110,素材!$1:$1016,COLUMN($E$1),FALSE)/(LEN(VLOOKUP($D110,素材!$1:$1016,COLUMN($F$1),FALSE))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BB110">
        <f>IF(ISNUMBER(SEARCH(SUBSTITUTE(BB$1,RIGHT(BB$1,2),""),VLOOKUP($D110,素材!$1:$1016,COLUMN($F$1),FALSE))),VLOOKUP($C110,武器!$1:$998,COLUMN($O$1),FALSE)*VLOOKUP($D110,素材!$1:$1016,COLUMN($E$1),FALSE)/(LEN(VLOOKUP($D110,素材!$1:$1016,COLUMN($F$1),FALSE))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BC110">
        <f>IF(ISNUMBER(SEARCH(SUBSTITUTE(BC$1,RIGHT(BC$1,2),""),VLOOKUP($D110,素材!$1:$1016,COLUMN($F$1),FALSE))),VLOOKUP($C110,武器!$1:$998,COLUMN($O$1),FALSE)*VLOOKUP($D110,素材!$1:$1016,COLUMN($E$1),FALSE)/(LEN(VLOOKUP($D110,素材!$1:$1016,COLUMN($F$1),FALSE))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BD110">
        <f>IF(ISNUMBER(SEARCH(SUBSTITUTE(BD$1,RIGHT(BD$1,2),""),VLOOKUP($D110,素材!$1:$1016,COLUMN($F$1),FALSE))),VLOOKUP($C110,武器!$1:$998,COLUMN($O$1),FALSE)*VLOOKUP($D110,素材!$1:$1016,COLUMN($E$1),FALSE)/(LEN(VLOOKUP($D110,素材!$1:$1016,COLUMN($F$1),FALSE))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BE110">
        <f>IF(ISNUMBER(SEARCH(SUBSTITUTE(BE$1,RIGHT(BE$1,2),""),VLOOKUP($D110,素材!$1:$1016,COLUMN($F$1),FALSE))),VLOOKUP($C110,武器!$1:$998,COLUMN($O$1),FALSE)*VLOOKUP($D110,素材!$1:$1016,COLUMN($E$1),FALSE)/(LEN(VLOOKUP($D110,素材!$1:$1016,COLUMN($F$1),FALSE))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BF110">
        <f>IF(ISNUMBER(SEARCH(SUBSTITUTE(BF$1,RIGHT(BF$1,2),""),VLOOKUP($D110,素材!$1:$1016,COLUMN($F$1),FALSE))),VLOOKUP($C110,武器!$1:$998,COLUMN($O$1),FALSE)*VLOOKUP($D110,素材!$1:$1016,COLUMN($E$1),FALSE)/(LEN(VLOOKUP($D110,素材!$1:$1016,COLUMN($F$1),FALSE)) - LEN(SUBSTITUTE(VLOOKUP($D110,素材!$1:$1016,COLUMN($F$1),FALSE), "・", 0)) + 1), 0)</f>
        <v>0</v>
      </c>
      <c r="CM110">
        <f t="shared" si="8"/>
        <v>22</v>
      </c>
      <c r="CN110" s="22" t="str">
        <f>IF(E110="武器",IF(J110-1&gt;SUM(G110:I110),"盾",IF(MAX(G110:I110)=G110,"切断",IF(MAX(G110:I110)=H110,"貫通",IF(MAX(G110:I110)=I110,"打撃","射撃")))),E110)&amp;".webp"</f>
        <v>頭.webp</v>
      </c>
      <c r="CO110">
        <f>IFERROR(VLOOKUP($C110,武器!$1:$998,COLUMN(V$1),FALSE)*VLOOKUP($D110,素材!$1:$1016,COLUMN(N$1),FALSE)+IF(CJ110="",0,VLOOKUP($CJ110,装強!$1:$1008,COLUMN($CL$1),FALSE)),"")</f>
        <v>900</v>
      </c>
      <c r="CP110" t="str">
        <f>VLOOKUP(D110,素材!$A:$O,COLUMN(素材!O$1),FALSE)</f>
        <v>鍛えられた鉄。硬度が高く安価なためよく使用される。</v>
      </c>
      <c r="CQ110" t="str">
        <f>VLOOKUP(C110,武器!$A:$W,COLUMN(武器!W$1),FALSE)</f>
        <v>命中 魔防 Cr</v>
      </c>
      <c r="CS110" t="str">
        <f t="shared" si="7"/>
        <v>e_110</v>
      </c>
      <c r="CT110">
        <f t="shared" si="9"/>
        <v>90000</v>
      </c>
    </row>
    <row r="111" spans="1:98" outlineLevel="1" x14ac:dyDescent="0.4">
      <c r="A111" t="str">
        <f t="shared" si="10"/>
        <v>鋼の兜</v>
      </c>
      <c r="B111" t="str">
        <f>IFERROR(VLOOKUP($D111,素材!$1:$1016,COLUMN($B$1),FALSE)&amp;"・"&amp;VLOOKUP($C111,武器!$1:$998,COLUMN(B$1),FALSE),"")</f>
        <v>スチール・ヘルム</v>
      </c>
      <c r="C111" t="s">
        <v>209</v>
      </c>
      <c r="D111" s="24" t="s">
        <v>253</v>
      </c>
      <c r="E111" t="str">
        <f>IFERROR(VLOOKUP(C111,武器!$1:$998,COLUMN(C$1),FALSE),"")</f>
        <v>頭</v>
      </c>
      <c r="F111">
        <f>IFERROR(ROUNDDOWN((VLOOKUP($C111,武器!$1:$998,COLUMN(D$1),FALSE)+IFERROR(VLOOKUP($CJ111,装強!$1:$999,COLUMN(F$1),FALSE),0))*VLOOKUP($D111,素材!$1:$1016,COLUMN(D$1),FALSE),0),"")</f>
        <v>0</v>
      </c>
      <c r="G111">
        <f>IFERROR(ROUNDDOWN((VLOOKUP($C111,武器!$1:$998,COLUMN(E$1),FALSE)+IFERROR(VLOOKUP($CJ111,装強!$1:$999,COLUMN(G$1),FALSE),0))*VLOOKUP($D111,素材!$1:$1016,COLUMN($E$1),FALSE),0),"")</f>
        <v>0</v>
      </c>
      <c r="H111">
        <f>IFERROR(ROUNDDOWN((VLOOKUP($C111,武器!$1:$998,COLUMN(F$1),FALSE)+IFERROR(VLOOKUP($CJ111,装強!$1:$999,COLUMN(H$1),FALSE),0))*VLOOKUP($D111,素材!$1:$1016,COLUMN($E$1),FALSE),0),"")</f>
        <v>0</v>
      </c>
      <c r="I111">
        <f>IFERROR(ROUNDDOWN((VLOOKUP($C111,武器!$1:$998,COLUMN(G$1),FALSE)+IFERROR(VLOOKUP($CJ111,装強!$1:$999,COLUMN(I$1),FALSE),0))*VLOOKUP($D111,素材!$1:$1016,COLUMN($E$1),FALSE),0),"")</f>
        <v>22</v>
      </c>
      <c r="J111">
        <f>IFERROR(ROUNDDOWN((VLOOKUP($C111,武器!$1:$998,COLUMN(H$1),FALSE)+IFERROR(VLOOKUP($CJ111,装強!$1:$999,COLUMN(J$1),FALSE),0))*VLOOKUP($D111,素材!$1:$1016,COLUMN($E$1),FALSE),0),"")</f>
        <v>0</v>
      </c>
      <c r="K111">
        <f>IFERROR(ROUNDDOWN((VLOOKUP($C111,武器!$1:$998,COLUMN(I$1),FALSE)+IFERROR(VLOOKUP($CJ111,装強!$1:$999,COLUMN(K$1),FALSE),0))*VLOOKUP($D111,素材!$1:$1016,COLUMN($E$1),FALSE),0),"")</f>
        <v>0</v>
      </c>
      <c r="L111">
        <f>IFERROR(VLOOKUP($D111,素材!$1:$1016,COLUMN($F$1),FALSE),"")</f>
        <v>0</v>
      </c>
      <c r="M111">
        <f>IFERROR(VLOOKUP($C111,武器!$1:$998,COLUMN(AA$1),FALSE)*VLOOKUP($D111,素材!$1:$1016,COLUMN($G$1),FALSE),"")</f>
        <v>0</v>
      </c>
      <c r="N111">
        <f>IFERROR(VLOOKUP($C111,武器!$1:$998,COLUMN(I$1),FALSE),"")</f>
        <v>0</v>
      </c>
      <c r="O111" s="23">
        <f>IFERROR((VLOOKUP($C111,武器!$1:$998,COLUMN(K$1),FALSE)+VLOOKUP($D111,素材!$1:$1016,COLUMN(H$1),FALSE))*100+IFERROR(VLOOKUP($CJ111,装強!$1:$999,COLUMN(O$1),FALSE),0),"")</f>
        <v>5</v>
      </c>
      <c r="P111" s="23">
        <f>IFERROR((VLOOKUP($C111,武器!$1:$998,COLUMN(L$1),FALSE)+VLOOKUP($D111,素材!$1:$1016,COLUMN(I$1),FALSE))*100+IFERROR(VLOOKUP($CJ111,装強!$1:$999,COLUMN(P$1),FALSE),0),"")</f>
        <v>125</v>
      </c>
      <c r="Q111">
        <f>IFERROR(ROUNDUP(VLOOKUP($C111,武器!$1:$998,COLUMN(M$1),FALSE)*(VLOOKUP($D111,素材!$1:$1002,COLUMN(D$1),FALSE)/100),1),"")</f>
        <v>-5.3</v>
      </c>
      <c r="R111">
        <f>IFERROR(ROUNDUP(VLOOKUP($C111,武器!$1:$998,COLUMN(N$1),FALSE)*(VLOOKUP($D111,素材!$1:$1002,COLUMN(D$1),FALSE)/100),1),"")</f>
        <v>0</v>
      </c>
      <c r="S111">
        <f>IFERROR(VLOOKUP($C111,武器!$1:$998,COLUMN(P$1),FALSE),"")</f>
        <v>0</v>
      </c>
      <c r="T111">
        <f>IFERROR(VLOOKUP($C111,武器!$1:$998,COLUMN(Q$1),FALSE),"")</f>
        <v>0</v>
      </c>
      <c r="U111">
        <f>IFERROR(VLOOKUP($C111,武器!$1:$998,COLUMN(R$1),FALSE),"")</f>
        <v>0</v>
      </c>
      <c r="V111">
        <f>IFERROR(VLOOKUP($C111,武器!$1:$998,COLUMN(Q$1),FALSE),"")</f>
        <v>0</v>
      </c>
      <c r="W111">
        <f>IFERROR(VLOOKUP($C111,武器!$1:$998,COLUMN(T$1),FALSE),"")</f>
        <v>0</v>
      </c>
      <c r="Y111">
        <f>IFERROR(VLOOKUP($C111,武器!$1:$998,COLUMN(U$1),FALSE),"")</f>
        <v>0</v>
      </c>
      <c r="Z111">
        <f>IFERROR(ROUNDUP(VLOOKUP($C111,武器!$1:$998,COLUMN(O$1),FALSE)*VLOOKUP($D111,素材!$1:$1016,COLUMN(E$1),FALSE),1),"")</f>
        <v>5.4</v>
      </c>
      <c r="AA111">
        <f>IF(ISNUMBER(SEARCH(SUBSTITUTE(AA$1,RIGHT(AA$1,2),""),VLOOKUP($D111,素材!$1:$1016,COLUMN($F$1),FALSE))),VLOOKUP($C111,武器!$1:$998,COLUMN($O$1),FALSE)*VLOOKUP($D111,素材!$1:$1016,COLUMN($E$1),FALSE)/(LEN(VLOOKUP($D111,素材!$1:$1016,COLUMN($F$1),FALSE))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B111">
        <f>IF(ISNUMBER(SEARCH(SUBSTITUTE(AB$1,RIGHT(AB$1,2),""),VLOOKUP($D111,素材!$1:$1016,COLUMN($F$1),FALSE))),VLOOKUP($C111,武器!$1:$998,COLUMN($O$1),FALSE)*VLOOKUP($D111,素材!$1:$1016,COLUMN($E$1),FALSE)/(LEN(VLOOKUP($D111,素材!$1:$1016,COLUMN($F$1),FALSE))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C111">
        <f>IF(ISNUMBER(SEARCH(SUBSTITUTE(AC$1,RIGHT(AC$1,2),""),VLOOKUP($D111,素材!$1:$1016,COLUMN($F$1),FALSE))),VLOOKUP($C111,武器!$1:$998,COLUMN($O$1),FALSE)*VLOOKUP($D111,素材!$1:$1016,COLUMN($E$1),FALSE)/(LEN(VLOOKUP($D111,素材!$1:$1016,COLUMN($F$1),FALSE))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D111">
        <f>IF(ISNUMBER(SEARCH(SUBSTITUTE(AD$1,RIGHT(AD$1,2),""),VLOOKUP($D111,素材!$1:$1016,COLUMN($F$1),FALSE))),VLOOKUP($C111,武器!$1:$998,COLUMN($O$1),FALSE)*VLOOKUP($D111,素材!$1:$1016,COLUMN($E$1),FALSE)/(LEN(VLOOKUP($D111,素材!$1:$1016,COLUMN($F$1),FALSE))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E111">
        <f>IF(ISNUMBER(SEARCH(SUBSTITUTE(AE$1,RIGHT(AE$1,2),""),VLOOKUP($D111,素材!$1:$1016,COLUMN($F$1),FALSE))),VLOOKUP($C111,武器!$1:$998,COLUMN($O$1),FALSE)*VLOOKUP($D111,素材!$1:$1016,COLUMN($E$1),FALSE)/(LEN(VLOOKUP($D111,素材!$1:$1016,COLUMN($F$1),FALSE))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F111">
        <f>IF(ISNUMBER(SEARCH(SUBSTITUTE(AF$1,RIGHT(AF$1,2),""),VLOOKUP($D111,素材!$1:$1016,COLUMN($F$1),FALSE))),VLOOKUP($C111,武器!$1:$998,COLUMN($O$1),FALSE)*VLOOKUP($D111,素材!$1:$1016,COLUMN($E$1),FALSE)/(LEN(VLOOKUP($D111,素材!$1:$1016,COLUMN($F$1),FALSE))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G111">
        <f>IF(ISNUMBER(SEARCH(SUBSTITUTE(AG$1,RIGHT(AG$1,2),""),VLOOKUP($D111,素材!$1:$1016,COLUMN($F$1),FALSE))),VLOOKUP($C111,武器!$1:$998,COLUMN($O$1),FALSE)*VLOOKUP($D111,素材!$1:$1016,COLUMN($E$1),FALSE)/(LEN(VLOOKUP($D111,素材!$1:$1016,COLUMN($F$1),FALSE))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H111">
        <f>IF(ISNUMBER(SEARCH(SUBSTITUTE(AH$1,RIGHT(AH$1,2),""),VLOOKUP($D111,素材!$1:$1016,COLUMN($F$1),FALSE))),VLOOKUP($C111,武器!$1:$998,COLUMN($O$1),FALSE)*VLOOKUP($D111,素材!$1:$1016,COLUMN($E$1),FALSE)/(LEN(VLOOKUP($D111,素材!$1:$1016,COLUMN($F$1),FALSE))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I111">
        <f>IF(ISNUMBER(SEARCH(SUBSTITUTE(AI$1,RIGHT(AI$1,2),""),VLOOKUP($D111,素材!$1:$1016,COLUMN($F$1),FALSE))),VLOOKUP($C111,武器!$1:$998,COLUMN($O$1),FALSE)*VLOOKUP($D111,素材!$1:$1016,COLUMN($E$1),FALSE)/(LEN(VLOOKUP($D111,素材!$1:$1016,COLUMN($F$1),FALSE))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J111">
        <f>IF(ISNUMBER(SEARCH(SUBSTITUTE(AJ$1,RIGHT(AJ$1,2),""),VLOOKUP($D111,素材!$1:$1016,COLUMN($F$1),FALSE))),VLOOKUP($C111,武器!$1:$998,COLUMN($O$1),FALSE)*VLOOKUP($D111,素材!$1:$1016,COLUMN($E$1),FALSE)/(LEN(VLOOKUP($D111,素材!$1:$1016,COLUMN($F$1),FALSE))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K111">
        <f>IF(ISNUMBER(SEARCH(SUBSTITUTE(AK$1,RIGHT(AK$1,2),""),VLOOKUP($D111,素材!$1:$1016,COLUMN($F$1),FALSE))),VLOOKUP($C111,武器!$1:$998,COLUMN($O$1),FALSE)*VLOOKUP($D111,素材!$1:$1016,COLUMN($E$1),FALSE)/(LEN(VLOOKUP($D111,素材!$1:$1016,COLUMN($F$1),FALSE))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L111">
        <f>IF(ISNUMBER(SEARCH(SUBSTITUTE(AL$1,RIGHT(AL$1,2),""),VLOOKUP($D111,素材!$1:$1016,COLUMN($F$1),FALSE))),VLOOKUP($C111,武器!$1:$998,COLUMN($O$1),FALSE)*VLOOKUP($D111,素材!$1:$1016,COLUMN($E$1),FALSE)/(LEN(VLOOKUP($D111,素材!$1:$1016,COLUMN($F$1),FALSE))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M111">
        <f>IF(ISNUMBER(SEARCH(SUBSTITUTE(AM$1,RIGHT(AM$1,2),""),VLOOKUP($D111,素材!$1:$1016,COLUMN($F$1),FALSE))),VLOOKUP($C111,武器!$1:$998,COLUMN($O$1),FALSE)*VLOOKUP($D111,素材!$1:$1016,COLUMN($E$1),FALSE)/(LEN(VLOOKUP($D111,素材!$1:$1016,COLUMN($F$1),FALSE))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N111">
        <f>IF(ISNUMBER(SEARCH(SUBSTITUTE(AN$1,RIGHT(AN$1,2),""),VLOOKUP($D111,素材!$1:$1016,COLUMN($F$1),FALSE))),VLOOKUP($C111,武器!$1:$998,COLUMN($O$1),FALSE)*VLOOKUP($D111,素材!$1:$1016,COLUMN($E$1),FALSE)/(LEN(VLOOKUP($D111,素材!$1:$1016,COLUMN($F$1),FALSE))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O111">
        <f>IF(ISNUMBER(SEARCH(SUBSTITUTE(AO$1,RIGHT(AO$1,2),""),VLOOKUP($D111,素材!$1:$1016,COLUMN($F$1),FALSE))),VLOOKUP($C111,武器!$1:$998,COLUMN($O$1),FALSE)*VLOOKUP($D111,素材!$1:$1016,COLUMN($E$1),FALSE)/(LEN(VLOOKUP($D111,素材!$1:$1016,COLUMN($F$1),FALSE))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P111">
        <f>IF(ISNUMBER(SEARCH(SUBSTITUTE(AP$1,RIGHT(AP$1,2),""),VLOOKUP($D111,素材!$1:$1016,COLUMN($F$1),FALSE))),VLOOKUP($C111,武器!$1:$998,COLUMN($O$1),FALSE)*VLOOKUP($D111,素材!$1:$1016,COLUMN($E$1),FALSE)/(LEN(VLOOKUP($D111,素材!$1:$1016,COLUMN($F$1),FALSE))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Q111">
        <f>IF(ISNUMBER(SEARCH(SUBSTITUTE(AQ$1,RIGHT(AQ$1,2),""),VLOOKUP($D111,素材!$1:$1016,COLUMN($F$1),FALSE))),VLOOKUP($C111,武器!$1:$998,COLUMN($O$1),FALSE)*VLOOKUP($D111,素材!$1:$1016,COLUMN($E$1),FALSE)/(LEN(VLOOKUP($D111,素材!$1:$1016,COLUMN($F$1),FALSE))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R111">
        <f>IF(ISNUMBER(SEARCH(SUBSTITUTE(AR$1,RIGHT(AR$1,2),""),VLOOKUP($D111,素材!$1:$1016,COLUMN($F$1),FALSE))),VLOOKUP($C111,武器!$1:$998,COLUMN($O$1),FALSE)*VLOOKUP($D111,素材!$1:$1016,COLUMN($E$1),FALSE)/(LEN(VLOOKUP($D111,素材!$1:$1016,COLUMN($F$1),FALSE))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S111">
        <f>IF(ISNUMBER(SEARCH(SUBSTITUTE(AS$1,RIGHT(AS$1,2),""),VLOOKUP($D111,素材!$1:$1016,COLUMN($F$1),FALSE))),VLOOKUP($C111,武器!$1:$998,COLUMN($O$1),FALSE)*VLOOKUP($D111,素材!$1:$1016,COLUMN($E$1),FALSE)/(LEN(VLOOKUP($D111,素材!$1:$1016,COLUMN($F$1),FALSE))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T111">
        <f>IF(ISNUMBER(SEARCH(SUBSTITUTE(AT$1,RIGHT(AT$1,2),""),VLOOKUP($D111,素材!$1:$1016,COLUMN($F$1),FALSE))),VLOOKUP($C111,武器!$1:$998,COLUMN($O$1),FALSE)*VLOOKUP($D111,素材!$1:$1016,COLUMN($E$1),FALSE)/(LEN(VLOOKUP($D111,素材!$1:$1016,COLUMN($F$1),FALSE))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U111">
        <f>IF(ISNUMBER(SEARCH(SUBSTITUTE(AU$1,RIGHT(AU$1,2),""),VLOOKUP($D111,素材!$1:$1016,COLUMN($F$1),FALSE))),VLOOKUP($C111,武器!$1:$998,COLUMN($O$1),FALSE)*VLOOKUP($D111,素材!$1:$1016,COLUMN($E$1),FALSE)/(LEN(VLOOKUP($D111,素材!$1:$1016,COLUMN($F$1),FALSE))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V111">
        <f>IF(ISNUMBER(SEARCH(SUBSTITUTE(AV$1,RIGHT(AV$1,2),""),VLOOKUP($D111,素材!$1:$1016,COLUMN($F$1),FALSE))),VLOOKUP($C111,武器!$1:$998,COLUMN($O$1),FALSE)*VLOOKUP($D111,素材!$1:$1016,COLUMN($E$1),FALSE)/(LEN(VLOOKUP($D111,素材!$1:$1016,COLUMN($F$1),FALSE))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W111">
        <f>IF(ISNUMBER(SEARCH(SUBSTITUTE(AW$1,RIGHT(AW$1,2),""),VLOOKUP($D111,素材!$1:$1016,COLUMN($F$1),FALSE))),VLOOKUP($C111,武器!$1:$998,COLUMN($O$1),FALSE)*VLOOKUP($D111,素材!$1:$1016,COLUMN($E$1),FALSE)/(LEN(VLOOKUP($D111,素材!$1:$1016,COLUMN($F$1),FALSE))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X111">
        <f>IF(ISNUMBER(SEARCH(SUBSTITUTE(AX$1,RIGHT(AX$1,2),""),VLOOKUP($D111,素材!$1:$1016,COLUMN($F$1),FALSE))),VLOOKUP($C111,武器!$1:$998,COLUMN($O$1),FALSE)*VLOOKUP($D111,素材!$1:$1016,COLUMN($E$1),FALSE)/(LEN(VLOOKUP($D111,素材!$1:$1016,COLUMN($F$1),FALSE))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Y111">
        <f>IF(ISNUMBER(SEARCH(SUBSTITUTE(AY$1,RIGHT(AY$1,2),""),VLOOKUP($D111,素材!$1:$1016,COLUMN($F$1),FALSE))),VLOOKUP($C111,武器!$1:$998,COLUMN($O$1),FALSE)*VLOOKUP($D111,素材!$1:$1016,COLUMN($E$1),FALSE)/(LEN(VLOOKUP($D111,素材!$1:$1016,COLUMN($F$1),FALSE))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AZ111">
        <f>IF(ISNUMBER(SEARCH(SUBSTITUTE(AZ$1,RIGHT(AZ$1,2),""),VLOOKUP($D111,素材!$1:$1016,COLUMN($F$1),FALSE))),VLOOKUP($C111,武器!$1:$998,COLUMN($O$1),FALSE)*VLOOKUP($D111,素材!$1:$1016,COLUMN($E$1),FALSE)/(LEN(VLOOKUP($D111,素材!$1:$1016,COLUMN($F$1),FALSE))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BA111">
        <f>IF(ISNUMBER(SEARCH(SUBSTITUTE(BA$1,RIGHT(BA$1,2),""),VLOOKUP($D111,素材!$1:$1016,COLUMN($F$1),FALSE))),VLOOKUP($C111,武器!$1:$998,COLUMN($O$1),FALSE)*VLOOKUP($D111,素材!$1:$1016,COLUMN($E$1),FALSE)/(LEN(VLOOKUP($D111,素材!$1:$1016,COLUMN($F$1),FALSE))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BB111">
        <f>IF(ISNUMBER(SEARCH(SUBSTITUTE(BB$1,RIGHT(BB$1,2),""),VLOOKUP($D111,素材!$1:$1016,COLUMN($F$1),FALSE))),VLOOKUP($C111,武器!$1:$998,COLUMN($O$1),FALSE)*VLOOKUP($D111,素材!$1:$1016,COLUMN($E$1),FALSE)/(LEN(VLOOKUP($D111,素材!$1:$1016,COLUMN($F$1),FALSE))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BC111">
        <f>IF(ISNUMBER(SEARCH(SUBSTITUTE(BC$1,RIGHT(BC$1,2),""),VLOOKUP($D111,素材!$1:$1016,COLUMN($F$1),FALSE))),VLOOKUP($C111,武器!$1:$998,COLUMN($O$1),FALSE)*VLOOKUP($D111,素材!$1:$1016,COLUMN($E$1),FALSE)/(LEN(VLOOKUP($D111,素材!$1:$1016,COLUMN($F$1),FALSE))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BD111">
        <f>IF(ISNUMBER(SEARCH(SUBSTITUTE(BD$1,RIGHT(BD$1,2),""),VLOOKUP($D111,素材!$1:$1016,COLUMN($F$1),FALSE))),VLOOKUP($C111,武器!$1:$998,COLUMN($O$1),FALSE)*VLOOKUP($D111,素材!$1:$1016,COLUMN($E$1),FALSE)/(LEN(VLOOKUP($D111,素材!$1:$1016,COLUMN($F$1),FALSE))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BE111">
        <f>IF(ISNUMBER(SEARCH(SUBSTITUTE(BE$1,RIGHT(BE$1,2),""),VLOOKUP($D111,素材!$1:$1016,COLUMN($F$1),FALSE))),VLOOKUP($C111,武器!$1:$998,COLUMN($O$1),FALSE)*VLOOKUP($D111,素材!$1:$1016,COLUMN($E$1),FALSE)/(LEN(VLOOKUP($D111,素材!$1:$1016,COLUMN($F$1),FALSE))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BF111">
        <f>IF(ISNUMBER(SEARCH(SUBSTITUTE(BF$1,RIGHT(BF$1,2),""),VLOOKUP($D111,素材!$1:$1016,COLUMN($F$1),FALSE))),VLOOKUP($C111,武器!$1:$998,COLUMN($O$1),FALSE)*VLOOKUP($D111,素材!$1:$1016,COLUMN($E$1),FALSE)/(LEN(VLOOKUP($D111,素材!$1:$1016,COLUMN($F$1),FALSE)) - LEN(SUBSTITUTE(VLOOKUP($D111,素材!$1:$1016,COLUMN($F$1),FALSE), "・", 0)) + 1), 0)</f>
        <v>0</v>
      </c>
      <c r="CM111">
        <f t="shared" si="8"/>
        <v>22</v>
      </c>
      <c r="CN111" s="22" t="str">
        <f>IF(E111="武器",IF(J111-1&gt;SUM(G111:I111),"盾",IF(MAX(G111:I111)=G111,"切断",IF(MAX(G111:I111)=H111,"貫通",IF(MAX(G111:I111)=I111,"打撃","射撃")))),E111)&amp;".webp"</f>
        <v>頭.webp</v>
      </c>
      <c r="CO111">
        <f>IFERROR(VLOOKUP($C111,武器!$1:$998,COLUMN(V$1),FALSE)*VLOOKUP($D111,素材!$1:$1016,COLUMN(N$1),FALSE)+IF(CJ111="",0,VLOOKUP($CJ111,装強!$1:$1008,COLUMN($CL$1),FALSE)),"")</f>
        <v>675</v>
      </c>
      <c r="CP111" t="str">
        <f>VLOOKUP(D111,素材!$A:$O,COLUMN(素材!O$1),FALSE)</f>
        <v>鍛えられた鉄。硬度が高く安価なためよく使用される。</v>
      </c>
      <c r="CQ111" t="str">
        <f>VLOOKUP(C111,武器!$A:$W,COLUMN(武器!W$1),FALSE)</f>
        <v>命中 魔防 Cr</v>
      </c>
      <c r="CS111" t="str">
        <f t="shared" si="7"/>
        <v>e_111</v>
      </c>
      <c r="CT111">
        <f t="shared" si="9"/>
        <v>67500</v>
      </c>
    </row>
    <row r="112" spans="1:98" outlineLevel="1" x14ac:dyDescent="0.4">
      <c r="A112" t="str">
        <f t="shared" si="10"/>
        <v>鋼の鎧</v>
      </c>
      <c r="B112" t="str">
        <f>IFERROR(VLOOKUP($D112,素材!$1:$1016,COLUMN($B$1),FALSE)&amp;"・"&amp;VLOOKUP($C112,武器!$1:$998,COLUMN(B$1),FALSE),"")</f>
        <v>スチール・アーマー</v>
      </c>
      <c r="C112" t="s">
        <v>208</v>
      </c>
      <c r="D112" s="24" t="s">
        <v>253</v>
      </c>
      <c r="E112" t="str">
        <f>IFERROR(VLOOKUP(C112,武器!$1:$998,COLUMN(C$1),FALSE),"")</f>
        <v>体</v>
      </c>
      <c r="F112">
        <f>IFERROR(ROUNDDOWN((VLOOKUP($C112,武器!$1:$998,COLUMN(D$1),FALSE)+IFERROR(VLOOKUP($CJ112,装強!$1:$999,COLUMN(F$1),FALSE),0))*VLOOKUP($D112,素材!$1:$1016,COLUMN(D$1),FALSE),0),"")</f>
        <v>0</v>
      </c>
      <c r="G112">
        <f>IFERROR(ROUNDDOWN((VLOOKUP($C112,武器!$1:$998,COLUMN(E$1),FALSE)+IFERROR(VLOOKUP($CJ112,装強!$1:$999,COLUMN(G$1),FALSE),0))*VLOOKUP($D112,素材!$1:$1016,COLUMN($E$1),FALSE),0),"")</f>
        <v>0</v>
      </c>
      <c r="H112">
        <f>IFERROR(ROUNDDOWN((VLOOKUP($C112,武器!$1:$998,COLUMN(F$1),FALSE)+IFERROR(VLOOKUP($CJ112,装強!$1:$999,COLUMN(H$1),FALSE),0))*VLOOKUP($D112,素材!$1:$1016,COLUMN($E$1),FALSE),0),"")</f>
        <v>0</v>
      </c>
      <c r="I112">
        <f>IFERROR(ROUNDDOWN((VLOOKUP($C112,武器!$1:$998,COLUMN(G$1),FALSE)+IFERROR(VLOOKUP($CJ112,装強!$1:$999,COLUMN(I$1),FALSE),0))*VLOOKUP($D112,素材!$1:$1016,COLUMN($E$1),FALSE),0),"")</f>
        <v>0</v>
      </c>
      <c r="J112">
        <f>IFERROR(ROUNDDOWN((VLOOKUP($C112,武器!$1:$998,COLUMN(H$1),FALSE)+IFERROR(VLOOKUP($CJ112,装強!$1:$999,COLUMN(J$1),FALSE),0))*VLOOKUP($D112,素材!$1:$1016,COLUMN($E$1),FALSE),0),"")</f>
        <v>0</v>
      </c>
      <c r="K112">
        <f>IFERROR(ROUNDDOWN((VLOOKUP($C112,武器!$1:$998,COLUMN(I$1),FALSE)+IFERROR(VLOOKUP($CJ112,装強!$1:$999,COLUMN(K$1),FALSE),0))*VLOOKUP($D112,素材!$1:$1016,COLUMN($E$1),FALSE),0),"")</f>
        <v>0</v>
      </c>
      <c r="L112">
        <f>IFERROR(VLOOKUP($D112,素材!$1:$1016,COLUMN($F$1),FALSE),"")</f>
        <v>0</v>
      </c>
      <c r="M112">
        <f>IFERROR(VLOOKUP($C112,武器!$1:$998,COLUMN(AA$1),FALSE)*VLOOKUP($D112,素材!$1:$1016,COLUMN($G$1),FALSE),"")</f>
        <v>0</v>
      </c>
      <c r="N112">
        <f>IFERROR(VLOOKUP($C112,武器!$1:$998,COLUMN(I$1),FALSE),"")</f>
        <v>0</v>
      </c>
      <c r="O112" s="23">
        <f>IFERROR((VLOOKUP($C112,武器!$1:$998,COLUMN(K$1),FALSE)+VLOOKUP($D112,素材!$1:$1016,COLUMN(H$1),FALSE))*100+IFERROR(VLOOKUP($CJ112,装強!$1:$999,COLUMN(O$1),FALSE),0),"")</f>
        <v>0</v>
      </c>
      <c r="P112" s="23">
        <f>IFERROR((VLOOKUP($C112,武器!$1:$998,COLUMN(L$1),FALSE)+VLOOKUP($D112,素材!$1:$1016,COLUMN(I$1),FALSE))*100+IFERROR(VLOOKUP($CJ112,装強!$1:$999,COLUMN(P$1),FALSE),0),"")</f>
        <v>0</v>
      </c>
      <c r="Q112">
        <f>IFERROR(ROUNDUP(VLOOKUP($C112,武器!$1:$998,COLUMN(M$1),FALSE)*(VLOOKUP($D112,素材!$1:$1002,COLUMN(D$1),FALSE)/100),1),"")</f>
        <v>-15.799999999999999</v>
      </c>
      <c r="R112">
        <f>IFERROR(ROUNDUP(VLOOKUP($C112,武器!$1:$998,COLUMN(N$1),FALSE)*(VLOOKUP($D112,素材!$1:$1002,COLUMN(D$1),FALSE)/100),1),"")</f>
        <v>0</v>
      </c>
      <c r="S112">
        <f>IFERROR(VLOOKUP($C112,武器!$1:$998,COLUMN(P$1),FALSE),"")</f>
        <v>0</v>
      </c>
      <c r="T112">
        <f>IFERROR(VLOOKUP($C112,武器!$1:$998,COLUMN(Q$1),FALSE),"")</f>
        <v>0</v>
      </c>
      <c r="U112">
        <f>IFERROR(VLOOKUP($C112,武器!$1:$998,COLUMN(R$1),FALSE),"")</f>
        <v>0</v>
      </c>
      <c r="V112">
        <f>IFERROR(VLOOKUP($C112,武器!$1:$998,COLUMN(Q$1),FALSE),"")</f>
        <v>0</v>
      </c>
      <c r="W112">
        <f>IFERROR(VLOOKUP($C112,武器!$1:$998,COLUMN(T$1),FALSE),"")</f>
        <v>0</v>
      </c>
      <c r="Y112">
        <f>IFERROR(VLOOKUP($C112,武器!$1:$998,COLUMN(U$1),FALSE),"")</f>
        <v>0</v>
      </c>
      <c r="Z112">
        <f>IFERROR(ROUNDUP(VLOOKUP($C112,武器!$1:$998,COLUMN(O$1),FALSE)*VLOOKUP($D112,素材!$1:$1016,COLUMN(E$1),FALSE),1),"")</f>
        <v>18.899999999999999</v>
      </c>
      <c r="AA112">
        <f>IF(ISNUMBER(SEARCH(SUBSTITUTE(AA$1,RIGHT(AA$1,2),""),VLOOKUP($D112,素材!$1:$1016,COLUMN($F$1),FALSE))),VLOOKUP($C112,武器!$1:$998,COLUMN($O$1),FALSE)*VLOOKUP($D112,素材!$1:$1016,COLUMN($E$1),FALSE)/(LEN(VLOOKUP($D112,素材!$1:$1016,COLUMN($F$1),FALSE))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B112">
        <f>IF(ISNUMBER(SEARCH(SUBSTITUTE(AB$1,RIGHT(AB$1,2),""),VLOOKUP($D112,素材!$1:$1016,COLUMN($F$1),FALSE))),VLOOKUP($C112,武器!$1:$998,COLUMN($O$1),FALSE)*VLOOKUP($D112,素材!$1:$1016,COLUMN($E$1),FALSE)/(LEN(VLOOKUP($D112,素材!$1:$1016,COLUMN($F$1),FALSE))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C112">
        <f>IF(ISNUMBER(SEARCH(SUBSTITUTE(AC$1,RIGHT(AC$1,2),""),VLOOKUP($D112,素材!$1:$1016,COLUMN($F$1),FALSE))),VLOOKUP($C112,武器!$1:$998,COLUMN($O$1),FALSE)*VLOOKUP($D112,素材!$1:$1016,COLUMN($E$1),FALSE)/(LEN(VLOOKUP($D112,素材!$1:$1016,COLUMN($F$1),FALSE))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D112">
        <f>IF(ISNUMBER(SEARCH(SUBSTITUTE(AD$1,RIGHT(AD$1,2),""),VLOOKUP($D112,素材!$1:$1016,COLUMN($F$1),FALSE))),VLOOKUP($C112,武器!$1:$998,COLUMN($O$1),FALSE)*VLOOKUP($D112,素材!$1:$1016,COLUMN($E$1),FALSE)/(LEN(VLOOKUP($D112,素材!$1:$1016,COLUMN($F$1),FALSE))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E112">
        <f>IF(ISNUMBER(SEARCH(SUBSTITUTE(AE$1,RIGHT(AE$1,2),""),VLOOKUP($D112,素材!$1:$1016,COLUMN($F$1),FALSE))),VLOOKUP($C112,武器!$1:$998,COLUMN($O$1),FALSE)*VLOOKUP($D112,素材!$1:$1016,COLUMN($E$1),FALSE)/(LEN(VLOOKUP($D112,素材!$1:$1016,COLUMN($F$1),FALSE))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F112">
        <f>IF(ISNUMBER(SEARCH(SUBSTITUTE(AF$1,RIGHT(AF$1,2),""),VLOOKUP($D112,素材!$1:$1016,COLUMN($F$1),FALSE))),VLOOKUP($C112,武器!$1:$998,COLUMN($O$1),FALSE)*VLOOKUP($D112,素材!$1:$1016,COLUMN($E$1),FALSE)/(LEN(VLOOKUP($D112,素材!$1:$1016,COLUMN($F$1),FALSE))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G112">
        <f>IF(ISNUMBER(SEARCH(SUBSTITUTE(AG$1,RIGHT(AG$1,2),""),VLOOKUP($D112,素材!$1:$1016,COLUMN($F$1),FALSE))),VLOOKUP($C112,武器!$1:$998,COLUMN($O$1),FALSE)*VLOOKUP($D112,素材!$1:$1016,COLUMN($E$1),FALSE)/(LEN(VLOOKUP($D112,素材!$1:$1016,COLUMN($F$1),FALSE))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H112">
        <f>IF(ISNUMBER(SEARCH(SUBSTITUTE(AH$1,RIGHT(AH$1,2),""),VLOOKUP($D112,素材!$1:$1016,COLUMN($F$1),FALSE))),VLOOKUP($C112,武器!$1:$998,COLUMN($O$1),FALSE)*VLOOKUP($D112,素材!$1:$1016,COLUMN($E$1),FALSE)/(LEN(VLOOKUP($D112,素材!$1:$1016,COLUMN($F$1),FALSE))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I112">
        <f>IF(ISNUMBER(SEARCH(SUBSTITUTE(AI$1,RIGHT(AI$1,2),""),VLOOKUP($D112,素材!$1:$1016,COLUMN($F$1),FALSE))),VLOOKUP($C112,武器!$1:$998,COLUMN($O$1),FALSE)*VLOOKUP($D112,素材!$1:$1016,COLUMN($E$1),FALSE)/(LEN(VLOOKUP($D112,素材!$1:$1016,COLUMN($F$1),FALSE))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J112">
        <f>IF(ISNUMBER(SEARCH(SUBSTITUTE(AJ$1,RIGHT(AJ$1,2),""),VLOOKUP($D112,素材!$1:$1016,COLUMN($F$1),FALSE))),VLOOKUP($C112,武器!$1:$998,COLUMN($O$1),FALSE)*VLOOKUP($D112,素材!$1:$1016,COLUMN($E$1),FALSE)/(LEN(VLOOKUP($D112,素材!$1:$1016,COLUMN($F$1),FALSE))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K112">
        <f>IF(ISNUMBER(SEARCH(SUBSTITUTE(AK$1,RIGHT(AK$1,2),""),VLOOKUP($D112,素材!$1:$1016,COLUMN($F$1),FALSE))),VLOOKUP($C112,武器!$1:$998,COLUMN($O$1),FALSE)*VLOOKUP($D112,素材!$1:$1016,COLUMN($E$1),FALSE)/(LEN(VLOOKUP($D112,素材!$1:$1016,COLUMN($F$1),FALSE))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L112">
        <f>IF(ISNUMBER(SEARCH(SUBSTITUTE(AL$1,RIGHT(AL$1,2),""),VLOOKUP($D112,素材!$1:$1016,COLUMN($F$1),FALSE))),VLOOKUP($C112,武器!$1:$998,COLUMN($O$1),FALSE)*VLOOKUP($D112,素材!$1:$1016,COLUMN($E$1),FALSE)/(LEN(VLOOKUP($D112,素材!$1:$1016,COLUMN($F$1),FALSE))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M112">
        <f>IF(ISNUMBER(SEARCH(SUBSTITUTE(AM$1,RIGHT(AM$1,2),""),VLOOKUP($D112,素材!$1:$1016,COLUMN($F$1),FALSE))),VLOOKUP($C112,武器!$1:$998,COLUMN($O$1),FALSE)*VLOOKUP($D112,素材!$1:$1016,COLUMN($E$1),FALSE)/(LEN(VLOOKUP($D112,素材!$1:$1016,COLUMN($F$1),FALSE))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N112">
        <f>IF(ISNUMBER(SEARCH(SUBSTITUTE(AN$1,RIGHT(AN$1,2),""),VLOOKUP($D112,素材!$1:$1016,COLUMN($F$1),FALSE))),VLOOKUP($C112,武器!$1:$998,COLUMN($O$1),FALSE)*VLOOKUP($D112,素材!$1:$1016,COLUMN($E$1),FALSE)/(LEN(VLOOKUP($D112,素材!$1:$1016,COLUMN($F$1),FALSE))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O112">
        <f>IF(ISNUMBER(SEARCH(SUBSTITUTE(AO$1,RIGHT(AO$1,2),""),VLOOKUP($D112,素材!$1:$1016,COLUMN($F$1),FALSE))),VLOOKUP($C112,武器!$1:$998,COLUMN($O$1),FALSE)*VLOOKUP($D112,素材!$1:$1016,COLUMN($E$1),FALSE)/(LEN(VLOOKUP($D112,素材!$1:$1016,COLUMN($F$1),FALSE))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P112">
        <f>IF(ISNUMBER(SEARCH(SUBSTITUTE(AP$1,RIGHT(AP$1,2),""),VLOOKUP($D112,素材!$1:$1016,COLUMN($F$1),FALSE))),VLOOKUP($C112,武器!$1:$998,COLUMN($O$1),FALSE)*VLOOKUP($D112,素材!$1:$1016,COLUMN($E$1),FALSE)/(LEN(VLOOKUP($D112,素材!$1:$1016,COLUMN($F$1),FALSE))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Q112">
        <f>IF(ISNUMBER(SEARCH(SUBSTITUTE(AQ$1,RIGHT(AQ$1,2),""),VLOOKUP($D112,素材!$1:$1016,COLUMN($F$1),FALSE))),VLOOKUP($C112,武器!$1:$998,COLUMN($O$1),FALSE)*VLOOKUP($D112,素材!$1:$1016,COLUMN($E$1),FALSE)/(LEN(VLOOKUP($D112,素材!$1:$1016,COLUMN($F$1),FALSE))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R112">
        <f>IF(ISNUMBER(SEARCH(SUBSTITUTE(AR$1,RIGHT(AR$1,2),""),VLOOKUP($D112,素材!$1:$1016,COLUMN($F$1),FALSE))),VLOOKUP($C112,武器!$1:$998,COLUMN($O$1),FALSE)*VLOOKUP($D112,素材!$1:$1016,COLUMN($E$1),FALSE)/(LEN(VLOOKUP($D112,素材!$1:$1016,COLUMN($F$1),FALSE))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S112">
        <f>IF(ISNUMBER(SEARCH(SUBSTITUTE(AS$1,RIGHT(AS$1,2),""),VLOOKUP($D112,素材!$1:$1016,COLUMN($F$1),FALSE))),VLOOKUP($C112,武器!$1:$998,COLUMN($O$1),FALSE)*VLOOKUP($D112,素材!$1:$1016,COLUMN($E$1),FALSE)/(LEN(VLOOKUP($D112,素材!$1:$1016,COLUMN($F$1),FALSE))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T112">
        <f>IF(ISNUMBER(SEARCH(SUBSTITUTE(AT$1,RIGHT(AT$1,2),""),VLOOKUP($D112,素材!$1:$1016,COLUMN($F$1),FALSE))),VLOOKUP($C112,武器!$1:$998,COLUMN($O$1),FALSE)*VLOOKUP($D112,素材!$1:$1016,COLUMN($E$1),FALSE)/(LEN(VLOOKUP($D112,素材!$1:$1016,COLUMN($F$1),FALSE))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U112">
        <f>IF(ISNUMBER(SEARCH(SUBSTITUTE(AU$1,RIGHT(AU$1,2),""),VLOOKUP($D112,素材!$1:$1016,COLUMN($F$1),FALSE))),VLOOKUP($C112,武器!$1:$998,COLUMN($O$1),FALSE)*VLOOKUP($D112,素材!$1:$1016,COLUMN($E$1),FALSE)/(LEN(VLOOKUP($D112,素材!$1:$1016,COLUMN($F$1),FALSE))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V112">
        <f>IF(ISNUMBER(SEARCH(SUBSTITUTE(AV$1,RIGHT(AV$1,2),""),VLOOKUP($D112,素材!$1:$1016,COLUMN($F$1),FALSE))),VLOOKUP($C112,武器!$1:$998,COLUMN($O$1),FALSE)*VLOOKUP($D112,素材!$1:$1016,COLUMN($E$1),FALSE)/(LEN(VLOOKUP($D112,素材!$1:$1016,COLUMN($F$1),FALSE))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W112">
        <f>IF(ISNUMBER(SEARCH(SUBSTITUTE(AW$1,RIGHT(AW$1,2),""),VLOOKUP($D112,素材!$1:$1016,COLUMN($F$1),FALSE))),VLOOKUP($C112,武器!$1:$998,COLUMN($O$1),FALSE)*VLOOKUP($D112,素材!$1:$1016,COLUMN($E$1),FALSE)/(LEN(VLOOKUP($D112,素材!$1:$1016,COLUMN($F$1),FALSE))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X112">
        <f>IF(ISNUMBER(SEARCH(SUBSTITUTE(AX$1,RIGHT(AX$1,2),""),VLOOKUP($D112,素材!$1:$1016,COLUMN($F$1),FALSE))),VLOOKUP($C112,武器!$1:$998,COLUMN($O$1),FALSE)*VLOOKUP($D112,素材!$1:$1016,COLUMN($E$1),FALSE)/(LEN(VLOOKUP($D112,素材!$1:$1016,COLUMN($F$1),FALSE))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Y112">
        <f>IF(ISNUMBER(SEARCH(SUBSTITUTE(AY$1,RIGHT(AY$1,2),""),VLOOKUP($D112,素材!$1:$1016,COLUMN($F$1),FALSE))),VLOOKUP($C112,武器!$1:$998,COLUMN($O$1),FALSE)*VLOOKUP($D112,素材!$1:$1016,COLUMN($E$1),FALSE)/(LEN(VLOOKUP($D112,素材!$1:$1016,COLUMN($F$1),FALSE))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AZ112">
        <f>IF(ISNUMBER(SEARCH(SUBSTITUTE(AZ$1,RIGHT(AZ$1,2),""),VLOOKUP($D112,素材!$1:$1016,COLUMN($F$1),FALSE))),VLOOKUP($C112,武器!$1:$998,COLUMN($O$1),FALSE)*VLOOKUP($D112,素材!$1:$1016,COLUMN($E$1),FALSE)/(LEN(VLOOKUP($D112,素材!$1:$1016,COLUMN($F$1),FALSE))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BA112">
        <f>IF(ISNUMBER(SEARCH(SUBSTITUTE(BA$1,RIGHT(BA$1,2),""),VLOOKUP($D112,素材!$1:$1016,COLUMN($F$1),FALSE))),VLOOKUP($C112,武器!$1:$998,COLUMN($O$1),FALSE)*VLOOKUP($D112,素材!$1:$1016,COLUMN($E$1),FALSE)/(LEN(VLOOKUP($D112,素材!$1:$1016,COLUMN($F$1),FALSE))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BB112">
        <f>IF(ISNUMBER(SEARCH(SUBSTITUTE(BB$1,RIGHT(BB$1,2),""),VLOOKUP($D112,素材!$1:$1016,COLUMN($F$1),FALSE))),VLOOKUP($C112,武器!$1:$998,COLUMN($O$1),FALSE)*VLOOKUP($D112,素材!$1:$1016,COLUMN($E$1),FALSE)/(LEN(VLOOKUP($D112,素材!$1:$1016,COLUMN($F$1),FALSE))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BC112">
        <f>IF(ISNUMBER(SEARCH(SUBSTITUTE(BC$1,RIGHT(BC$1,2),""),VLOOKUP($D112,素材!$1:$1016,COLUMN($F$1),FALSE))),VLOOKUP($C112,武器!$1:$998,COLUMN($O$1),FALSE)*VLOOKUP($D112,素材!$1:$1016,COLUMN($E$1),FALSE)/(LEN(VLOOKUP($D112,素材!$1:$1016,COLUMN($F$1),FALSE))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BD112">
        <f>IF(ISNUMBER(SEARCH(SUBSTITUTE(BD$1,RIGHT(BD$1,2),""),VLOOKUP($D112,素材!$1:$1016,COLUMN($F$1),FALSE))),VLOOKUP($C112,武器!$1:$998,COLUMN($O$1),FALSE)*VLOOKUP($D112,素材!$1:$1016,COLUMN($E$1),FALSE)/(LEN(VLOOKUP($D112,素材!$1:$1016,COLUMN($F$1),FALSE))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BE112">
        <f>IF(ISNUMBER(SEARCH(SUBSTITUTE(BE$1,RIGHT(BE$1,2),""),VLOOKUP($D112,素材!$1:$1016,COLUMN($F$1),FALSE))),VLOOKUP($C112,武器!$1:$998,COLUMN($O$1),FALSE)*VLOOKUP($D112,素材!$1:$1016,COLUMN($E$1),FALSE)/(LEN(VLOOKUP($D112,素材!$1:$1016,COLUMN($F$1),FALSE))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BF112">
        <f>IF(ISNUMBER(SEARCH(SUBSTITUTE(BF$1,RIGHT(BF$1,2),""),VLOOKUP($D112,素材!$1:$1016,COLUMN($F$1),FALSE))),VLOOKUP($C112,武器!$1:$998,COLUMN($O$1),FALSE)*VLOOKUP($D112,素材!$1:$1016,COLUMN($E$1),FALSE)/(LEN(VLOOKUP($D112,素材!$1:$1016,COLUMN($F$1),FALSE)) - LEN(SUBSTITUTE(VLOOKUP($D112,素材!$1:$1016,COLUMN($F$1),FALSE), "・", 0)) + 1), 0)</f>
        <v>0</v>
      </c>
      <c r="CM112">
        <f t="shared" si="8"/>
        <v>0</v>
      </c>
      <c r="CN112" s="22" t="str">
        <f>IF(E112="武器",IF(J112-1&gt;SUM(G112:I112),"盾",IF(MAX(G112:I112)=G112,"切断",IF(MAX(G112:I112)=H112,"貫通",IF(MAX(G112:I112)=I112,"打撃","射撃")))),E112)&amp;".webp"</f>
        <v>体.webp</v>
      </c>
      <c r="CO112">
        <f>IFERROR(VLOOKUP($C112,武器!$1:$998,COLUMN(V$1),FALSE)*VLOOKUP($D112,素材!$1:$1016,COLUMN(N$1),FALSE)+IF(CJ112="",0,VLOOKUP($CJ112,装強!$1:$1008,COLUMN($CL$1),FALSE)),"")</f>
        <v>1350</v>
      </c>
      <c r="CP112" t="str">
        <f>VLOOKUP(D112,素材!$A:$O,COLUMN(素材!O$1),FALSE)</f>
        <v>鍛えられた鉄。硬度が高く安価なためよく使用される。</v>
      </c>
      <c r="CQ112" t="str">
        <f>VLOOKUP(C112,武器!$A:$W,COLUMN(武器!W$1),FALSE)</f>
        <v>HP 物理 魔法 体幹 出血 疲労 Cr</v>
      </c>
      <c r="CS112" t="str">
        <f t="shared" si="7"/>
        <v>e_112</v>
      </c>
      <c r="CT112">
        <f t="shared" si="9"/>
        <v>135000</v>
      </c>
    </row>
    <row r="113" spans="1:98" outlineLevel="1" x14ac:dyDescent="0.4">
      <c r="A113" t="str">
        <f t="shared" si="10"/>
        <v>鋼の胴衣</v>
      </c>
      <c r="B113" t="str">
        <f>IFERROR(VLOOKUP($D113,素材!$1:$1016,COLUMN($B$1),FALSE)&amp;"・"&amp;VLOOKUP($C113,武器!$1:$998,COLUMN(B$1),FALSE),"")</f>
        <v>スチール・ベスト</v>
      </c>
      <c r="C113" t="s">
        <v>254</v>
      </c>
      <c r="D113" s="24" t="s">
        <v>253</v>
      </c>
      <c r="E113" t="str">
        <f>IFERROR(VLOOKUP(C113,武器!$1:$998,COLUMN(C$1),FALSE),"")</f>
        <v>体</v>
      </c>
      <c r="F113">
        <f>IFERROR(ROUNDDOWN((VLOOKUP($C113,武器!$1:$998,COLUMN(D$1),FALSE)+IFERROR(VLOOKUP($CJ113,装強!$1:$999,COLUMN(F$1),FALSE),0))*VLOOKUP($D113,素材!$1:$1016,COLUMN(D$1),FALSE),0),"")</f>
        <v>0</v>
      </c>
      <c r="G113">
        <f>IFERROR(ROUNDDOWN((VLOOKUP($C113,武器!$1:$998,COLUMN(E$1),FALSE)+IFERROR(VLOOKUP($CJ113,装強!$1:$999,COLUMN(G$1),FALSE),0))*VLOOKUP($D113,素材!$1:$1016,COLUMN($E$1),FALSE),0),"")</f>
        <v>0</v>
      </c>
      <c r="H113">
        <f>IFERROR(ROUNDDOWN((VLOOKUP($C113,武器!$1:$998,COLUMN(F$1),FALSE)+IFERROR(VLOOKUP($CJ113,装強!$1:$999,COLUMN(H$1),FALSE),0))*VLOOKUP($D113,素材!$1:$1016,COLUMN($E$1),FALSE),0),"")</f>
        <v>0</v>
      </c>
      <c r="I113">
        <f>IFERROR(ROUNDDOWN((VLOOKUP($C113,武器!$1:$998,COLUMN(G$1),FALSE)+IFERROR(VLOOKUP($CJ113,装強!$1:$999,COLUMN(I$1),FALSE),0))*VLOOKUP($D113,素材!$1:$1016,COLUMN($E$1),FALSE),0),"")</f>
        <v>0</v>
      </c>
      <c r="J113">
        <f>IFERROR(ROUNDDOWN((VLOOKUP($C113,武器!$1:$998,COLUMN(H$1),FALSE)+IFERROR(VLOOKUP($CJ113,装強!$1:$999,COLUMN(J$1),FALSE),0))*VLOOKUP($D113,素材!$1:$1016,COLUMN($E$1),FALSE),0),"")</f>
        <v>0</v>
      </c>
      <c r="K113">
        <f>IFERROR(ROUNDDOWN((VLOOKUP($C113,武器!$1:$998,COLUMN(I$1),FALSE)+IFERROR(VLOOKUP($CJ113,装強!$1:$999,COLUMN(K$1),FALSE),0))*VLOOKUP($D113,素材!$1:$1016,COLUMN($E$1),FALSE),0),"")</f>
        <v>0</v>
      </c>
      <c r="L113">
        <f>IFERROR(VLOOKUP($D113,素材!$1:$1016,COLUMN($F$1),FALSE),"")</f>
        <v>0</v>
      </c>
      <c r="M113">
        <f>IFERROR(VLOOKUP($C113,武器!$1:$998,COLUMN(AA$1),FALSE)*VLOOKUP($D113,素材!$1:$1016,COLUMN($G$1),FALSE),"")</f>
        <v>0</v>
      </c>
      <c r="N113">
        <f>IFERROR(VLOOKUP($C113,武器!$1:$998,COLUMN(I$1),FALSE),"")</f>
        <v>0</v>
      </c>
      <c r="O113" s="23">
        <f>IFERROR((VLOOKUP($C113,武器!$1:$998,COLUMN(K$1),FALSE)+VLOOKUP($D113,素材!$1:$1016,COLUMN(H$1),FALSE))*100+IFERROR(VLOOKUP($CJ113,装強!$1:$999,COLUMN(O$1),FALSE),0),"")</f>
        <v>0</v>
      </c>
      <c r="P113" s="23">
        <f>IFERROR((VLOOKUP($C113,武器!$1:$998,COLUMN(L$1),FALSE)+VLOOKUP($D113,素材!$1:$1016,COLUMN(I$1),FALSE))*100+IFERROR(VLOOKUP($CJ113,装強!$1:$999,COLUMN(P$1),FALSE),0),"")</f>
        <v>0</v>
      </c>
      <c r="Q113">
        <f>IFERROR(ROUNDUP(VLOOKUP($C113,武器!$1:$998,COLUMN(M$1),FALSE)*(VLOOKUP($D113,素材!$1:$1002,COLUMN(D$1),FALSE)/100),1),"")</f>
        <v>-7.8999999999999995</v>
      </c>
      <c r="R113">
        <f>IFERROR(ROUNDUP(VLOOKUP($C113,武器!$1:$998,COLUMN(N$1),FALSE)*(VLOOKUP($D113,素材!$1:$1002,COLUMN(D$1),FALSE)/100),1),"")</f>
        <v>0</v>
      </c>
      <c r="S113">
        <f>IFERROR(VLOOKUP($C113,武器!$1:$998,COLUMN(P$1),FALSE),"")</f>
        <v>0</v>
      </c>
      <c r="T113">
        <f>IFERROR(VLOOKUP($C113,武器!$1:$998,COLUMN(Q$1),FALSE),"")</f>
        <v>0</v>
      </c>
      <c r="U113">
        <f>IFERROR(VLOOKUP($C113,武器!$1:$998,COLUMN(R$1),FALSE),"")</f>
        <v>0</v>
      </c>
      <c r="V113">
        <f>IFERROR(VLOOKUP($C113,武器!$1:$998,COLUMN(Q$1),FALSE),"")</f>
        <v>0</v>
      </c>
      <c r="W113">
        <f>IFERROR(VLOOKUP($C113,武器!$1:$998,COLUMN(T$1),FALSE),"")</f>
        <v>0</v>
      </c>
      <c r="Y113">
        <f>IFERROR(VLOOKUP($C113,武器!$1:$998,COLUMN(U$1),FALSE),"")</f>
        <v>0</v>
      </c>
      <c r="Z113">
        <f>IFERROR(ROUNDUP(VLOOKUP($C113,武器!$1:$998,COLUMN(O$1),FALSE)*VLOOKUP($D113,素材!$1:$1016,COLUMN(E$1),FALSE),1),"")</f>
        <v>13.5</v>
      </c>
      <c r="AA113">
        <f>IF(ISNUMBER(SEARCH(SUBSTITUTE(AA$1,RIGHT(AA$1,2),""),VLOOKUP($D113,素材!$1:$1016,COLUMN($F$1),FALSE))),VLOOKUP($C113,武器!$1:$998,COLUMN($O$1),FALSE)*VLOOKUP($D113,素材!$1:$1016,COLUMN($E$1),FALSE)/(LEN(VLOOKUP($D113,素材!$1:$1016,COLUMN($F$1),FALSE))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B113">
        <f>IF(ISNUMBER(SEARCH(SUBSTITUTE(AB$1,RIGHT(AB$1,2),""),VLOOKUP($D113,素材!$1:$1016,COLUMN($F$1),FALSE))),VLOOKUP($C113,武器!$1:$998,COLUMN($O$1),FALSE)*VLOOKUP($D113,素材!$1:$1016,COLUMN($E$1),FALSE)/(LEN(VLOOKUP($D113,素材!$1:$1016,COLUMN($F$1),FALSE))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C113">
        <f>IF(ISNUMBER(SEARCH(SUBSTITUTE(AC$1,RIGHT(AC$1,2),""),VLOOKUP($D113,素材!$1:$1016,COLUMN($F$1),FALSE))),VLOOKUP($C113,武器!$1:$998,COLUMN($O$1),FALSE)*VLOOKUP($D113,素材!$1:$1016,COLUMN($E$1),FALSE)/(LEN(VLOOKUP($D113,素材!$1:$1016,COLUMN($F$1),FALSE))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D113">
        <f>IF(ISNUMBER(SEARCH(SUBSTITUTE(AD$1,RIGHT(AD$1,2),""),VLOOKUP($D113,素材!$1:$1016,COLUMN($F$1),FALSE))),VLOOKUP($C113,武器!$1:$998,COLUMN($O$1),FALSE)*VLOOKUP($D113,素材!$1:$1016,COLUMN($E$1),FALSE)/(LEN(VLOOKUP($D113,素材!$1:$1016,COLUMN($F$1),FALSE))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E113">
        <f>IF(ISNUMBER(SEARCH(SUBSTITUTE(AE$1,RIGHT(AE$1,2),""),VLOOKUP($D113,素材!$1:$1016,COLUMN($F$1),FALSE))),VLOOKUP($C113,武器!$1:$998,COLUMN($O$1),FALSE)*VLOOKUP($D113,素材!$1:$1016,COLUMN($E$1),FALSE)/(LEN(VLOOKUP($D113,素材!$1:$1016,COLUMN($F$1),FALSE))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F113">
        <f>IF(ISNUMBER(SEARCH(SUBSTITUTE(AF$1,RIGHT(AF$1,2),""),VLOOKUP($D113,素材!$1:$1016,COLUMN($F$1),FALSE))),VLOOKUP($C113,武器!$1:$998,COLUMN($O$1),FALSE)*VLOOKUP($D113,素材!$1:$1016,COLUMN($E$1),FALSE)/(LEN(VLOOKUP($D113,素材!$1:$1016,COLUMN($F$1),FALSE))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G113">
        <f>IF(ISNUMBER(SEARCH(SUBSTITUTE(AG$1,RIGHT(AG$1,2),""),VLOOKUP($D113,素材!$1:$1016,COLUMN($F$1),FALSE))),VLOOKUP($C113,武器!$1:$998,COLUMN($O$1),FALSE)*VLOOKUP($D113,素材!$1:$1016,COLUMN($E$1),FALSE)/(LEN(VLOOKUP($D113,素材!$1:$1016,COLUMN($F$1),FALSE))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H113">
        <f>IF(ISNUMBER(SEARCH(SUBSTITUTE(AH$1,RIGHT(AH$1,2),""),VLOOKUP($D113,素材!$1:$1016,COLUMN($F$1),FALSE))),VLOOKUP($C113,武器!$1:$998,COLUMN($O$1),FALSE)*VLOOKUP($D113,素材!$1:$1016,COLUMN($E$1),FALSE)/(LEN(VLOOKUP($D113,素材!$1:$1016,COLUMN($F$1),FALSE))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I113">
        <f>IF(ISNUMBER(SEARCH(SUBSTITUTE(AI$1,RIGHT(AI$1,2),""),VLOOKUP($D113,素材!$1:$1016,COLUMN($F$1),FALSE))),VLOOKUP($C113,武器!$1:$998,COLUMN($O$1),FALSE)*VLOOKUP($D113,素材!$1:$1016,COLUMN($E$1),FALSE)/(LEN(VLOOKUP($D113,素材!$1:$1016,COLUMN($F$1),FALSE))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J113">
        <f>IF(ISNUMBER(SEARCH(SUBSTITUTE(AJ$1,RIGHT(AJ$1,2),""),VLOOKUP($D113,素材!$1:$1016,COLUMN($F$1),FALSE))),VLOOKUP($C113,武器!$1:$998,COLUMN($O$1),FALSE)*VLOOKUP($D113,素材!$1:$1016,COLUMN($E$1),FALSE)/(LEN(VLOOKUP($D113,素材!$1:$1016,COLUMN($F$1),FALSE))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K113">
        <f>IF(ISNUMBER(SEARCH(SUBSTITUTE(AK$1,RIGHT(AK$1,2),""),VLOOKUP($D113,素材!$1:$1016,COLUMN($F$1),FALSE))),VLOOKUP($C113,武器!$1:$998,COLUMN($O$1),FALSE)*VLOOKUP($D113,素材!$1:$1016,COLUMN($E$1),FALSE)/(LEN(VLOOKUP($D113,素材!$1:$1016,COLUMN($F$1),FALSE))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L113">
        <f>IF(ISNUMBER(SEARCH(SUBSTITUTE(AL$1,RIGHT(AL$1,2),""),VLOOKUP($D113,素材!$1:$1016,COLUMN($F$1),FALSE))),VLOOKUP($C113,武器!$1:$998,COLUMN($O$1),FALSE)*VLOOKUP($D113,素材!$1:$1016,COLUMN($E$1),FALSE)/(LEN(VLOOKUP($D113,素材!$1:$1016,COLUMN($F$1),FALSE))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M113">
        <f>IF(ISNUMBER(SEARCH(SUBSTITUTE(AM$1,RIGHT(AM$1,2),""),VLOOKUP($D113,素材!$1:$1016,COLUMN($F$1),FALSE))),VLOOKUP($C113,武器!$1:$998,COLUMN($O$1),FALSE)*VLOOKUP($D113,素材!$1:$1016,COLUMN($E$1),FALSE)/(LEN(VLOOKUP($D113,素材!$1:$1016,COLUMN($F$1),FALSE))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N113">
        <f>IF(ISNUMBER(SEARCH(SUBSTITUTE(AN$1,RIGHT(AN$1,2),""),VLOOKUP($D113,素材!$1:$1016,COLUMN($F$1),FALSE))),VLOOKUP($C113,武器!$1:$998,COLUMN($O$1),FALSE)*VLOOKUP($D113,素材!$1:$1016,COLUMN($E$1),FALSE)/(LEN(VLOOKUP($D113,素材!$1:$1016,COLUMN($F$1),FALSE))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O113">
        <f>IF(ISNUMBER(SEARCH(SUBSTITUTE(AO$1,RIGHT(AO$1,2),""),VLOOKUP($D113,素材!$1:$1016,COLUMN($F$1),FALSE))),VLOOKUP($C113,武器!$1:$998,COLUMN($O$1),FALSE)*VLOOKUP($D113,素材!$1:$1016,COLUMN($E$1),FALSE)/(LEN(VLOOKUP($D113,素材!$1:$1016,COLUMN($F$1),FALSE))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P113">
        <f>IF(ISNUMBER(SEARCH(SUBSTITUTE(AP$1,RIGHT(AP$1,2),""),VLOOKUP($D113,素材!$1:$1016,COLUMN($F$1),FALSE))),VLOOKUP($C113,武器!$1:$998,COLUMN($O$1),FALSE)*VLOOKUP($D113,素材!$1:$1016,COLUMN($E$1),FALSE)/(LEN(VLOOKUP($D113,素材!$1:$1016,COLUMN($F$1),FALSE))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Q113">
        <f>IF(ISNUMBER(SEARCH(SUBSTITUTE(AQ$1,RIGHT(AQ$1,2),""),VLOOKUP($D113,素材!$1:$1016,COLUMN($F$1),FALSE))),VLOOKUP($C113,武器!$1:$998,COLUMN($O$1),FALSE)*VLOOKUP($D113,素材!$1:$1016,COLUMN($E$1),FALSE)/(LEN(VLOOKUP($D113,素材!$1:$1016,COLUMN($F$1),FALSE))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R113">
        <f>IF(ISNUMBER(SEARCH(SUBSTITUTE(AR$1,RIGHT(AR$1,2),""),VLOOKUP($D113,素材!$1:$1016,COLUMN($F$1),FALSE))),VLOOKUP($C113,武器!$1:$998,COLUMN($O$1),FALSE)*VLOOKUP($D113,素材!$1:$1016,COLUMN($E$1),FALSE)/(LEN(VLOOKUP($D113,素材!$1:$1016,COLUMN($F$1),FALSE))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S113">
        <f>IF(ISNUMBER(SEARCH(SUBSTITUTE(AS$1,RIGHT(AS$1,2),""),VLOOKUP($D113,素材!$1:$1016,COLUMN($F$1),FALSE))),VLOOKUP($C113,武器!$1:$998,COLUMN($O$1),FALSE)*VLOOKUP($D113,素材!$1:$1016,COLUMN($E$1),FALSE)/(LEN(VLOOKUP($D113,素材!$1:$1016,COLUMN($F$1),FALSE))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T113">
        <f>IF(ISNUMBER(SEARCH(SUBSTITUTE(AT$1,RIGHT(AT$1,2),""),VLOOKUP($D113,素材!$1:$1016,COLUMN($F$1),FALSE))),VLOOKUP($C113,武器!$1:$998,COLUMN($O$1),FALSE)*VLOOKUP($D113,素材!$1:$1016,COLUMN($E$1),FALSE)/(LEN(VLOOKUP($D113,素材!$1:$1016,COLUMN($F$1),FALSE))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U113">
        <f>IF(ISNUMBER(SEARCH(SUBSTITUTE(AU$1,RIGHT(AU$1,2),""),VLOOKUP($D113,素材!$1:$1016,COLUMN($F$1),FALSE))),VLOOKUP($C113,武器!$1:$998,COLUMN($O$1),FALSE)*VLOOKUP($D113,素材!$1:$1016,COLUMN($E$1),FALSE)/(LEN(VLOOKUP($D113,素材!$1:$1016,COLUMN($F$1),FALSE))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V113">
        <f>IF(ISNUMBER(SEARCH(SUBSTITUTE(AV$1,RIGHT(AV$1,2),""),VLOOKUP($D113,素材!$1:$1016,COLUMN($F$1),FALSE))),VLOOKUP($C113,武器!$1:$998,COLUMN($O$1),FALSE)*VLOOKUP($D113,素材!$1:$1016,COLUMN($E$1),FALSE)/(LEN(VLOOKUP($D113,素材!$1:$1016,COLUMN($F$1),FALSE))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W113">
        <f>IF(ISNUMBER(SEARCH(SUBSTITUTE(AW$1,RIGHT(AW$1,2),""),VLOOKUP($D113,素材!$1:$1016,COLUMN($F$1),FALSE))),VLOOKUP($C113,武器!$1:$998,COLUMN($O$1),FALSE)*VLOOKUP($D113,素材!$1:$1016,COLUMN($E$1),FALSE)/(LEN(VLOOKUP($D113,素材!$1:$1016,COLUMN($F$1),FALSE))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X113">
        <f>IF(ISNUMBER(SEARCH(SUBSTITUTE(AX$1,RIGHT(AX$1,2),""),VLOOKUP($D113,素材!$1:$1016,COLUMN($F$1),FALSE))),VLOOKUP($C113,武器!$1:$998,COLUMN($O$1),FALSE)*VLOOKUP($D113,素材!$1:$1016,COLUMN($E$1),FALSE)/(LEN(VLOOKUP($D113,素材!$1:$1016,COLUMN($F$1),FALSE))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Y113">
        <f>IF(ISNUMBER(SEARCH(SUBSTITUTE(AY$1,RIGHT(AY$1,2),""),VLOOKUP($D113,素材!$1:$1016,COLUMN($F$1),FALSE))),VLOOKUP($C113,武器!$1:$998,COLUMN($O$1),FALSE)*VLOOKUP($D113,素材!$1:$1016,COLUMN($E$1),FALSE)/(LEN(VLOOKUP($D113,素材!$1:$1016,COLUMN($F$1),FALSE))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AZ113">
        <f>IF(ISNUMBER(SEARCH(SUBSTITUTE(AZ$1,RIGHT(AZ$1,2),""),VLOOKUP($D113,素材!$1:$1016,COLUMN($F$1),FALSE))),VLOOKUP($C113,武器!$1:$998,COLUMN($O$1),FALSE)*VLOOKUP($D113,素材!$1:$1016,COLUMN($E$1),FALSE)/(LEN(VLOOKUP($D113,素材!$1:$1016,COLUMN($F$1),FALSE))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BA113">
        <f>IF(ISNUMBER(SEARCH(SUBSTITUTE(BA$1,RIGHT(BA$1,2),""),VLOOKUP($D113,素材!$1:$1016,COLUMN($F$1),FALSE))),VLOOKUP($C113,武器!$1:$998,COLUMN($O$1),FALSE)*VLOOKUP($D113,素材!$1:$1016,COLUMN($E$1),FALSE)/(LEN(VLOOKUP($D113,素材!$1:$1016,COLUMN($F$1),FALSE))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BB113">
        <f>IF(ISNUMBER(SEARCH(SUBSTITUTE(BB$1,RIGHT(BB$1,2),""),VLOOKUP($D113,素材!$1:$1016,COLUMN($F$1),FALSE))),VLOOKUP($C113,武器!$1:$998,COLUMN($O$1),FALSE)*VLOOKUP($D113,素材!$1:$1016,COLUMN($E$1),FALSE)/(LEN(VLOOKUP($D113,素材!$1:$1016,COLUMN($F$1),FALSE))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BC113">
        <f>IF(ISNUMBER(SEARCH(SUBSTITUTE(BC$1,RIGHT(BC$1,2),""),VLOOKUP($D113,素材!$1:$1016,COLUMN($F$1),FALSE))),VLOOKUP($C113,武器!$1:$998,COLUMN($O$1),FALSE)*VLOOKUP($D113,素材!$1:$1016,COLUMN($E$1),FALSE)/(LEN(VLOOKUP($D113,素材!$1:$1016,COLUMN($F$1),FALSE))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BD113">
        <f>IF(ISNUMBER(SEARCH(SUBSTITUTE(BD$1,RIGHT(BD$1,2),""),VLOOKUP($D113,素材!$1:$1016,COLUMN($F$1),FALSE))),VLOOKUP($C113,武器!$1:$998,COLUMN($O$1),FALSE)*VLOOKUP($D113,素材!$1:$1016,COLUMN($E$1),FALSE)/(LEN(VLOOKUP($D113,素材!$1:$1016,COLUMN($F$1),FALSE))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BE113">
        <f>IF(ISNUMBER(SEARCH(SUBSTITUTE(BE$1,RIGHT(BE$1,2),""),VLOOKUP($D113,素材!$1:$1016,COLUMN($F$1),FALSE))),VLOOKUP($C113,武器!$1:$998,COLUMN($O$1),FALSE)*VLOOKUP($D113,素材!$1:$1016,COLUMN($E$1),FALSE)/(LEN(VLOOKUP($D113,素材!$1:$1016,COLUMN($F$1),FALSE))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BF113">
        <f>IF(ISNUMBER(SEARCH(SUBSTITUTE(BF$1,RIGHT(BF$1,2),""),VLOOKUP($D113,素材!$1:$1016,COLUMN($F$1),FALSE))),VLOOKUP($C113,武器!$1:$998,COLUMN($O$1),FALSE)*VLOOKUP($D113,素材!$1:$1016,COLUMN($E$1),FALSE)/(LEN(VLOOKUP($D113,素材!$1:$1016,COLUMN($F$1),FALSE)) - LEN(SUBSTITUTE(VLOOKUP($D113,素材!$1:$1016,COLUMN($F$1),FALSE), "・", 0)) + 1), 0)</f>
        <v>0</v>
      </c>
      <c r="CM113">
        <f t="shared" si="8"/>
        <v>0</v>
      </c>
      <c r="CN113" s="22" t="str">
        <f>IF(E113="武器",IF(J113-1&gt;SUM(G113:I113),"盾",IF(MAX(G113:I113)=G113,"切断",IF(MAX(G113:I113)=H113,"貫通",IF(MAX(G113:I113)=I113,"打撃","射撃")))),E113)&amp;".webp"</f>
        <v>体.webp</v>
      </c>
      <c r="CO113">
        <f>IFERROR(VLOOKUP($C113,武器!$1:$998,COLUMN(V$1),FALSE)*VLOOKUP($D113,素材!$1:$1016,COLUMN(N$1),FALSE)+IF(CJ113="",0,VLOOKUP($CJ113,装強!$1:$1008,COLUMN($CL$1),FALSE)),"")</f>
        <v>1125</v>
      </c>
      <c r="CP113" t="str">
        <f>VLOOKUP(D113,素材!$A:$O,COLUMN(素材!O$1),FALSE)</f>
        <v>鍛えられた鉄。硬度が高く安価なためよく使用される。</v>
      </c>
      <c r="CQ113" t="str">
        <f>VLOOKUP(C113,武器!$A:$W,COLUMN(武器!W$1),FALSE)</f>
        <v>HP 物理 魔法 体幹 出血 疲労 Cr</v>
      </c>
      <c r="CS113" t="str">
        <f t="shared" si="7"/>
        <v>e_113</v>
      </c>
      <c r="CT113">
        <f t="shared" si="9"/>
        <v>112500</v>
      </c>
    </row>
    <row r="114" spans="1:98" outlineLevel="1" x14ac:dyDescent="0.4">
      <c r="A114" t="str">
        <f t="shared" si="10"/>
        <v>鋼の靴</v>
      </c>
      <c r="B114" t="str">
        <f>IFERROR(VLOOKUP($D114,素材!$1:$1016,COLUMN($B$1),FALSE)&amp;"・"&amp;VLOOKUP($C114,武器!$1:$998,COLUMN(B$1),FALSE),"")</f>
        <v>スチール・ブーツ</v>
      </c>
      <c r="C114" t="s">
        <v>206</v>
      </c>
      <c r="D114" s="24" t="s">
        <v>253</v>
      </c>
      <c r="E114" t="str">
        <f>IFERROR(VLOOKUP(C114,武器!$1:$998,COLUMN(C$1),FALSE),"")</f>
        <v>足</v>
      </c>
      <c r="F114">
        <f>IFERROR(ROUNDDOWN((VLOOKUP($C114,武器!$1:$998,COLUMN(D$1),FALSE)+IFERROR(VLOOKUP($CJ114,装強!$1:$999,COLUMN(F$1),FALSE),0))*VLOOKUP($D114,素材!$1:$1016,COLUMN(D$1),FALSE),0),"")</f>
        <v>0</v>
      </c>
      <c r="G114">
        <f>IFERROR(ROUNDDOWN((VLOOKUP($C114,武器!$1:$998,COLUMN(E$1),FALSE)+IFERROR(VLOOKUP($CJ114,装強!$1:$999,COLUMN(G$1),FALSE),0))*VLOOKUP($D114,素材!$1:$1016,COLUMN($E$1),FALSE),0),"")</f>
        <v>0</v>
      </c>
      <c r="H114">
        <f>IFERROR(ROUNDDOWN((VLOOKUP($C114,武器!$1:$998,COLUMN(F$1),FALSE)+IFERROR(VLOOKUP($CJ114,装強!$1:$999,COLUMN(H$1),FALSE),0))*VLOOKUP($D114,素材!$1:$1016,COLUMN($E$1),FALSE),0),"")</f>
        <v>0</v>
      </c>
      <c r="I114">
        <f>IFERROR(ROUNDDOWN((VLOOKUP($C114,武器!$1:$998,COLUMN(G$1),FALSE)+IFERROR(VLOOKUP($CJ114,装強!$1:$999,COLUMN(I$1),FALSE),0))*VLOOKUP($D114,素材!$1:$1016,COLUMN($E$1),FALSE),0),"")</f>
        <v>27</v>
      </c>
      <c r="J114">
        <f>IFERROR(ROUNDDOWN((VLOOKUP($C114,武器!$1:$998,COLUMN(H$1),FALSE)+IFERROR(VLOOKUP($CJ114,装強!$1:$999,COLUMN(J$1),FALSE),0))*VLOOKUP($D114,素材!$1:$1016,COLUMN($E$1),FALSE),0),"")</f>
        <v>0</v>
      </c>
      <c r="K114">
        <f>IFERROR(ROUNDDOWN((VLOOKUP($C114,武器!$1:$998,COLUMN(I$1),FALSE)+IFERROR(VLOOKUP($CJ114,装強!$1:$999,COLUMN(K$1),FALSE),0))*VLOOKUP($D114,素材!$1:$1016,COLUMN($E$1),FALSE),0),"")</f>
        <v>0</v>
      </c>
      <c r="L114">
        <f>IFERROR(VLOOKUP($D114,素材!$1:$1016,COLUMN($F$1),FALSE),"")</f>
        <v>0</v>
      </c>
      <c r="M114">
        <f>IFERROR(VLOOKUP($C114,武器!$1:$998,COLUMN(AA$1),FALSE)*VLOOKUP($D114,素材!$1:$1016,COLUMN($G$1),FALSE),"")</f>
        <v>0</v>
      </c>
      <c r="N114">
        <f>IFERROR(VLOOKUP($C114,武器!$1:$998,COLUMN(I$1),FALSE),"")</f>
        <v>0</v>
      </c>
      <c r="O114" s="23">
        <f>IFERROR((VLOOKUP($C114,武器!$1:$998,COLUMN(K$1),FALSE)+VLOOKUP($D114,素材!$1:$1016,COLUMN(H$1),FALSE))*100+IFERROR(VLOOKUP($CJ114,装強!$1:$999,COLUMN(O$1),FALSE),0),"")</f>
        <v>10</v>
      </c>
      <c r="P114" s="23">
        <f>IFERROR((VLOOKUP($C114,武器!$1:$998,COLUMN(L$1),FALSE)+VLOOKUP($D114,素材!$1:$1016,COLUMN(I$1),FALSE))*100+IFERROR(VLOOKUP($CJ114,装強!$1:$999,COLUMN(P$1),FALSE),0),"")</f>
        <v>150</v>
      </c>
      <c r="Q114">
        <f>IFERROR(ROUNDUP(VLOOKUP($C114,武器!$1:$998,COLUMN(M$1),FALSE)*(VLOOKUP($D114,素材!$1:$1002,COLUMN(D$1),FALSE)/100),1),"")</f>
        <v>0</v>
      </c>
      <c r="R114">
        <f>IFERROR(ROUNDUP(VLOOKUP($C114,武器!$1:$998,COLUMN(N$1),FALSE)*(VLOOKUP($D114,素材!$1:$1002,COLUMN(D$1),FALSE)/100),1),"")</f>
        <v>0</v>
      </c>
      <c r="S114">
        <f>IFERROR(VLOOKUP($C114,武器!$1:$998,COLUMN(P$1),FALSE),"")</f>
        <v>0</v>
      </c>
      <c r="T114">
        <f>IFERROR(VLOOKUP($C114,武器!$1:$998,COLUMN(Q$1),FALSE),"")</f>
        <v>0</v>
      </c>
      <c r="U114">
        <f>IFERROR(VLOOKUP($C114,武器!$1:$998,COLUMN(R$1),FALSE),"")</f>
        <v>0</v>
      </c>
      <c r="V114">
        <f>IFERROR(VLOOKUP($C114,武器!$1:$998,COLUMN(Q$1),FALSE),"")</f>
        <v>0</v>
      </c>
      <c r="W114">
        <f>IFERROR(VLOOKUP($C114,武器!$1:$998,COLUMN(T$1),FALSE),"")</f>
        <v>0</v>
      </c>
      <c r="Y114" t="str">
        <f>IFERROR(VLOOKUP($C114,武器!$1:$998,COLUMN(U$1),FALSE),"")</f>
        <v>足</v>
      </c>
      <c r="Z114">
        <f>IFERROR(ROUNDUP(VLOOKUP($C114,武器!$1:$998,COLUMN(O$1),FALSE)*VLOOKUP($D114,素材!$1:$1016,COLUMN(E$1),FALSE),1),"")</f>
        <v>4.0999999999999996</v>
      </c>
      <c r="AA114">
        <f>IF(ISNUMBER(SEARCH(SUBSTITUTE(AA$1,RIGHT(AA$1,2),""),VLOOKUP($D114,素材!$1:$1016,COLUMN($F$1),FALSE))),VLOOKUP($C114,武器!$1:$998,COLUMN($O$1),FALSE)*VLOOKUP($D114,素材!$1:$1016,COLUMN($E$1),FALSE)/(LEN(VLOOKUP($D114,素材!$1:$1016,COLUMN($F$1),FALSE))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B114">
        <f>IF(ISNUMBER(SEARCH(SUBSTITUTE(AB$1,RIGHT(AB$1,2),""),VLOOKUP($D114,素材!$1:$1016,COLUMN($F$1),FALSE))),VLOOKUP($C114,武器!$1:$998,COLUMN($O$1),FALSE)*VLOOKUP($D114,素材!$1:$1016,COLUMN($E$1),FALSE)/(LEN(VLOOKUP($D114,素材!$1:$1016,COLUMN($F$1),FALSE))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C114">
        <f>IF(ISNUMBER(SEARCH(SUBSTITUTE(AC$1,RIGHT(AC$1,2),""),VLOOKUP($D114,素材!$1:$1016,COLUMN($F$1),FALSE))),VLOOKUP($C114,武器!$1:$998,COLUMN($O$1),FALSE)*VLOOKUP($D114,素材!$1:$1016,COLUMN($E$1),FALSE)/(LEN(VLOOKUP($D114,素材!$1:$1016,COLUMN($F$1),FALSE))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D114">
        <f>IF(ISNUMBER(SEARCH(SUBSTITUTE(AD$1,RIGHT(AD$1,2),""),VLOOKUP($D114,素材!$1:$1016,COLUMN($F$1),FALSE))),VLOOKUP($C114,武器!$1:$998,COLUMN($O$1),FALSE)*VLOOKUP($D114,素材!$1:$1016,COLUMN($E$1),FALSE)/(LEN(VLOOKUP($D114,素材!$1:$1016,COLUMN($F$1),FALSE))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E114">
        <f>IF(ISNUMBER(SEARCH(SUBSTITUTE(AE$1,RIGHT(AE$1,2),""),VLOOKUP($D114,素材!$1:$1016,COLUMN($F$1),FALSE))),VLOOKUP($C114,武器!$1:$998,COLUMN($O$1),FALSE)*VLOOKUP($D114,素材!$1:$1016,COLUMN($E$1),FALSE)/(LEN(VLOOKUP($D114,素材!$1:$1016,COLUMN($F$1),FALSE))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F114">
        <f>IF(ISNUMBER(SEARCH(SUBSTITUTE(AF$1,RIGHT(AF$1,2),""),VLOOKUP($D114,素材!$1:$1016,COLUMN($F$1),FALSE))),VLOOKUP($C114,武器!$1:$998,COLUMN($O$1),FALSE)*VLOOKUP($D114,素材!$1:$1016,COLUMN($E$1),FALSE)/(LEN(VLOOKUP($D114,素材!$1:$1016,COLUMN($F$1),FALSE))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G114">
        <f>IF(ISNUMBER(SEARCH(SUBSTITUTE(AG$1,RIGHT(AG$1,2),""),VLOOKUP($D114,素材!$1:$1016,COLUMN($F$1),FALSE))),VLOOKUP($C114,武器!$1:$998,COLUMN($O$1),FALSE)*VLOOKUP($D114,素材!$1:$1016,COLUMN($E$1),FALSE)/(LEN(VLOOKUP($D114,素材!$1:$1016,COLUMN($F$1),FALSE))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H114">
        <f>IF(ISNUMBER(SEARCH(SUBSTITUTE(AH$1,RIGHT(AH$1,2),""),VLOOKUP($D114,素材!$1:$1016,COLUMN($F$1),FALSE))),VLOOKUP($C114,武器!$1:$998,COLUMN($O$1),FALSE)*VLOOKUP($D114,素材!$1:$1016,COLUMN($E$1),FALSE)/(LEN(VLOOKUP($D114,素材!$1:$1016,COLUMN($F$1),FALSE))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I114">
        <f>IF(ISNUMBER(SEARCH(SUBSTITUTE(AI$1,RIGHT(AI$1,2),""),VLOOKUP($D114,素材!$1:$1016,COLUMN($F$1),FALSE))),VLOOKUP($C114,武器!$1:$998,COLUMN($O$1),FALSE)*VLOOKUP($D114,素材!$1:$1016,COLUMN($E$1),FALSE)/(LEN(VLOOKUP($D114,素材!$1:$1016,COLUMN($F$1),FALSE))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J114">
        <f>IF(ISNUMBER(SEARCH(SUBSTITUTE(AJ$1,RIGHT(AJ$1,2),""),VLOOKUP($D114,素材!$1:$1016,COLUMN($F$1),FALSE))),VLOOKUP($C114,武器!$1:$998,COLUMN($O$1),FALSE)*VLOOKUP($D114,素材!$1:$1016,COLUMN($E$1),FALSE)/(LEN(VLOOKUP($D114,素材!$1:$1016,COLUMN($F$1),FALSE))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K114">
        <f>IF(ISNUMBER(SEARCH(SUBSTITUTE(AK$1,RIGHT(AK$1,2),""),VLOOKUP($D114,素材!$1:$1016,COLUMN($F$1),FALSE))),VLOOKUP($C114,武器!$1:$998,COLUMN($O$1),FALSE)*VLOOKUP($D114,素材!$1:$1016,COLUMN($E$1),FALSE)/(LEN(VLOOKUP($D114,素材!$1:$1016,COLUMN($F$1),FALSE))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L114">
        <f>IF(ISNUMBER(SEARCH(SUBSTITUTE(AL$1,RIGHT(AL$1,2),""),VLOOKUP($D114,素材!$1:$1016,COLUMN($F$1),FALSE))),VLOOKUP($C114,武器!$1:$998,COLUMN($O$1),FALSE)*VLOOKUP($D114,素材!$1:$1016,COLUMN($E$1),FALSE)/(LEN(VLOOKUP($D114,素材!$1:$1016,COLUMN($F$1),FALSE))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M114">
        <f>IF(ISNUMBER(SEARCH(SUBSTITUTE(AM$1,RIGHT(AM$1,2),""),VLOOKUP($D114,素材!$1:$1016,COLUMN($F$1),FALSE))),VLOOKUP($C114,武器!$1:$998,COLUMN($O$1),FALSE)*VLOOKUP($D114,素材!$1:$1016,COLUMN($E$1),FALSE)/(LEN(VLOOKUP($D114,素材!$1:$1016,COLUMN($F$1),FALSE))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N114">
        <f>IF(ISNUMBER(SEARCH(SUBSTITUTE(AN$1,RIGHT(AN$1,2),""),VLOOKUP($D114,素材!$1:$1016,COLUMN($F$1),FALSE))),VLOOKUP($C114,武器!$1:$998,COLUMN($O$1),FALSE)*VLOOKUP($D114,素材!$1:$1016,COLUMN($E$1),FALSE)/(LEN(VLOOKUP($D114,素材!$1:$1016,COLUMN($F$1),FALSE))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O114">
        <f>IF(ISNUMBER(SEARCH(SUBSTITUTE(AO$1,RIGHT(AO$1,2),""),VLOOKUP($D114,素材!$1:$1016,COLUMN($F$1),FALSE))),VLOOKUP($C114,武器!$1:$998,COLUMN($O$1),FALSE)*VLOOKUP($D114,素材!$1:$1016,COLUMN($E$1),FALSE)/(LEN(VLOOKUP($D114,素材!$1:$1016,COLUMN($F$1),FALSE))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P114">
        <f>IF(ISNUMBER(SEARCH(SUBSTITUTE(AP$1,RIGHT(AP$1,2),""),VLOOKUP($D114,素材!$1:$1016,COLUMN($F$1),FALSE))),VLOOKUP($C114,武器!$1:$998,COLUMN($O$1),FALSE)*VLOOKUP($D114,素材!$1:$1016,COLUMN($E$1),FALSE)/(LEN(VLOOKUP($D114,素材!$1:$1016,COLUMN($F$1),FALSE))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Q114">
        <f>IF(ISNUMBER(SEARCH(SUBSTITUTE(AQ$1,RIGHT(AQ$1,2),""),VLOOKUP($D114,素材!$1:$1016,COLUMN($F$1),FALSE))),VLOOKUP($C114,武器!$1:$998,COLUMN($O$1),FALSE)*VLOOKUP($D114,素材!$1:$1016,COLUMN($E$1),FALSE)/(LEN(VLOOKUP($D114,素材!$1:$1016,COLUMN($F$1),FALSE))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R114">
        <f>IF(ISNUMBER(SEARCH(SUBSTITUTE(AR$1,RIGHT(AR$1,2),""),VLOOKUP($D114,素材!$1:$1016,COLUMN($F$1),FALSE))),VLOOKUP($C114,武器!$1:$998,COLUMN($O$1),FALSE)*VLOOKUP($D114,素材!$1:$1016,COLUMN($E$1),FALSE)/(LEN(VLOOKUP($D114,素材!$1:$1016,COLUMN($F$1),FALSE))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S114">
        <f>IF(ISNUMBER(SEARCH(SUBSTITUTE(AS$1,RIGHT(AS$1,2),""),VLOOKUP($D114,素材!$1:$1016,COLUMN($F$1),FALSE))),VLOOKUP($C114,武器!$1:$998,COLUMN($O$1),FALSE)*VLOOKUP($D114,素材!$1:$1016,COLUMN($E$1),FALSE)/(LEN(VLOOKUP($D114,素材!$1:$1016,COLUMN($F$1),FALSE))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T114">
        <f>IF(ISNUMBER(SEARCH(SUBSTITUTE(AT$1,RIGHT(AT$1,2),""),VLOOKUP($D114,素材!$1:$1016,COLUMN($F$1),FALSE))),VLOOKUP($C114,武器!$1:$998,COLUMN($O$1),FALSE)*VLOOKUP($D114,素材!$1:$1016,COLUMN($E$1),FALSE)/(LEN(VLOOKUP($D114,素材!$1:$1016,COLUMN($F$1),FALSE))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U114">
        <f>IF(ISNUMBER(SEARCH(SUBSTITUTE(AU$1,RIGHT(AU$1,2),""),VLOOKUP($D114,素材!$1:$1016,COLUMN($F$1),FALSE))),VLOOKUP($C114,武器!$1:$998,COLUMN($O$1),FALSE)*VLOOKUP($D114,素材!$1:$1016,COLUMN($E$1),FALSE)/(LEN(VLOOKUP($D114,素材!$1:$1016,COLUMN($F$1),FALSE))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V114">
        <f>IF(ISNUMBER(SEARCH(SUBSTITUTE(AV$1,RIGHT(AV$1,2),""),VLOOKUP($D114,素材!$1:$1016,COLUMN($F$1),FALSE))),VLOOKUP($C114,武器!$1:$998,COLUMN($O$1),FALSE)*VLOOKUP($D114,素材!$1:$1016,COLUMN($E$1),FALSE)/(LEN(VLOOKUP($D114,素材!$1:$1016,COLUMN($F$1),FALSE))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W114">
        <f>IF(ISNUMBER(SEARCH(SUBSTITUTE(AW$1,RIGHT(AW$1,2),""),VLOOKUP($D114,素材!$1:$1016,COLUMN($F$1),FALSE))),VLOOKUP($C114,武器!$1:$998,COLUMN($O$1),FALSE)*VLOOKUP($D114,素材!$1:$1016,COLUMN($E$1),FALSE)/(LEN(VLOOKUP($D114,素材!$1:$1016,COLUMN($F$1),FALSE))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X114">
        <f>IF(ISNUMBER(SEARCH(SUBSTITUTE(AX$1,RIGHT(AX$1,2),""),VLOOKUP($D114,素材!$1:$1016,COLUMN($F$1),FALSE))),VLOOKUP($C114,武器!$1:$998,COLUMN($O$1),FALSE)*VLOOKUP($D114,素材!$1:$1016,COLUMN($E$1),FALSE)/(LEN(VLOOKUP($D114,素材!$1:$1016,COLUMN($F$1),FALSE))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Y114">
        <f>IF(ISNUMBER(SEARCH(SUBSTITUTE(AY$1,RIGHT(AY$1,2),""),VLOOKUP($D114,素材!$1:$1016,COLUMN($F$1),FALSE))),VLOOKUP($C114,武器!$1:$998,COLUMN($O$1),FALSE)*VLOOKUP($D114,素材!$1:$1016,COLUMN($E$1),FALSE)/(LEN(VLOOKUP($D114,素材!$1:$1016,COLUMN($F$1),FALSE))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AZ114">
        <f>IF(ISNUMBER(SEARCH(SUBSTITUTE(AZ$1,RIGHT(AZ$1,2),""),VLOOKUP($D114,素材!$1:$1016,COLUMN($F$1),FALSE))),VLOOKUP($C114,武器!$1:$998,COLUMN($O$1),FALSE)*VLOOKUP($D114,素材!$1:$1016,COLUMN($E$1),FALSE)/(LEN(VLOOKUP($D114,素材!$1:$1016,COLUMN($F$1),FALSE))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BA114">
        <f>IF(ISNUMBER(SEARCH(SUBSTITUTE(BA$1,RIGHT(BA$1,2),""),VLOOKUP($D114,素材!$1:$1016,COLUMN($F$1),FALSE))),VLOOKUP($C114,武器!$1:$998,COLUMN($O$1),FALSE)*VLOOKUP($D114,素材!$1:$1016,COLUMN($E$1),FALSE)/(LEN(VLOOKUP($D114,素材!$1:$1016,COLUMN($F$1),FALSE))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BB114">
        <f>IF(ISNUMBER(SEARCH(SUBSTITUTE(BB$1,RIGHT(BB$1,2),""),VLOOKUP($D114,素材!$1:$1016,COLUMN($F$1),FALSE))),VLOOKUP($C114,武器!$1:$998,COLUMN($O$1),FALSE)*VLOOKUP($D114,素材!$1:$1016,COLUMN($E$1),FALSE)/(LEN(VLOOKUP($D114,素材!$1:$1016,COLUMN($F$1),FALSE))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BC114">
        <f>IF(ISNUMBER(SEARCH(SUBSTITUTE(BC$1,RIGHT(BC$1,2),""),VLOOKUP($D114,素材!$1:$1016,COLUMN($F$1),FALSE))),VLOOKUP($C114,武器!$1:$998,COLUMN($O$1),FALSE)*VLOOKUP($D114,素材!$1:$1016,COLUMN($E$1),FALSE)/(LEN(VLOOKUP($D114,素材!$1:$1016,COLUMN($F$1),FALSE))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BD114">
        <f>IF(ISNUMBER(SEARCH(SUBSTITUTE(BD$1,RIGHT(BD$1,2),""),VLOOKUP($D114,素材!$1:$1016,COLUMN($F$1),FALSE))),VLOOKUP($C114,武器!$1:$998,COLUMN($O$1),FALSE)*VLOOKUP($D114,素材!$1:$1016,COLUMN($E$1),FALSE)/(LEN(VLOOKUP($D114,素材!$1:$1016,COLUMN($F$1),FALSE))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BE114">
        <f>IF(ISNUMBER(SEARCH(SUBSTITUTE(BE$1,RIGHT(BE$1,2),""),VLOOKUP($D114,素材!$1:$1016,COLUMN($F$1),FALSE))),VLOOKUP($C114,武器!$1:$998,COLUMN($O$1),FALSE)*VLOOKUP($D114,素材!$1:$1016,COLUMN($E$1),FALSE)/(LEN(VLOOKUP($D114,素材!$1:$1016,COLUMN($F$1),FALSE))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BF114">
        <f>IF(ISNUMBER(SEARCH(SUBSTITUTE(BF$1,RIGHT(BF$1,2),""),VLOOKUP($D114,素材!$1:$1016,COLUMN($F$1),FALSE))),VLOOKUP($C114,武器!$1:$998,COLUMN($O$1),FALSE)*VLOOKUP($D114,素材!$1:$1016,COLUMN($E$1),FALSE)/(LEN(VLOOKUP($D114,素材!$1:$1016,COLUMN($F$1),FALSE)) - LEN(SUBSTITUTE(VLOOKUP($D114,素材!$1:$1016,COLUMN($F$1),FALSE), "・", 0)) + 1), 0)</f>
        <v>0</v>
      </c>
      <c r="CM114">
        <f t="shared" si="8"/>
        <v>27</v>
      </c>
      <c r="CN114" s="22" t="str">
        <f>IF(E114="武器",IF(J114-1&gt;SUM(G114:I114),"盾",IF(MAX(G114:I114)=G114,"切断",IF(MAX(G114:I114)=H114,"貫通",IF(MAX(G114:I114)=I114,"打撃","射撃")))),E114)&amp;".webp"</f>
        <v>足.webp</v>
      </c>
      <c r="CO114">
        <f>IFERROR(VLOOKUP($C114,武器!$1:$998,COLUMN(V$1),FALSE)*VLOOKUP($D114,素材!$1:$1016,COLUMN(N$1),FALSE)+IF(CJ114="",0,VLOOKUP($CJ114,装強!$1:$1008,COLUMN($CL$1),FALSE)),"")</f>
        <v>450</v>
      </c>
      <c r="CP114" t="str">
        <f>VLOOKUP(D114,素材!$A:$O,COLUMN(素材!O$1),FALSE)</f>
        <v>鍛えられた鉄。硬度が高く安価なためよく使用される。</v>
      </c>
      <c r="CQ114" t="str">
        <f>VLOOKUP(C114,武器!$A:$W,COLUMN(武器!W$1),FALSE)</f>
        <v>速度 隠密 軽業 体幹</v>
      </c>
      <c r="CS114" t="str">
        <f t="shared" si="7"/>
        <v>e_114</v>
      </c>
      <c r="CT114">
        <f t="shared" si="9"/>
        <v>45000</v>
      </c>
    </row>
    <row r="115" spans="1:98" x14ac:dyDescent="0.4">
      <c r="A115" t="str">
        <f t="shared" si="10"/>
        <v>の</v>
      </c>
      <c r="B115" t="str">
        <f>IFERROR(VLOOKUP($D115,素材!$1:$1016,COLUMN($B$1),FALSE)&amp;"・"&amp;VLOOKUP($C115,武器!$1:$998,COLUMN(B$1),FALSE),"")</f>
        <v/>
      </c>
      <c r="D115" s="24"/>
      <c r="E115" t="str">
        <f>IFERROR(VLOOKUP(C115,武器!$1:$998,COLUMN(C$1),FALSE),"")</f>
        <v/>
      </c>
      <c r="F115" t="str">
        <f>IFERROR(ROUNDDOWN((VLOOKUP($C115,武器!$1:$998,COLUMN(D$1),FALSE)+IFERROR(VLOOKUP($CJ115,装強!$1:$999,COLUMN(F$1),FALSE),0))*VLOOKUP($D115,素材!$1:$1016,COLUMN(D$1),FALSE),0),"")</f>
        <v/>
      </c>
      <c r="G115" t="str">
        <f>IFERROR(ROUNDDOWN((VLOOKUP($C115,武器!$1:$998,COLUMN(E$1),FALSE)+IFERROR(VLOOKUP($CJ115,装強!$1:$999,COLUMN(G$1),FALSE),0))*VLOOKUP($D115,素材!$1:$1016,COLUMN($E$1),FALSE),0),"")</f>
        <v/>
      </c>
      <c r="H115" t="str">
        <f>IFERROR(ROUNDDOWN((VLOOKUP($C115,武器!$1:$998,COLUMN(F$1),FALSE)+IFERROR(VLOOKUP($CJ115,装強!$1:$999,COLUMN(H$1),FALSE),0))*VLOOKUP($D115,素材!$1:$1016,COLUMN($E$1),FALSE),0),"")</f>
        <v/>
      </c>
      <c r="I115" t="str">
        <f>IFERROR(ROUNDDOWN((VLOOKUP($C115,武器!$1:$998,COLUMN(G$1),FALSE)+IFERROR(VLOOKUP($CJ115,装強!$1:$999,COLUMN(I$1),FALSE),0))*VLOOKUP($D115,素材!$1:$1016,COLUMN($E$1),FALSE),0),"")</f>
        <v/>
      </c>
      <c r="J115" t="str">
        <f>IFERROR(ROUNDDOWN((VLOOKUP($C115,武器!$1:$998,COLUMN(H$1),FALSE)+IFERROR(VLOOKUP($CJ115,装強!$1:$999,COLUMN(J$1),FALSE),0))*VLOOKUP($D115,素材!$1:$1016,COLUMN($E$1),FALSE),0),"")</f>
        <v/>
      </c>
      <c r="K115" t="str">
        <f>IFERROR(ROUNDDOWN((VLOOKUP($C115,武器!$1:$998,COLUMN(I$1),FALSE)+IFERROR(VLOOKUP($CJ115,装強!$1:$999,COLUMN(K$1),FALSE),0))*VLOOKUP($D115,素材!$1:$1016,COLUMN($E$1),FALSE),0),"")</f>
        <v/>
      </c>
      <c r="L115" t="str">
        <f>IFERROR(VLOOKUP($D115,素材!$1:$1016,COLUMN($F$1),FALSE),"")</f>
        <v/>
      </c>
      <c r="M115" t="str">
        <f>IFERROR(VLOOKUP($C115,武器!$1:$998,COLUMN(AA$1),FALSE)*VLOOKUP($D115,素材!$1:$1016,COLUMN($G$1),FALSE),"")</f>
        <v/>
      </c>
      <c r="N115" t="str">
        <f>IFERROR(VLOOKUP($C115,武器!$1:$998,COLUMN(I$1),FALSE),"")</f>
        <v/>
      </c>
      <c r="O115" s="23" t="str">
        <f>IFERROR((VLOOKUP($C115,武器!$1:$998,COLUMN(K$1),FALSE)+VLOOKUP($D115,素材!$1:$1016,COLUMN(H$1),FALSE))*100+IFERROR(VLOOKUP($CJ115,装強!$1:$999,COLUMN(O$1),FALSE),0),"")</f>
        <v/>
      </c>
      <c r="P115" s="23" t="str">
        <f>IFERROR((VLOOKUP($C115,武器!$1:$998,COLUMN(L$1),FALSE)+VLOOKUP($D115,素材!$1:$1016,COLUMN(I$1),FALSE))*100+IFERROR(VLOOKUP($CJ115,装強!$1:$999,COLUMN(P$1),FALSE),0),"")</f>
        <v/>
      </c>
      <c r="Q115" t="str">
        <f>IFERROR(ROUNDUP(VLOOKUP($C115,武器!$1:$998,COLUMN(M$1),FALSE)*(VLOOKUP($D115,素材!$1:$1002,COLUMN(D$1),FALSE)/100),1),"")</f>
        <v/>
      </c>
      <c r="R115" t="str">
        <f>IFERROR(ROUNDUP(VLOOKUP($C115,武器!$1:$998,COLUMN(N$1),FALSE)*(VLOOKUP($D115,素材!$1:$1002,COLUMN(D$1),FALSE)/100),1),"")</f>
        <v/>
      </c>
      <c r="S115" t="str">
        <f>IFERROR(VLOOKUP($C115,武器!$1:$998,COLUMN(P$1),FALSE),"")</f>
        <v/>
      </c>
      <c r="T115" t="str">
        <f>IFERROR(VLOOKUP($C115,武器!$1:$998,COLUMN(Q$1),FALSE),"")</f>
        <v/>
      </c>
      <c r="U115" t="str">
        <f>IFERROR(VLOOKUP($C115,武器!$1:$998,COLUMN(R$1),FALSE),"")</f>
        <v/>
      </c>
      <c r="V115" t="str">
        <f>IFERROR(VLOOKUP($C115,武器!$1:$998,COLUMN(Q$1),FALSE),"")</f>
        <v/>
      </c>
      <c r="W115" t="str">
        <f>IFERROR(VLOOKUP($C115,武器!$1:$998,COLUMN(T$1),FALSE),"")</f>
        <v/>
      </c>
      <c r="Y115" t="str">
        <f>IFERROR(VLOOKUP($C115,武器!$1:$998,COLUMN(U$1),FALSE),"")</f>
        <v/>
      </c>
      <c r="Z115" t="str">
        <f>IFERROR(ROUNDUP(VLOOKUP($C115,武器!$1:$998,COLUMN(O$1),FALSE)*VLOOKUP($D115,素材!$1:$1016,COLUMN(E$1),FALSE),1),"")</f>
        <v/>
      </c>
      <c r="AA115">
        <f>IF(ISNUMBER(SEARCH(SUBSTITUTE(AA$1,RIGHT(AA$1,2),""),VLOOKUP($D115,素材!$1:$1016,COLUMN($F$1),FALSE))),VLOOKUP($C115,武器!$1:$998,COLUMN($O$1),FALSE)*VLOOKUP($D115,素材!$1:$1016,COLUMN($E$1),FALSE)/(LEN(VLOOKUP($D115,素材!$1:$1016,COLUMN($F$1),FALSE))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B115">
        <f>IF(ISNUMBER(SEARCH(SUBSTITUTE(AB$1,RIGHT(AB$1,2),""),VLOOKUP($D115,素材!$1:$1016,COLUMN($F$1),FALSE))),VLOOKUP($C115,武器!$1:$998,COLUMN($O$1),FALSE)*VLOOKUP($D115,素材!$1:$1016,COLUMN($E$1),FALSE)/(LEN(VLOOKUP($D115,素材!$1:$1016,COLUMN($F$1),FALSE))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C115">
        <f>IF(ISNUMBER(SEARCH(SUBSTITUTE(AC$1,RIGHT(AC$1,2),""),VLOOKUP($D115,素材!$1:$1016,COLUMN($F$1),FALSE))),VLOOKUP($C115,武器!$1:$998,COLUMN($O$1),FALSE)*VLOOKUP($D115,素材!$1:$1016,COLUMN($E$1),FALSE)/(LEN(VLOOKUP($D115,素材!$1:$1016,COLUMN($F$1),FALSE))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D115">
        <f>IF(ISNUMBER(SEARCH(SUBSTITUTE(AD$1,RIGHT(AD$1,2),""),VLOOKUP($D115,素材!$1:$1016,COLUMN($F$1),FALSE))),VLOOKUP($C115,武器!$1:$998,COLUMN($O$1),FALSE)*VLOOKUP($D115,素材!$1:$1016,COLUMN($E$1),FALSE)/(LEN(VLOOKUP($D115,素材!$1:$1016,COLUMN($F$1),FALSE))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E115">
        <f>IF(ISNUMBER(SEARCH(SUBSTITUTE(AE$1,RIGHT(AE$1,2),""),VLOOKUP($D115,素材!$1:$1016,COLUMN($F$1),FALSE))),VLOOKUP($C115,武器!$1:$998,COLUMN($O$1),FALSE)*VLOOKUP($D115,素材!$1:$1016,COLUMN($E$1),FALSE)/(LEN(VLOOKUP($D115,素材!$1:$1016,COLUMN($F$1),FALSE))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F115">
        <f>IF(ISNUMBER(SEARCH(SUBSTITUTE(AF$1,RIGHT(AF$1,2),""),VLOOKUP($D115,素材!$1:$1016,COLUMN($F$1),FALSE))),VLOOKUP($C115,武器!$1:$998,COLUMN($O$1),FALSE)*VLOOKUP($D115,素材!$1:$1016,COLUMN($E$1),FALSE)/(LEN(VLOOKUP($D115,素材!$1:$1016,COLUMN($F$1),FALSE))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G115">
        <f>IF(ISNUMBER(SEARCH(SUBSTITUTE(AG$1,RIGHT(AG$1,2),""),VLOOKUP($D115,素材!$1:$1016,COLUMN($F$1),FALSE))),VLOOKUP($C115,武器!$1:$998,COLUMN($O$1),FALSE)*VLOOKUP($D115,素材!$1:$1016,COLUMN($E$1),FALSE)/(LEN(VLOOKUP($D115,素材!$1:$1016,COLUMN($F$1),FALSE))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H115">
        <f>IF(ISNUMBER(SEARCH(SUBSTITUTE(AH$1,RIGHT(AH$1,2),""),VLOOKUP($D115,素材!$1:$1016,COLUMN($F$1),FALSE))),VLOOKUP($C115,武器!$1:$998,COLUMN($O$1),FALSE)*VLOOKUP($D115,素材!$1:$1016,COLUMN($E$1),FALSE)/(LEN(VLOOKUP($D115,素材!$1:$1016,COLUMN($F$1),FALSE))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I115">
        <f>IF(ISNUMBER(SEARCH(SUBSTITUTE(AI$1,RIGHT(AI$1,2),""),VLOOKUP($D115,素材!$1:$1016,COLUMN($F$1),FALSE))),VLOOKUP($C115,武器!$1:$998,COLUMN($O$1),FALSE)*VLOOKUP($D115,素材!$1:$1016,COLUMN($E$1),FALSE)/(LEN(VLOOKUP($D115,素材!$1:$1016,COLUMN($F$1),FALSE))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J115">
        <f>IF(ISNUMBER(SEARCH(SUBSTITUTE(AJ$1,RIGHT(AJ$1,2),""),VLOOKUP($D115,素材!$1:$1016,COLUMN($F$1),FALSE))),VLOOKUP($C115,武器!$1:$998,COLUMN($O$1),FALSE)*VLOOKUP($D115,素材!$1:$1016,COLUMN($E$1),FALSE)/(LEN(VLOOKUP($D115,素材!$1:$1016,COLUMN($F$1),FALSE))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K115">
        <f>IF(ISNUMBER(SEARCH(SUBSTITUTE(AK$1,RIGHT(AK$1,2),""),VLOOKUP($D115,素材!$1:$1016,COLUMN($F$1),FALSE))),VLOOKUP($C115,武器!$1:$998,COLUMN($O$1),FALSE)*VLOOKUP($D115,素材!$1:$1016,COLUMN($E$1),FALSE)/(LEN(VLOOKUP($D115,素材!$1:$1016,COLUMN($F$1),FALSE))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L115">
        <f>IF(ISNUMBER(SEARCH(SUBSTITUTE(AL$1,RIGHT(AL$1,2),""),VLOOKUP($D115,素材!$1:$1016,COLUMN($F$1),FALSE))),VLOOKUP($C115,武器!$1:$998,COLUMN($O$1),FALSE)*VLOOKUP($D115,素材!$1:$1016,COLUMN($E$1),FALSE)/(LEN(VLOOKUP($D115,素材!$1:$1016,COLUMN($F$1),FALSE))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M115">
        <f>IF(ISNUMBER(SEARCH(SUBSTITUTE(AM$1,RIGHT(AM$1,2),""),VLOOKUP($D115,素材!$1:$1016,COLUMN($F$1),FALSE))),VLOOKUP($C115,武器!$1:$998,COLUMN($O$1),FALSE)*VLOOKUP($D115,素材!$1:$1016,COLUMN($E$1),FALSE)/(LEN(VLOOKUP($D115,素材!$1:$1016,COLUMN($F$1),FALSE))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N115">
        <f>IF(ISNUMBER(SEARCH(SUBSTITUTE(AN$1,RIGHT(AN$1,2),""),VLOOKUP($D115,素材!$1:$1016,COLUMN($F$1),FALSE))),VLOOKUP($C115,武器!$1:$998,COLUMN($O$1),FALSE)*VLOOKUP($D115,素材!$1:$1016,COLUMN($E$1),FALSE)/(LEN(VLOOKUP($D115,素材!$1:$1016,COLUMN($F$1),FALSE))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O115">
        <f>IF(ISNUMBER(SEARCH(SUBSTITUTE(AO$1,RIGHT(AO$1,2),""),VLOOKUP($D115,素材!$1:$1016,COLUMN($F$1),FALSE))),VLOOKUP($C115,武器!$1:$998,COLUMN($O$1),FALSE)*VLOOKUP($D115,素材!$1:$1016,COLUMN($E$1),FALSE)/(LEN(VLOOKUP($D115,素材!$1:$1016,COLUMN($F$1),FALSE))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P115">
        <f>IF(ISNUMBER(SEARCH(SUBSTITUTE(AP$1,RIGHT(AP$1,2),""),VLOOKUP($D115,素材!$1:$1016,COLUMN($F$1),FALSE))),VLOOKUP($C115,武器!$1:$998,COLUMN($O$1),FALSE)*VLOOKUP($D115,素材!$1:$1016,COLUMN($E$1),FALSE)/(LEN(VLOOKUP($D115,素材!$1:$1016,COLUMN($F$1),FALSE))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Q115">
        <f>IF(ISNUMBER(SEARCH(SUBSTITUTE(AQ$1,RIGHT(AQ$1,2),""),VLOOKUP($D115,素材!$1:$1016,COLUMN($F$1),FALSE))),VLOOKUP($C115,武器!$1:$998,COLUMN($O$1),FALSE)*VLOOKUP($D115,素材!$1:$1016,COLUMN($E$1),FALSE)/(LEN(VLOOKUP($D115,素材!$1:$1016,COLUMN($F$1),FALSE))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R115">
        <f>IF(ISNUMBER(SEARCH(SUBSTITUTE(AR$1,RIGHT(AR$1,2),""),VLOOKUP($D115,素材!$1:$1016,COLUMN($F$1),FALSE))),VLOOKUP($C115,武器!$1:$998,COLUMN($O$1),FALSE)*VLOOKUP($D115,素材!$1:$1016,COLUMN($E$1),FALSE)/(LEN(VLOOKUP($D115,素材!$1:$1016,COLUMN($F$1),FALSE))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S115">
        <f>IF(ISNUMBER(SEARCH(SUBSTITUTE(AS$1,RIGHT(AS$1,2),""),VLOOKUP($D115,素材!$1:$1016,COLUMN($F$1),FALSE))),VLOOKUP($C115,武器!$1:$998,COLUMN($O$1),FALSE)*VLOOKUP($D115,素材!$1:$1016,COLUMN($E$1),FALSE)/(LEN(VLOOKUP($D115,素材!$1:$1016,COLUMN($F$1),FALSE))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T115">
        <f>IF(ISNUMBER(SEARCH(SUBSTITUTE(AT$1,RIGHT(AT$1,2),""),VLOOKUP($D115,素材!$1:$1016,COLUMN($F$1),FALSE))),VLOOKUP($C115,武器!$1:$998,COLUMN($O$1),FALSE)*VLOOKUP($D115,素材!$1:$1016,COLUMN($E$1),FALSE)/(LEN(VLOOKUP($D115,素材!$1:$1016,COLUMN($F$1),FALSE))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U115">
        <f>IF(ISNUMBER(SEARCH(SUBSTITUTE(AU$1,RIGHT(AU$1,2),""),VLOOKUP($D115,素材!$1:$1016,COLUMN($F$1),FALSE))),VLOOKUP($C115,武器!$1:$998,COLUMN($O$1),FALSE)*VLOOKUP($D115,素材!$1:$1016,COLUMN($E$1),FALSE)/(LEN(VLOOKUP($D115,素材!$1:$1016,COLUMN($F$1),FALSE))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V115">
        <f>IF(ISNUMBER(SEARCH(SUBSTITUTE(AV$1,RIGHT(AV$1,2),""),VLOOKUP($D115,素材!$1:$1016,COLUMN($F$1),FALSE))),VLOOKUP($C115,武器!$1:$998,COLUMN($O$1),FALSE)*VLOOKUP($D115,素材!$1:$1016,COLUMN($E$1),FALSE)/(LEN(VLOOKUP($D115,素材!$1:$1016,COLUMN($F$1),FALSE))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W115">
        <f>IF(ISNUMBER(SEARCH(SUBSTITUTE(AW$1,RIGHT(AW$1,2),""),VLOOKUP($D115,素材!$1:$1016,COLUMN($F$1),FALSE))),VLOOKUP($C115,武器!$1:$998,COLUMN($O$1),FALSE)*VLOOKUP($D115,素材!$1:$1016,COLUMN($E$1),FALSE)/(LEN(VLOOKUP($D115,素材!$1:$1016,COLUMN($F$1),FALSE))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X115">
        <f>IF(ISNUMBER(SEARCH(SUBSTITUTE(AX$1,RIGHT(AX$1,2),""),VLOOKUP($D115,素材!$1:$1016,COLUMN($F$1),FALSE))),VLOOKUP($C115,武器!$1:$998,COLUMN($O$1),FALSE)*VLOOKUP($D115,素材!$1:$1016,COLUMN($E$1),FALSE)/(LEN(VLOOKUP($D115,素材!$1:$1016,COLUMN($F$1),FALSE))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Y115">
        <f>IF(ISNUMBER(SEARCH(SUBSTITUTE(AY$1,RIGHT(AY$1,2),""),VLOOKUP($D115,素材!$1:$1016,COLUMN($F$1),FALSE))),VLOOKUP($C115,武器!$1:$998,COLUMN($O$1),FALSE)*VLOOKUP($D115,素材!$1:$1016,COLUMN($E$1),FALSE)/(LEN(VLOOKUP($D115,素材!$1:$1016,COLUMN($F$1),FALSE))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AZ115">
        <f>IF(ISNUMBER(SEARCH(SUBSTITUTE(AZ$1,RIGHT(AZ$1,2),""),VLOOKUP($D115,素材!$1:$1016,COLUMN($F$1),FALSE))),VLOOKUP($C115,武器!$1:$998,COLUMN($O$1),FALSE)*VLOOKUP($D115,素材!$1:$1016,COLUMN($E$1),FALSE)/(LEN(VLOOKUP($D115,素材!$1:$1016,COLUMN($F$1),FALSE))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BA115">
        <f>IF(ISNUMBER(SEARCH(SUBSTITUTE(BA$1,RIGHT(BA$1,2),""),VLOOKUP($D115,素材!$1:$1016,COLUMN($F$1),FALSE))),VLOOKUP($C115,武器!$1:$998,COLUMN($O$1),FALSE)*VLOOKUP($D115,素材!$1:$1016,COLUMN($E$1),FALSE)/(LEN(VLOOKUP($D115,素材!$1:$1016,COLUMN($F$1),FALSE))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BB115">
        <f>IF(ISNUMBER(SEARCH(SUBSTITUTE(BB$1,RIGHT(BB$1,2),""),VLOOKUP($D115,素材!$1:$1016,COLUMN($F$1),FALSE))),VLOOKUP($C115,武器!$1:$998,COLUMN($O$1),FALSE)*VLOOKUP($D115,素材!$1:$1016,COLUMN($E$1),FALSE)/(LEN(VLOOKUP($D115,素材!$1:$1016,COLUMN($F$1),FALSE))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BC115">
        <f>IF(ISNUMBER(SEARCH(SUBSTITUTE(BC$1,RIGHT(BC$1,2),""),VLOOKUP($D115,素材!$1:$1016,COLUMN($F$1),FALSE))),VLOOKUP($C115,武器!$1:$998,COLUMN($O$1),FALSE)*VLOOKUP($D115,素材!$1:$1016,COLUMN($E$1),FALSE)/(LEN(VLOOKUP($D115,素材!$1:$1016,COLUMN($F$1),FALSE))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BD115">
        <f>IF(ISNUMBER(SEARCH(SUBSTITUTE(BD$1,RIGHT(BD$1,2),""),VLOOKUP($D115,素材!$1:$1016,COLUMN($F$1),FALSE))),VLOOKUP($C115,武器!$1:$998,COLUMN($O$1),FALSE)*VLOOKUP($D115,素材!$1:$1016,COLUMN($E$1),FALSE)/(LEN(VLOOKUP($D115,素材!$1:$1016,COLUMN($F$1),FALSE))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BE115">
        <f>IF(ISNUMBER(SEARCH(SUBSTITUTE(BE$1,RIGHT(BE$1,2),""),VLOOKUP($D115,素材!$1:$1016,COLUMN($F$1),FALSE))),VLOOKUP($C115,武器!$1:$998,COLUMN($O$1),FALSE)*VLOOKUP($D115,素材!$1:$1016,COLUMN($E$1),FALSE)/(LEN(VLOOKUP($D115,素材!$1:$1016,COLUMN($F$1),FALSE))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BF115">
        <f>IF(ISNUMBER(SEARCH(SUBSTITUTE(BF$1,RIGHT(BF$1,2),""),VLOOKUP($D115,素材!$1:$1016,COLUMN($F$1),FALSE))),VLOOKUP($C115,武器!$1:$998,COLUMN($O$1),FALSE)*VLOOKUP($D115,素材!$1:$1016,COLUMN($E$1),FALSE)/(LEN(VLOOKUP($D115,素材!$1:$1016,COLUMN($F$1),FALSE)) - LEN(SUBSTITUTE(VLOOKUP($D115,素材!$1:$1016,COLUMN($F$1),FALSE), "・", 0)) + 1), 0)</f>
        <v>0</v>
      </c>
      <c r="CM115">
        <f t="shared" si="8"/>
        <v>0</v>
      </c>
      <c r="CN115" s="22" t="str">
        <f>IF(E115="武器",IF(J115-1&gt;SUM(G115:I115),"盾",IF(MAX(G115:I115)=G115,"切断",IF(MAX(G115:I115)=H115,"貫通",IF(MAX(G115:I115)=I115,"打撃","射撃")))),E115)&amp;".webp"</f>
        <v>.webp</v>
      </c>
      <c r="CO115" t="str">
        <f>IFERROR(VLOOKUP($C115,武器!$1:$998,COLUMN(V$1),FALSE)*VLOOKUP($D115,素材!$1:$1016,COLUMN(N$1),FALSE)+IF(CJ115="",0,VLOOKUP($CJ115,装強!$1:$1008,COLUMN($CL$1),FALSE)),"")</f>
        <v/>
      </c>
      <c r="CP115" t="e">
        <f>VLOOKUP(D115,素材!$A:$O,COLUMN(素材!O$1),FALSE)</f>
        <v>#N/A</v>
      </c>
      <c r="CQ115" t="e">
        <f>VLOOKUP(C115,武器!$A:$W,COLUMN(武器!W$1),FALSE)</f>
        <v>#N/A</v>
      </c>
      <c r="CS115" t="str">
        <f t="shared" si="7"/>
        <v>e_115</v>
      </c>
      <c r="CT115" t="e">
        <f t="shared" si="9"/>
        <v>#VALUE!</v>
      </c>
    </row>
    <row r="116" spans="1:98" outlineLevel="1" x14ac:dyDescent="0.4">
      <c r="A116" t="str">
        <f t="shared" ref="A116" si="11">D116&amp;"の"&amp;C116</f>
        <v>皮の帽子</v>
      </c>
      <c r="B116" t="str">
        <f>IFERROR(VLOOKUP($D116,素材!$1:$1016,COLUMN($B$1),FALSE)&amp;"・"&amp;VLOOKUP($C116,武器!$1:$998,COLUMN(B$1),FALSE),"")</f>
        <v>レザー・ハット</v>
      </c>
      <c r="C116" t="s">
        <v>1196</v>
      </c>
      <c r="D116" s="24" t="s">
        <v>252</v>
      </c>
      <c r="E116" t="str">
        <f>IFERROR(VLOOKUP(C116,武器!$1:$998,COLUMN(C$1),FALSE),"")</f>
        <v>頭</v>
      </c>
      <c r="F116">
        <f>IFERROR(ROUNDDOWN((VLOOKUP($C116,武器!$1:$998,COLUMN(D$1),FALSE)+IFERROR(VLOOKUP($CJ116,装強!$1:$999,COLUMN(F$1),FALSE),0))*VLOOKUP($D116,素材!$1:$1016,COLUMN(D$1),FALSE),0),"")</f>
        <v>0</v>
      </c>
      <c r="G116">
        <f>IFERROR(ROUNDDOWN((VLOOKUP($C116,武器!$1:$998,COLUMN(E$1),FALSE)+IFERROR(VLOOKUP($CJ116,装強!$1:$999,COLUMN(G$1),FALSE),0))*VLOOKUP($D116,素材!$1:$1016,COLUMN($E$1),FALSE),0),"")</f>
        <v>0</v>
      </c>
      <c r="H116">
        <f>IFERROR(ROUNDDOWN((VLOOKUP($C116,武器!$1:$998,COLUMN(F$1),FALSE)+IFERROR(VLOOKUP($CJ116,装強!$1:$999,COLUMN(H$1),FALSE),0))*VLOOKUP($D116,素材!$1:$1016,COLUMN($E$1),FALSE),0),"")</f>
        <v>0</v>
      </c>
      <c r="I116">
        <f>IFERROR(ROUNDDOWN((VLOOKUP($C116,武器!$1:$998,COLUMN(G$1),FALSE)+IFERROR(VLOOKUP($CJ116,装強!$1:$999,COLUMN(I$1),FALSE),0))*VLOOKUP($D116,素材!$1:$1016,COLUMN($E$1),FALSE),0),"")</f>
        <v>0</v>
      </c>
      <c r="J116">
        <f>IFERROR(ROUNDDOWN((VLOOKUP($C116,武器!$1:$998,COLUMN(H$1),FALSE)+IFERROR(VLOOKUP($CJ116,装強!$1:$999,COLUMN(J$1),FALSE),0))*VLOOKUP($D116,素材!$1:$1016,COLUMN($E$1),FALSE),0),"")</f>
        <v>0</v>
      </c>
      <c r="K116">
        <f>IFERROR(ROUNDDOWN((VLOOKUP($C116,武器!$1:$998,COLUMN(I$1),FALSE)+IFERROR(VLOOKUP($CJ116,装強!$1:$999,COLUMN(K$1),FALSE),0))*VLOOKUP($D116,素材!$1:$1016,COLUMN($E$1),FALSE),0),"")</f>
        <v>0</v>
      </c>
      <c r="L116" t="str">
        <f>IFERROR(VLOOKUP($D116,素材!$1:$1016,COLUMN($F$1),FALSE),"")</f>
        <v>-</v>
      </c>
      <c r="M116" t="str">
        <f>IFERROR(VLOOKUP($C116,武器!$1:$998,COLUMN(AA$1),FALSE)*VLOOKUP($D116,素材!$1:$1016,COLUMN($G$1),FALSE),"")</f>
        <v/>
      </c>
      <c r="N116">
        <f>IFERROR(VLOOKUP($C116,武器!$1:$998,COLUMN(I$1),FALSE),"")</f>
        <v>0</v>
      </c>
      <c r="O116" s="23" t="str">
        <f>IFERROR((VLOOKUP($C116,武器!$1:$998,COLUMN(K$1),FALSE)+VLOOKUP($D116,素材!$1:$1016,COLUMN(H$1),FALSE))*100+IFERROR(VLOOKUP($CJ116,装強!$1:$999,COLUMN(O$1),FALSE),0),"")</f>
        <v/>
      </c>
      <c r="P116" s="23" t="str">
        <f>IFERROR((VLOOKUP($C116,武器!$1:$998,COLUMN(L$1),FALSE)+VLOOKUP($D116,素材!$1:$1016,COLUMN(I$1),FALSE))*100+IFERROR(VLOOKUP($CJ116,装強!$1:$999,COLUMN(P$1),FALSE),0),"")</f>
        <v/>
      </c>
      <c r="Q116">
        <f>IFERROR(ROUNDUP(VLOOKUP($C116,武器!$1:$998,COLUMN(M$1),FALSE)*(VLOOKUP($D116,素材!$1:$1002,COLUMN(D$1),FALSE)/100),1),"")</f>
        <v>0</v>
      </c>
      <c r="R116">
        <f>IFERROR(ROUNDUP(VLOOKUP($C116,武器!$1:$998,COLUMN(N$1),FALSE)*(VLOOKUP($D116,素材!$1:$1002,COLUMN(D$1),FALSE)/100),1),"")</f>
        <v>0</v>
      </c>
      <c r="S116">
        <f>IFERROR(VLOOKUP($C116,武器!$1:$998,COLUMN(P$1),FALSE),"")</f>
        <v>0</v>
      </c>
      <c r="T116">
        <f>IFERROR(VLOOKUP($C116,武器!$1:$998,COLUMN(Q$1),FALSE),"")</f>
        <v>0</v>
      </c>
      <c r="U116">
        <f>IFERROR(VLOOKUP($C116,武器!$1:$998,COLUMN(R$1),FALSE),"")</f>
        <v>0</v>
      </c>
      <c r="V116">
        <f>IFERROR(VLOOKUP($C116,武器!$1:$998,COLUMN(Q$1),FALSE),"")</f>
        <v>0</v>
      </c>
      <c r="W116">
        <f>IFERROR(VLOOKUP($C116,武器!$1:$998,COLUMN(T$1),FALSE),"")</f>
        <v>0</v>
      </c>
      <c r="Y116">
        <f>IFERROR(VLOOKUP($C116,武器!$1:$998,COLUMN(U$1),FALSE),"")</f>
        <v>0</v>
      </c>
      <c r="Z116">
        <f>IFERROR(ROUNDUP(VLOOKUP($C116,武器!$1:$998,COLUMN(O$1),FALSE)*VLOOKUP($D116,素材!$1:$1016,COLUMN(E$1),FALSE),1),"")</f>
        <v>1</v>
      </c>
      <c r="AA116">
        <f>IF(ISNUMBER(SEARCH(SUBSTITUTE(AA$1,RIGHT(AA$1,2),""),VLOOKUP($D116,素材!$1:$1016,COLUMN($F$1),FALSE))),VLOOKUP($C116,武器!$1:$998,COLUMN($O$1),FALSE)*VLOOKUP($D116,素材!$1:$1016,COLUMN($E$1),FALSE)/(LEN(VLOOKUP($D116,素材!$1:$1016,COLUMN($F$1),FALSE))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B116">
        <f>IF(ISNUMBER(SEARCH(SUBSTITUTE(AB$1,RIGHT(AB$1,2),""),VLOOKUP($D116,素材!$1:$1016,COLUMN($F$1),FALSE))),VLOOKUP($C116,武器!$1:$998,COLUMN($O$1),FALSE)*VLOOKUP($D116,素材!$1:$1016,COLUMN($E$1),FALSE)/(LEN(VLOOKUP($D116,素材!$1:$1016,COLUMN($F$1),FALSE))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C116">
        <f>IF(ISNUMBER(SEARCH(SUBSTITUTE(AC$1,RIGHT(AC$1,2),""),VLOOKUP($D116,素材!$1:$1016,COLUMN($F$1),FALSE))),VLOOKUP($C116,武器!$1:$998,COLUMN($O$1),FALSE)*VLOOKUP($D116,素材!$1:$1016,COLUMN($E$1),FALSE)/(LEN(VLOOKUP($D116,素材!$1:$1016,COLUMN($F$1),FALSE))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D116">
        <f>IF(ISNUMBER(SEARCH(SUBSTITUTE(AD$1,RIGHT(AD$1,2),""),VLOOKUP($D116,素材!$1:$1016,COLUMN($F$1),FALSE))),VLOOKUP($C116,武器!$1:$998,COLUMN($O$1),FALSE)*VLOOKUP($D116,素材!$1:$1016,COLUMN($E$1),FALSE)/(LEN(VLOOKUP($D116,素材!$1:$1016,COLUMN($F$1),FALSE))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E116">
        <f>IF(ISNUMBER(SEARCH(SUBSTITUTE(AE$1,RIGHT(AE$1,2),""),VLOOKUP($D116,素材!$1:$1016,COLUMN($F$1),FALSE))),VLOOKUP($C116,武器!$1:$998,COLUMN($O$1),FALSE)*VLOOKUP($D116,素材!$1:$1016,COLUMN($E$1),FALSE)/(LEN(VLOOKUP($D116,素材!$1:$1016,COLUMN($F$1),FALSE))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F116">
        <f>IF(ISNUMBER(SEARCH(SUBSTITUTE(AF$1,RIGHT(AF$1,2),""),VLOOKUP($D116,素材!$1:$1016,COLUMN($F$1),FALSE))),VLOOKUP($C116,武器!$1:$998,COLUMN($O$1),FALSE)*VLOOKUP($D116,素材!$1:$1016,COLUMN($E$1),FALSE)/(LEN(VLOOKUP($D116,素材!$1:$1016,COLUMN($F$1),FALSE))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G116">
        <f>IF(ISNUMBER(SEARCH(SUBSTITUTE(AG$1,RIGHT(AG$1,2),""),VLOOKUP($D116,素材!$1:$1016,COLUMN($F$1),FALSE))),VLOOKUP($C116,武器!$1:$998,COLUMN($O$1),FALSE)*VLOOKUP($D116,素材!$1:$1016,COLUMN($E$1),FALSE)/(LEN(VLOOKUP($D116,素材!$1:$1016,COLUMN($F$1),FALSE))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H116">
        <f>IF(ISNUMBER(SEARCH(SUBSTITUTE(AH$1,RIGHT(AH$1,2),""),VLOOKUP($D116,素材!$1:$1016,COLUMN($F$1),FALSE))),VLOOKUP($C116,武器!$1:$998,COLUMN($O$1),FALSE)*VLOOKUP($D116,素材!$1:$1016,COLUMN($E$1),FALSE)/(LEN(VLOOKUP($D116,素材!$1:$1016,COLUMN($F$1),FALSE))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I116">
        <f>IF(ISNUMBER(SEARCH(SUBSTITUTE(AI$1,RIGHT(AI$1,2),""),VLOOKUP($D116,素材!$1:$1016,COLUMN($F$1),FALSE))),VLOOKUP($C116,武器!$1:$998,COLUMN($O$1),FALSE)*VLOOKUP($D116,素材!$1:$1016,COLUMN($E$1),FALSE)/(LEN(VLOOKUP($D116,素材!$1:$1016,COLUMN($F$1),FALSE))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J116">
        <f>IF(ISNUMBER(SEARCH(SUBSTITUTE(AJ$1,RIGHT(AJ$1,2),""),VLOOKUP($D116,素材!$1:$1016,COLUMN($F$1),FALSE))),VLOOKUP($C116,武器!$1:$998,COLUMN($O$1),FALSE)*VLOOKUP($D116,素材!$1:$1016,COLUMN($E$1),FALSE)/(LEN(VLOOKUP($D116,素材!$1:$1016,COLUMN($F$1),FALSE))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K116">
        <f>IF(ISNUMBER(SEARCH(SUBSTITUTE(AK$1,RIGHT(AK$1,2),""),VLOOKUP($D116,素材!$1:$1016,COLUMN($F$1),FALSE))),VLOOKUP($C116,武器!$1:$998,COLUMN($O$1),FALSE)*VLOOKUP($D116,素材!$1:$1016,COLUMN($E$1),FALSE)/(LEN(VLOOKUP($D116,素材!$1:$1016,COLUMN($F$1),FALSE))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L116">
        <f>IF(ISNUMBER(SEARCH(SUBSTITUTE(AL$1,RIGHT(AL$1,2),""),VLOOKUP($D116,素材!$1:$1016,COLUMN($F$1),FALSE))),VLOOKUP($C116,武器!$1:$998,COLUMN($O$1),FALSE)*VLOOKUP($D116,素材!$1:$1016,COLUMN($E$1),FALSE)/(LEN(VLOOKUP($D116,素材!$1:$1016,COLUMN($F$1),FALSE))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M116">
        <f>IF(ISNUMBER(SEARCH(SUBSTITUTE(AM$1,RIGHT(AM$1,2),""),VLOOKUP($D116,素材!$1:$1016,COLUMN($F$1),FALSE))),VLOOKUP($C116,武器!$1:$998,COLUMN($O$1),FALSE)*VLOOKUP($D116,素材!$1:$1016,COLUMN($E$1),FALSE)/(LEN(VLOOKUP($D116,素材!$1:$1016,COLUMN($F$1),FALSE))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N116">
        <f>IF(ISNUMBER(SEARCH(SUBSTITUTE(AN$1,RIGHT(AN$1,2),""),VLOOKUP($D116,素材!$1:$1016,COLUMN($F$1),FALSE))),VLOOKUP($C116,武器!$1:$998,COLUMN($O$1),FALSE)*VLOOKUP($D116,素材!$1:$1016,COLUMN($E$1),FALSE)/(LEN(VLOOKUP($D116,素材!$1:$1016,COLUMN($F$1),FALSE))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O116">
        <f>IF(ISNUMBER(SEARCH(SUBSTITUTE(AO$1,RIGHT(AO$1,2),""),VLOOKUP($D116,素材!$1:$1016,COLUMN($F$1),FALSE))),VLOOKUP($C116,武器!$1:$998,COLUMN($O$1),FALSE)*VLOOKUP($D116,素材!$1:$1016,COLUMN($E$1),FALSE)/(LEN(VLOOKUP($D116,素材!$1:$1016,COLUMN($F$1),FALSE))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P116">
        <f>IF(ISNUMBER(SEARCH(SUBSTITUTE(AP$1,RIGHT(AP$1,2),""),VLOOKUP($D116,素材!$1:$1016,COLUMN($F$1),FALSE))),VLOOKUP($C116,武器!$1:$998,COLUMN($O$1),FALSE)*VLOOKUP($D116,素材!$1:$1016,COLUMN($E$1),FALSE)/(LEN(VLOOKUP($D116,素材!$1:$1016,COLUMN($F$1),FALSE))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Q116">
        <f>IF(ISNUMBER(SEARCH(SUBSTITUTE(AQ$1,RIGHT(AQ$1,2),""),VLOOKUP($D116,素材!$1:$1016,COLUMN($F$1),FALSE))),VLOOKUP($C116,武器!$1:$998,COLUMN($O$1),FALSE)*VLOOKUP($D116,素材!$1:$1016,COLUMN($E$1),FALSE)/(LEN(VLOOKUP($D116,素材!$1:$1016,COLUMN($F$1),FALSE))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R116">
        <f>IF(ISNUMBER(SEARCH(SUBSTITUTE(AR$1,RIGHT(AR$1,2),""),VLOOKUP($D116,素材!$1:$1016,COLUMN($F$1),FALSE))),VLOOKUP($C116,武器!$1:$998,COLUMN($O$1),FALSE)*VLOOKUP($D116,素材!$1:$1016,COLUMN($E$1),FALSE)/(LEN(VLOOKUP($D116,素材!$1:$1016,COLUMN($F$1),FALSE))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S116">
        <f>IF(ISNUMBER(SEARCH(SUBSTITUTE(AS$1,RIGHT(AS$1,2),""),VLOOKUP($D116,素材!$1:$1016,COLUMN($F$1),FALSE))),VLOOKUP($C116,武器!$1:$998,COLUMN($O$1),FALSE)*VLOOKUP($D116,素材!$1:$1016,COLUMN($E$1),FALSE)/(LEN(VLOOKUP($D116,素材!$1:$1016,COLUMN($F$1),FALSE))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T116">
        <f>IF(ISNUMBER(SEARCH(SUBSTITUTE(AT$1,RIGHT(AT$1,2),""),VLOOKUP($D116,素材!$1:$1016,COLUMN($F$1),FALSE))),VLOOKUP($C116,武器!$1:$998,COLUMN($O$1),FALSE)*VLOOKUP($D116,素材!$1:$1016,COLUMN($E$1),FALSE)/(LEN(VLOOKUP($D116,素材!$1:$1016,COLUMN($F$1),FALSE))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U116">
        <f>IF(ISNUMBER(SEARCH(SUBSTITUTE(AU$1,RIGHT(AU$1,2),""),VLOOKUP($D116,素材!$1:$1016,COLUMN($F$1),FALSE))),VLOOKUP($C116,武器!$1:$998,COLUMN($O$1),FALSE)*VLOOKUP($D116,素材!$1:$1016,COLUMN($E$1),FALSE)/(LEN(VLOOKUP($D116,素材!$1:$1016,COLUMN($F$1),FALSE))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V116">
        <f>IF(ISNUMBER(SEARCH(SUBSTITUTE(AV$1,RIGHT(AV$1,2),""),VLOOKUP($D116,素材!$1:$1016,COLUMN($F$1),FALSE))),VLOOKUP($C116,武器!$1:$998,COLUMN($O$1),FALSE)*VLOOKUP($D116,素材!$1:$1016,COLUMN($E$1),FALSE)/(LEN(VLOOKUP($D116,素材!$1:$1016,COLUMN($F$1),FALSE))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W116">
        <f>IF(ISNUMBER(SEARCH(SUBSTITUTE(AW$1,RIGHT(AW$1,2),""),VLOOKUP($D116,素材!$1:$1016,COLUMN($F$1),FALSE))),VLOOKUP($C116,武器!$1:$998,COLUMN($O$1),FALSE)*VLOOKUP($D116,素材!$1:$1016,COLUMN($E$1),FALSE)/(LEN(VLOOKUP($D116,素材!$1:$1016,COLUMN($F$1),FALSE))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X116">
        <f>IF(ISNUMBER(SEARCH(SUBSTITUTE(AX$1,RIGHT(AX$1,2),""),VLOOKUP($D116,素材!$1:$1016,COLUMN($F$1),FALSE))),VLOOKUP($C116,武器!$1:$998,COLUMN($O$1),FALSE)*VLOOKUP($D116,素材!$1:$1016,COLUMN($E$1),FALSE)/(LEN(VLOOKUP($D116,素材!$1:$1016,COLUMN($F$1),FALSE))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Y116">
        <f>IF(ISNUMBER(SEARCH(SUBSTITUTE(AY$1,RIGHT(AY$1,2),""),VLOOKUP($D116,素材!$1:$1016,COLUMN($F$1),FALSE))),VLOOKUP($C116,武器!$1:$998,COLUMN($O$1),FALSE)*VLOOKUP($D116,素材!$1:$1016,COLUMN($E$1),FALSE)/(LEN(VLOOKUP($D116,素材!$1:$1016,COLUMN($F$1),FALSE))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AZ116">
        <f>IF(ISNUMBER(SEARCH(SUBSTITUTE(AZ$1,RIGHT(AZ$1,2),""),VLOOKUP($D116,素材!$1:$1016,COLUMN($F$1),FALSE))),VLOOKUP($C116,武器!$1:$998,COLUMN($O$1),FALSE)*VLOOKUP($D116,素材!$1:$1016,COLUMN($E$1),FALSE)/(LEN(VLOOKUP($D116,素材!$1:$1016,COLUMN($F$1),FALSE))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BA116">
        <f>IF(ISNUMBER(SEARCH(SUBSTITUTE(BA$1,RIGHT(BA$1,2),""),VLOOKUP($D116,素材!$1:$1016,COLUMN($F$1),FALSE))),VLOOKUP($C116,武器!$1:$998,COLUMN($O$1),FALSE)*VLOOKUP($D116,素材!$1:$1016,COLUMN($E$1),FALSE)/(LEN(VLOOKUP($D116,素材!$1:$1016,COLUMN($F$1),FALSE))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BB116">
        <f>IF(ISNUMBER(SEARCH(SUBSTITUTE(BB$1,RIGHT(BB$1,2),""),VLOOKUP($D116,素材!$1:$1016,COLUMN($F$1),FALSE))),VLOOKUP($C116,武器!$1:$998,COLUMN($O$1),FALSE)*VLOOKUP($D116,素材!$1:$1016,COLUMN($E$1),FALSE)/(LEN(VLOOKUP($D116,素材!$1:$1016,COLUMN($F$1),FALSE))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BC116">
        <f>IF(ISNUMBER(SEARCH(SUBSTITUTE(BC$1,RIGHT(BC$1,2),""),VLOOKUP($D116,素材!$1:$1016,COLUMN($F$1),FALSE))),VLOOKUP($C116,武器!$1:$998,COLUMN($O$1),FALSE)*VLOOKUP($D116,素材!$1:$1016,COLUMN($E$1),FALSE)/(LEN(VLOOKUP($D116,素材!$1:$1016,COLUMN($F$1),FALSE))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BD116">
        <f>IF(ISNUMBER(SEARCH(SUBSTITUTE(BD$1,RIGHT(BD$1,2),""),VLOOKUP($D116,素材!$1:$1016,COLUMN($F$1),FALSE))),VLOOKUP($C116,武器!$1:$998,COLUMN($O$1),FALSE)*VLOOKUP($D116,素材!$1:$1016,COLUMN($E$1),FALSE)/(LEN(VLOOKUP($D116,素材!$1:$1016,COLUMN($F$1),FALSE))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BE116">
        <f>IF(ISNUMBER(SEARCH(SUBSTITUTE(BE$1,RIGHT(BE$1,2),""),VLOOKUP($D116,素材!$1:$1016,COLUMN($F$1),FALSE))),VLOOKUP($C116,武器!$1:$998,COLUMN($O$1),FALSE)*VLOOKUP($D116,素材!$1:$1016,COLUMN($E$1),FALSE)/(LEN(VLOOKUP($D116,素材!$1:$1016,COLUMN($F$1),FALSE))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BF116">
        <f>IF(ISNUMBER(SEARCH(SUBSTITUTE(BF$1,RIGHT(BF$1,2),""),VLOOKUP($D116,素材!$1:$1016,COLUMN($F$1),FALSE))),VLOOKUP($C116,武器!$1:$998,COLUMN($O$1),FALSE)*VLOOKUP($D116,素材!$1:$1016,COLUMN($E$1),FALSE)/(LEN(VLOOKUP($D116,素材!$1:$1016,COLUMN($F$1),FALSE)) - LEN(SUBSTITUTE(VLOOKUP($D116,素材!$1:$1016,COLUMN($F$1),FALSE), "・", 0)) + 1), 0)</f>
        <v>0</v>
      </c>
      <c r="CM116">
        <f t="shared" si="8"/>
        <v>0</v>
      </c>
      <c r="CN116" s="22" t="str">
        <f>IF(E116="武器",IF(J116-1&gt;SUM(G116:I116),"盾",IF(MAX(G116:I116)=G116,"切断",IF(MAX(G116:I116)=H116,"貫通",IF(MAX(G116:I116)=I116,"打撃","射撃")))),E116)&amp;".webp"</f>
        <v>頭.webp</v>
      </c>
      <c r="CO116">
        <f>IFERROR(VLOOKUP($C116,武器!$1:$998,COLUMN(V$1),FALSE)*VLOOKUP($D116,素材!$1:$1016,COLUMN(N$1),FALSE)+IF(CJ116="",0,VLOOKUP($CJ116,装強!$1:$1008,COLUMN($CL$1),FALSE)),"")</f>
        <v>100</v>
      </c>
      <c r="CP116" t="str">
        <f>VLOOKUP(D116,素材!$A:$O,COLUMN(素材!O$1),FALSE)</f>
        <v>一般的な皮素材で、防具や軽量装備の材料として最適です。耐久性は高くありませんが、軽量で扱いやすい点が特徴です。</v>
      </c>
      <c r="CQ116" t="str">
        <f>VLOOKUP(C116,武器!$A:$W,COLUMN(武器!W$1),FALSE)</f>
        <v>命中 魔防 Cr</v>
      </c>
      <c r="CS116" t="str">
        <f t="shared" si="7"/>
        <v>e_116</v>
      </c>
      <c r="CT116">
        <f t="shared" ref="CT116" si="12">CO116*100</f>
        <v>10000</v>
      </c>
    </row>
    <row r="117" spans="1:98" outlineLevel="1" x14ac:dyDescent="0.4">
      <c r="A117" t="str">
        <f t="shared" si="10"/>
        <v>皮の衣布</v>
      </c>
      <c r="B117" t="str">
        <f>IFERROR(VLOOKUP($D117,素材!$1:$1016,COLUMN($B$1),FALSE)&amp;"・"&amp;VLOOKUP($C117,武器!$1:$998,COLUMN(B$1),FALSE),"")</f>
        <v>レザー・クロース</v>
      </c>
      <c r="C117" t="s">
        <v>247</v>
      </c>
      <c r="D117" s="24" t="s">
        <v>252</v>
      </c>
      <c r="E117" t="str">
        <f>IFERROR(VLOOKUP(C117,武器!$1:$998,COLUMN(C$1),FALSE),"")</f>
        <v>体</v>
      </c>
      <c r="F117">
        <f>IFERROR(ROUNDDOWN((VLOOKUP($C117,武器!$1:$998,COLUMN(D$1),FALSE)+IFERROR(VLOOKUP($CJ117,装強!$1:$999,COLUMN(F$1),FALSE),0))*VLOOKUP($D117,素材!$1:$1016,COLUMN(D$1),FALSE),0),"")</f>
        <v>0</v>
      </c>
      <c r="G117">
        <f>IFERROR(ROUNDDOWN((VLOOKUP($C117,武器!$1:$998,COLUMN(E$1),FALSE)+IFERROR(VLOOKUP($CJ117,装強!$1:$999,COLUMN(G$1),FALSE),0))*VLOOKUP($D117,素材!$1:$1016,COLUMN($E$1),FALSE),0),"")</f>
        <v>0</v>
      </c>
      <c r="H117">
        <f>IFERROR(ROUNDDOWN((VLOOKUP($C117,武器!$1:$998,COLUMN(F$1),FALSE)+IFERROR(VLOOKUP($CJ117,装強!$1:$999,COLUMN(H$1),FALSE),0))*VLOOKUP($D117,素材!$1:$1016,COLUMN($E$1),FALSE),0),"")</f>
        <v>0</v>
      </c>
      <c r="I117">
        <f>IFERROR(ROUNDDOWN((VLOOKUP($C117,武器!$1:$998,COLUMN(G$1),FALSE)+IFERROR(VLOOKUP($CJ117,装強!$1:$999,COLUMN(I$1),FALSE),0))*VLOOKUP($D117,素材!$1:$1016,COLUMN($E$1),FALSE),0),"")</f>
        <v>0</v>
      </c>
      <c r="J117">
        <f>IFERROR(ROUNDDOWN((VLOOKUP($C117,武器!$1:$998,COLUMN(H$1),FALSE)+IFERROR(VLOOKUP($CJ117,装強!$1:$999,COLUMN(J$1),FALSE),0))*VLOOKUP($D117,素材!$1:$1016,COLUMN($E$1),FALSE),0),"")</f>
        <v>0</v>
      </c>
      <c r="K117">
        <f>IFERROR(ROUNDDOWN((VLOOKUP($C117,武器!$1:$998,COLUMN(I$1),FALSE)+IFERROR(VLOOKUP($CJ117,装強!$1:$999,COLUMN(K$1),FALSE),0))*VLOOKUP($D117,素材!$1:$1016,COLUMN($E$1),FALSE),0),"")</f>
        <v>0</v>
      </c>
      <c r="L117" t="str">
        <f>IFERROR(VLOOKUP($D117,素材!$1:$1016,COLUMN($F$1),FALSE),"")</f>
        <v>-</v>
      </c>
      <c r="M117" t="str">
        <f>IFERROR(VLOOKUP($C117,武器!$1:$998,COLUMN(AA$1),FALSE)*VLOOKUP($D117,素材!$1:$1016,COLUMN($G$1),FALSE),"")</f>
        <v/>
      </c>
      <c r="N117">
        <f>IFERROR(VLOOKUP($C117,武器!$1:$998,COLUMN(I$1),FALSE),"")</f>
        <v>0</v>
      </c>
      <c r="O117" s="23" t="str">
        <f>IFERROR((VLOOKUP($C117,武器!$1:$998,COLUMN(K$1),FALSE)+VLOOKUP($D117,素材!$1:$1016,COLUMN(H$1),FALSE))*100+IFERROR(VLOOKUP($CJ117,装強!$1:$999,COLUMN(O$1),FALSE),0),"")</f>
        <v/>
      </c>
      <c r="P117" s="23" t="str">
        <f>IFERROR((VLOOKUP($C117,武器!$1:$998,COLUMN(L$1),FALSE)+VLOOKUP($D117,素材!$1:$1016,COLUMN(I$1),FALSE))*100+IFERROR(VLOOKUP($CJ117,装強!$1:$999,COLUMN(P$1),FALSE),0),"")</f>
        <v/>
      </c>
      <c r="Q117">
        <f>IFERROR(ROUNDUP(VLOOKUP($C117,武器!$1:$998,COLUMN(M$1),FALSE)*(VLOOKUP($D117,素材!$1:$1002,COLUMN(D$1),FALSE)/100),1),"")</f>
        <v>0</v>
      </c>
      <c r="R117">
        <f>IFERROR(ROUNDUP(VLOOKUP($C117,武器!$1:$998,COLUMN(N$1),FALSE)*(VLOOKUP($D117,素材!$1:$1002,COLUMN(D$1),FALSE)/100),1),"")</f>
        <v>0</v>
      </c>
      <c r="S117">
        <f>IFERROR(VLOOKUP($C117,武器!$1:$998,COLUMN(P$1),FALSE),"")</f>
        <v>0</v>
      </c>
      <c r="T117">
        <f>IFERROR(VLOOKUP($C117,武器!$1:$998,COLUMN(Q$1),FALSE),"")</f>
        <v>0</v>
      </c>
      <c r="U117">
        <f>IFERROR(VLOOKUP($C117,武器!$1:$998,COLUMN(R$1),FALSE),"")</f>
        <v>0</v>
      </c>
      <c r="V117">
        <f>IFERROR(VLOOKUP($C117,武器!$1:$998,COLUMN(Q$1),FALSE),"")</f>
        <v>0</v>
      </c>
      <c r="W117">
        <f>IFERROR(VLOOKUP($C117,武器!$1:$998,COLUMN(T$1),FALSE),"")</f>
        <v>0</v>
      </c>
      <c r="Y117">
        <f>IFERROR(VLOOKUP($C117,武器!$1:$998,COLUMN(U$1),FALSE),"")</f>
        <v>0</v>
      </c>
      <c r="Z117">
        <f>IFERROR(ROUNDUP(VLOOKUP($C117,武器!$1:$998,COLUMN(O$1),FALSE)*VLOOKUP($D117,素材!$1:$1016,COLUMN(E$1),FALSE),1),"")</f>
        <v>3</v>
      </c>
      <c r="AA117">
        <f>IF(ISNUMBER(SEARCH(SUBSTITUTE(AA$1,RIGHT(AA$1,2),""),VLOOKUP($D117,素材!$1:$1016,COLUMN($F$1),FALSE))),VLOOKUP($C117,武器!$1:$998,COLUMN($O$1),FALSE)*VLOOKUP($D117,素材!$1:$1016,COLUMN($E$1),FALSE)/(LEN(VLOOKUP($D117,素材!$1:$1016,COLUMN($F$1),FALSE))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B117">
        <f>IF(ISNUMBER(SEARCH(SUBSTITUTE(AB$1,RIGHT(AB$1,2),""),VLOOKUP($D117,素材!$1:$1016,COLUMN($F$1),FALSE))),VLOOKUP($C117,武器!$1:$998,COLUMN($O$1),FALSE)*VLOOKUP($D117,素材!$1:$1016,COLUMN($E$1),FALSE)/(LEN(VLOOKUP($D117,素材!$1:$1016,COLUMN($F$1),FALSE))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C117">
        <f>IF(ISNUMBER(SEARCH(SUBSTITUTE(AC$1,RIGHT(AC$1,2),""),VLOOKUP($D117,素材!$1:$1016,COLUMN($F$1),FALSE))),VLOOKUP($C117,武器!$1:$998,COLUMN($O$1),FALSE)*VLOOKUP($D117,素材!$1:$1016,COLUMN($E$1),FALSE)/(LEN(VLOOKUP($D117,素材!$1:$1016,COLUMN($F$1),FALSE))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D117">
        <f>IF(ISNUMBER(SEARCH(SUBSTITUTE(AD$1,RIGHT(AD$1,2),""),VLOOKUP($D117,素材!$1:$1016,COLUMN($F$1),FALSE))),VLOOKUP($C117,武器!$1:$998,COLUMN($O$1),FALSE)*VLOOKUP($D117,素材!$1:$1016,COLUMN($E$1),FALSE)/(LEN(VLOOKUP($D117,素材!$1:$1016,COLUMN($F$1),FALSE))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E117">
        <f>IF(ISNUMBER(SEARCH(SUBSTITUTE(AE$1,RIGHT(AE$1,2),""),VLOOKUP($D117,素材!$1:$1016,COLUMN($F$1),FALSE))),VLOOKUP($C117,武器!$1:$998,COLUMN($O$1),FALSE)*VLOOKUP($D117,素材!$1:$1016,COLUMN($E$1),FALSE)/(LEN(VLOOKUP($D117,素材!$1:$1016,COLUMN($F$1),FALSE))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F117">
        <f>IF(ISNUMBER(SEARCH(SUBSTITUTE(AF$1,RIGHT(AF$1,2),""),VLOOKUP($D117,素材!$1:$1016,COLUMN($F$1),FALSE))),VLOOKUP($C117,武器!$1:$998,COLUMN($O$1),FALSE)*VLOOKUP($D117,素材!$1:$1016,COLUMN($E$1),FALSE)/(LEN(VLOOKUP($D117,素材!$1:$1016,COLUMN($F$1),FALSE))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G117">
        <f>IF(ISNUMBER(SEARCH(SUBSTITUTE(AG$1,RIGHT(AG$1,2),""),VLOOKUP($D117,素材!$1:$1016,COLUMN($F$1),FALSE))),VLOOKUP($C117,武器!$1:$998,COLUMN($O$1),FALSE)*VLOOKUP($D117,素材!$1:$1016,COLUMN($E$1),FALSE)/(LEN(VLOOKUP($D117,素材!$1:$1016,COLUMN($F$1),FALSE))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H117">
        <f>IF(ISNUMBER(SEARCH(SUBSTITUTE(AH$1,RIGHT(AH$1,2),""),VLOOKUP($D117,素材!$1:$1016,COLUMN($F$1),FALSE))),VLOOKUP($C117,武器!$1:$998,COLUMN($O$1),FALSE)*VLOOKUP($D117,素材!$1:$1016,COLUMN($E$1),FALSE)/(LEN(VLOOKUP($D117,素材!$1:$1016,COLUMN($F$1),FALSE))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I117">
        <f>IF(ISNUMBER(SEARCH(SUBSTITUTE(AI$1,RIGHT(AI$1,2),""),VLOOKUP($D117,素材!$1:$1016,COLUMN($F$1),FALSE))),VLOOKUP($C117,武器!$1:$998,COLUMN($O$1),FALSE)*VLOOKUP($D117,素材!$1:$1016,COLUMN($E$1),FALSE)/(LEN(VLOOKUP($D117,素材!$1:$1016,COLUMN($F$1),FALSE))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J117">
        <f>IF(ISNUMBER(SEARCH(SUBSTITUTE(AJ$1,RIGHT(AJ$1,2),""),VLOOKUP($D117,素材!$1:$1016,COLUMN($F$1),FALSE))),VLOOKUP($C117,武器!$1:$998,COLUMN($O$1),FALSE)*VLOOKUP($D117,素材!$1:$1016,COLUMN($E$1),FALSE)/(LEN(VLOOKUP($D117,素材!$1:$1016,COLUMN($F$1),FALSE))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K117">
        <f>IF(ISNUMBER(SEARCH(SUBSTITUTE(AK$1,RIGHT(AK$1,2),""),VLOOKUP($D117,素材!$1:$1016,COLUMN($F$1),FALSE))),VLOOKUP($C117,武器!$1:$998,COLUMN($O$1),FALSE)*VLOOKUP($D117,素材!$1:$1016,COLUMN($E$1),FALSE)/(LEN(VLOOKUP($D117,素材!$1:$1016,COLUMN($F$1),FALSE))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L117">
        <f>IF(ISNUMBER(SEARCH(SUBSTITUTE(AL$1,RIGHT(AL$1,2),""),VLOOKUP($D117,素材!$1:$1016,COLUMN($F$1),FALSE))),VLOOKUP($C117,武器!$1:$998,COLUMN($O$1),FALSE)*VLOOKUP($D117,素材!$1:$1016,COLUMN($E$1),FALSE)/(LEN(VLOOKUP($D117,素材!$1:$1016,COLUMN($F$1),FALSE))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M117">
        <f>IF(ISNUMBER(SEARCH(SUBSTITUTE(AM$1,RIGHT(AM$1,2),""),VLOOKUP($D117,素材!$1:$1016,COLUMN($F$1),FALSE))),VLOOKUP($C117,武器!$1:$998,COLUMN($O$1),FALSE)*VLOOKUP($D117,素材!$1:$1016,COLUMN($E$1),FALSE)/(LEN(VLOOKUP($D117,素材!$1:$1016,COLUMN($F$1),FALSE))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N117">
        <f>IF(ISNUMBER(SEARCH(SUBSTITUTE(AN$1,RIGHT(AN$1,2),""),VLOOKUP($D117,素材!$1:$1016,COLUMN($F$1),FALSE))),VLOOKUP($C117,武器!$1:$998,COLUMN($O$1),FALSE)*VLOOKUP($D117,素材!$1:$1016,COLUMN($E$1),FALSE)/(LEN(VLOOKUP($D117,素材!$1:$1016,COLUMN($F$1),FALSE))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O117">
        <f>IF(ISNUMBER(SEARCH(SUBSTITUTE(AO$1,RIGHT(AO$1,2),""),VLOOKUP($D117,素材!$1:$1016,COLUMN($F$1),FALSE))),VLOOKUP($C117,武器!$1:$998,COLUMN($O$1),FALSE)*VLOOKUP($D117,素材!$1:$1016,COLUMN($E$1),FALSE)/(LEN(VLOOKUP($D117,素材!$1:$1016,COLUMN($F$1),FALSE))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P117">
        <f>IF(ISNUMBER(SEARCH(SUBSTITUTE(AP$1,RIGHT(AP$1,2),""),VLOOKUP($D117,素材!$1:$1016,COLUMN($F$1),FALSE))),VLOOKUP($C117,武器!$1:$998,COLUMN($O$1),FALSE)*VLOOKUP($D117,素材!$1:$1016,COLUMN($E$1),FALSE)/(LEN(VLOOKUP($D117,素材!$1:$1016,COLUMN($F$1),FALSE))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Q117">
        <f>IF(ISNUMBER(SEARCH(SUBSTITUTE(AQ$1,RIGHT(AQ$1,2),""),VLOOKUP($D117,素材!$1:$1016,COLUMN($F$1),FALSE))),VLOOKUP($C117,武器!$1:$998,COLUMN($O$1),FALSE)*VLOOKUP($D117,素材!$1:$1016,COLUMN($E$1),FALSE)/(LEN(VLOOKUP($D117,素材!$1:$1016,COLUMN($F$1),FALSE))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R117">
        <f>IF(ISNUMBER(SEARCH(SUBSTITUTE(AR$1,RIGHT(AR$1,2),""),VLOOKUP($D117,素材!$1:$1016,COLUMN($F$1),FALSE))),VLOOKUP($C117,武器!$1:$998,COLUMN($O$1),FALSE)*VLOOKUP($D117,素材!$1:$1016,COLUMN($E$1),FALSE)/(LEN(VLOOKUP($D117,素材!$1:$1016,COLUMN($F$1),FALSE))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S117">
        <f>IF(ISNUMBER(SEARCH(SUBSTITUTE(AS$1,RIGHT(AS$1,2),""),VLOOKUP($D117,素材!$1:$1016,COLUMN($F$1),FALSE))),VLOOKUP($C117,武器!$1:$998,COLUMN($O$1),FALSE)*VLOOKUP($D117,素材!$1:$1016,COLUMN($E$1),FALSE)/(LEN(VLOOKUP($D117,素材!$1:$1016,COLUMN($F$1),FALSE))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T117">
        <f>IF(ISNUMBER(SEARCH(SUBSTITUTE(AT$1,RIGHT(AT$1,2),""),VLOOKUP($D117,素材!$1:$1016,COLUMN($F$1),FALSE))),VLOOKUP($C117,武器!$1:$998,COLUMN($O$1),FALSE)*VLOOKUP($D117,素材!$1:$1016,COLUMN($E$1),FALSE)/(LEN(VLOOKUP($D117,素材!$1:$1016,COLUMN($F$1),FALSE))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U117">
        <f>IF(ISNUMBER(SEARCH(SUBSTITUTE(AU$1,RIGHT(AU$1,2),""),VLOOKUP($D117,素材!$1:$1016,COLUMN($F$1),FALSE))),VLOOKUP($C117,武器!$1:$998,COLUMN($O$1),FALSE)*VLOOKUP($D117,素材!$1:$1016,COLUMN($E$1),FALSE)/(LEN(VLOOKUP($D117,素材!$1:$1016,COLUMN($F$1),FALSE))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V117">
        <f>IF(ISNUMBER(SEARCH(SUBSTITUTE(AV$1,RIGHT(AV$1,2),""),VLOOKUP($D117,素材!$1:$1016,COLUMN($F$1),FALSE))),VLOOKUP($C117,武器!$1:$998,COLUMN($O$1),FALSE)*VLOOKUP($D117,素材!$1:$1016,COLUMN($E$1),FALSE)/(LEN(VLOOKUP($D117,素材!$1:$1016,COLUMN($F$1),FALSE))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W117">
        <f>IF(ISNUMBER(SEARCH(SUBSTITUTE(AW$1,RIGHT(AW$1,2),""),VLOOKUP($D117,素材!$1:$1016,COLUMN($F$1),FALSE))),VLOOKUP($C117,武器!$1:$998,COLUMN($O$1),FALSE)*VLOOKUP($D117,素材!$1:$1016,COLUMN($E$1),FALSE)/(LEN(VLOOKUP($D117,素材!$1:$1016,COLUMN($F$1),FALSE))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X117">
        <f>IF(ISNUMBER(SEARCH(SUBSTITUTE(AX$1,RIGHT(AX$1,2),""),VLOOKUP($D117,素材!$1:$1016,COLUMN($F$1),FALSE))),VLOOKUP($C117,武器!$1:$998,COLUMN($O$1),FALSE)*VLOOKUP($D117,素材!$1:$1016,COLUMN($E$1),FALSE)/(LEN(VLOOKUP($D117,素材!$1:$1016,COLUMN($F$1),FALSE))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Y117">
        <f>IF(ISNUMBER(SEARCH(SUBSTITUTE(AY$1,RIGHT(AY$1,2),""),VLOOKUP($D117,素材!$1:$1016,COLUMN($F$1),FALSE))),VLOOKUP($C117,武器!$1:$998,COLUMN($O$1),FALSE)*VLOOKUP($D117,素材!$1:$1016,COLUMN($E$1),FALSE)/(LEN(VLOOKUP($D117,素材!$1:$1016,COLUMN($F$1),FALSE))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AZ117">
        <f>IF(ISNUMBER(SEARCH(SUBSTITUTE(AZ$1,RIGHT(AZ$1,2),""),VLOOKUP($D117,素材!$1:$1016,COLUMN($F$1),FALSE))),VLOOKUP($C117,武器!$1:$998,COLUMN($O$1),FALSE)*VLOOKUP($D117,素材!$1:$1016,COLUMN($E$1),FALSE)/(LEN(VLOOKUP($D117,素材!$1:$1016,COLUMN($F$1),FALSE))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BA117">
        <f>IF(ISNUMBER(SEARCH(SUBSTITUTE(BA$1,RIGHT(BA$1,2),""),VLOOKUP($D117,素材!$1:$1016,COLUMN($F$1),FALSE))),VLOOKUP($C117,武器!$1:$998,COLUMN($O$1),FALSE)*VLOOKUP($D117,素材!$1:$1016,COLUMN($E$1),FALSE)/(LEN(VLOOKUP($D117,素材!$1:$1016,COLUMN($F$1),FALSE))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BB117">
        <f>IF(ISNUMBER(SEARCH(SUBSTITUTE(BB$1,RIGHT(BB$1,2),""),VLOOKUP($D117,素材!$1:$1016,COLUMN($F$1),FALSE))),VLOOKUP($C117,武器!$1:$998,COLUMN($O$1),FALSE)*VLOOKUP($D117,素材!$1:$1016,COLUMN($E$1),FALSE)/(LEN(VLOOKUP($D117,素材!$1:$1016,COLUMN($F$1),FALSE))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BC117">
        <f>IF(ISNUMBER(SEARCH(SUBSTITUTE(BC$1,RIGHT(BC$1,2),""),VLOOKUP($D117,素材!$1:$1016,COLUMN($F$1),FALSE))),VLOOKUP($C117,武器!$1:$998,COLUMN($O$1),FALSE)*VLOOKUP($D117,素材!$1:$1016,COLUMN($E$1),FALSE)/(LEN(VLOOKUP($D117,素材!$1:$1016,COLUMN($F$1),FALSE))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BD117">
        <f>IF(ISNUMBER(SEARCH(SUBSTITUTE(BD$1,RIGHT(BD$1,2),""),VLOOKUP($D117,素材!$1:$1016,COLUMN($F$1),FALSE))),VLOOKUP($C117,武器!$1:$998,COLUMN($O$1),FALSE)*VLOOKUP($D117,素材!$1:$1016,COLUMN($E$1),FALSE)/(LEN(VLOOKUP($D117,素材!$1:$1016,COLUMN($F$1),FALSE))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BE117">
        <f>IF(ISNUMBER(SEARCH(SUBSTITUTE(BE$1,RIGHT(BE$1,2),""),VLOOKUP($D117,素材!$1:$1016,COLUMN($F$1),FALSE))),VLOOKUP($C117,武器!$1:$998,COLUMN($O$1),FALSE)*VLOOKUP($D117,素材!$1:$1016,COLUMN($E$1),FALSE)/(LEN(VLOOKUP($D117,素材!$1:$1016,COLUMN($F$1),FALSE))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BF117">
        <f>IF(ISNUMBER(SEARCH(SUBSTITUTE(BF$1,RIGHT(BF$1,2),""),VLOOKUP($D117,素材!$1:$1016,COLUMN($F$1),FALSE))),VLOOKUP($C117,武器!$1:$998,COLUMN($O$1),FALSE)*VLOOKUP($D117,素材!$1:$1016,COLUMN($E$1),FALSE)/(LEN(VLOOKUP($D117,素材!$1:$1016,COLUMN($F$1),FALSE)) - LEN(SUBSTITUTE(VLOOKUP($D117,素材!$1:$1016,COLUMN($F$1),FALSE), "・", 0)) + 1), 0)</f>
        <v>0</v>
      </c>
      <c r="CM117">
        <f t="shared" si="8"/>
        <v>0</v>
      </c>
      <c r="CN117" s="22" t="str">
        <f>IF(E117="武器",IF(J117-1&gt;SUM(G117:I117),"盾",IF(MAX(G117:I117)=G117,"切断",IF(MAX(G117:I117)=H117,"貫通",IF(MAX(G117:I117)=I117,"打撃","射撃")))),E117)&amp;".webp"</f>
        <v>体.webp</v>
      </c>
      <c r="CO117">
        <f>IFERROR(VLOOKUP($C117,武器!$1:$998,COLUMN(V$1),FALSE)*VLOOKUP($D117,素材!$1:$1016,COLUMN(N$1),FALSE)+IF(CJ117="",0,VLOOKUP($CJ117,装強!$1:$1008,COLUMN($CL$1),FALSE)),"")</f>
        <v>200</v>
      </c>
      <c r="CP117" t="str">
        <f>VLOOKUP(D117,素材!$A:$O,COLUMN(素材!O$1),FALSE)</f>
        <v>一般的な皮素材で、防具や軽量装備の材料として最適です。耐久性は高くありませんが、軽量で扱いやすい点が特徴です。</v>
      </c>
      <c r="CQ117" t="str">
        <f>VLOOKUP(C117,武器!$A:$W,COLUMN(武器!W$1),FALSE)</f>
        <v>HP 物理 魔法 体幹 出血 疲労 Cr</v>
      </c>
      <c r="CS117" t="str">
        <f t="shared" si="7"/>
        <v>e_117</v>
      </c>
      <c r="CT117">
        <f t="shared" si="9"/>
        <v>20000</v>
      </c>
    </row>
    <row r="118" spans="1:98" outlineLevel="1" x14ac:dyDescent="0.4">
      <c r="A118" t="str">
        <f t="shared" si="10"/>
        <v>皮の法衣</v>
      </c>
      <c r="B118" t="str">
        <f>IFERROR(VLOOKUP($D118,素材!$1:$1016,COLUMN($B$1),FALSE)&amp;"・"&amp;VLOOKUP($C118,武器!$1:$998,COLUMN(B$1),FALSE),"")</f>
        <v>レザー・ローブ</v>
      </c>
      <c r="C118" t="s">
        <v>246</v>
      </c>
      <c r="D118" s="24" t="s">
        <v>252</v>
      </c>
      <c r="E118" t="str">
        <f>IFERROR(VLOOKUP(C118,武器!$1:$998,COLUMN(C$1),FALSE),"")</f>
        <v>体</v>
      </c>
      <c r="F118">
        <f>IFERROR(ROUNDDOWN((VLOOKUP($C118,武器!$1:$998,COLUMN(D$1),FALSE)+IFERROR(VLOOKUP($CJ118,装強!$1:$999,COLUMN(F$1),FALSE),0))*VLOOKUP($D118,素材!$1:$1016,COLUMN(D$1),FALSE),0),"")</f>
        <v>0</v>
      </c>
      <c r="G118">
        <f>IFERROR(ROUNDDOWN((VLOOKUP($C118,武器!$1:$998,COLUMN(E$1),FALSE)+IFERROR(VLOOKUP($CJ118,装強!$1:$999,COLUMN(G$1),FALSE),0))*VLOOKUP($D118,素材!$1:$1016,COLUMN($E$1),FALSE),0),"")</f>
        <v>0</v>
      </c>
      <c r="H118">
        <f>IFERROR(ROUNDDOWN((VLOOKUP($C118,武器!$1:$998,COLUMN(F$1),FALSE)+IFERROR(VLOOKUP($CJ118,装強!$1:$999,COLUMN(H$1),FALSE),0))*VLOOKUP($D118,素材!$1:$1016,COLUMN($E$1),FALSE),0),"")</f>
        <v>0</v>
      </c>
      <c r="I118">
        <f>IFERROR(ROUNDDOWN((VLOOKUP($C118,武器!$1:$998,COLUMN(G$1),FALSE)+IFERROR(VLOOKUP($CJ118,装強!$1:$999,COLUMN(I$1),FALSE),0))*VLOOKUP($D118,素材!$1:$1016,COLUMN($E$1),FALSE),0),"")</f>
        <v>0</v>
      </c>
      <c r="J118">
        <f>IFERROR(ROUNDDOWN((VLOOKUP($C118,武器!$1:$998,COLUMN(H$1),FALSE)+IFERROR(VLOOKUP($CJ118,装強!$1:$999,COLUMN(J$1),FALSE),0))*VLOOKUP($D118,素材!$1:$1016,COLUMN($E$1),FALSE),0),"")</f>
        <v>0</v>
      </c>
      <c r="K118">
        <f>IFERROR(ROUNDDOWN((VLOOKUP($C118,武器!$1:$998,COLUMN(I$1),FALSE)+IFERROR(VLOOKUP($CJ118,装強!$1:$999,COLUMN(K$1),FALSE),0))*VLOOKUP($D118,素材!$1:$1016,COLUMN($E$1),FALSE),0),"")</f>
        <v>0</v>
      </c>
      <c r="L118" t="str">
        <f>IFERROR(VLOOKUP($D118,素材!$1:$1016,COLUMN($F$1),FALSE),"")</f>
        <v>-</v>
      </c>
      <c r="M118" t="str">
        <f>IFERROR(VLOOKUP($C118,武器!$1:$998,COLUMN(AA$1),FALSE)*VLOOKUP($D118,素材!$1:$1016,COLUMN($G$1),FALSE),"")</f>
        <v/>
      </c>
      <c r="N118">
        <f>IFERROR(VLOOKUP($C118,武器!$1:$998,COLUMN(I$1),FALSE),"")</f>
        <v>0</v>
      </c>
      <c r="O118" s="23" t="str">
        <f>IFERROR((VLOOKUP($C118,武器!$1:$998,COLUMN(K$1),FALSE)+VLOOKUP($D118,素材!$1:$1016,COLUMN(H$1),FALSE))*100+IFERROR(VLOOKUP($CJ118,装強!$1:$999,COLUMN(O$1),FALSE),0),"")</f>
        <v/>
      </c>
      <c r="P118" s="23" t="str">
        <f>IFERROR((VLOOKUP($C118,武器!$1:$998,COLUMN(L$1),FALSE)+VLOOKUP($D118,素材!$1:$1016,COLUMN(I$1),FALSE))*100+IFERROR(VLOOKUP($CJ118,装強!$1:$999,COLUMN(P$1),FALSE),0),"")</f>
        <v/>
      </c>
      <c r="Q118">
        <f>IFERROR(ROUNDUP(VLOOKUP($C118,武器!$1:$998,COLUMN(M$1),FALSE)*(VLOOKUP($D118,素材!$1:$1002,COLUMN(D$1),FALSE)/100),1),"")</f>
        <v>0</v>
      </c>
      <c r="R118">
        <f>IFERROR(ROUNDUP(VLOOKUP($C118,武器!$1:$998,COLUMN(N$1),FALSE)*(VLOOKUP($D118,素材!$1:$1002,COLUMN(D$1),FALSE)/100),1),"")</f>
        <v>0</v>
      </c>
      <c r="S118">
        <f>IFERROR(VLOOKUP($C118,武器!$1:$998,COLUMN(P$1),FALSE),"")</f>
        <v>0</v>
      </c>
      <c r="T118">
        <f>IFERROR(VLOOKUP($C118,武器!$1:$998,COLUMN(Q$1),FALSE),"")</f>
        <v>0</v>
      </c>
      <c r="U118">
        <f>IFERROR(VLOOKUP($C118,武器!$1:$998,COLUMN(R$1),FALSE),"")</f>
        <v>0</v>
      </c>
      <c r="V118">
        <f>IFERROR(VLOOKUP($C118,武器!$1:$998,COLUMN(Q$1),FALSE),"")</f>
        <v>0</v>
      </c>
      <c r="W118">
        <f>IFERROR(VLOOKUP($C118,武器!$1:$998,COLUMN(T$1),FALSE),"")</f>
        <v>0</v>
      </c>
      <c r="Y118">
        <f>IFERROR(VLOOKUP($C118,武器!$1:$998,COLUMN(U$1),FALSE),"")</f>
        <v>0</v>
      </c>
      <c r="Z118">
        <f>IFERROR(ROUNDUP(VLOOKUP($C118,武器!$1:$998,COLUMN(O$1),FALSE)*VLOOKUP($D118,素材!$1:$1016,COLUMN(E$1),FALSE),1),"")</f>
        <v>2</v>
      </c>
      <c r="AA118">
        <f>IF(ISNUMBER(SEARCH(SUBSTITUTE(AA$1,RIGHT(AA$1,2),""),VLOOKUP($D118,素材!$1:$1016,COLUMN($F$1),FALSE))),VLOOKUP($C118,武器!$1:$998,COLUMN($O$1),FALSE)*VLOOKUP($D118,素材!$1:$1016,COLUMN($E$1),FALSE)/(LEN(VLOOKUP($D118,素材!$1:$1016,COLUMN($F$1),FALSE))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B118">
        <f>IF(ISNUMBER(SEARCH(SUBSTITUTE(AB$1,RIGHT(AB$1,2),""),VLOOKUP($D118,素材!$1:$1016,COLUMN($F$1),FALSE))),VLOOKUP($C118,武器!$1:$998,COLUMN($O$1),FALSE)*VLOOKUP($D118,素材!$1:$1016,COLUMN($E$1),FALSE)/(LEN(VLOOKUP($D118,素材!$1:$1016,COLUMN($F$1),FALSE))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C118">
        <f>IF(ISNUMBER(SEARCH(SUBSTITUTE(AC$1,RIGHT(AC$1,2),""),VLOOKUP($D118,素材!$1:$1016,COLUMN($F$1),FALSE))),VLOOKUP($C118,武器!$1:$998,COLUMN($O$1),FALSE)*VLOOKUP($D118,素材!$1:$1016,COLUMN($E$1),FALSE)/(LEN(VLOOKUP($D118,素材!$1:$1016,COLUMN($F$1),FALSE))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D118">
        <f>IF(ISNUMBER(SEARCH(SUBSTITUTE(AD$1,RIGHT(AD$1,2),""),VLOOKUP($D118,素材!$1:$1016,COLUMN($F$1),FALSE))),VLOOKUP($C118,武器!$1:$998,COLUMN($O$1),FALSE)*VLOOKUP($D118,素材!$1:$1016,COLUMN($E$1),FALSE)/(LEN(VLOOKUP($D118,素材!$1:$1016,COLUMN($F$1),FALSE))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E118">
        <f>IF(ISNUMBER(SEARCH(SUBSTITUTE(AE$1,RIGHT(AE$1,2),""),VLOOKUP($D118,素材!$1:$1016,COLUMN($F$1),FALSE))),VLOOKUP($C118,武器!$1:$998,COLUMN($O$1),FALSE)*VLOOKUP($D118,素材!$1:$1016,COLUMN($E$1),FALSE)/(LEN(VLOOKUP($D118,素材!$1:$1016,COLUMN($F$1),FALSE))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F118">
        <f>IF(ISNUMBER(SEARCH(SUBSTITUTE(AF$1,RIGHT(AF$1,2),""),VLOOKUP($D118,素材!$1:$1016,COLUMN($F$1),FALSE))),VLOOKUP($C118,武器!$1:$998,COLUMN($O$1),FALSE)*VLOOKUP($D118,素材!$1:$1016,COLUMN($E$1),FALSE)/(LEN(VLOOKUP($D118,素材!$1:$1016,COLUMN($F$1),FALSE))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G118">
        <f>IF(ISNUMBER(SEARCH(SUBSTITUTE(AG$1,RIGHT(AG$1,2),""),VLOOKUP($D118,素材!$1:$1016,COLUMN($F$1),FALSE))),VLOOKUP($C118,武器!$1:$998,COLUMN($O$1),FALSE)*VLOOKUP($D118,素材!$1:$1016,COLUMN($E$1),FALSE)/(LEN(VLOOKUP($D118,素材!$1:$1016,COLUMN($F$1),FALSE))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H118">
        <f>IF(ISNUMBER(SEARCH(SUBSTITUTE(AH$1,RIGHT(AH$1,2),""),VLOOKUP($D118,素材!$1:$1016,COLUMN($F$1),FALSE))),VLOOKUP($C118,武器!$1:$998,COLUMN($O$1),FALSE)*VLOOKUP($D118,素材!$1:$1016,COLUMN($E$1),FALSE)/(LEN(VLOOKUP($D118,素材!$1:$1016,COLUMN($F$1),FALSE))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I118">
        <f>IF(ISNUMBER(SEARCH(SUBSTITUTE(AI$1,RIGHT(AI$1,2),""),VLOOKUP($D118,素材!$1:$1016,COLUMN($F$1),FALSE))),VLOOKUP($C118,武器!$1:$998,COLUMN($O$1),FALSE)*VLOOKUP($D118,素材!$1:$1016,COLUMN($E$1),FALSE)/(LEN(VLOOKUP($D118,素材!$1:$1016,COLUMN($F$1),FALSE))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J118">
        <f>IF(ISNUMBER(SEARCH(SUBSTITUTE(AJ$1,RIGHT(AJ$1,2),""),VLOOKUP($D118,素材!$1:$1016,COLUMN($F$1),FALSE))),VLOOKUP($C118,武器!$1:$998,COLUMN($O$1),FALSE)*VLOOKUP($D118,素材!$1:$1016,COLUMN($E$1),FALSE)/(LEN(VLOOKUP($D118,素材!$1:$1016,COLUMN($F$1),FALSE))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K118">
        <f>IF(ISNUMBER(SEARCH(SUBSTITUTE(AK$1,RIGHT(AK$1,2),""),VLOOKUP($D118,素材!$1:$1016,COLUMN($F$1),FALSE))),VLOOKUP($C118,武器!$1:$998,COLUMN($O$1),FALSE)*VLOOKUP($D118,素材!$1:$1016,COLUMN($E$1),FALSE)/(LEN(VLOOKUP($D118,素材!$1:$1016,COLUMN($F$1),FALSE))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L118">
        <f>IF(ISNUMBER(SEARCH(SUBSTITUTE(AL$1,RIGHT(AL$1,2),""),VLOOKUP($D118,素材!$1:$1016,COLUMN($F$1),FALSE))),VLOOKUP($C118,武器!$1:$998,COLUMN($O$1),FALSE)*VLOOKUP($D118,素材!$1:$1016,COLUMN($E$1),FALSE)/(LEN(VLOOKUP($D118,素材!$1:$1016,COLUMN($F$1),FALSE))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M118">
        <f>IF(ISNUMBER(SEARCH(SUBSTITUTE(AM$1,RIGHT(AM$1,2),""),VLOOKUP($D118,素材!$1:$1016,COLUMN($F$1),FALSE))),VLOOKUP($C118,武器!$1:$998,COLUMN($O$1),FALSE)*VLOOKUP($D118,素材!$1:$1016,COLUMN($E$1),FALSE)/(LEN(VLOOKUP($D118,素材!$1:$1016,COLUMN($F$1),FALSE))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N118">
        <f>IF(ISNUMBER(SEARCH(SUBSTITUTE(AN$1,RIGHT(AN$1,2),""),VLOOKUP($D118,素材!$1:$1016,COLUMN($F$1),FALSE))),VLOOKUP($C118,武器!$1:$998,COLUMN($O$1),FALSE)*VLOOKUP($D118,素材!$1:$1016,COLUMN($E$1),FALSE)/(LEN(VLOOKUP($D118,素材!$1:$1016,COLUMN($F$1),FALSE))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O118">
        <f>IF(ISNUMBER(SEARCH(SUBSTITUTE(AO$1,RIGHT(AO$1,2),""),VLOOKUP($D118,素材!$1:$1016,COLUMN($F$1),FALSE))),VLOOKUP($C118,武器!$1:$998,COLUMN($O$1),FALSE)*VLOOKUP($D118,素材!$1:$1016,COLUMN($E$1),FALSE)/(LEN(VLOOKUP($D118,素材!$1:$1016,COLUMN($F$1),FALSE))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P118">
        <f>IF(ISNUMBER(SEARCH(SUBSTITUTE(AP$1,RIGHT(AP$1,2),""),VLOOKUP($D118,素材!$1:$1016,COLUMN($F$1),FALSE))),VLOOKUP($C118,武器!$1:$998,COLUMN($O$1),FALSE)*VLOOKUP($D118,素材!$1:$1016,COLUMN($E$1),FALSE)/(LEN(VLOOKUP($D118,素材!$1:$1016,COLUMN($F$1),FALSE))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Q118">
        <f>IF(ISNUMBER(SEARCH(SUBSTITUTE(AQ$1,RIGHT(AQ$1,2),""),VLOOKUP($D118,素材!$1:$1016,COLUMN($F$1),FALSE))),VLOOKUP($C118,武器!$1:$998,COLUMN($O$1),FALSE)*VLOOKUP($D118,素材!$1:$1016,COLUMN($E$1),FALSE)/(LEN(VLOOKUP($D118,素材!$1:$1016,COLUMN($F$1),FALSE))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R118">
        <f>IF(ISNUMBER(SEARCH(SUBSTITUTE(AR$1,RIGHT(AR$1,2),""),VLOOKUP($D118,素材!$1:$1016,COLUMN($F$1),FALSE))),VLOOKUP($C118,武器!$1:$998,COLUMN($O$1),FALSE)*VLOOKUP($D118,素材!$1:$1016,COLUMN($E$1),FALSE)/(LEN(VLOOKUP($D118,素材!$1:$1016,COLUMN($F$1),FALSE))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S118">
        <f>IF(ISNUMBER(SEARCH(SUBSTITUTE(AS$1,RIGHT(AS$1,2),""),VLOOKUP($D118,素材!$1:$1016,COLUMN($F$1),FALSE))),VLOOKUP($C118,武器!$1:$998,COLUMN($O$1),FALSE)*VLOOKUP($D118,素材!$1:$1016,COLUMN($E$1),FALSE)/(LEN(VLOOKUP($D118,素材!$1:$1016,COLUMN($F$1),FALSE))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T118">
        <f>IF(ISNUMBER(SEARCH(SUBSTITUTE(AT$1,RIGHT(AT$1,2),""),VLOOKUP($D118,素材!$1:$1016,COLUMN($F$1),FALSE))),VLOOKUP($C118,武器!$1:$998,COLUMN($O$1),FALSE)*VLOOKUP($D118,素材!$1:$1016,COLUMN($E$1),FALSE)/(LEN(VLOOKUP($D118,素材!$1:$1016,COLUMN($F$1),FALSE))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U118">
        <f>IF(ISNUMBER(SEARCH(SUBSTITUTE(AU$1,RIGHT(AU$1,2),""),VLOOKUP($D118,素材!$1:$1016,COLUMN($F$1),FALSE))),VLOOKUP($C118,武器!$1:$998,COLUMN($O$1),FALSE)*VLOOKUP($D118,素材!$1:$1016,COLUMN($E$1),FALSE)/(LEN(VLOOKUP($D118,素材!$1:$1016,COLUMN($F$1),FALSE))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V118">
        <f>IF(ISNUMBER(SEARCH(SUBSTITUTE(AV$1,RIGHT(AV$1,2),""),VLOOKUP($D118,素材!$1:$1016,COLUMN($F$1),FALSE))),VLOOKUP($C118,武器!$1:$998,COLUMN($O$1),FALSE)*VLOOKUP($D118,素材!$1:$1016,COLUMN($E$1),FALSE)/(LEN(VLOOKUP($D118,素材!$1:$1016,COLUMN($F$1),FALSE))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W118">
        <f>IF(ISNUMBER(SEARCH(SUBSTITUTE(AW$1,RIGHT(AW$1,2),""),VLOOKUP($D118,素材!$1:$1016,COLUMN($F$1),FALSE))),VLOOKUP($C118,武器!$1:$998,COLUMN($O$1),FALSE)*VLOOKUP($D118,素材!$1:$1016,COLUMN($E$1),FALSE)/(LEN(VLOOKUP($D118,素材!$1:$1016,COLUMN($F$1),FALSE))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X118">
        <f>IF(ISNUMBER(SEARCH(SUBSTITUTE(AX$1,RIGHT(AX$1,2),""),VLOOKUP($D118,素材!$1:$1016,COLUMN($F$1),FALSE))),VLOOKUP($C118,武器!$1:$998,COLUMN($O$1),FALSE)*VLOOKUP($D118,素材!$1:$1016,COLUMN($E$1),FALSE)/(LEN(VLOOKUP($D118,素材!$1:$1016,COLUMN($F$1),FALSE))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Y118">
        <f>IF(ISNUMBER(SEARCH(SUBSTITUTE(AY$1,RIGHT(AY$1,2),""),VLOOKUP($D118,素材!$1:$1016,COLUMN($F$1),FALSE))),VLOOKUP($C118,武器!$1:$998,COLUMN($O$1),FALSE)*VLOOKUP($D118,素材!$1:$1016,COLUMN($E$1),FALSE)/(LEN(VLOOKUP($D118,素材!$1:$1016,COLUMN($F$1),FALSE))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AZ118">
        <f>IF(ISNUMBER(SEARCH(SUBSTITUTE(AZ$1,RIGHT(AZ$1,2),""),VLOOKUP($D118,素材!$1:$1016,COLUMN($F$1),FALSE))),VLOOKUP($C118,武器!$1:$998,COLUMN($O$1),FALSE)*VLOOKUP($D118,素材!$1:$1016,COLUMN($E$1),FALSE)/(LEN(VLOOKUP($D118,素材!$1:$1016,COLUMN($F$1),FALSE))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BA118">
        <f>IF(ISNUMBER(SEARCH(SUBSTITUTE(BA$1,RIGHT(BA$1,2),""),VLOOKUP($D118,素材!$1:$1016,COLUMN($F$1),FALSE))),VLOOKUP($C118,武器!$1:$998,COLUMN($O$1),FALSE)*VLOOKUP($D118,素材!$1:$1016,COLUMN($E$1),FALSE)/(LEN(VLOOKUP($D118,素材!$1:$1016,COLUMN($F$1),FALSE))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BB118">
        <f>IF(ISNUMBER(SEARCH(SUBSTITUTE(BB$1,RIGHT(BB$1,2),""),VLOOKUP($D118,素材!$1:$1016,COLUMN($F$1),FALSE))),VLOOKUP($C118,武器!$1:$998,COLUMN($O$1),FALSE)*VLOOKUP($D118,素材!$1:$1016,COLUMN($E$1),FALSE)/(LEN(VLOOKUP($D118,素材!$1:$1016,COLUMN($F$1),FALSE))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BC118">
        <f>IF(ISNUMBER(SEARCH(SUBSTITUTE(BC$1,RIGHT(BC$1,2),""),VLOOKUP($D118,素材!$1:$1016,COLUMN($F$1),FALSE))),VLOOKUP($C118,武器!$1:$998,COLUMN($O$1),FALSE)*VLOOKUP($D118,素材!$1:$1016,COLUMN($E$1),FALSE)/(LEN(VLOOKUP($D118,素材!$1:$1016,COLUMN($F$1),FALSE))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BD118">
        <f>IF(ISNUMBER(SEARCH(SUBSTITUTE(BD$1,RIGHT(BD$1,2),""),VLOOKUP($D118,素材!$1:$1016,COLUMN($F$1),FALSE))),VLOOKUP($C118,武器!$1:$998,COLUMN($O$1),FALSE)*VLOOKUP($D118,素材!$1:$1016,COLUMN($E$1),FALSE)/(LEN(VLOOKUP($D118,素材!$1:$1016,COLUMN($F$1),FALSE))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BE118">
        <f>IF(ISNUMBER(SEARCH(SUBSTITUTE(BE$1,RIGHT(BE$1,2),""),VLOOKUP($D118,素材!$1:$1016,COLUMN($F$1),FALSE))),VLOOKUP($C118,武器!$1:$998,COLUMN($O$1),FALSE)*VLOOKUP($D118,素材!$1:$1016,COLUMN($E$1),FALSE)/(LEN(VLOOKUP($D118,素材!$1:$1016,COLUMN($F$1),FALSE))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BF118">
        <f>IF(ISNUMBER(SEARCH(SUBSTITUTE(BF$1,RIGHT(BF$1,2),""),VLOOKUP($D118,素材!$1:$1016,COLUMN($F$1),FALSE))),VLOOKUP($C118,武器!$1:$998,COLUMN($O$1),FALSE)*VLOOKUP($D118,素材!$1:$1016,COLUMN($E$1),FALSE)/(LEN(VLOOKUP($D118,素材!$1:$1016,COLUMN($F$1),FALSE)) - LEN(SUBSTITUTE(VLOOKUP($D118,素材!$1:$1016,COLUMN($F$1),FALSE), "・", 0)) + 1), 0)</f>
        <v>0</v>
      </c>
      <c r="CM118">
        <f t="shared" si="8"/>
        <v>0</v>
      </c>
      <c r="CN118" s="22" t="str">
        <f>IF(E118="武器",IF(J118-1&gt;SUM(G118:I118),"盾",IF(MAX(G118:I118)=G118,"切断",IF(MAX(G118:I118)=H118,"貫通",IF(MAX(G118:I118)=I118,"打撃","射撃")))),E118)&amp;".webp"</f>
        <v>体.webp</v>
      </c>
      <c r="CO118">
        <f>IFERROR(VLOOKUP($C118,武器!$1:$998,COLUMN(V$1),FALSE)*VLOOKUP($D118,素材!$1:$1016,COLUMN(N$1),FALSE)+IF(CJ118="",0,VLOOKUP($CJ118,装強!$1:$1008,COLUMN($CL$1),FALSE)),"")</f>
        <v>200</v>
      </c>
      <c r="CP118" t="str">
        <f>VLOOKUP(D118,素材!$A:$O,COLUMN(素材!O$1),FALSE)</f>
        <v>一般的な皮素材で、防具や軽量装備の材料として最適です。耐久性は高くありませんが、軽量で扱いやすい点が特徴です。</v>
      </c>
      <c r="CQ118" t="str">
        <f>VLOOKUP(C118,武器!$A:$W,COLUMN(武器!W$1),FALSE)</f>
        <v>HP 物理 魔法 体幹 出血 疲労 Cr</v>
      </c>
      <c r="CS118" t="str">
        <f t="shared" si="7"/>
        <v>e_118</v>
      </c>
      <c r="CT118">
        <f t="shared" si="9"/>
        <v>20000</v>
      </c>
    </row>
    <row r="119" spans="1:98" outlineLevel="1" x14ac:dyDescent="0.4">
      <c r="A119" t="str">
        <f t="shared" si="10"/>
        <v>皮の鎧</v>
      </c>
      <c r="B119" t="str">
        <f>IFERROR(VLOOKUP($D119,素材!$1:$1016,COLUMN($B$1),FALSE)&amp;"・"&amp;VLOOKUP($C119,武器!$1:$998,COLUMN(B$1),FALSE),"")</f>
        <v>レザー・アーマー</v>
      </c>
      <c r="C119" t="s">
        <v>208</v>
      </c>
      <c r="D119" s="24" t="s">
        <v>252</v>
      </c>
      <c r="E119" t="str">
        <f>IFERROR(VLOOKUP(C119,武器!$1:$998,COLUMN(C$1),FALSE),"")</f>
        <v>体</v>
      </c>
      <c r="F119">
        <f>IFERROR(ROUNDDOWN((VLOOKUP($C119,武器!$1:$998,COLUMN(D$1),FALSE)+IFERROR(VLOOKUP($CJ119,装強!$1:$999,COLUMN(F$1),FALSE),0))*VLOOKUP($D119,素材!$1:$1016,COLUMN(D$1),FALSE),0),"")</f>
        <v>0</v>
      </c>
      <c r="G119">
        <f>IFERROR(ROUNDDOWN((VLOOKUP($C119,武器!$1:$998,COLUMN(E$1),FALSE)+IFERROR(VLOOKUP($CJ119,装強!$1:$999,COLUMN(G$1),FALSE),0))*VLOOKUP($D119,素材!$1:$1016,COLUMN($E$1),FALSE),0),"")</f>
        <v>0</v>
      </c>
      <c r="H119">
        <f>IFERROR(ROUNDDOWN((VLOOKUP($C119,武器!$1:$998,COLUMN(F$1),FALSE)+IFERROR(VLOOKUP($CJ119,装強!$1:$999,COLUMN(H$1),FALSE),0))*VLOOKUP($D119,素材!$1:$1016,COLUMN($E$1),FALSE),0),"")</f>
        <v>0</v>
      </c>
      <c r="I119">
        <f>IFERROR(ROUNDDOWN((VLOOKUP($C119,武器!$1:$998,COLUMN(G$1),FALSE)+IFERROR(VLOOKUP($CJ119,装強!$1:$999,COLUMN(I$1),FALSE),0))*VLOOKUP($D119,素材!$1:$1016,COLUMN($E$1),FALSE),0),"")</f>
        <v>0</v>
      </c>
      <c r="J119">
        <f>IFERROR(ROUNDDOWN((VLOOKUP($C119,武器!$1:$998,COLUMN(H$1),FALSE)+IFERROR(VLOOKUP($CJ119,装強!$1:$999,COLUMN(J$1),FALSE),0))*VLOOKUP($D119,素材!$1:$1016,COLUMN($E$1),FALSE),0),"")</f>
        <v>0</v>
      </c>
      <c r="K119">
        <f>IFERROR(ROUNDDOWN((VLOOKUP($C119,武器!$1:$998,COLUMN(I$1),FALSE)+IFERROR(VLOOKUP($CJ119,装強!$1:$999,COLUMN(K$1),FALSE),0))*VLOOKUP($D119,素材!$1:$1016,COLUMN($E$1),FALSE),0),"")</f>
        <v>0</v>
      </c>
      <c r="L119" t="str">
        <f>IFERROR(VLOOKUP($D119,素材!$1:$1016,COLUMN($F$1),FALSE),"")</f>
        <v>-</v>
      </c>
      <c r="M119" t="str">
        <f>IFERROR(VLOOKUP($C119,武器!$1:$998,COLUMN(AA$1),FALSE)*VLOOKUP($D119,素材!$1:$1016,COLUMN($G$1),FALSE),"")</f>
        <v/>
      </c>
      <c r="N119">
        <f>IFERROR(VLOOKUP($C119,武器!$1:$998,COLUMN(I$1),FALSE),"")</f>
        <v>0</v>
      </c>
      <c r="O119" s="23" t="str">
        <f>IFERROR((VLOOKUP($C119,武器!$1:$998,COLUMN(K$1),FALSE)+VLOOKUP($D119,素材!$1:$1016,COLUMN(H$1),FALSE))*100+IFERROR(VLOOKUP($CJ119,装強!$1:$999,COLUMN(O$1),FALSE),0),"")</f>
        <v/>
      </c>
      <c r="P119" s="23" t="str">
        <f>IFERROR((VLOOKUP($C119,武器!$1:$998,COLUMN(L$1),FALSE)+VLOOKUP($D119,素材!$1:$1016,COLUMN(I$1),FALSE))*100+IFERROR(VLOOKUP($CJ119,装強!$1:$999,COLUMN(P$1),FALSE),0),"")</f>
        <v/>
      </c>
      <c r="Q119">
        <f>IFERROR(ROUNDUP(VLOOKUP($C119,武器!$1:$998,COLUMN(M$1),FALSE)*(VLOOKUP($D119,素材!$1:$1002,COLUMN(D$1),FALSE)/100),1),"")</f>
        <v>-6</v>
      </c>
      <c r="R119">
        <f>IFERROR(ROUNDUP(VLOOKUP($C119,武器!$1:$998,COLUMN(N$1),FALSE)*(VLOOKUP($D119,素材!$1:$1002,COLUMN(D$1),FALSE)/100),1),"")</f>
        <v>0</v>
      </c>
      <c r="S119">
        <f>IFERROR(VLOOKUP($C119,武器!$1:$998,COLUMN(P$1),FALSE),"")</f>
        <v>0</v>
      </c>
      <c r="T119">
        <f>IFERROR(VLOOKUP($C119,武器!$1:$998,COLUMN(Q$1),FALSE),"")</f>
        <v>0</v>
      </c>
      <c r="U119">
        <f>IFERROR(VLOOKUP($C119,武器!$1:$998,COLUMN(R$1),FALSE),"")</f>
        <v>0</v>
      </c>
      <c r="V119">
        <f>IFERROR(VLOOKUP($C119,武器!$1:$998,COLUMN(Q$1),FALSE),"")</f>
        <v>0</v>
      </c>
      <c r="W119">
        <f>IFERROR(VLOOKUP($C119,武器!$1:$998,COLUMN(T$1),FALSE),"")</f>
        <v>0</v>
      </c>
      <c r="Y119">
        <f>IFERROR(VLOOKUP($C119,武器!$1:$998,COLUMN(U$1),FALSE),"")</f>
        <v>0</v>
      </c>
      <c r="Z119">
        <f>IFERROR(ROUNDUP(VLOOKUP($C119,武器!$1:$998,COLUMN(O$1),FALSE)*VLOOKUP($D119,素材!$1:$1016,COLUMN(E$1),FALSE),1),"")</f>
        <v>7</v>
      </c>
      <c r="AA119">
        <f>IF(ISNUMBER(SEARCH(SUBSTITUTE(AA$1,RIGHT(AA$1,2),""),VLOOKUP($D119,素材!$1:$1016,COLUMN($F$1),FALSE))),VLOOKUP($C119,武器!$1:$998,COLUMN($O$1),FALSE)*VLOOKUP($D119,素材!$1:$1016,COLUMN($E$1),FALSE)/(LEN(VLOOKUP($D119,素材!$1:$1016,COLUMN($F$1),FALSE))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B119">
        <f>IF(ISNUMBER(SEARCH(SUBSTITUTE(AB$1,RIGHT(AB$1,2),""),VLOOKUP($D119,素材!$1:$1016,COLUMN($F$1),FALSE))),VLOOKUP($C119,武器!$1:$998,COLUMN($O$1),FALSE)*VLOOKUP($D119,素材!$1:$1016,COLUMN($E$1),FALSE)/(LEN(VLOOKUP($D119,素材!$1:$1016,COLUMN($F$1),FALSE))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C119">
        <f>IF(ISNUMBER(SEARCH(SUBSTITUTE(AC$1,RIGHT(AC$1,2),""),VLOOKUP($D119,素材!$1:$1016,COLUMN($F$1),FALSE))),VLOOKUP($C119,武器!$1:$998,COLUMN($O$1),FALSE)*VLOOKUP($D119,素材!$1:$1016,COLUMN($E$1),FALSE)/(LEN(VLOOKUP($D119,素材!$1:$1016,COLUMN($F$1),FALSE))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D119">
        <f>IF(ISNUMBER(SEARCH(SUBSTITUTE(AD$1,RIGHT(AD$1,2),""),VLOOKUP($D119,素材!$1:$1016,COLUMN($F$1),FALSE))),VLOOKUP($C119,武器!$1:$998,COLUMN($O$1),FALSE)*VLOOKUP($D119,素材!$1:$1016,COLUMN($E$1),FALSE)/(LEN(VLOOKUP($D119,素材!$1:$1016,COLUMN($F$1),FALSE))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E119">
        <f>IF(ISNUMBER(SEARCH(SUBSTITUTE(AE$1,RIGHT(AE$1,2),""),VLOOKUP($D119,素材!$1:$1016,COLUMN($F$1),FALSE))),VLOOKUP($C119,武器!$1:$998,COLUMN($O$1),FALSE)*VLOOKUP($D119,素材!$1:$1016,COLUMN($E$1),FALSE)/(LEN(VLOOKUP($D119,素材!$1:$1016,COLUMN($F$1),FALSE))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F119">
        <f>IF(ISNUMBER(SEARCH(SUBSTITUTE(AF$1,RIGHT(AF$1,2),""),VLOOKUP($D119,素材!$1:$1016,COLUMN($F$1),FALSE))),VLOOKUP($C119,武器!$1:$998,COLUMN($O$1),FALSE)*VLOOKUP($D119,素材!$1:$1016,COLUMN($E$1),FALSE)/(LEN(VLOOKUP($D119,素材!$1:$1016,COLUMN($F$1),FALSE))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G119">
        <f>IF(ISNUMBER(SEARCH(SUBSTITUTE(AG$1,RIGHT(AG$1,2),""),VLOOKUP($D119,素材!$1:$1016,COLUMN($F$1),FALSE))),VLOOKUP($C119,武器!$1:$998,COLUMN($O$1),FALSE)*VLOOKUP($D119,素材!$1:$1016,COLUMN($E$1),FALSE)/(LEN(VLOOKUP($D119,素材!$1:$1016,COLUMN($F$1),FALSE))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H119">
        <f>IF(ISNUMBER(SEARCH(SUBSTITUTE(AH$1,RIGHT(AH$1,2),""),VLOOKUP($D119,素材!$1:$1016,COLUMN($F$1),FALSE))),VLOOKUP($C119,武器!$1:$998,COLUMN($O$1),FALSE)*VLOOKUP($D119,素材!$1:$1016,COLUMN($E$1),FALSE)/(LEN(VLOOKUP($D119,素材!$1:$1016,COLUMN($F$1),FALSE))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I119">
        <f>IF(ISNUMBER(SEARCH(SUBSTITUTE(AI$1,RIGHT(AI$1,2),""),VLOOKUP($D119,素材!$1:$1016,COLUMN($F$1),FALSE))),VLOOKUP($C119,武器!$1:$998,COLUMN($O$1),FALSE)*VLOOKUP($D119,素材!$1:$1016,COLUMN($E$1),FALSE)/(LEN(VLOOKUP($D119,素材!$1:$1016,COLUMN($F$1),FALSE))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J119">
        <f>IF(ISNUMBER(SEARCH(SUBSTITUTE(AJ$1,RIGHT(AJ$1,2),""),VLOOKUP($D119,素材!$1:$1016,COLUMN($F$1),FALSE))),VLOOKUP($C119,武器!$1:$998,COLUMN($O$1),FALSE)*VLOOKUP($D119,素材!$1:$1016,COLUMN($E$1),FALSE)/(LEN(VLOOKUP($D119,素材!$1:$1016,COLUMN($F$1),FALSE))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K119">
        <f>IF(ISNUMBER(SEARCH(SUBSTITUTE(AK$1,RIGHT(AK$1,2),""),VLOOKUP($D119,素材!$1:$1016,COLUMN($F$1),FALSE))),VLOOKUP($C119,武器!$1:$998,COLUMN($O$1),FALSE)*VLOOKUP($D119,素材!$1:$1016,COLUMN($E$1),FALSE)/(LEN(VLOOKUP($D119,素材!$1:$1016,COLUMN($F$1),FALSE))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L119">
        <f>IF(ISNUMBER(SEARCH(SUBSTITUTE(AL$1,RIGHT(AL$1,2),""),VLOOKUP($D119,素材!$1:$1016,COLUMN($F$1),FALSE))),VLOOKUP($C119,武器!$1:$998,COLUMN($O$1),FALSE)*VLOOKUP($D119,素材!$1:$1016,COLUMN($E$1),FALSE)/(LEN(VLOOKUP($D119,素材!$1:$1016,COLUMN($F$1),FALSE))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M119">
        <f>IF(ISNUMBER(SEARCH(SUBSTITUTE(AM$1,RIGHT(AM$1,2),""),VLOOKUP($D119,素材!$1:$1016,COLUMN($F$1),FALSE))),VLOOKUP($C119,武器!$1:$998,COLUMN($O$1),FALSE)*VLOOKUP($D119,素材!$1:$1016,COLUMN($E$1),FALSE)/(LEN(VLOOKUP($D119,素材!$1:$1016,COLUMN($F$1),FALSE))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N119">
        <f>IF(ISNUMBER(SEARCH(SUBSTITUTE(AN$1,RIGHT(AN$1,2),""),VLOOKUP($D119,素材!$1:$1016,COLUMN($F$1),FALSE))),VLOOKUP($C119,武器!$1:$998,COLUMN($O$1),FALSE)*VLOOKUP($D119,素材!$1:$1016,COLUMN($E$1),FALSE)/(LEN(VLOOKUP($D119,素材!$1:$1016,COLUMN($F$1),FALSE))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O119">
        <f>IF(ISNUMBER(SEARCH(SUBSTITUTE(AO$1,RIGHT(AO$1,2),""),VLOOKUP($D119,素材!$1:$1016,COLUMN($F$1),FALSE))),VLOOKUP($C119,武器!$1:$998,COLUMN($O$1),FALSE)*VLOOKUP($D119,素材!$1:$1016,COLUMN($E$1),FALSE)/(LEN(VLOOKUP($D119,素材!$1:$1016,COLUMN($F$1),FALSE))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P119">
        <f>IF(ISNUMBER(SEARCH(SUBSTITUTE(AP$1,RIGHT(AP$1,2),""),VLOOKUP($D119,素材!$1:$1016,COLUMN($F$1),FALSE))),VLOOKUP($C119,武器!$1:$998,COLUMN($O$1),FALSE)*VLOOKUP($D119,素材!$1:$1016,COLUMN($E$1),FALSE)/(LEN(VLOOKUP($D119,素材!$1:$1016,COLUMN($F$1),FALSE))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Q119">
        <f>IF(ISNUMBER(SEARCH(SUBSTITUTE(AQ$1,RIGHT(AQ$1,2),""),VLOOKUP($D119,素材!$1:$1016,COLUMN($F$1),FALSE))),VLOOKUP($C119,武器!$1:$998,COLUMN($O$1),FALSE)*VLOOKUP($D119,素材!$1:$1016,COLUMN($E$1),FALSE)/(LEN(VLOOKUP($D119,素材!$1:$1016,COLUMN($F$1),FALSE))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R119">
        <f>IF(ISNUMBER(SEARCH(SUBSTITUTE(AR$1,RIGHT(AR$1,2),""),VLOOKUP($D119,素材!$1:$1016,COLUMN($F$1),FALSE))),VLOOKUP($C119,武器!$1:$998,COLUMN($O$1),FALSE)*VLOOKUP($D119,素材!$1:$1016,COLUMN($E$1),FALSE)/(LEN(VLOOKUP($D119,素材!$1:$1016,COLUMN($F$1),FALSE))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S119">
        <f>IF(ISNUMBER(SEARCH(SUBSTITUTE(AS$1,RIGHT(AS$1,2),""),VLOOKUP($D119,素材!$1:$1016,COLUMN($F$1),FALSE))),VLOOKUP($C119,武器!$1:$998,COLUMN($O$1),FALSE)*VLOOKUP($D119,素材!$1:$1016,COLUMN($E$1),FALSE)/(LEN(VLOOKUP($D119,素材!$1:$1016,COLUMN($F$1),FALSE))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T119">
        <f>IF(ISNUMBER(SEARCH(SUBSTITUTE(AT$1,RIGHT(AT$1,2),""),VLOOKUP($D119,素材!$1:$1016,COLUMN($F$1),FALSE))),VLOOKUP($C119,武器!$1:$998,COLUMN($O$1),FALSE)*VLOOKUP($D119,素材!$1:$1016,COLUMN($E$1),FALSE)/(LEN(VLOOKUP($D119,素材!$1:$1016,COLUMN($F$1),FALSE))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U119">
        <f>IF(ISNUMBER(SEARCH(SUBSTITUTE(AU$1,RIGHT(AU$1,2),""),VLOOKUP($D119,素材!$1:$1016,COLUMN($F$1),FALSE))),VLOOKUP($C119,武器!$1:$998,COLUMN($O$1),FALSE)*VLOOKUP($D119,素材!$1:$1016,COLUMN($E$1),FALSE)/(LEN(VLOOKUP($D119,素材!$1:$1016,COLUMN($F$1),FALSE))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V119">
        <f>IF(ISNUMBER(SEARCH(SUBSTITUTE(AV$1,RIGHT(AV$1,2),""),VLOOKUP($D119,素材!$1:$1016,COLUMN($F$1),FALSE))),VLOOKUP($C119,武器!$1:$998,COLUMN($O$1),FALSE)*VLOOKUP($D119,素材!$1:$1016,COLUMN($E$1),FALSE)/(LEN(VLOOKUP($D119,素材!$1:$1016,COLUMN($F$1),FALSE))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W119">
        <f>IF(ISNUMBER(SEARCH(SUBSTITUTE(AW$1,RIGHT(AW$1,2),""),VLOOKUP($D119,素材!$1:$1016,COLUMN($F$1),FALSE))),VLOOKUP($C119,武器!$1:$998,COLUMN($O$1),FALSE)*VLOOKUP($D119,素材!$1:$1016,COLUMN($E$1),FALSE)/(LEN(VLOOKUP($D119,素材!$1:$1016,COLUMN($F$1),FALSE))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X119">
        <f>IF(ISNUMBER(SEARCH(SUBSTITUTE(AX$1,RIGHT(AX$1,2),""),VLOOKUP($D119,素材!$1:$1016,COLUMN($F$1),FALSE))),VLOOKUP($C119,武器!$1:$998,COLUMN($O$1),FALSE)*VLOOKUP($D119,素材!$1:$1016,COLUMN($E$1),FALSE)/(LEN(VLOOKUP($D119,素材!$1:$1016,COLUMN($F$1),FALSE))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Y119">
        <f>IF(ISNUMBER(SEARCH(SUBSTITUTE(AY$1,RIGHT(AY$1,2),""),VLOOKUP($D119,素材!$1:$1016,COLUMN($F$1),FALSE))),VLOOKUP($C119,武器!$1:$998,COLUMN($O$1),FALSE)*VLOOKUP($D119,素材!$1:$1016,COLUMN($E$1),FALSE)/(LEN(VLOOKUP($D119,素材!$1:$1016,COLUMN($F$1),FALSE))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AZ119">
        <f>IF(ISNUMBER(SEARCH(SUBSTITUTE(AZ$1,RIGHT(AZ$1,2),""),VLOOKUP($D119,素材!$1:$1016,COLUMN($F$1),FALSE))),VLOOKUP($C119,武器!$1:$998,COLUMN($O$1),FALSE)*VLOOKUP($D119,素材!$1:$1016,COLUMN($E$1),FALSE)/(LEN(VLOOKUP($D119,素材!$1:$1016,COLUMN($F$1),FALSE))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BA119">
        <f>IF(ISNUMBER(SEARCH(SUBSTITUTE(BA$1,RIGHT(BA$1,2),""),VLOOKUP($D119,素材!$1:$1016,COLUMN($F$1),FALSE))),VLOOKUP($C119,武器!$1:$998,COLUMN($O$1),FALSE)*VLOOKUP($D119,素材!$1:$1016,COLUMN($E$1),FALSE)/(LEN(VLOOKUP($D119,素材!$1:$1016,COLUMN($F$1),FALSE))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BB119">
        <f>IF(ISNUMBER(SEARCH(SUBSTITUTE(BB$1,RIGHT(BB$1,2),""),VLOOKUP($D119,素材!$1:$1016,COLUMN($F$1),FALSE))),VLOOKUP($C119,武器!$1:$998,COLUMN($O$1),FALSE)*VLOOKUP($D119,素材!$1:$1016,COLUMN($E$1),FALSE)/(LEN(VLOOKUP($D119,素材!$1:$1016,COLUMN($F$1),FALSE))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BC119">
        <f>IF(ISNUMBER(SEARCH(SUBSTITUTE(BC$1,RIGHT(BC$1,2),""),VLOOKUP($D119,素材!$1:$1016,COLUMN($F$1),FALSE))),VLOOKUP($C119,武器!$1:$998,COLUMN($O$1),FALSE)*VLOOKUP($D119,素材!$1:$1016,COLUMN($E$1),FALSE)/(LEN(VLOOKUP($D119,素材!$1:$1016,COLUMN($F$1),FALSE))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BD119">
        <f>IF(ISNUMBER(SEARCH(SUBSTITUTE(BD$1,RIGHT(BD$1,2),""),VLOOKUP($D119,素材!$1:$1016,COLUMN($F$1),FALSE))),VLOOKUP($C119,武器!$1:$998,COLUMN($O$1),FALSE)*VLOOKUP($D119,素材!$1:$1016,COLUMN($E$1),FALSE)/(LEN(VLOOKUP($D119,素材!$1:$1016,COLUMN($F$1),FALSE))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BE119">
        <f>IF(ISNUMBER(SEARCH(SUBSTITUTE(BE$1,RIGHT(BE$1,2),""),VLOOKUP($D119,素材!$1:$1016,COLUMN($F$1),FALSE))),VLOOKUP($C119,武器!$1:$998,COLUMN($O$1),FALSE)*VLOOKUP($D119,素材!$1:$1016,COLUMN($E$1),FALSE)/(LEN(VLOOKUP($D119,素材!$1:$1016,COLUMN($F$1),FALSE))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BF119">
        <f>IF(ISNUMBER(SEARCH(SUBSTITUTE(BF$1,RIGHT(BF$1,2),""),VLOOKUP($D119,素材!$1:$1016,COLUMN($F$1),FALSE))),VLOOKUP($C119,武器!$1:$998,COLUMN($O$1),FALSE)*VLOOKUP($D119,素材!$1:$1016,COLUMN($E$1),FALSE)/(LEN(VLOOKUP($D119,素材!$1:$1016,COLUMN($F$1),FALSE)) - LEN(SUBSTITUTE(VLOOKUP($D119,素材!$1:$1016,COLUMN($F$1),FALSE), "・", 0)) + 1), 0)</f>
        <v>0</v>
      </c>
      <c r="CM119">
        <f t="shared" si="8"/>
        <v>0</v>
      </c>
      <c r="CN119" s="22" t="str">
        <f>IF(E119="武器",IF(J119-1&gt;SUM(G119:I119),"盾",IF(MAX(G119:I119)=G119,"切断",IF(MAX(G119:I119)=H119,"貫通",IF(MAX(G119:I119)=I119,"打撃","射撃")))),E119)&amp;".webp"</f>
        <v>体.webp</v>
      </c>
      <c r="CO119">
        <f>IFERROR(VLOOKUP($C119,武器!$1:$998,COLUMN(V$1),FALSE)*VLOOKUP($D119,素材!$1:$1016,COLUMN(N$1),FALSE)+IF(CJ119="",0,VLOOKUP($CJ119,装強!$1:$1008,COLUMN($CL$1),FALSE)),"")</f>
        <v>300</v>
      </c>
      <c r="CP119" t="str">
        <f>VLOOKUP(D119,素材!$A:$O,COLUMN(素材!O$1),FALSE)</f>
        <v>一般的な皮素材で、防具や軽量装備の材料として最適です。耐久性は高くありませんが、軽量で扱いやすい点が特徴です。</v>
      </c>
      <c r="CQ119" t="str">
        <f>VLOOKUP(C119,武器!$A:$W,COLUMN(武器!W$1),FALSE)</f>
        <v>HP 物理 魔法 体幹 出血 疲労 Cr</v>
      </c>
      <c r="CS119" t="str">
        <f t="shared" si="7"/>
        <v>e_119</v>
      </c>
      <c r="CT119">
        <f t="shared" si="9"/>
        <v>30000</v>
      </c>
    </row>
    <row r="120" spans="1:98" outlineLevel="1" x14ac:dyDescent="0.4">
      <c r="A120" t="str">
        <f t="shared" si="10"/>
        <v>皮の胴衣</v>
      </c>
      <c r="B120" t="str">
        <f>IFERROR(VLOOKUP($D120,素材!$1:$1016,COLUMN($B$1),FALSE)&amp;"・"&amp;VLOOKUP($C120,武器!$1:$998,COLUMN(B$1),FALSE),"")</f>
        <v>レザー・ベスト</v>
      </c>
      <c r="C120" t="s">
        <v>207</v>
      </c>
      <c r="D120" s="24" t="s">
        <v>252</v>
      </c>
      <c r="E120" t="str">
        <f>IFERROR(VLOOKUP(C120,武器!$1:$998,COLUMN(C$1),FALSE),"")</f>
        <v>体</v>
      </c>
      <c r="F120">
        <f>IFERROR(ROUNDDOWN((VLOOKUP($C120,武器!$1:$998,COLUMN(D$1),FALSE)+IFERROR(VLOOKUP($CJ120,装強!$1:$999,COLUMN(F$1),FALSE),0))*VLOOKUP($D120,素材!$1:$1016,COLUMN(D$1),FALSE),0),"")</f>
        <v>0</v>
      </c>
      <c r="G120">
        <f>IFERROR(ROUNDDOWN((VLOOKUP($C120,武器!$1:$998,COLUMN(E$1),FALSE)+IFERROR(VLOOKUP($CJ120,装強!$1:$999,COLUMN(G$1),FALSE),0))*VLOOKUP($D120,素材!$1:$1016,COLUMN($E$1),FALSE),0),"")</f>
        <v>0</v>
      </c>
      <c r="H120">
        <f>IFERROR(ROUNDDOWN((VLOOKUP($C120,武器!$1:$998,COLUMN(F$1),FALSE)+IFERROR(VLOOKUP($CJ120,装強!$1:$999,COLUMN(H$1),FALSE),0))*VLOOKUP($D120,素材!$1:$1016,COLUMN($E$1),FALSE),0),"")</f>
        <v>0</v>
      </c>
      <c r="I120">
        <f>IFERROR(ROUNDDOWN((VLOOKUP($C120,武器!$1:$998,COLUMN(G$1),FALSE)+IFERROR(VLOOKUP($CJ120,装強!$1:$999,COLUMN(I$1),FALSE),0))*VLOOKUP($D120,素材!$1:$1016,COLUMN($E$1),FALSE),0),"")</f>
        <v>0</v>
      </c>
      <c r="J120">
        <f>IFERROR(ROUNDDOWN((VLOOKUP($C120,武器!$1:$998,COLUMN(H$1),FALSE)+IFERROR(VLOOKUP($CJ120,装強!$1:$999,COLUMN(J$1),FALSE),0))*VLOOKUP($D120,素材!$1:$1016,COLUMN($E$1),FALSE),0),"")</f>
        <v>0</v>
      </c>
      <c r="K120">
        <f>IFERROR(ROUNDDOWN((VLOOKUP($C120,武器!$1:$998,COLUMN(I$1),FALSE)+IFERROR(VLOOKUP($CJ120,装強!$1:$999,COLUMN(K$1),FALSE),0))*VLOOKUP($D120,素材!$1:$1016,COLUMN($E$1),FALSE),0),"")</f>
        <v>0</v>
      </c>
      <c r="L120" t="str">
        <f>IFERROR(VLOOKUP($D120,素材!$1:$1016,COLUMN($F$1),FALSE),"")</f>
        <v>-</v>
      </c>
      <c r="M120" t="str">
        <f>IFERROR(VLOOKUP($C120,武器!$1:$998,COLUMN(AA$1),FALSE)*VLOOKUP($D120,素材!$1:$1016,COLUMN($G$1),FALSE),"")</f>
        <v/>
      </c>
      <c r="N120">
        <f>IFERROR(VLOOKUP($C120,武器!$1:$998,COLUMN(I$1),FALSE),"")</f>
        <v>0</v>
      </c>
      <c r="O120" s="23" t="str">
        <f>IFERROR((VLOOKUP($C120,武器!$1:$998,COLUMN(K$1),FALSE)+VLOOKUP($D120,素材!$1:$1016,COLUMN(H$1),FALSE))*100+IFERROR(VLOOKUP($CJ120,装強!$1:$999,COLUMN(O$1),FALSE),0),"")</f>
        <v/>
      </c>
      <c r="P120" s="23" t="str">
        <f>IFERROR((VLOOKUP($C120,武器!$1:$998,COLUMN(L$1),FALSE)+VLOOKUP($D120,素材!$1:$1016,COLUMN(I$1),FALSE))*100+IFERROR(VLOOKUP($CJ120,装強!$1:$999,COLUMN(P$1),FALSE),0),"")</f>
        <v/>
      </c>
      <c r="Q120">
        <f>IFERROR(ROUNDUP(VLOOKUP($C120,武器!$1:$998,COLUMN(M$1),FALSE)*(VLOOKUP($D120,素材!$1:$1002,COLUMN(D$1),FALSE)/100),1),"")</f>
        <v>-3</v>
      </c>
      <c r="R120">
        <f>IFERROR(ROUNDUP(VLOOKUP($C120,武器!$1:$998,COLUMN(N$1),FALSE)*(VLOOKUP($D120,素材!$1:$1002,COLUMN(D$1),FALSE)/100),1),"")</f>
        <v>0</v>
      </c>
      <c r="S120">
        <f>IFERROR(VLOOKUP($C120,武器!$1:$998,COLUMN(P$1),FALSE),"")</f>
        <v>0</v>
      </c>
      <c r="T120">
        <f>IFERROR(VLOOKUP($C120,武器!$1:$998,COLUMN(Q$1),FALSE),"")</f>
        <v>0</v>
      </c>
      <c r="U120">
        <f>IFERROR(VLOOKUP($C120,武器!$1:$998,COLUMN(R$1),FALSE),"")</f>
        <v>0</v>
      </c>
      <c r="V120">
        <f>IFERROR(VLOOKUP($C120,武器!$1:$998,COLUMN(Q$1),FALSE),"")</f>
        <v>0</v>
      </c>
      <c r="W120">
        <f>IFERROR(VLOOKUP($C120,武器!$1:$998,COLUMN(T$1),FALSE),"")</f>
        <v>0</v>
      </c>
      <c r="Y120">
        <f>IFERROR(VLOOKUP($C120,武器!$1:$998,COLUMN(U$1),FALSE),"")</f>
        <v>0</v>
      </c>
      <c r="Z120">
        <f>IFERROR(ROUNDUP(VLOOKUP($C120,武器!$1:$998,COLUMN(O$1),FALSE)*VLOOKUP($D120,素材!$1:$1016,COLUMN(E$1),FALSE),1),"")</f>
        <v>5</v>
      </c>
      <c r="AA120">
        <f>IF(ISNUMBER(SEARCH(SUBSTITUTE(AA$1,RIGHT(AA$1,2),""),VLOOKUP($D120,素材!$1:$1016,COLUMN($F$1),FALSE))),VLOOKUP($C120,武器!$1:$998,COLUMN($O$1),FALSE)*VLOOKUP($D120,素材!$1:$1016,COLUMN($E$1),FALSE)/(LEN(VLOOKUP($D120,素材!$1:$1016,COLUMN($F$1),FALSE))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B120">
        <f>IF(ISNUMBER(SEARCH(SUBSTITUTE(AB$1,RIGHT(AB$1,2),""),VLOOKUP($D120,素材!$1:$1016,COLUMN($F$1),FALSE))),VLOOKUP($C120,武器!$1:$998,COLUMN($O$1),FALSE)*VLOOKUP($D120,素材!$1:$1016,COLUMN($E$1),FALSE)/(LEN(VLOOKUP($D120,素材!$1:$1016,COLUMN($F$1),FALSE))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C120">
        <f>IF(ISNUMBER(SEARCH(SUBSTITUTE(AC$1,RIGHT(AC$1,2),""),VLOOKUP($D120,素材!$1:$1016,COLUMN($F$1),FALSE))),VLOOKUP($C120,武器!$1:$998,COLUMN($O$1),FALSE)*VLOOKUP($D120,素材!$1:$1016,COLUMN($E$1),FALSE)/(LEN(VLOOKUP($D120,素材!$1:$1016,COLUMN($F$1),FALSE))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D120">
        <f>IF(ISNUMBER(SEARCH(SUBSTITUTE(AD$1,RIGHT(AD$1,2),""),VLOOKUP($D120,素材!$1:$1016,COLUMN($F$1),FALSE))),VLOOKUP($C120,武器!$1:$998,COLUMN($O$1),FALSE)*VLOOKUP($D120,素材!$1:$1016,COLUMN($E$1),FALSE)/(LEN(VLOOKUP($D120,素材!$1:$1016,COLUMN($F$1),FALSE))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E120">
        <f>IF(ISNUMBER(SEARCH(SUBSTITUTE(AE$1,RIGHT(AE$1,2),""),VLOOKUP($D120,素材!$1:$1016,COLUMN($F$1),FALSE))),VLOOKUP($C120,武器!$1:$998,COLUMN($O$1),FALSE)*VLOOKUP($D120,素材!$1:$1016,COLUMN($E$1),FALSE)/(LEN(VLOOKUP($D120,素材!$1:$1016,COLUMN($F$1),FALSE))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F120">
        <f>IF(ISNUMBER(SEARCH(SUBSTITUTE(AF$1,RIGHT(AF$1,2),""),VLOOKUP($D120,素材!$1:$1016,COLUMN($F$1),FALSE))),VLOOKUP($C120,武器!$1:$998,COLUMN($O$1),FALSE)*VLOOKUP($D120,素材!$1:$1016,COLUMN($E$1),FALSE)/(LEN(VLOOKUP($D120,素材!$1:$1016,COLUMN($F$1),FALSE))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G120">
        <f>IF(ISNUMBER(SEARCH(SUBSTITUTE(AG$1,RIGHT(AG$1,2),""),VLOOKUP($D120,素材!$1:$1016,COLUMN($F$1),FALSE))),VLOOKUP($C120,武器!$1:$998,COLUMN($O$1),FALSE)*VLOOKUP($D120,素材!$1:$1016,COLUMN($E$1),FALSE)/(LEN(VLOOKUP($D120,素材!$1:$1016,COLUMN($F$1),FALSE))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H120">
        <f>IF(ISNUMBER(SEARCH(SUBSTITUTE(AH$1,RIGHT(AH$1,2),""),VLOOKUP($D120,素材!$1:$1016,COLUMN($F$1),FALSE))),VLOOKUP($C120,武器!$1:$998,COLUMN($O$1),FALSE)*VLOOKUP($D120,素材!$1:$1016,COLUMN($E$1),FALSE)/(LEN(VLOOKUP($D120,素材!$1:$1016,COLUMN($F$1),FALSE))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I120">
        <f>IF(ISNUMBER(SEARCH(SUBSTITUTE(AI$1,RIGHT(AI$1,2),""),VLOOKUP($D120,素材!$1:$1016,COLUMN($F$1),FALSE))),VLOOKUP($C120,武器!$1:$998,COLUMN($O$1),FALSE)*VLOOKUP($D120,素材!$1:$1016,COLUMN($E$1),FALSE)/(LEN(VLOOKUP($D120,素材!$1:$1016,COLUMN($F$1),FALSE))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J120">
        <f>IF(ISNUMBER(SEARCH(SUBSTITUTE(AJ$1,RIGHT(AJ$1,2),""),VLOOKUP($D120,素材!$1:$1016,COLUMN($F$1),FALSE))),VLOOKUP($C120,武器!$1:$998,COLUMN($O$1),FALSE)*VLOOKUP($D120,素材!$1:$1016,COLUMN($E$1),FALSE)/(LEN(VLOOKUP($D120,素材!$1:$1016,COLUMN($F$1),FALSE))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K120">
        <f>IF(ISNUMBER(SEARCH(SUBSTITUTE(AK$1,RIGHT(AK$1,2),""),VLOOKUP($D120,素材!$1:$1016,COLUMN($F$1),FALSE))),VLOOKUP($C120,武器!$1:$998,COLUMN($O$1),FALSE)*VLOOKUP($D120,素材!$1:$1016,COLUMN($E$1),FALSE)/(LEN(VLOOKUP($D120,素材!$1:$1016,COLUMN($F$1),FALSE))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L120">
        <f>IF(ISNUMBER(SEARCH(SUBSTITUTE(AL$1,RIGHT(AL$1,2),""),VLOOKUP($D120,素材!$1:$1016,COLUMN($F$1),FALSE))),VLOOKUP($C120,武器!$1:$998,COLUMN($O$1),FALSE)*VLOOKUP($D120,素材!$1:$1016,COLUMN($E$1),FALSE)/(LEN(VLOOKUP($D120,素材!$1:$1016,COLUMN($F$1),FALSE))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M120">
        <f>IF(ISNUMBER(SEARCH(SUBSTITUTE(AM$1,RIGHT(AM$1,2),""),VLOOKUP($D120,素材!$1:$1016,COLUMN($F$1),FALSE))),VLOOKUP($C120,武器!$1:$998,COLUMN($O$1),FALSE)*VLOOKUP($D120,素材!$1:$1016,COLUMN($E$1),FALSE)/(LEN(VLOOKUP($D120,素材!$1:$1016,COLUMN($F$1),FALSE))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N120">
        <f>IF(ISNUMBER(SEARCH(SUBSTITUTE(AN$1,RIGHT(AN$1,2),""),VLOOKUP($D120,素材!$1:$1016,COLUMN($F$1),FALSE))),VLOOKUP($C120,武器!$1:$998,COLUMN($O$1),FALSE)*VLOOKUP($D120,素材!$1:$1016,COLUMN($E$1),FALSE)/(LEN(VLOOKUP($D120,素材!$1:$1016,COLUMN($F$1),FALSE))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O120">
        <f>IF(ISNUMBER(SEARCH(SUBSTITUTE(AO$1,RIGHT(AO$1,2),""),VLOOKUP($D120,素材!$1:$1016,COLUMN($F$1),FALSE))),VLOOKUP($C120,武器!$1:$998,COLUMN($O$1),FALSE)*VLOOKUP($D120,素材!$1:$1016,COLUMN($E$1),FALSE)/(LEN(VLOOKUP($D120,素材!$1:$1016,COLUMN($F$1),FALSE))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P120">
        <f>IF(ISNUMBER(SEARCH(SUBSTITUTE(AP$1,RIGHT(AP$1,2),""),VLOOKUP($D120,素材!$1:$1016,COLUMN($F$1),FALSE))),VLOOKUP($C120,武器!$1:$998,COLUMN($O$1),FALSE)*VLOOKUP($D120,素材!$1:$1016,COLUMN($E$1),FALSE)/(LEN(VLOOKUP($D120,素材!$1:$1016,COLUMN($F$1),FALSE))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Q120">
        <f>IF(ISNUMBER(SEARCH(SUBSTITUTE(AQ$1,RIGHT(AQ$1,2),""),VLOOKUP($D120,素材!$1:$1016,COLUMN($F$1),FALSE))),VLOOKUP($C120,武器!$1:$998,COLUMN($O$1),FALSE)*VLOOKUP($D120,素材!$1:$1016,COLUMN($E$1),FALSE)/(LEN(VLOOKUP($D120,素材!$1:$1016,COLUMN($F$1),FALSE))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R120">
        <f>IF(ISNUMBER(SEARCH(SUBSTITUTE(AR$1,RIGHT(AR$1,2),""),VLOOKUP($D120,素材!$1:$1016,COLUMN($F$1),FALSE))),VLOOKUP($C120,武器!$1:$998,COLUMN($O$1),FALSE)*VLOOKUP($D120,素材!$1:$1016,COLUMN($E$1),FALSE)/(LEN(VLOOKUP($D120,素材!$1:$1016,COLUMN($F$1),FALSE))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S120">
        <f>IF(ISNUMBER(SEARCH(SUBSTITUTE(AS$1,RIGHT(AS$1,2),""),VLOOKUP($D120,素材!$1:$1016,COLUMN($F$1),FALSE))),VLOOKUP($C120,武器!$1:$998,COLUMN($O$1),FALSE)*VLOOKUP($D120,素材!$1:$1016,COLUMN($E$1),FALSE)/(LEN(VLOOKUP($D120,素材!$1:$1016,COLUMN($F$1),FALSE))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T120">
        <f>IF(ISNUMBER(SEARCH(SUBSTITUTE(AT$1,RIGHT(AT$1,2),""),VLOOKUP($D120,素材!$1:$1016,COLUMN($F$1),FALSE))),VLOOKUP($C120,武器!$1:$998,COLUMN($O$1),FALSE)*VLOOKUP($D120,素材!$1:$1016,COLUMN($E$1),FALSE)/(LEN(VLOOKUP($D120,素材!$1:$1016,COLUMN($F$1),FALSE))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U120">
        <f>IF(ISNUMBER(SEARCH(SUBSTITUTE(AU$1,RIGHT(AU$1,2),""),VLOOKUP($D120,素材!$1:$1016,COLUMN($F$1),FALSE))),VLOOKUP($C120,武器!$1:$998,COLUMN($O$1),FALSE)*VLOOKUP($D120,素材!$1:$1016,COLUMN($E$1),FALSE)/(LEN(VLOOKUP($D120,素材!$1:$1016,COLUMN($F$1),FALSE))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V120">
        <f>IF(ISNUMBER(SEARCH(SUBSTITUTE(AV$1,RIGHT(AV$1,2),""),VLOOKUP($D120,素材!$1:$1016,COLUMN($F$1),FALSE))),VLOOKUP($C120,武器!$1:$998,COLUMN($O$1),FALSE)*VLOOKUP($D120,素材!$1:$1016,COLUMN($E$1),FALSE)/(LEN(VLOOKUP($D120,素材!$1:$1016,COLUMN($F$1),FALSE))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W120">
        <f>IF(ISNUMBER(SEARCH(SUBSTITUTE(AW$1,RIGHT(AW$1,2),""),VLOOKUP($D120,素材!$1:$1016,COLUMN($F$1),FALSE))),VLOOKUP($C120,武器!$1:$998,COLUMN($O$1),FALSE)*VLOOKUP($D120,素材!$1:$1016,COLUMN($E$1),FALSE)/(LEN(VLOOKUP($D120,素材!$1:$1016,COLUMN($F$1),FALSE))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X120">
        <f>IF(ISNUMBER(SEARCH(SUBSTITUTE(AX$1,RIGHT(AX$1,2),""),VLOOKUP($D120,素材!$1:$1016,COLUMN($F$1),FALSE))),VLOOKUP($C120,武器!$1:$998,COLUMN($O$1),FALSE)*VLOOKUP($D120,素材!$1:$1016,COLUMN($E$1),FALSE)/(LEN(VLOOKUP($D120,素材!$1:$1016,COLUMN($F$1),FALSE))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Y120">
        <f>IF(ISNUMBER(SEARCH(SUBSTITUTE(AY$1,RIGHT(AY$1,2),""),VLOOKUP($D120,素材!$1:$1016,COLUMN($F$1),FALSE))),VLOOKUP($C120,武器!$1:$998,COLUMN($O$1),FALSE)*VLOOKUP($D120,素材!$1:$1016,COLUMN($E$1),FALSE)/(LEN(VLOOKUP($D120,素材!$1:$1016,COLUMN($F$1),FALSE))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AZ120">
        <f>IF(ISNUMBER(SEARCH(SUBSTITUTE(AZ$1,RIGHT(AZ$1,2),""),VLOOKUP($D120,素材!$1:$1016,COLUMN($F$1),FALSE))),VLOOKUP($C120,武器!$1:$998,COLUMN($O$1),FALSE)*VLOOKUP($D120,素材!$1:$1016,COLUMN($E$1),FALSE)/(LEN(VLOOKUP($D120,素材!$1:$1016,COLUMN($F$1),FALSE))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BA120">
        <f>IF(ISNUMBER(SEARCH(SUBSTITUTE(BA$1,RIGHT(BA$1,2),""),VLOOKUP($D120,素材!$1:$1016,COLUMN($F$1),FALSE))),VLOOKUP($C120,武器!$1:$998,COLUMN($O$1),FALSE)*VLOOKUP($D120,素材!$1:$1016,COLUMN($E$1),FALSE)/(LEN(VLOOKUP($D120,素材!$1:$1016,COLUMN($F$1),FALSE))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BB120">
        <f>IF(ISNUMBER(SEARCH(SUBSTITUTE(BB$1,RIGHT(BB$1,2),""),VLOOKUP($D120,素材!$1:$1016,COLUMN($F$1),FALSE))),VLOOKUP($C120,武器!$1:$998,COLUMN($O$1),FALSE)*VLOOKUP($D120,素材!$1:$1016,COLUMN($E$1),FALSE)/(LEN(VLOOKUP($D120,素材!$1:$1016,COLUMN($F$1),FALSE))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BC120">
        <f>IF(ISNUMBER(SEARCH(SUBSTITUTE(BC$1,RIGHT(BC$1,2),""),VLOOKUP($D120,素材!$1:$1016,COLUMN($F$1),FALSE))),VLOOKUP($C120,武器!$1:$998,COLUMN($O$1),FALSE)*VLOOKUP($D120,素材!$1:$1016,COLUMN($E$1),FALSE)/(LEN(VLOOKUP($D120,素材!$1:$1016,COLUMN($F$1),FALSE))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BD120">
        <f>IF(ISNUMBER(SEARCH(SUBSTITUTE(BD$1,RIGHT(BD$1,2),""),VLOOKUP($D120,素材!$1:$1016,COLUMN($F$1),FALSE))),VLOOKUP($C120,武器!$1:$998,COLUMN($O$1),FALSE)*VLOOKUP($D120,素材!$1:$1016,COLUMN($E$1),FALSE)/(LEN(VLOOKUP($D120,素材!$1:$1016,COLUMN($F$1),FALSE))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BE120">
        <f>IF(ISNUMBER(SEARCH(SUBSTITUTE(BE$1,RIGHT(BE$1,2),""),VLOOKUP($D120,素材!$1:$1016,COLUMN($F$1),FALSE))),VLOOKUP($C120,武器!$1:$998,COLUMN($O$1),FALSE)*VLOOKUP($D120,素材!$1:$1016,COLUMN($E$1),FALSE)/(LEN(VLOOKUP($D120,素材!$1:$1016,COLUMN($F$1),FALSE))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BF120">
        <f>IF(ISNUMBER(SEARCH(SUBSTITUTE(BF$1,RIGHT(BF$1,2),""),VLOOKUP($D120,素材!$1:$1016,COLUMN($F$1),FALSE))),VLOOKUP($C120,武器!$1:$998,COLUMN($O$1),FALSE)*VLOOKUP($D120,素材!$1:$1016,COLUMN($E$1),FALSE)/(LEN(VLOOKUP($D120,素材!$1:$1016,COLUMN($F$1),FALSE)) - LEN(SUBSTITUTE(VLOOKUP($D120,素材!$1:$1016,COLUMN($F$1),FALSE), "・", 0)) + 1), 0)</f>
        <v>0</v>
      </c>
      <c r="CM120">
        <f t="shared" si="8"/>
        <v>0</v>
      </c>
      <c r="CN120" s="22" t="str">
        <f>IF(E120="武器",IF(J120-1&gt;SUM(G120:I120),"盾",IF(MAX(G120:I120)=G120,"切断",IF(MAX(G120:I120)=H120,"貫通",IF(MAX(G120:I120)=I120,"打撃","射撃")))),E120)&amp;".webp"</f>
        <v>体.webp</v>
      </c>
      <c r="CO120">
        <f>IFERROR(VLOOKUP($C120,武器!$1:$998,COLUMN(V$1),FALSE)*VLOOKUP($D120,素材!$1:$1016,COLUMN(N$1),FALSE)+IF(CJ120="",0,VLOOKUP($CJ120,装強!$1:$1008,COLUMN($CL$1),FALSE)),"")</f>
        <v>250</v>
      </c>
      <c r="CP120" t="str">
        <f>VLOOKUP(D120,素材!$A:$O,COLUMN(素材!O$1),FALSE)</f>
        <v>一般的な皮素材で、防具や軽量装備の材料として最適です。耐久性は高くありませんが、軽量で扱いやすい点が特徴です。</v>
      </c>
      <c r="CQ120" t="str">
        <f>VLOOKUP(C120,武器!$A:$W,COLUMN(武器!W$1),FALSE)</f>
        <v>HP 物理 魔法 体幹 出血 疲労 Cr</v>
      </c>
      <c r="CS120" t="str">
        <f t="shared" si="7"/>
        <v>e_120</v>
      </c>
      <c r="CT120">
        <f t="shared" si="9"/>
        <v>25000</v>
      </c>
    </row>
    <row r="121" spans="1:98" ht="23.25" customHeight="1" outlineLevel="1" x14ac:dyDescent="0.4">
      <c r="A121" t="str">
        <f t="shared" ref="A121" si="13">D121&amp;"の"&amp;C121</f>
        <v>獣皮の帽子</v>
      </c>
      <c r="B121" t="str">
        <f>IFERROR(VLOOKUP($D121,素材!$1:$1016,COLUMN($B$1),FALSE)&amp;"・"&amp;VLOOKUP($C121,武器!$1:$998,COLUMN(B$1),FALSE),"")</f>
        <v>ビーストレザー・ハット</v>
      </c>
      <c r="C121" t="s">
        <v>1196</v>
      </c>
      <c r="D121" s="24" t="s">
        <v>251</v>
      </c>
      <c r="E121" t="str">
        <f>IFERROR(VLOOKUP(C121,武器!$1:$998,COLUMN(C$1),FALSE),"")</f>
        <v>頭</v>
      </c>
      <c r="F121">
        <f>IFERROR(ROUNDDOWN((VLOOKUP($C121,武器!$1:$998,COLUMN(D$1),FALSE)+IFERROR(VLOOKUP($CJ121,装強!$1:$999,COLUMN(F$1),FALSE),0))*VLOOKUP($D121,素材!$1:$1016,COLUMN(D$1),FALSE),0),"")</f>
        <v>0</v>
      </c>
      <c r="G121">
        <f>IFERROR(ROUNDDOWN((VLOOKUP($C121,武器!$1:$998,COLUMN(E$1),FALSE)+IFERROR(VLOOKUP($CJ121,装強!$1:$999,COLUMN(G$1),FALSE),0))*VLOOKUP($D121,素材!$1:$1016,COLUMN($E$1),FALSE),0),"")</f>
        <v>0</v>
      </c>
      <c r="H121">
        <f>IFERROR(ROUNDDOWN((VLOOKUP($C121,武器!$1:$998,COLUMN(F$1),FALSE)+IFERROR(VLOOKUP($CJ121,装強!$1:$999,COLUMN(H$1),FALSE),0))*VLOOKUP($D121,素材!$1:$1016,COLUMN($E$1),FALSE),0),"")</f>
        <v>0</v>
      </c>
      <c r="I121">
        <f>IFERROR(ROUNDDOWN((VLOOKUP($C121,武器!$1:$998,COLUMN(G$1),FALSE)+IFERROR(VLOOKUP($CJ121,装強!$1:$999,COLUMN(I$1),FALSE),0))*VLOOKUP($D121,素材!$1:$1016,COLUMN($E$1),FALSE),0),"")</f>
        <v>0</v>
      </c>
      <c r="J121">
        <f>IFERROR(ROUNDDOWN((VLOOKUP($C121,武器!$1:$998,COLUMN(H$1),FALSE)+IFERROR(VLOOKUP($CJ121,装強!$1:$999,COLUMN(J$1),FALSE),0))*VLOOKUP($D121,素材!$1:$1016,COLUMN($E$1),FALSE),0),"")</f>
        <v>0</v>
      </c>
      <c r="K121">
        <f>IFERROR(ROUNDDOWN((VLOOKUP($C121,武器!$1:$998,COLUMN(I$1),FALSE)+IFERROR(VLOOKUP($CJ121,装強!$1:$999,COLUMN(K$1),FALSE),0))*VLOOKUP($D121,素材!$1:$1016,COLUMN($E$1),FALSE),0),"")</f>
        <v>0</v>
      </c>
      <c r="L121" t="str">
        <f>IFERROR(VLOOKUP($D121,素材!$1:$1016,COLUMN($F$1),FALSE),"")</f>
        <v>-</v>
      </c>
      <c r="M121" t="str">
        <f>IFERROR(VLOOKUP($C121,武器!$1:$998,COLUMN(AA$1),FALSE)*VLOOKUP($D121,素材!$1:$1016,COLUMN($G$1),FALSE),"")</f>
        <v/>
      </c>
      <c r="N121">
        <f>IFERROR(VLOOKUP($C121,武器!$1:$998,COLUMN(I$1),FALSE),"")</f>
        <v>0</v>
      </c>
      <c r="O121" s="23" t="str">
        <f>IFERROR((VLOOKUP($C121,武器!$1:$998,COLUMN(K$1),FALSE)+VLOOKUP($D121,素材!$1:$1016,COLUMN(H$1),FALSE))*100+IFERROR(VLOOKUP($CJ121,装強!$1:$999,COLUMN(O$1),FALSE),0),"")</f>
        <v/>
      </c>
      <c r="P121" s="23" t="str">
        <f>IFERROR((VLOOKUP($C121,武器!$1:$998,COLUMN(L$1),FALSE)+VLOOKUP($D121,素材!$1:$1016,COLUMN(I$1),FALSE))*100+IFERROR(VLOOKUP($CJ121,装強!$1:$999,COLUMN(P$1),FALSE),0),"")</f>
        <v/>
      </c>
      <c r="Q121">
        <f>IFERROR(ROUNDUP(VLOOKUP($C121,武器!$1:$998,COLUMN(M$1),FALSE)*(VLOOKUP($D121,素材!$1:$1002,COLUMN(D$1),FALSE)/100),1),"")</f>
        <v>0</v>
      </c>
      <c r="R121">
        <f>IFERROR(ROUNDUP(VLOOKUP($C121,武器!$1:$998,COLUMN(N$1),FALSE)*(VLOOKUP($D121,素材!$1:$1002,COLUMN(D$1),FALSE)/100),1),"")</f>
        <v>0</v>
      </c>
      <c r="S121">
        <f>IFERROR(VLOOKUP($C121,武器!$1:$998,COLUMN(P$1),FALSE),"")</f>
        <v>0</v>
      </c>
      <c r="T121">
        <f>IFERROR(VLOOKUP($C121,武器!$1:$998,COLUMN(Q$1),FALSE),"")</f>
        <v>0</v>
      </c>
      <c r="U121">
        <f>IFERROR(VLOOKUP($C121,武器!$1:$998,COLUMN(R$1),FALSE),"")</f>
        <v>0</v>
      </c>
      <c r="V121">
        <f>IFERROR(VLOOKUP($C121,武器!$1:$998,COLUMN(Q$1),FALSE),"")</f>
        <v>0</v>
      </c>
      <c r="W121">
        <f>IFERROR(VLOOKUP($C121,武器!$1:$998,COLUMN(T$1),FALSE),"")</f>
        <v>0</v>
      </c>
      <c r="Y121">
        <f>IFERROR(VLOOKUP($C121,武器!$1:$998,COLUMN(U$1),FALSE),"")</f>
        <v>0</v>
      </c>
      <c r="Z121">
        <f>IFERROR(ROUNDUP(VLOOKUP($C121,武器!$1:$998,COLUMN(O$1),FALSE)*VLOOKUP($D121,素材!$1:$1016,COLUMN(E$1),FALSE),1),"")</f>
        <v>1.5</v>
      </c>
      <c r="AA121">
        <f>IF(ISNUMBER(SEARCH(SUBSTITUTE(AA$1,RIGHT(AA$1,2),""),VLOOKUP($D121,素材!$1:$1016,COLUMN($F$1),FALSE))),VLOOKUP($C121,武器!$1:$998,COLUMN($O$1),FALSE)*VLOOKUP($D121,素材!$1:$1016,COLUMN($E$1),FALSE)/(LEN(VLOOKUP($D121,素材!$1:$1016,COLUMN($F$1),FALSE))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B121">
        <f>IF(ISNUMBER(SEARCH(SUBSTITUTE(AB$1,RIGHT(AB$1,2),""),VLOOKUP($D121,素材!$1:$1016,COLUMN($F$1),FALSE))),VLOOKUP($C121,武器!$1:$998,COLUMN($O$1),FALSE)*VLOOKUP($D121,素材!$1:$1016,COLUMN($E$1),FALSE)/(LEN(VLOOKUP($D121,素材!$1:$1016,COLUMN($F$1),FALSE))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C121">
        <f>IF(ISNUMBER(SEARCH(SUBSTITUTE(AC$1,RIGHT(AC$1,2),""),VLOOKUP($D121,素材!$1:$1016,COLUMN($F$1),FALSE))),VLOOKUP($C121,武器!$1:$998,COLUMN($O$1),FALSE)*VLOOKUP($D121,素材!$1:$1016,COLUMN($E$1),FALSE)/(LEN(VLOOKUP($D121,素材!$1:$1016,COLUMN($F$1),FALSE))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D121">
        <f>IF(ISNUMBER(SEARCH(SUBSTITUTE(AD$1,RIGHT(AD$1,2),""),VLOOKUP($D121,素材!$1:$1016,COLUMN($F$1),FALSE))),VLOOKUP($C121,武器!$1:$998,COLUMN($O$1),FALSE)*VLOOKUP($D121,素材!$1:$1016,COLUMN($E$1),FALSE)/(LEN(VLOOKUP($D121,素材!$1:$1016,COLUMN($F$1),FALSE))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E121">
        <f>IF(ISNUMBER(SEARCH(SUBSTITUTE(AE$1,RIGHT(AE$1,2),""),VLOOKUP($D121,素材!$1:$1016,COLUMN($F$1),FALSE))),VLOOKUP($C121,武器!$1:$998,COLUMN($O$1),FALSE)*VLOOKUP($D121,素材!$1:$1016,COLUMN($E$1),FALSE)/(LEN(VLOOKUP($D121,素材!$1:$1016,COLUMN($F$1),FALSE))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F121">
        <f>IF(ISNUMBER(SEARCH(SUBSTITUTE(AF$1,RIGHT(AF$1,2),""),VLOOKUP($D121,素材!$1:$1016,COLUMN($F$1),FALSE))),VLOOKUP($C121,武器!$1:$998,COLUMN($O$1),FALSE)*VLOOKUP($D121,素材!$1:$1016,COLUMN($E$1),FALSE)/(LEN(VLOOKUP($D121,素材!$1:$1016,COLUMN($F$1),FALSE))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G121">
        <f>IF(ISNUMBER(SEARCH(SUBSTITUTE(AG$1,RIGHT(AG$1,2),""),VLOOKUP($D121,素材!$1:$1016,COLUMN($F$1),FALSE))),VLOOKUP($C121,武器!$1:$998,COLUMN($O$1),FALSE)*VLOOKUP($D121,素材!$1:$1016,COLUMN($E$1),FALSE)/(LEN(VLOOKUP($D121,素材!$1:$1016,COLUMN($F$1),FALSE))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H121">
        <f>IF(ISNUMBER(SEARCH(SUBSTITUTE(AH$1,RIGHT(AH$1,2),""),VLOOKUP($D121,素材!$1:$1016,COLUMN($F$1),FALSE))),VLOOKUP($C121,武器!$1:$998,COLUMN($O$1),FALSE)*VLOOKUP($D121,素材!$1:$1016,COLUMN($E$1),FALSE)/(LEN(VLOOKUP($D121,素材!$1:$1016,COLUMN($F$1),FALSE))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I121">
        <f>IF(ISNUMBER(SEARCH(SUBSTITUTE(AI$1,RIGHT(AI$1,2),""),VLOOKUP($D121,素材!$1:$1016,COLUMN($F$1),FALSE))),VLOOKUP($C121,武器!$1:$998,COLUMN($O$1),FALSE)*VLOOKUP($D121,素材!$1:$1016,COLUMN($E$1),FALSE)/(LEN(VLOOKUP($D121,素材!$1:$1016,COLUMN($F$1),FALSE))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J121">
        <f>IF(ISNUMBER(SEARCH(SUBSTITUTE(AJ$1,RIGHT(AJ$1,2),""),VLOOKUP($D121,素材!$1:$1016,COLUMN($F$1),FALSE))),VLOOKUP($C121,武器!$1:$998,COLUMN($O$1),FALSE)*VLOOKUP($D121,素材!$1:$1016,COLUMN($E$1),FALSE)/(LEN(VLOOKUP($D121,素材!$1:$1016,COLUMN($F$1),FALSE))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K121">
        <f>IF(ISNUMBER(SEARCH(SUBSTITUTE(AK$1,RIGHT(AK$1,2),""),VLOOKUP($D121,素材!$1:$1016,COLUMN($F$1),FALSE))),VLOOKUP($C121,武器!$1:$998,COLUMN($O$1),FALSE)*VLOOKUP($D121,素材!$1:$1016,COLUMN($E$1),FALSE)/(LEN(VLOOKUP($D121,素材!$1:$1016,COLUMN($F$1),FALSE))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L121">
        <f>IF(ISNUMBER(SEARCH(SUBSTITUTE(AL$1,RIGHT(AL$1,2),""),VLOOKUP($D121,素材!$1:$1016,COLUMN($F$1),FALSE))),VLOOKUP($C121,武器!$1:$998,COLUMN($O$1),FALSE)*VLOOKUP($D121,素材!$1:$1016,COLUMN($E$1),FALSE)/(LEN(VLOOKUP($D121,素材!$1:$1016,COLUMN($F$1),FALSE))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M121">
        <f>IF(ISNUMBER(SEARCH(SUBSTITUTE(AM$1,RIGHT(AM$1,2),""),VLOOKUP($D121,素材!$1:$1016,COLUMN($F$1),FALSE))),VLOOKUP($C121,武器!$1:$998,COLUMN($O$1),FALSE)*VLOOKUP($D121,素材!$1:$1016,COLUMN($E$1),FALSE)/(LEN(VLOOKUP($D121,素材!$1:$1016,COLUMN($F$1),FALSE))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N121">
        <f>IF(ISNUMBER(SEARCH(SUBSTITUTE(AN$1,RIGHT(AN$1,2),""),VLOOKUP($D121,素材!$1:$1016,COLUMN($F$1),FALSE))),VLOOKUP($C121,武器!$1:$998,COLUMN($O$1),FALSE)*VLOOKUP($D121,素材!$1:$1016,COLUMN($E$1),FALSE)/(LEN(VLOOKUP($D121,素材!$1:$1016,COLUMN($F$1),FALSE))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O121">
        <f>IF(ISNUMBER(SEARCH(SUBSTITUTE(AO$1,RIGHT(AO$1,2),""),VLOOKUP($D121,素材!$1:$1016,COLUMN($F$1),FALSE))),VLOOKUP($C121,武器!$1:$998,COLUMN($O$1),FALSE)*VLOOKUP($D121,素材!$1:$1016,COLUMN($E$1),FALSE)/(LEN(VLOOKUP($D121,素材!$1:$1016,COLUMN($F$1),FALSE))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P121">
        <f>IF(ISNUMBER(SEARCH(SUBSTITUTE(AP$1,RIGHT(AP$1,2),""),VLOOKUP($D121,素材!$1:$1016,COLUMN($F$1),FALSE))),VLOOKUP($C121,武器!$1:$998,COLUMN($O$1),FALSE)*VLOOKUP($D121,素材!$1:$1016,COLUMN($E$1),FALSE)/(LEN(VLOOKUP($D121,素材!$1:$1016,COLUMN($F$1),FALSE))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Q121">
        <f>IF(ISNUMBER(SEARCH(SUBSTITUTE(AQ$1,RIGHT(AQ$1,2),""),VLOOKUP($D121,素材!$1:$1016,COLUMN($F$1),FALSE))),VLOOKUP($C121,武器!$1:$998,COLUMN($O$1),FALSE)*VLOOKUP($D121,素材!$1:$1016,COLUMN($E$1),FALSE)/(LEN(VLOOKUP($D121,素材!$1:$1016,COLUMN($F$1),FALSE))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R121">
        <f>IF(ISNUMBER(SEARCH(SUBSTITUTE(AR$1,RIGHT(AR$1,2),""),VLOOKUP($D121,素材!$1:$1016,COLUMN($F$1),FALSE))),VLOOKUP($C121,武器!$1:$998,COLUMN($O$1),FALSE)*VLOOKUP($D121,素材!$1:$1016,COLUMN($E$1),FALSE)/(LEN(VLOOKUP($D121,素材!$1:$1016,COLUMN($F$1),FALSE))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S121">
        <f>IF(ISNUMBER(SEARCH(SUBSTITUTE(AS$1,RIGHT(AS$1,2),""),VLOOKUP($D121,素材!$1:$1016,COLUMN($F$1),FALSE))),VLOOKUP($C121,武器!$1:$998,COLUMN($O$1),FALSE)*VLOOKUP($D121,素材!$1:$1016,COLUMN($E$1),FALSE)/(LEN(VLOOKUP($D121,素材!$1:$1016,COLUMN($F$1),FALSE))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T121">
        <f>IF(ISNUMBER(SEARCH(SUBSTITUTE(AT$1,RIGHT(AT$1,2),""),VLOOKUP($D121,素材!$1:$1016,COLUMN($F$1),FALSE))),VLOOKUP($C121,武器!$1:$998,COLUMN($O$1),FALSE)*VLOOKUP($D121,素材!$1:$1016,COLUMN($E$1),FALSE)/(LEN(VLOOKUP($D121,素材!$1:$1016,COLUMN($F$1),FALSE))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U121">
        <f>IF(ISNUMBER(SEARCH(SUBSTITUTE(AU$1,RIGHT(AU$1,2),""),VLOOKUP($D121,素材!$1:$1016,COLUMN($F$1),FALSE))),VLOOKUP($C121,武器!$1:$998,COLUMN($O$1),FALSE)*VLOOKUP($D121,素材!$1:$1016,COLUMN($E$1),FALSE)/(LEN(VLOOKUP($D121,素材!$1:$1016,COLUMN($F$1),FALSE))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V121">
        <f>IF(ISNUMBER(SEARCH(SUBSTITUTE(AV$1,RIGHT(AV$1,2),""),VLOOKUP($D121,素材!$1:$1016,COLUMN($F$1),FALSE))),VLOOKUP($C121,武器!$1:$998,COLUMN($O$1),FALSE)*VLOOKUP($D121,素材!$1:$1016,COLUMN($E$1),FALSE)/(LEN(VLOOKUP($D121,素材!$1:$1016,COLUMN($F$1),FALSE))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W121">
        <f>IF(ISNUMBER(SEARCH(SUBSTITUTE(AW$1,RIGHT(AW$1,2),""),VLOOKUP($D121,素材!$1:$1016,COLUMN($F$1),FALSE))),VLOOKUP($C121,武器!$1:$998,COLUMN($O$1),FALSE)*VLOOKUP($D121,素材!$1:$1016,COLUMN($E$1),FALSE)/(LEN(VLOOKUP($D121,素材!$1:$1016,COLUMN($F$1),FALSE))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X121">
        <f>IF(ISNUMBER(SEARCH(SUBSTITUTE(AX$1,RIGHT(AX$1,2),""),VLOOKUP($D121,素材!$1:$1016,COLUMN($F$1),FALSE))),VLOOKUP($C121,武器!$1:$998,COLUMN($O$1),FALSE)*VLOOKUP($D121,素材!$1:$1016,COLUMN($E$1),FALSE)/(LEN(VLOOKUP($D121,素材!$1:$1016,COLUMN($F$1),FALSE))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Y121">
        <f>IF(ISNUMBER(SEARCH(SUBSTITUTE(AY$1,RIGHT(AY$1,2),""),VLOOKUP($D121,素材!$1:$1016,COLUMN($F$1),FALSE))),VLOOKUP($C121,武器!$1:$998,COLUMN($O$1),FALSE)*VLOOKUP($D121,素材!$1:$1016,COLUMN($E$1),FALSE)/(LEN(VLOOKUP($D121,素材!$1:$1016,COLUMN($F$1),FALSE))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AZ121">
        <f>IF(ISNUMBER(SEARCH(SUBSTITUTE(AZ$1,RIGHT(AZ$1,2),""),VLOOKUP($D121,素材!$1:$1016,COLUMN($F$1),FALSE))),VLOOKUP($C121,武器!$1:$998,COLUMN($O$1),FALSE)*VLOOKUP($D121,素材!$1:$1016,COLUMN($E$1),FALSE)/(LEN(VLOOKUP($D121,素材!$1:$1016,COLUMN($F$1),FALSE))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BA121">
        <f>IF(ISNUMBER(SEARCH(SUBSTITUTE(BA$1,RIGHT(BA$1,2),""),VLOOKUP($D121,素材!$1:$1016,COLUMN($F$1),FALSE))),VLOOKUP($C121,武器!$1:$998,COLUMN($O$1),FALSE)*VLOOKUP($D121,素材!$1:$1016,COLUMN($E$1),FALSE)/(LEN(VLOOKUP($D121,素材!$1:$1016,COLUMN($F$1),FALSE))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BB121">
        <f>IF(ISNUMBER(SEARCH(SUBSTITUTE(BB$1,RIGHT(BB$1,2),""),VLOOKUP($D121,素材!$1:$1016,COLUMN($F$1),FALSE))),VLOOKUP($C121,武器!$1:$998,COLUMN($O$1),FALSE)*VLOOKUP($D121,素材!$1:$1016,COLUMN($E$1),FALSE)/(LEN(VLOOKUP($D121,素材!$1:$1016,COLUMN($F$1),FALSE))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BC121">
        <f>IF(ISNUMBER(SEARCH(SUBSTITUTE(BC$1,RIGHT(BC$1,2),""),VLOOKUP($D121,素材!$1:$1016,COLUMN($F$1),FALSE))),VLOOKUP($C121,武器!$1:$998,COLUMN($O$1),FALSE)*VLOOKUP($D121,素材!$1:$1016,COLUMN($E$1),FALSE)/(LEN(VLOOKUP($D121,素材!$1:$1016,COLUMN($F$1),FALSE))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BD121">
        <f>IF(ISNUMBER(SEARCH(SUBSTITUTE(BD$1,RIGHT(BD$1,2),""),VLOOKUP($D121,素材!$1:$1016,COLUMN($F$1),FALSE))),VLOOKUP($C121,武器!$1:$998,COLUMN($O$1),FALSE)*VLOOKUP($D121,素材!$1:$1016,COLUMN($E$1),FALSE)/(LEN(VLOOKUP($D121,素材!$1:$1016,COLUMN($F$1),FALSE))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BE121">
        <f>IF(ISNUMBER(SEARCH(SUBSTITUTE(BE$1,RIGHT(BE$1,2),""),VLOOKUP($D121,素材!$1:$1016,COLUMN($F$1),FALSE))),VLOOKUP($C121,武器!$1:$998,COLUMN($O$1),FALSE)*VLOOKUP($D121,素材!$1:$1016,COLUMN($E$1),FALSE)/(LEN(VLOOKUP($D121,素材!$1:$1016,COLUMN($F$1),FALSE))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BF121">
        <f>IF(ISNUMBER(SEARCH(SUBSTITUTE(BF$1,RIGHT(BF$1,2),""),VLOOKUP($D121,素材!$1:$1016,COLUMN($F$1),FALSE))),VLOOKUP($C121,武器!$1:$998,COLUMN($O$1),FALSE)*VLOOKUP($D121,素材!$1:$1016,COLUMN($E$1),FALSE)/(LEN(VLOOKUP($D121,素材!$1:$1016,COLUMN($F$1),FALSE)) - LEN(SUBSTITUTE(VLOOKUP($D121,素材!$1:$1016,COLUMN($F$1),FALSE), "・", 0)) + 1), 0)</f>
        <v>0</v>
      </c>
      <c r="CM121">
        <f t="shared" si="8"/>
        <v>0</v>
      </c>
      <c r="CN121" s="22" t="str">
        <f>IF(E121="武器",IF(J121-1&gt;SUM(G121:I121),"盾",IF(MAX(G121:I121)=G121,"切断",IF(MAX(G121:I121)=H121,"貫通",IF(MAX(G121:I121)=I121,"打撃","射撃")))),E121)&amp;".webp"</f>
        <v>頭.webp</v>
      </c>
      <c r="CO121">
        <f>IFERROR(VLOOKUP($C121,武器!$1:$998,COLUMN(V$1),FALSE)*VLOOKUP($D121,素材!$1:$1016,COLUMN(N$1),FALSE)+IF(CJ121="",0,VLOOKUP($CJ121,装強!$1:$1008,COLUMN($CL$1),FALSE)),"")</f>
        <v>200</v>
      </c>
      <c r="CP121" t="str">
        <f>VLOOKUP(D121,素材!$A:$O,COLUMN(素材!O$1),FALSE)</f>
        <v>野生動物から得られる丈夫な皮素材。皮装備の性能を向上させ、基本的な防護性能を備えています。</v>
      </c>
      <c r="CQ121" t="str">
        <f>VLOOKUP(C121,武器!$A:$W,COLUMN(武器!W$1),FALSE)</f>
        <v>命中 魔防 Cr</v>
      </c>
      <c r="CS121" t="str">
        <f t="shared" si="7"/>
        <v>e_121</v>
      </c>
      <c r="CT121">
        <f t="shared" ref="CT121" si="14">CO121*100</f>
        <v>20000</v>
      </c>
    </row>
    <row r="122" spans="1:98" ht="23.25" customHeight="1" outlineLevel="1" x14ac:dyDescent="0.4">
      <c r="A122" t="str">
        <f t="shared" si="10"/>
        <v>獣皮の衣布</v>
      </c>
      <c r="B122" t="str">
        <f>IFERROR(VLOOKUP($D122,素材!$1:$1016,COLUMN($B$1),FALSE)&amp;"・"&amp;VLOOKUP($C122,武器!$1:$998,COLUMN(B$1),FALSE),"")</f>
        <v>ビーストレザー・クロース</v>
      </c>
      <c r="C122" t="s">
        <v>247</v>
      </c>
      <c r="D122" s="24" t="s">
        <v>251</v>
      </c>
      <c r="E122" t="str">
        <f>IFERROR(VLOOKUP(C122,武器!$1:$998,COLUMN(C$1),FALSE),"")</f>
        <v>体</v>
      </c>
      <c r="F122">
        <f>IFERROR(ROUNDDOWN((VLOOKUP($C122,武器!$1:$998,COLUMN(D$1),FALSE)+IFERROR(VLOOKUP($CJ122,装強!$1:$999,COLUMN(F$1),FALSE),0))*VLOOKUP($D122,素材!$1:$1016,COLUMN(D$1),FALSE),0),"")</f>
        <v>0</v>
      </c>
      <c r="G122">
        <f>IFERROR(ROUNDDOWN((VLOOKUP($C122,武器!$1:$998,COLUMN(E$1),FALSE)+IFERROR(VLOOKUP($CJ122,装強!$1:$999,COLUMN(G$1),FALSE),0))*VLOOKUP($D122,素材!$1:$1016,COLUMN($E$1),FALSE),0),"")</f>
        <v>0</v>
      </c>
      <c r="H122">
        <f>IFERROR(ROUNDDOWN((VLOOKUP($C122,武器!$1:$998,COLUMN(F$1),FALSE)+IFERROR(VLOOKUP($CJ122,装強!$1:$999,COLUMN(H$1),FALSE),0))*VLOOKUP($D122,素材!$1:$1016,COLUMN($E$1),FALSE),0),"")</f>
        <v>0</v>
      </c>
      <c r="I122">
        <f>IFERROR(ROUNDDOWN((VLOOKUP($C122,武器!$1:$998,COLUMN(G$1),FALSE)+IFERROR(VLOOKUP($CJ122,装強!$1:$999,COLUMN(I$1),FALSE),0))*VLOOKUP($D122,素材!$1:$1016,COLUMN($E$1),FALSE),0),"")</f>
        <v>0</v>
      </c>
      <c r="J122">
        <f>IFERROR(ROUNDDOWN((VLOOKUP($C122,武器!$1:$998,COLUMN(H$1),FALSE)+IFERROR(VLOOKUP($CJ122,装強!$1:$999,COLUMN(J$1),FALSE),0))*VLOOKUP($D122,素材!$1:$1016,COLUMN($E$1),FALSE),0),"")</f>
        <v>0</v>
      </c>
      <c r="K122">
        <f>IFERROR(ROUNDDOWN((VLOOKUP($C122,武器!$1:$998,COLUMN(I$1),FALSE)+IFERROR(VLOOKUP($CJ122,装強!$1:$999,COLUMN(K$1),FALSE),0))*VLOOKUP($D122,素材!$1:$1016,COLUMN($E$1),FALSE),0),"")</f>
        <v>0</v>
      </c>
      <c r="L122" t="str">
        <f>IFERROR(VLOOKUP($D122,素材!$1:$1016,COLUMN($F$1),FALSE),"")</f>
        <v>-</v>
      </c>
      <c r="M122" t="str">
        <f>IFERROR(VLOOKUP($C122,武器!$1:$998,COLUMN(AA$1),FALSE)*VLOOKUP($D122,素材!$1:$1016,COLUMN($G$1),FALSE),"")</f>
        <v/>
      </c>
      <c r="N122">
        <f>IFERROR(VLOOKUP($C122,武器!$1:$998,COLUMN(I$1),FALSE),"")</f>
        <v>0</v>
      </c>
      <c r="O122" s="23" t="str">
        <f>IFERROR((VLOOKUP($C122,武器!$1:$998,COLUMN(K$1),FALSE)+VLOOKUP($D122,素材!$1:$1016,COLUMN(H$1),FALSE))*100+IFERROR(VLOOKUP($CJ122,装強!$1:$999,COLUMN(O$1),FALSE),0),"")</f>
        <v/>
      </c>
      <c r="P122" s="23" t="str">
        <f>IFERROR((VLOOKUP($C122,武器!$1:$998,COLUMN(L$1),FALSE)+VLOOKUP($D122,素材!$1:$1016,COLUMN(I$1),FALSE))*100+IFERROR(VLOOKUP($CJ122,装強!$1:$999,COLUMN(P$1),FALSE),0),"")</f>
        <v/>
      </c>
      <c r="Q122">
        <f>IFERROR(ROUNDUP(VLOOKUP($C122,武器!$1:$998,COLUMN(M$1),FALSE)*(VLOOKUP($D122,素材!$1:$1002,COLUMN(D$1),FALSE)/100),1),"")</f>
        <v>0</v>
      </c>
      <c r="R122">
        <f>IFERROR(ROUNDUP(VLOOKUP($C122,武器!$1:$998,COLUMN(N$1),FALSE)*(VLOOKUP($D122,素材!$1:$1002,COLUMN(D$1),FALSE)/100),1),"")</f>
        <v>0</v>
      </c>
      <c r="S122">
        <f>IFERROR(VLOOKUP($C122,武器!$1:$998,COLUMN(P$1),FALSE),"")</f>
        <v>0</v>
      </c>
      <c r="T122">
        <f>IFERROR(VLOOKUP($C122,武器!$1:$998,COLUMN(Q$1),FALSE),"")</f>
        <v>0</v>
      </c>
      <c r="U122">
        <f>IFERROR(VLOOKUP($C122,武器!$1:$998,COLUMN(R$1),FALSE),"")</f>
        <v>0</v>
      </c>
      <c r="V122">
        <f>IFERROR(VLOOKUP($C122,武器!$1:$998,COLUMN(Q$1),FALSE),"")</f>
        <v>0</v>
      </c>
      <c r="W122">
        <f>IFERROR(VLOOKUP($C122,武器!$1:$998,COLUMN(T$1),FALSE),"")</f>
        <v>0</v>
      </c>
      <c r="Y122">
        <f>IFERROR(VLOOKUP($C122,武器!$1:$998,COLUMN(U$1),FALSE),"")</f>
        <v>0</v>
      </c>
      <c r="Z122">
        <f>IFERROR(ROUNDUP(VLOOKUP($C122,武器!$1:$998,COLUMN(O$1),FALSE)*VLOOKUP($D122,素材!$1:$1016,COLUMN(E$1),FALSE),1),"")</f>
        <v>4.5</v>
      </c>
      <c r="AA122">
        <f>IF(ISNUMBER(SEARCH(SUBSTITUTE(AA$1,RIGHT(AA$1,2),""),VLOOKUP($D122,素材!$1:$1016,COLUMN($F$1),FALSE))),VLOOKUP($C122,武器!$1:$998,COLUMN($O$1),FALSE)*VLOOKUP($D122,素材!$1:$1016,COLUMN($E$1),FALSE)/(LEN(VLOOKUP($D122,素材!$1:$1016,COLUMN($F$1),FALSE))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B122">
        <f>IF(ISNUMBER(SEARCH(SUBSTITUTE(AB$1,RIGHT(AB$1,2),""),VLOOKUP($D122,素材!$1:$1016,COLUMN($F$1),FALSE))),VLOOKUP($C122,武器!$1:$998,COLUMN($O$1),FALSE)*VLOOKUP($D122,素材!$1:$1016,COLUMN($E$1),FALSE)/(LEN(VLOOKUP($D122,素材!$1:$1016,COLUMN($F$1),FALSE))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C122">
        <f>IF(ISNUMBER(SEARCH(SUBSTITUTE(AC$1,RIGHT(AC$1,2),""),VLOOKUP($D122,素材!$1:$1016,COLUMN($F$1),FALSE))),VLOOKUP($C122,武器!$1:$998,COLUMN($O$1),FALSE)*VLOOKUP($D122,素材!$1:$1016,COLUMN($E$1),FALSE)/(LEN(VLOOKUP($D122,素材!$1:$1016,COLUMN($F$1),FALSE))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D122">
        <f>IF(ISNUMBER(SEARCH(SUBSTITUTE(AD$1,RIGHT(AD$1,2),""),VLOOKUP($D122,素材!$1:$1016,COLUMN($F$1),FALSE))),VLOOKUP($C122,武器!$1:$998,COLUMN($O$1),FALSE)*VLOOKUP($D122,素材!$1:$1016,COLUMN($E$1),FALSE)/(LEN(VLOOKUP($D122,素材!$1:$1016,COLUMN($F$1),FALSE))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E122">
        <f>IF(ISNUMBER(SEARCH(SUBSTITUTE(AE$1,RIGHT(AE$1,2),""),VLOOKUP($D122,素材!$1:$1016,COLUMN($F$1),FALSE))),VLOOKUP($C122,武器!$1:$998,COLUMN($O$1),FALSE)*VLOOKUP($D122,素材!$1:$1016,COLUMN($E$1),FALSE)/(LEN(VLOOKUP($D122,素材!$1:$1016,COLUMN($F$1),FALSE))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F122">
        <f>IF(ISNUMBER(SEARCH(SUBSTITUTE(AF$1,RIGHT(AF$1,2),""),VLOOKUP($D122,素材!$1:$1016,COLUMN($F$1),FALSE))),VLOOKUP($C122,武器!$1:$998,COLUMN($O$1),FALSE)*VLOOKUP($D122,素材!$1:$1016,COLUMN($E$1),FALSE)/(LEN(VLOOKUP($D122,素材!$1:$1016,COLUMN($F$1),FALSE))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G122">
        <f>IF(ISNUMBER(SEARCH(SUBSTITUTE(AG$1,RIGHT(AG$1,2),""),VLOOKUP($D122,素材!$1:$1016,COLUMN($F$1),FALSE))),VLOOKUP($C122,武器!$1:$998,COLUMN($O$1),FALSE)*VLOOKUP($D122,素材!$1:$1016,COLUMN($E$1),FALSE)/(LEN(VLOOKUP($D122,素材!$1:$1016,COLUMN($F$1),FALSE))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H122">
        <f>IF(ISNUMBER(SEARCH(SUBSTITUTE(AH$1,RIGHT(AH$1,2),""),VLOOKUP($D122,素材!$1:$1016,COLUMN($F$1),FALSE))),VLOOKUP($C122,武器!$1:$998,COLUMN($O$1),FALSE)*VLOOKUP($D122,素材!$1:$1016,COLUMN($E$1),FALSE)/(LEN(VLOOKUP($D122,素材!$1:$1016,COLUMN($F$1),FALSE))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I122">
        <f>IF(ISNUMBER(SEARCH(SUBSTITUTE(AI$1,RIGHT(AI$1,2),""),VLOOKUP($D122,素材!$1:$1016,COLUMN($F$1),FALSE))),VLOOKUP($C122,武器!$1:$998,COLUMN($O$1),FALSE)*VLOOKUP($D122,素材!$1:$1016,COLUMN($E$1),FALSE)/(LEN(VLOOKUP($D122,素材!$1:$1016,COLUMN($F$1),FALSE))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J122">
        <f>IF(ISNUMBER(SEARCH(SUBSTITUTE(AJ$1,RIGHT(AJ$1,2),""),VLOOKUP($D122,素材!$1:$1016,COLUMN($F$1),FALSE))),VLOOKUP($C122,武器!$1:$998,COLUMN($O$1),FALSE)*VLOOKUP($D122,素材!$1:$1016,COLUMN($E$1),FALSE)/(LEN(VLOOKUP($D122,素材!$1:$1016,COLUMN($F$1),FALSE))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K122">
        <f>IF(ISNUMBER(SEARCH(SUBSTITUTE(AK$1,RIGHT(AK$1,2),""),VLOOKUP($D122,素材!$1:$1016,COLUMN($F$1),FALSE))),VLOOKUP($C122,武器!$1:$998,COLUMN($O$1),FALSE)*VLOOKUP($D122,素材!$1:$1016,COLUMN($E$1),FALSE)/(LEN(VLOOKUP($D122,素材!$1:$1016,COLUMN($F$1),FALSE))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L122">
        <f>IF(ISNUMBER(SEARCH(SUBSTITUTE(AL$1,RIGHT(AL$1,2),""),VLOOKUP($D122,素材!$1:$1016,COLUMN($F$1),FALSE))),VLOOKUP($C122,武器!$1:$998,COLUMN($O$1),FALSE)*VLOOKUP($D122,素材!$1:$1016,COLUMN($E$1),FALSE)/(LEN(VLOOKUP($D122,素材!$1:$1016,COLUMN($F$1),FALSE))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M122">
        <f>IF(ISNUMBER(SEARCH(SUBSTITUTE(AM$1,RIGHT(AM$1,2),""),VLOOKUP($D122,素材!$1:$1016,COLUMN($F$1),FALSE))),VLOOKUP($C122,武器!$1:$998,COLUMN($O$1),FALSE)*VLOOKUP($D122,素材!$1:$1016,COLUMN($E$1),FALSE)/(LEN(VLOOKUP($D122,素材!$1:$1016,COLUMN($F$1),FALSE))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N122">
        <f>IF(ISNUMBER(SEARCH(SUBSTITUTE(AN$1,RIGHT(AN$1,2),""),VLOOKUP($D122,素材!$1:$1016,COLUMN($F$1),FALSE))),VLOOKUP($C122,武器!$1:$998,COLUMN($O$1),FALSE)*VLOOKUP($D122,素材!$1:$1016,COLUMN($E$1),FALSE)/(LEN(VLOOKUP($D122,素材!$1:$1016,COLUMN($F$1),FALSE))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O122">
        <f>IF(ISNUMBER(SEARCH(SUBSTITUTE(AO$1,RIGHT(AO$1,2),""),VLOOKUP($D122,素材!$1:$1016,COLUMN($F$1),FALSE))),VLOOKUP($C122,武器!$1:$998,COLUMN($O$1),FALSE)*VLOOKUP($D122,素材!$1:$1016,COLUMN($E$1),FALSE)/(LEN(VLOOKUP($D122,素材!$1:$1016,COLUMN($F$1),FALSE))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P122">
        <f>IF(ISNUMBER(SEARCH(SUBSTITUTE(AP$1,RIGHT(AP$1,2),""),VLOOKUP($D122,素材!$1:$1016,COLUMN($F$1),FALSE))),VLOOKUP($C122,武器!$1:$998,COLUMN($O$1),FALSE)*VLOOKUP($D122,素材!$1:$1016,COLUMN($E$1),FALSE)/(LEN(VLOOKUP($D122,素材!$1:$1016,COLUMN($F$1),FALSE))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Q122">
        <f>IF(ISNUMBER(SEARCH(SUBSTITUTE(AQ$1,RIGHT(AQ$1,2),""),VLOOKUP($D122,素材!$1:$1016,COLUMN($F$1),FALSE))),VLOOKUP($C122,武器!$1:$998,COLUMN($O$1),FALSE)*VLOOKUP($D122,素材!$1:$1016,COLUMN($E$1),FALSE)/(LEN(VLOOKUP($D122,素材!$1:$1016,COLUMN($F$1),FALSE))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R122">
        <f>IF(ISNUMBER(SEARCH(SUBSTITUTE(AR$1,RIGHT(AR$1,2),""),VLOOKUP($D122,素材!$1:$1016,COLUMN($F$1),FALSE))),VLOOKUP($C122,武器!$1:$998,COLUMN($O$1),FALSE)*VLOOKUP($D122,素材!$1:$1016,COLUMN($E$1),FALSE)/(LEN(VLOOKUP($D122,素材!$1:$1016,COLUMN($F$1),FALSE))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S122">
        <f>IF(ISNUMBER(SEARCH(SUBSTITUTE(AS$1,RIGHT(AS$1,2),""),VLOOKUP($D122,素材!$1:$1016,COLUMN($F$1),FALSE))),VLOOKUP($C122,武器!$1:$998,COLUMN($O$1),FALSE)*VLOOKUP($D122,素材!$1:$1016,COLUMN($E$1),FALSE)/(LEN(VLOOKUP($D122,素材!$1:$1016,COLUMN($F$1),FALSE))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T122">
        <f>IF(ISNUMBER(SEARCH(SUBSTITUTE(AT$1,RIGHT(AT$1,2),""),VLOOKUP($D122,素材!$1:$1016,COLUMN($F$1),FALSE))),VLOOKUP($C122,武器!$1:$998,COLUMN($O$1),FALSE)*VLOOKUP($D122,素材!$1:$1016,COLUMN($E$1),FALSE)/(LEN(VLOOKUP($D122,素材!$1:$1016,COLUMN($F$1),FALSE))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U122">
        <f>IF(ISNUMBER(SEARCH(SUBSTITUTE(AU$1,RIGHT(AU$1,2),""),VLOOKUP($D122,素材!$1:$1016,COLUMN($F$1),FALSE))),VLOOKUP($C122,武器!$1:$998,COLUMN($O$1),FALSE)*VLOOKUP($D122,素材!$1:$1016,COLUMN($E$1),FALSE)/(LEN(VLOOKUP($D122,素材!$1:$1016,COLUMN($F$1),FALSE))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V122">
        <f>IF(ISNUMBER(SEARCH(SUBSTITUTE(AV$1,RIGHT(AV$1,2),""),VLOOKUP($D122,素材!$1:$1016,COLUMN($F$1),FALSE))),VLOOKUP($C122,武器!$1:$998,COLUMN($O$1),FALSE)*VLOOKUP($D122,素材!$1:$1016,COLUMN($E$1),FALSE)/(LEN(VLOOKUP($D122,素材!$1:$1016,COLUMN($F$1),FALSE))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W122">
        <f>IF(ISNUMBER(SEARCH(SUBSTITUTE(AW$1,RIGHT(AW$1,2),""),VLOOKUP($D122,素材!$1:$1016,COLUMN($F$1),FALSE))),VLOOKUP($C122,武器!$1:$998,COLUMN($O$1),FALSE)*VLOOKUP($D122,素材!$1:$1016,COLUMN($E$1),FALSE)/(LEN(VLOOKUP($D122,素材!$1:$1016,COLUMN($F$1),FALSE))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X122">
        <f>IF(ISNUMBER(SEARCH(SUBSTITUTE(AX$1,RIGHT(AX$1,2),""),VLOOKUP($D122,素材!$1:$1016,COLUMN($F$1),FALSE))),VLOOKUP($C122,武器!$1:$998,COLUMN($O$1),FALSE)*VLOOKUP($D122,素材!$1:$1016,COLUMN($E$1),FALSE)/(LEN(VLOOKUP($D122,素材!$1:$1016,COLUMN($F$1),FALSE))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Y122">
        <f>IF(ISNUMBER(SEARCH(SUBSTITUTE(AY$1,RIGHT(AY$1,2),""),VLOOKUP($D122,素材!$1:$1016,COLUMN($F$1),FALSE))),VLOOKUP($C122,武器!$1:$998,COLUMN($O$1),FALSE)*VLOOKUP($D122,素材!$1:$1016,COLUMN($E$1),FALSE)/(LEN(VLOOKUP($D122,素材!$1:$1016,COLUMN($F$1),FALSE))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AZ122">
        <f>IF(ISNUMBER(SEARCH(SUBSTITUTE(AZ$1,RIGHT(AZ$1,2),""),VLOOKUP($D122,素材!$1:$1016,COLUMN($F$1),FALSE))),VLOOKUP($C122,武器!$1:$998,COLUMN($O$1),FALSE)*VLOOKUP($D122,素材!$1:$1016,COLUMN($E$1),FALSE)/(LEN(VLOOKUP($D122,素材!$1:$1016,COLUMN($F$1),FALSE))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BA122">
        <f>IF(ISNUMBER(SEARCH(SUBSTITUTE(BA$1,RIGHT(BA$1,2),""),VLOOKUP($D122,素材!$1:$1016,COLUMN($F$1),FALSE))),VLOOKUP($C122,武器!$1:$998,COLUMN($O$1),FALSE)*VLOOKUP($D122,素材!$1:$1016,COLUMN($E$1),FALSE)/(LEN(VLOOKUP($D122,素材!$1:$1016,COLUMN($F$1),FALSE))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BB122">
        <f>IF(ISNUMBER(SEARCH(SUBSTITUTE(BB$1,RIGHT(BB$1,2),""),VLOOKUP($D122,素材!$1:$1016,COLUMN($F$1),FALSE))),VLOOKUP($C122,武器!$1:$998,COLUMN($O$1),FALSE)*VLOOKUP($D122,素材!$1:$1016,COLUMN($E$1),FALSE)/(LEN(VLOOKUP($D122,素材!$1:$1016,COLUMN($F$1),FALSE))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BC122">
        <f>IF(ISNUMBER(SEARCH(SUBSTITUTE(BC$1,RIGHT(BC$1,2),""),VLOOKUP($D122,素材!$1:$1016,COLUMN($F$1),FALSE))),VLOOKUP($C122,武器!$1:$998,COLUMN($O$1),FALSE)*VLOOKUP($D122,素材!$1:$1016,COLUMN($E$1),FALSE)/(LEN(VLOOKUP($D122,素材!$1:$1016,COLUMN($F$1),FALSE))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BD122">
        <f>IF(ISNUMBER(SEARCH(SUBSTITUTE(BD$1,RIGHT(BD$1,2),""),VLOOKUP($D122,素材!$1:$1016,COLUMN($F$1),FALSE))),VLOOKUP($C122,武器!$1:$998,COLUMN($O$1),FALSE)*VLOOKUP($D122,素材!$1:$1016,COLUMN($E$1),FALSE)/(LEN(VLOOKUP($D122,素材!$1:$1016,COLUMN($F$1),FALSE))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BE122">
        <f>IF(ISNUMBER(SEARCH(SUBSTITUTE(BE$1,RIGHT(BE$1,2),""),VLOOKUP($D122,素材!$1:$1016,COLUMN($F$1),FALSE))),VLOOKUP($C122,武器!$1:$998,COLUMN($O$1),FALSE)*VLOOKUP($D122,素材!$1:$1016,COLUMN($E$1),FALSE)/(LEN(VLOOKUP($D122,素材!$1:$1016,COLUMN($F$1),FALSE))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BF122">
        <f>IF(ISNUMBER(SEARCH(SUBSTITUTE(BF$1,RIGHT(BF$1,2),""),VLOOKUP($D122,素材!$1:$1016,COLUMN($F$1),FALSE))),VLOOKUP($C122,武器!$1:$998,COLUMN($O$1),FALSE)*VLOOKUP($D122,素材!$1:$1016,COLUMN($E$1),FALSE)/(LEN(VLOOKUP($D122,素材!$1:$1016,COLUMN($F$1),FALSE)) - LEN(SUBSTITUTE(VLOOKUP($D122,素材!$1:$1016,COLUMN($F$1),FALSE), "・", 0)) + 1), 0)</f>
        <v>0</v>
      </c>
      <c r="CM122">
        <f t="shared" si="8"/>
        <v>0</v>
      </c>
      <c r="CN122" s="22" t="str">
        <f>IF(E122="武器",IF(J122-1&gt;SUM(G122:I122),"盾",IF(MAX(G122:I122)=G122,"切断",IF(MAX(G122:I122)=H122,"貫通",IF(MAX(G122:I122)=I122,"打撃","射撃")))),E122)&amp;".webp"</f>
        <v>体.webp</v>
      </c>
      <c r="CO122">
        <f>IFERROR(VLOOKUP($C122,武器!$1:$998,COLUMN(V$1),FALSE)*VLOOKUP($D122,素材!$1:$1016,COLUMN(N$1),FALSE)+IF(CJ122="",0,VLOOKUP($CJ122,装強!$1:$1008,COLUMN($CL$1),FALSE)),"")</f>
        <v>400</v>
      </c>
      <c r="CP122" t="str">
        <f>VLOOKUP(D122,素材!$A:$O,COLUMN(素材!O$1),FALSE)</f>
        <v>野生動物から得られる丈夫な皮素材。皮装備の性能を向上させ、基本的な防護性能を備えています。</v>
      </c>
      <c r="CQ122" t="str">
        <f>VLOOKUP(C122,武器!$A:$W,COLUMN(武器!W$1),FALSE)</f>
        <v>HP 物理 魔法 体幹 出血 疲労 Cr</v>
      </c>
      <c r="CS122" t="str">
        <f t="shared" si="7"/>
        <v>e_122</v>
      </c>
      <c r="CT122">
        <f t="shared" si="9"/>
        <v>40000</v>
      </c>
    </row>
    <row r="123" spans="1:98" outlineLevel="1" x14ac:dyDescent="0.4">
      <c r="A123" t="str">
        <f t="shared" si="10"/>
        <v>獣皮の法衣</v>
      </c>
      <c r="B123" t="str">
        <f>IFERROR(VLOOKUP($D123,素材!$1:$1016,COLUMN($B$1),FALSE)&amp;"・"&amp;VLOOKUP($C123,武器!$1:$998,COLUMN(B$1),FALSE),"")</f>
        <v>ビーストレザー・ローブ</v>
      </c>
      <c r="C123" t="s">
        <v>246</v>
      </c>
      <c r="D123" s="24" t="s">
        <v>251</v>
      </c>
      <c r="E123" t="str">
        <f>IFERROR(VLOOKUP(C123,武器!$1:$998,COLUMN(C$1),FALSE),"")</f>
        <v>体</v>
      </c>
      <c r="F123">
        <f>IFERROR(ROUNDDOWN((VLOOKUP($C123,武器!$1:$998,COLUMN(D$1),FALSE)+IFERROR(VLOOKUP($CJ123,装強!$1:$999,COLUMN(F$1),FALSE),0))*VLOOKUP($D123,素材!$1:$1016,COLUMN(D$1),FALSE),0),"")</f>
        <v>0</v>
      </c>
      <c r="G123">
        <f>IFERROR(ROUNDDOWN((VLOOKUP($C123,武器!$1:$998,COLUMN(E$1),FALSE)+IFERROR(VLOOKUP($CJ123,装強!$1:$999,COLUMN(G$1),FALSE),0))*VLOOKUP($D123,素材!$1:$1016,COLUMN($E$1),FALSE),0),"")</f>
        <v>0</v>
      </c>
      <c r="H123">
        <f>IFERROR(ROUNDDOWN((VLOOKUP($C123,武器!$1:$998,COLUMN(F$1),FALSE)+IFERROR(VLOOKUP($CJ123,装強!$1:$999,COLUMN(H$1),FALSE),0))*VLOOKUP($D123,素材!$1:$1016,COLUMN($E$1),FALSE),0),"")</f>
        <v>0</v>
      </c>
      <c r="I123">
        <f>IFERROR(ROUNDDOWN((VLOOKUP($C123,武器!$1:$998,COLUMN(G$1),FALSE)+IFERROR(VLOOKUP($CJ123,装強!$1:$999,COLUMN(I$1),FALSE),0))*VLOOKUP($D123,素材!$1:$1016,COLUMN($E$1),FALSE),0),"")</f>
        <v>0</v>
      </c>
      <c r="J123">
        <f>IFERROR(ROUNDDOWN((VLOOKUP($C123,武器!$1:$998,COLUMN(H$1),FALSE)+IFERROR(VLOOKUP($CJ123,装強!$1:$999,COLUMN(J$1),FALSE),0))*VLOOKUP($D123,素材!$1:$1016,COLUMN($E$1),FALSE),0),"")</f>
        <v>0</v>
      </c>
      <c r="K123">
        <f>IFERROR(ROUNDDOWN((VLOOKUP($C123,武器!$1:$998,COLUMN(I$1),FALSE)+IFERROR(VLOOKUP($CJ123,装強!$1:$999,COLUMN(K$1),FALSE),0))*VLOOKUP($D123,素材!$1:$1016,COLUMN($E$1),FALSE),0),"")</f>
        <v>0</v>
      </c>
      <c r="L123" t="str">
        <f>IFERROR(VLOOKUP($D123,素材!$1:$1016,COLUMN($F$1),FALSE),"")</f>
        <v>-</v>
      </c>
      <c r="M123" t="str">
        <f>IFERROR(VLOOKUP($C123,武器!$1:$998,COLUMN(AA$1),FALSE)*VLOOKUP($D123,素材!$1:$1016,COLUMN($G$1),FALSE),"")</f>
        <v/>
      </c>
      <c r="N123">
        <f>IFERROR(VLOOKUP($C123,武器!$1:$998,COLUMN(I$1),FALSE),"")</f>
        <v>0</v>
      </c>
      <c r="O123" s="23" t="str">
        <f>IFERROR((VLOOKUP($C123,武器!$1:$998,COLUMN(K$1),FALSE)+VLOOKUP($D123,素材!$1:$1016,COLUMN(H$1),FALSE))*100+IFERROR(VLOOKUP($CJ123,装強!$1:$999,COLUMN(O$1),FALSE),0),"")</f>
        <v/>
      </c>
      <c r="P123" s="23" t="str">
        <f>IFERROR((VLOOKUP($C123,武器!$1:$998,COLUMN(L$1),FALSE)+VLOOKUP($D123,素材!$1:$1016,COLUMN(I$1),FALSE))*100+IFERROR(VLOOKUP($CJ123,装強!$1:$999,COLUMN(P$1),FALSE),0),"")</f>
        <v/>
      </c>
      <c r="Q123">
        <f>IFERROR(ROUNDUP(VLOOKUP($C123,武器!$1:$998,COLUMN(M$1),FALSE)*(VLOOKUP($D123,素材!$1:$1002,COLUMN(D$1),FALSE)/100),1),"")</f>
        <v>0</v>
      </c>
      <c r="R123">
        <f>IFERROR(ROUNDUP(VLOOKUP($C123,武器!$1:$998,COLUMN(N$1),FALSE)*(VLOOKUP($D123,素材!$1:$1002,COLUMN(D$1),FALSE)/100),1),"")</f>
        <v>0</v>
      </c>
      <c r="S123">
        <f>IFERROR(VLOOKUP($C123,武器!$1:$998,COLUMN(P$1),FALSE),"")</f>
        <v>0</v>
      </c>
      <c r="T123">
        <f>IFERROR(VLOOKUP($C123,武器!$1:$998,COLUMN(Q$1),FALSE),"")</f>
        <v>0</v>
      </c>
      <c r="U123">
        <f>IFERROR(VLOOKUP($C123,武器!$1:$998,COLUMN(R$1),FALSE),"")</f>
        <v>0</v>
      </c>
      <c r="V123">
        <f>IFERROR(VLOOKUP($C123,武器!$1:$998,COLUMN(Q$1),FALSE),"")</f>
        <v>0</v>
      </c>
      <c r="W123">
        <f>IFERROR(VLOOKUP($C123,武器!$1:$998,COLUMN(T$1),FALSE),"")</f>
        <v>0</v>
      </c>
      <c r="Y123">
        <f>IFERROR(VLOOKUP($C123,武器!$1:$998,COLUMN(U$1),FALSE),"")</f>
        <v>0</v>
      </c>
      <c r="Z123">
        <f>IFERROR(ROUNDUP(VLOOKUP($C123,武器!$1:$998,COLUMN(O$1),FALSE)*VLOOKUP($D123,素材!$1:$1016,COLUMN(E$1),FALSE),1),"")</f>
        <v>3</v>
      </c>
      <c r="AA123">
        <f>IF(ISNUMBER(SEARCH(SUBSTITUTE(AA$1,RIGHT(AA$1,2),""),VLOOKUP($D123,素材!$1:$1016,COLUMN($F$1),FALSE))),VLOOKUP($C123,武器!$1:$998,COLUMN($O$1),FALSE)*VLOOKUP($D123,素材!$1:$1016,COLUMN($E$1),FALSE)/(LEN(VLOOKUP($D123,素材!$1:$1016,COLUMN($F$1),FALSE))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B123">
        <f>IF(ISNUMBER(SEARCH(SUBSTITUTE(AB$1,RIGHT(AB$1,2),""),VLOOKUP($D123,素材!$1:$1016,COLUMN($F$1),FALSE))),VLOOKUP($C123,武器!$1:$998,COLUMN($O$1),FALSE)*VLOOKUP($D123,素材!$1:$1016,COLUMN($E$1),FALSE)/(LEN(VLOOKUP($D123,素材!$1:$1016,COLUMN($F$1),FALSE))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C123">
        <f>IF(ISNUMBER(SEARCH(SUBSTITUTE(AC$1,RIGHT(AC$1,2),""),VLOOKUP($D123,素材!$1:$1016,COLUMN($F$1),FALSE))),VLOOKUP($C123,武器!$1:$998,COLUMN($O$1),FALSE)*VLOOKUP($D123,素材!$1:$1016,COLUMN($E$1),FALSE)/(LEN(VLOOKUP($D123,素材!$1:$1016,COLUMN($F$1),FALSE))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D123">
        <f>IF(ISNUMBER(SEARCH(SUBSTITUTE(AD$1,RIGHT(AD$1,2),""),VLOOKUP($D123,素材!$1:$1016,COLUMN($F$1),FALSE))),VLOOKUP($C123,武器!$1:$998,COLUMN($O$1),FALSE)*VLOOKUP($D123,素材!$1:$1016,COLUMN($E$1),FALSE)/(LEN(VLOOKUP($D123,素材!$1:$1016,COLUMN($F$1),FALSE))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E123">
        <f>IF(ISNUMBER(SEARCH(SUBSTITUTE(AE$1,RIGHT(AE$1,2),""),VLOOKUP($D123,素材!$1:$1016,COLUMN($F$1),FALSE))),VLOOKUP($C123,武器!$1:$998,COLUMN($O$1),FALSE)*VLOOKUP($D123,素材!$1:$1016,COLUMN($E$1),FALSE)/(LEN(VLOOKUP($D123,素材!$1:$1016,COLUMN($F$1),FALSE))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F123">
        <f>IF(ISNUMBER(SEARCH(SUBSTITUTE(AF$1,RIGHT(AF$1,2),""),VLOOKUP($D123,素材!$1:$1016,COLUMN($F$1),FALSE))),VLOOKUP($C123,武器!$1:$998,COLUMN($O$1),FALSE)*VLOOKUP($D123,素材!$1:$1016,COLUMN($E$1),FALSE)/(LEN(VLOOKUP($D123,素材!$1:$1016,COLUMN($F$1),FALSE))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G123">
        <f>IF(ISNUMBER(SEARCH(SUBSTITUTE(AG$1,RIGHT(AG$1,2),""),VLOOKUP($D123,素材!$1:$1016,COLUMN($F$1),FALSE))),VLOOKUP($C123,武器!$1:$998,COLUMN($O$1),FALSE)*VLOOKUP($D123,素材!$1:$1016,COLUMN($E$1),FALSE)/(LEN(VLOOKUP($D123,素材!$1:$1016,COLUMN($F$1),FALSE))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H123">
        <f>IF(ISNUMBER(SEARCH(SUBSTITUTE(AH$1,RIGHT(AH$1,2),""),VLOOKUP($D123,素材!$1:$1016,COLUMN($F$1),FALSE))),VLOOKUP($C123,武器!$1:$998,COLUMN($O$1),FALSE)*VLOOKUP($D123,素材!$1:$1016,COLUMN($E$1),FALSE)/(LEN(VLOOKUP($D123,素材!$1:$1016,COLUMN($F$1),FALSE))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I123">
        <f>IF(ISNUMBER(SEARCH(SUBSTITUTE(AI$1,RIGHT(AI$1,2),""),VLOOKUP($D123,素材!$1:$1016,COLUMN($F$1),FALSE))),VLOOKUP($C123,武器!$1:$998,COLUMN($O$1),FALSE)*VLOOKUP($D123,素材!$1:$1016,COLUMN($E$1),FALSE)/(LEN(VLOOKUP($D123,素材!$1:$1016,COLUMN($F$1),FALSE))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J123">
        <f>IF(ISNUMBER(SEARCH(SUBSTITUTE(AJ$1,RIGHT(AJ$1,2),""),VLOOKUP($D123,素材!$1:$1016,COLUMN($F$1),FALSE))),VLOOKUP($C123,武器!$1:$998,COLUMN($O$1),FALSE)*VLOOKUP($D123,素材!$1:$1016,COLUMN($E$1),FALSE)/(LEN(VLOOKUP($D123,素材!$1:$1016,COLUMN($F$1),FALSE))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K123">
        <f>IF(ISNUMBER(SEARCH(SUBSTITUTE(AK$1,RIGHT(AK$1,2),""),VLOOKUP($D123,素材!$1:$1016,COLUMN($F$1),FALSE))),VLOOKUP($C123,武器!$1:$998,COLUMN($O$1),FALSE)*VLOOKUP($D123,素材!$1:$1016,COLUMN($E$1),FALSE)/(LEN(VLOOKUP($D123,素材!$1:$1016,COLUMN($F$1),FALSE))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L123">
        <f>IF(ISNUMBER(SEARCH(SUBSTITUTE(AL$1,RIGHT(AL$1,2),""),VLOOKUP($D123,素材!$1:$1016,COLUMN($F$1),FALSE))),VLOOKUP($C123,武器!$1:$998,COLUMN($O$1),FALSE)*VLOOKUP($D123,素材!$1:$1016,COLUMN($E$1),FALSE)/(LEN(VLOOKUP($D123,素材!$1:$1016,COLUMN($F$1),FALSE))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M123">
        <f>IF(ISNUMBER(SEARCH(SUBSTITUTE(AM$1,RIGHT(AM$1,2),""),VLOOKUP($D123,素材!$1:$1016,COLUMN($F$1),FALSE))),VLOOKUP($C123,武器!$1:$998,COLUMN($O$1),FALSE)*VLOOKUP($D123,素材!$1:$1016,COLUMN($E$1),FALSE)/(LEN(VLOOKUP($D123,素材!$1:$1016,COLUMN($F$1),FALSE))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N123">
        <f>IF(ISNUMBER(SEARCH(SUBSTITUTE(AN$1,RIGHT(AN$1,2),""),VLOOKUP($D123,素材!$1:$1016,COLUMN($F$1),FALSE))),VLOOKUP($C123,武器!$1:$998,COLUMN($O$1),FALSE)*VLOOKUP($D123,素材!$1:$1016,COLUMN($E$1),FALSE)/(LEN(VLOOKUP($D123,素材!$1:$1016,COLUMN($F$1),FALSE))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O123">
        <f>IF(ISNUMBER(SEARCH(SUBSTITUTE(AO$1,RIGHT(AO$1,2),""),VLOOKUP($D123,素材!$1:$1016,COLUMN($F$1),FALSE))),VLOOKUP($C123,武器!$1:$998,COLUMN($O$1),FALSE)*VLOOKUP($D123,素材!$1:$1016,COLUMN($E$1),FALSE)/(LEN(VLOOKUP($D123,素材!$1:$1016,COLUMN($F$1),FALSE))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P123">
        <f>IF(ISNUMBER(SEARCH(SUBSTITUTE(AP$1,RIGHT(AP$1,2),""),VLOOKUP($D123,素材!$1:$1016,COLUMN($F$1),FALSE))),VLOOKUP($C123,武器!$1:$998,COLUMN($O$1),FALSE)*VLOOKUP($D123,素材!$1:$1016,COLUMN($E$1),FALSE)/(LEN(VLOOKUP($D123,素材!$1:$1016,COLUMN($F$1),FALSE))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Q123">
        <f>IF(ISNUMBER(SEARCH(SUBSTITUTE(AQ$1,RIGHT(AQ$1,2),""),VLOOKUP($D123,素材!$1:$1016,COLUMN($F$1),FALSE))),VLOOKUP($C123,武器!$1:$998,COLUMN($O$1),FALSE)*VLOOKUP($D123,素材!$1:$1016,COLUMN($E$1),FALSE)/(LEN(VLOOKUP($D123,素材!$1:$1016,COLUMN($F$1),FALSE))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R123">
        <f>IF(ISNUMBER(SEARCH(SUBSTITUTE(AR$1,RIGHT(AR$1,2),""),VLOOKUP($D123,素材!$1:$1016,COLUMN($F$1),FALSE))),VLOOKUP($C123,武器!$1:$998,COLUMN($O$1),FALSE)*VLOOKUP($D123,素材!$1:$1016,COLUMN($E$1),FALSE)/(LEN(VLOOKUP($D123,素材!$1:$1016,COLUMN($F$1),FALSE))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S123">
        <f>IF(ISNUMBER(SEARCH(SUBSTITUTE(AS$1,RIGHT(AS$1,2),""),VLOOKUP($D123,素材!$1:$1016,COLUMN($F$1),FALSE))),VLOOKUP($C123,武器!$1:$998,COLUMN($O$1),FALSE)*VLOOKUP($D123,素材!$1:$1016,COLUMN($E$1),FALSE)/(LEN(VLOOKUP($D123,素材!$1:$1016,COLUMN($F$1),FALSE))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T123">
        <f>IF(ISNUMBER(SEARCH(SUBSTITUTE(AT$1,RIGHT(AT$1,2),""),VLOOKUP($D123,素材!$1:$1016,COLUMN($F$1),FALSE))),VLOOKUP($C123,武器!$1:$998,COLUMN($O$1),FALSE)*VLOOKUP($D123,素材!$1:$1016,COLUMN($E$1),FALSE)/(LEN(VLOOKUP($D123,素材!$1:$1016,COLUMN($F$1),FALSE))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U123">
        <f>IF(ISNUMBER(SEARCH(SUBSTITUTE(AU$1,RIGHT(AU$1,2),""),VLOOKUP($D123,素材!$1:$1016,COLUMN($F$1),FALSE))),VLOOKUP($C123,武器!$1:$998,COLUMN($O$1),FALSE)*VLOOKUP($D123,素材!$1:$1016,COLUMN($E$1),FALSE)/(LEN(VLOOKUP($D123,素材!$1:$1016,COLUMN($F$1),FALSE))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V123">
        <f>IF(ISNUMBER(SEARCH(SUBSTITUTE(AV$1,RIGHT(AV$1,2),""),VLOOKUP($D123,素材!$1:$1016,COLUMN($F$1),FALSE))),VLOOKUP($C123,武器!$1:$998,COLUMN($O$1),FALSE)*VLOOKUP($D123,素材!$1:$1016,COLUMN($E$1),FALSE)/(LEN(VLOOKUP($D123,素材!$1:$1016,COLUMN($F$1),FALSE))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W123">
        <f>IF(ISNUMBER(SEARCH(SUBSTITUTE(AW$1,RIGHT(AW$1,2),""),VLOOKUP($D123,素材!$1:$1016,COLUMN($F$1),FALSE))),VLOOKUP($C123,武器!$1:$998,COLUMN($O$1),FALSE)*VLOOKUP($D123,素材!$1:$1016,COLUMN($E$1),FALSE)/(LEN(VLOOKUP($D123,素材!$1:$1016,COLUMN($F$1),FALSE))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X123">
        <f>IF(ISNUMBER(SEARCH(SUBSTITUTE(AX$1,RIGHT(AX$1,2),""),VLOOKUP($D123,素材!$1:$1016,COLUMN($F$1),FALSE))),VLOOKUP($C123,武器!$1:$998,COLUMN($O$1),FALSE)*VLOOKUP($D123,素材!$1:$1016,COLUMN($E$1),FALSE)/(LEN(VLOOKUP($D123,素材!$1:$1016,COLUMN($F$1),FALSE))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Y123">
        <f>IF(ISNUMBER(SEARCH(SUBSTITUTE(AY$1,RIGHT(AY$1,2),""),VLOOKUP($D123,素材!$1:$1016,COLUMN($F$1),FALSE))),VLOOKUP($C123,武器!$1:$998,COLUMN($O$1),FALSE)*VLOOKUP($D123,素材!$1:$1016,COLUMN($E$1),FALSE)/(LEN(VLOOKUP($D123,素材!$1:$1016,COLUMN($F$1),FALSE))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AZ123">
        <f>IF(ISNUMBER(SEARCH(SUBSTITUTE(AZ$1,RIGHT(AZ$1,2),""),VLOOKUP($D123,素材!$1:$1016,COLUMN($F$1),FALSE))),VLOOKUP($C123,武器!$1:$998,COLUMN($O$1),FALSE)*VLOOKUP($D123,素材!$1:$1016,COLUMN($E$1),FALSE)/(LEN(VLOOKUP($D123,素材!$1:$1016,COLUMN($F$1),FALSE))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BA123">
        <f>IF(ISNUMBER(SEARCH(SUBSTITUTE(BA$1,RIGHT(BA$1,2),""),VLOOKUP($D123,素材!$1:$1016,COLUMN($F$1),FALSE))),VLOOKUP($C123,武器!$1:$998,COLUMN($O$1),FALSE)*VLOOKUP($D123,素材!$1:$1016,COLUMN($E$1),FALSE)/(LEN(VLOOKUP($D123,素材!$1:$1016,COLUMN($F$1),FALSE))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BB123">
        <f>IF(ISNUMBER(SEARCH(SUBSTITUTE(BB$1,RIGHT(BB$1,2),""),VLOOKUP($D123,素材!$1:$1016,COLUMN($F$1),FALSE))),VLOOKUP($C123,武器!$1:$998,COLUMN($O$1),FALSE)*VLOOKUP($D123,素材!$1:$1016,COLUMN($E$1),FALSE)/(LEN(VLOOKUP($D123,素材!$1:$1016,COLUMN($F$1),FALSE))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BC123">
        <f>IF(ISNUMBER(SEARCH(SUBSTITUTE(BC$1,RIGHT(BC$1,2),""),VLOOKUP($D123,素材!$1:$1016,COLUMN($F$1),FALSE))),VLOOKUP($C123,武器!$1:$998,COLUMN($O$1),FALSE)*VLOOKUP($D123,素材!$1:$1016,COLUMN($E$1),FALSE)/(LEN(VLOOKUP($D123,素材!$1:$1016,COLUMN($F$1),FALSE))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BD123">
        <f>IF(ISNUMBER(SEARCH(SUBSTITUTE(BD$1,RIGHT(BD$1,2),""),VLOOKUP($D123,素材!$1:$1016,COLUMN($F$1),FALSE))),VLOOKUP($C123,武器!$1:$998,COLUMN($O$1),FALSE)*VLOOKUP($D123,素材!$1:$1016,COLUMN($E$1),FALSE)/(LEN(VLOOKUP($D123,素材!$1:$1016,COLUMN($F$1),FALSE))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BE123">
        <f>IF(ISNUMBER(SEARCH(SUBSTITUTE(BE$1,RIGHT(BE$1,2),""),VLOOKUP($D123,素材!$1:$1016,COLUMN($F$1),FALSE))),VLOOKUP($C123,武器!$1:$998,COLUMN($O$1),FALSE)*VLOOKUP($D123,素材!$1:$1016,COLUMN($E$1),FALSE)/(LEN(VLOOKUP($D123,素材!$1:$1016,COLUMN($F$1),FALSE))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BF123">
        <f>IF(ISNUMBER(SEARCH(SUBSTITUTE(BF$1,RIGHT(BF$1,2),""),VLOOKUP($D123,素材!$1:$1016,COLUMN($F$1),FALSE))),VLOOKUP($C123,武器!$1:$998,COLUMN($O$1),FALSE)*VLOOKUP($D123,素材!$1:$1016,COLUMN($E$1),FALSE)/(LEN(VLOOKUP($D123,素材!$1:$1016,COLUMN($F$1),FALSE)) - LEN(SUBSTITUTE(VLOOKUP($D123,素材!$1:$1016,COLUMN($F$1),FALSE), "・", 0)) + 1), 0)</f>
        <v>0</v>
      </c>
      <c r="CM123">
        <f t="shared" si="8"/>
        <v>0</v>
      </c>
      <c r="CN123" s="22" t="str">
        <f>IF(E123="武器",IF(J123-1&gt;SUM(G123:I123),"盾",IF(MAX(G123:I123)=G123,"切断",IF(MAX(G123:I123)=H123,"貫通",IF(MAX(G123:I123)=I123,"打撃","射撃")))),E123)&amp;".webp"</f>
        <v>体.webp</v>
      </c>
      <c r="CO123">
        <f>IFERROR(VLOOKUP($C123,武器!$1:$998,COLUMN(V$1),FALSE)*VLOOKUP($D123,素材!$1:$1016,COLUMN(N$1),FALSE)+IF(CJ123="",0,VLOOKUP($CJ123,装強!$1:$1008,COLUMN($CL$1),FALSE)),"")</f>
        <v>400</v>
      </c>
      <c r="CP123" t="str">
        <f>VLOOKUP(D123,素材!$A:$O,COLUMN(素材!O$1),FALSE)</f>
        <v>野生動物から得られる丈夫な皮素材。皮装備の性能を向上させ、基本的な防護性能を備えています。</v>
      </c>
      <c r="CQ123" t="str">
        <f>VLOOKUP(C123,武器!$A:$W,COLUMN(武器!W$1),FALSE)</f>
        <v>HP 物理 魔法 体幹 出血 疲労 Cr</v>
      </c>
      <c r="CS123" t="str">
        <f t="shared" si="7"/>
        <v>e_123</v>
      </c>
      <c r="CT123">
        <f t="shared" si="9"/>
        <v>40000</v>
      </c>
    </row>
    <row r="124" spans="1:98" ht="23.25" customHeight="1" outlineLevel="1" x14ac:dyDescent="0.4">
      <c r="A124" t="str">
        <f t="shared" si="10"/>
        <v>獣皮の鎧</v>
      </c>
      <c r="B124" t="str">
        <f>IFERROR(VLOOKUP($D124,素材!$1:$1016,COLUMN($B$1),FALSE)&amp;"・"&amp;VLOOKUP($C124,武器!$1:$998,COLUMN(B$1),FALSE),"")</f>
        <v>ビーストレザー・アーマー</v>
      </c>
      <c r="C124" t="s">
        <v>208</v>
      </c>
      <c r="D124" s="24" t="s">
        <v>251</v>
      </c>
      <c r="E124" t="str">
        <f>IFERROR(VLOOKUP(C124,武器!$1:$998,COLUMN(C$1),FALSE),"")</f>
        <v>体</v>
      </c>
      <c r="F124">
        <f>IFERROR(ROUNDDOWN((VLOOKUP($C124,武器!$1:$998,COLUMN(D$1),FALSE)+IFERROR(VLOOKUP($CJ124,装強!$1:$999,COLUMN(F$1),FALSE),0))*VLOOKUP($D124,素材!$1:$1016,COLUMN(D$1),FALSE),0),"")</f>
        <v>0</v>
      </c>
      <c r="G124">
        <f>IFERROR(ROUNDDOWN((VLOOKUP($C124,武器!$1:$998,COLUMN(E$1),FALSE)+IFERROR(VLOOKUP($CJ124,装強!$1:$999,COLUMN(G$1),FALSE),0))*VLOOKUP($D124,素材!$1:$1016,COLUMN($E$1),FALSE),0),"")</f>
        <v>0</v>
      </c>
      <c r="H124">
        <f>IFERROR(ROUNDDOWN((VLOOKUP($C124,武器!$1:$998,COLUMN(F$1),FALSE)+IFERROR(VLOOKUP($CJ124,装強!$1:$999,COLUMN(H$1),FALSE),0))*VLOOKUP($D124,素材!$1:$1016,COLUMN($E$1),FALSE),0),"")</f>
        <v>0</v>
      </c>
      <c r="I124">
        <f>IFERROR(ROUNDDOWN((VLOOKUP($C124,武器!$1:$998,COLUMN(G$1),FALSE)+IFERROR(VLOOKUP($CJ124,装強!$1:$999,COLUMN(I$1),FALSE),0))*VLOOKUP($D124,素材!$1:$1016,COLUMN($E$1),FALSE),0),"")</f>
        <v>0</v>
      </c>
      <c r="J124">
        <f>IFERROR(ROUNDDOWN((VLOOKUP($C124,武器!$1:$998,COLUMN(H$1),FALSE)+IFERROR(VLOOKUP($CJ124,装強!$1:$999,COLUMN(J$1),FALSE),0))*VLOOKUP($D124,素材!$1:$1016,COLUMN($E$1),FALSE),0),"")</f>
        <v>0</v>
      </c>
      <c r="K124">
        <f>IFERROR(ROUNDDOWN((VLOOKUP($C124,武器!$1:$998,COLUMN(I$1),FALSE)+IFERROR(VLOOKUP($CJ124,装強!$1:$999,COLUMN(K$1),FALSE),0))*VLOOKUP($D124,素材!$1:$1016,COLUMN($E$1),FALSE),0),"")</f>
        <v>0</v>
      </c>
      <c r="L124" t="str">
        <f>IFERROR(VLOOKUP($D124,素材!$1:$1016,COLUMN($F$1),FALSE),"")</f>
        <v>-</v>
      </c>
      <c r="M124" t="str">
        <f>IFERROR(VLOOKUP($C124,武器!$1:$998,COLUMN(AA$1),FALSE)*VLOOKUP($D124,素材!$1:$1016,COLUMN($G$1),FALSE),"")</f>
        <v/>
      </c>
      <c r="N124">
        <f>IFERROR(VLOOKUP($C124,武器!$1:$998,COLUMN(I$1),FALSE),"")</f>
        <v>0</v>
      </c>
      <c r="O124" s="23" t="str">
        <f>IFERROR((VLOOKUP($C124,武器!$1:$998,COLUMN(K$1),FALSE)+VLOOKUP($D124,素材!$1:$1016,COLUMN(H$1),FALSE))*100+IFERROR(VLOOKUP($CJ124,装強!$1:$999,COLUMN(O$1),FALSE),0),"")</f>
        <v/>
      </c>
      <c r="P124" s="23" t="str">
        <f>IFERROR((VLOOKUP($C124,武器!$1:$998,COLUMN(L$1),FALSE)+VLOOKUP($D124,素材!$1:$1016,COLUMN(I$1),FALSE))*100+IFERROR(VLOOKUP($CJ124,装強!$1:$999,COLUMN(P$1),FALSE),0),"")</f>
        <v/>
      </c>
      <c r="Q124">
        <f>IFERROR(ROUNDUP(VLOOKUP($C124,武器!$1:$998,COLUMN(M$1),FALSE)*(VLOOKUP($D124,素材!$1:$1002,COLUMN(D$1),FALSE)/100),1),"")</f>
        <v>-6</v>
      </c>
      <c r="R124">
        <f>IFERROR(ROUNDUP(VLOOKUP($C124,武器!$1:$998,COLUMN(N$1),FALSE)*(VLOOKUP($D124,素材!$1:$1002,COLUMN(D$1),FALSE)/100),1),"")</f>
        <v>0</v>
      </c>
      <c r="S124">
        <f>IFERROR(VLOOKUP($C124,武器!$1:$998,COLUMN(P$1),FALSE),"")</f>
        <v>0</v>
      </c>
      <c r="T124">
        <f>IFERROR(VLOOKUP($C124,武器!$1:$998,COLUMN(Q$1),FALSE),"")</f>
        <v>0</v>
      </c>
      <c r="U124">
        <f>IFERROR(VLOOKUP($C124,武器!$1:$998,COLUMN(R$1),FALSE),"")</f>
        <v>0</v>
      </c>
      <c r="V124">
        <f>IFERROR(VLOOKUP($C124,武器!$1:$998,COLUMN(Q$1),FALSE),"")</f>
        <v>0</v>
      </c>
      <c r="W124">
        <f>IFERROR(VLOOKUP($C124,武器!$1:$998,COLUMN(T$1),FALSE),"")</f>
        <v>0</v>
      </c>
      <c r="Y124">
        <f>IFERROR(VLOOKUP($C124,武器!$1:$998,COLUMN(U$1),FALSE),"")</f>
        <v>0</v>
      </c>
      <c r="Z124">
        <f>IFERROR(ROUNDUP(VLOOKUP($C124,武器!$1:$998,COLUMN(O$1),FALSE)*VLOOKUP($D124,素材!$1:$1016,COLUMN(E$1),FALSE),1),"")</f>
        <v>10.5</v>
      </c>
      <c r="AA124">
        <f>IF(ISNUMBER(SEARCH(SUBSTITUTE(AA$1,RIGHT(AA$1,2),""),VLOOKUP($D124,素材!$1:$1016,COLUMN($F$1),FALSE))),VLOOKUP($C124,武器!$1:$998,COLUMN($O$1),FALSE)*VLOOKUP($D124,素材!$1:$1016,COLUMN($E$1),FALSE)/(LEN(VLOOKUP($D124,素材!$1:$1016,COLUMN($F$1),FALSE))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B124">
        <f>IF(ISNUMBER(SEARCH(SUBSTITUTE(AB$1,RIGHT(AB$1,2),""),VLOOKUP($D124,素材!$1:$1016,COLUMN($F$1),FALSE))),VLOOKUP($C124,武器!$1:$998,COLUMN($O$1),FALSE)*VLOOKUP($D124,素材!$1:$1016,COLUMN($E$1),FALSE)/(LEN(VLOOKUP($D124,素材!$1:$1016,COLUMN($F$1),FALSE))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C124">
        <f>IF(ISNUMBER(SEARCH(SUBSTITUTE(AC$1,RIGHT(AC$1,2),""),VLOOKUP($D124,素材!$1:$1016,COLUMN($F$1),FALSE))),VLOOKUP($C124,武器!$1:$998,COLUMN($O$1),FALSE)*VLOOKUP($D124,素材!$1:$1016,COLUMN($E$1),FALSE)/(LEN(VLOOKUP($D124,素材!$1:$1016,COLUMN($F$1),FALSE))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D124">
        <f>IF(ISNUMBER(SEARCH(SUBSTITUTE(AD$1,RIGHT(AD$1,2),""),VLOOKUP($D124,素材!$1:$1016,COLUMN($F$1),FALSE))),VLOOKUP($C124,武器!$1:$998,COLUMN($O$1),FALSE)*VLOOKUP($D124,素材!$1:$1016,COLUMN($E$1),FALSE)/(LEN(VLOOKUP($D124,素材!$1:$1016,COLUMN($F$1),FALSE))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E124">
        <f>IF(ISNUMBER(SEARCH(SUBSTITUTE(AE$1,RIGHT(AE$1,2),""),VLOOKUP($D124,素材!$1:$1016,COLUMN($F$1),FALSE))),VLOOKUP($C124,武器!$1:$998,COLUMN($O$1),FALSE)*VLOOKUP($D124,素材!$1:$1016,COLUMN($E$1),FALSE)/(LEN(VLOOKUP($D124,素材!$1:$1016,COLUMN($F$1),FALSE))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F124">
        <f>IF(ISNUMBER(SEARCH(SUBSTITUTE(AF$1,RIGHT(AF$1,2),""),VLOOKUP($D124,素材!$1:$1016,COLUMN($F$1),FALSE))),VLOOKUP($C124,武器!$1:$998,COLUMN($O$1),FALSE)*VLOOKUP($D124,素材!$1:$1016,COLUMN($E$1),FALSE)/(LEN(VLOOKUP($D124,素材!$1:$1016,COLUMN($F$1),FALSE))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G124">
        <f>IF(ISNUMBER(SEARCH(SUBSTITUTE(AG$1,RIGHT(AG$1,2),""),VLOOKUP($D124,素材!$1:$1016,COLUMN($F$1),FALSE))),VLOOKUP($C124,武器!$1:$998,COLUMN($O$1),FALSE)*VLOOKUP($D124,素材!$1:$1016,COLUMN($E$1),FALSE)/(LEN(VLOOKUP($D124,素材!$1:$1016,COLUMN($F$1),FALSE))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H124">
        <f>IF(ISNUMBER(SEARCH(SUBSTITUTE(AH$1,RIGHT(AH$1,2),""),VLOOKUP($D124,素材!$1:$1016,COLUMN($F$1),FALSE))),VLOOKUP($C124,武器!$1:$998,COLUMN($O$1),FALSE)*VLOOKUP($D124,素材!$1:$1016,COLUMN($E$1),FALSE)/(LEN(VLOOKUP($D124,素材!$1:$1016,COLUMN($F$1),FALSE))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I124">
        <f>IF(ISNUMBER(SEARCH(SUBSTITUTE(AI$1,RIGHT(AI$1,2),""),VLOOKUP($D124,素材!$1:$1016,COLUMN($F$1),FALSE))),VLOOKUP($C124,武器!$1:$998,COLUMN($O$1),FALSE)*VLOOKUP($D124,素材!$1:$1016,COLUMN($E$1),FALSE)/(LEN(VLOOKUP($D124,素材!$1:$1016,COLUMN($F$1),FALSE))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J124">
        <f>IF(ISNUMBER(SEARCH(SUBSTITUTE(AJ$1,RIGHT(AJ$1,2),""),VLOOKUP($D124,素材!$1:$1016,COLUMN($F$1),FALSE))),VLOOKUP($C124,武器!$1:$998,COLUMN($O$1),FALSE)*VLOOKUP($D124,素材!$1:$1016,COLUMN($E$1),FALSE)/(LEN(VLOOKUP($D124,素材!$1:$1016,COLUMN($F$1),FALSE))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K124">
        <f>IF(ISNUMBER(SEARCH(SUBSTITUTE(AK$1,RIGHT(AK$1,2),""),VLOOKUP($D124,素材!$1:$1016,COLUMN($F$1),FALSE))),VLOOKUP($C124,武器!$1:$998,COLUMN($O$1),FALSE)*VLOOKUP($D124,素材!$1:$1016,COLUMN($E$1),FALSE)/(LEN(VLOOKUP($D124,素材!$1:$1016,COLUMN($F$1),FALSE))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L124">
        <f>IF(ISNUMBER(SEARCH(SUBSTITUTE(AL$1,RIGHT(AL$1,2),""),VLOOKUP($D124,素材!$1:$1016,COLUMN($F$1),FALSE))),VLOOKUP($C124,武器!$1:$998,COLUMN($O$1),FALSE)*VLOOKUP($D124,素材!$1:$1016,COLUMN($E$1),FALSE)/(LEN(VLOOKUP($D124,素材!$1:$1016,COLUMN($F$1),FALSE))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M124">
        <f>IF(ISNUMBER(SEARCH(SUBSTITUTE(AM$1,RIGHT(AM$1,2),""),VLOOKUP($D124,素材!$1:$1016,COLUMN($F$1),FALSE))),VLOOKUP($C124,武器!$1:$998,COLUMN($O$1),FALSE)*VLOOKUP($D124,素材!$1:$1016,COLUMN($E$1),FALSE)/(LEN(VLOOKUP($D124,素材!$1:$1016,COLUMN($F$1),FALSE))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N124">
        <f>IF(ISNUMBER(SEARCH(SUBSTITUTE(AN$1,RIGHT(AN$1,2),""),VLOOKUP($D124,素材!$1:$1016,COLUMN($F$1),FALSE))),VLOOKUP($C124,武器!$1:$998,COLUMN($O$1),FALSE)*VLOOKUP($D124,素材!$1:$1016,COLUMN($E$1),FALSE)/(LEN(VLOOKUP($D124,素材!$1:$1016,COLUMN($F$1),FALSE))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O124">
        <f>IF(ISNUMBER(SEARCH(SUBSTITUTE(AO$1,RIGHT(AO$1,2),""),VLOOKUP($D124,素材!$1:$1016,COLUMN($F$1),FALSE))),VLOOKUP($C124,武器!$1:$998,COLUMN($O$1),FALSE)*VLOOKUP($D124,素材!$1:$1016,COLUMN($E$1),FALSE)/(LEN(VLOOKUP($D124,素材!$1:$1016,COLUMN($F$1),FALSE))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P124">
        <f>IF(ISNUMBER(SEARCH(SUBSTITUTE(AP$1,RIGHT(AP$1,2),""),VLOOKUP($D124,素材!$1:$1016,COLUMN($F$1),FALSE))),VLOOKUP($C124,武器!$1:$998,COLUMN($O$1),FALSE)*VLOOKUP($D124,素材!$1:$1016,COLUMN($E$1),FALSE)/(LEN(VLOOKUP($D124,素材!$1:$1016,COLUMN($F$1),FALSE))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Q124">
        <f>IF(ISNUMBER(SEARCH(SUBSTITUTE(AQ$1,RIGHT(AQ$1,2),""),VLOOKUP($D124,素材!$1:$1016,COLUMN($F$1),FALSE))),VLOOKUP($C124,武器!$1:$998,COLUMN($O$1),FALSE)*VLOOKUP($D124,素材!$1:$1016,COLUMN($E$1),FALSE)/(LEN(VLOOKUP($D124,素材!$1:$1016,COLUMN($F$1),FALSE))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R124">
        <f>IF(ISNUMBER(SEARCH(SUBSTITUTE(AR$1,RIGHT(AR$1,2),""),VLOOKUP($D124,素材!$1:$1016,COLUMN($F$1),FALSE))),VLOOKUP($C124,武器!$1:$998,COLUMN($O$1),FALSE)*VLOOKUP($D124,素材!$1:$1016,COLUMN($E$1),FALSE)/(LEN(VLOOKUP($D124,素材!$1:$1016,COLUMN($F$1),FALSE))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S124">
        <f>IF(ISNUMBER(SEARCH(SUBSTITUTE(AS$1,RIGHT(AS$1,2),""),VLOOKUP($D124,素材!$1:$1016,COLUMN($F$1),FALSE))),VLOOKUP($C124,武器!$1:$998,COLUMN($O$1),FALSE)*VLOOKUP($D124,素材!$1:$1016,COLUMN($E$1),FALSE)/(LEN(VLOOKUP($D124,素材!$1:$1016,COLUMN($F$1),FALSE))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T124">
        <f>IF(ISNUMBER(SEARCH(SUBSTITUTE(AT$1,RIGHT(AT$1,2),""),VLOOKUP($D124,素材!$1:$1016,COLUMN($F$1),FALSE))),VLOOKUP($C124,武器!$1:$998,COLUMN($O$1),FALSE)*VLOOKUP($D124,素材!$1:$1016,COLUMN($E$1),FALSE)/(LEN(VLOOKUP($D124,素材!$1:$1016,COLUMN($F$1),FALSE))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U124">
        <f>IF(ISNUMBER(SEARCH(SUBSTITUTE(AU$1,RIGHT(AU$1,2),""),VLOOKUP($D124,素材!$1:$1016,COLUMN($F$1),FALSE))),VLOOKUP($C124,武器!$1:$998,COLUMN($O$1),FALSE)*VLOOKUP($D124,素材!$1:$1016,COLUMN($E$1),FALSE)/(LEN(VLOOKUP($D124,素材!$1:$1016,COLUMN($F$1),FALSE))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V124">
        <f>IF(ISNUMBER(SEARCH(SUBSTITUTE(AV$1,RIGHT(AV$1,2),""),VLOOKUP($D124,素材!$1:$1016,COLUMN($F$1),FALSE))),VLOOKUP($C124,武器!$1:$998,COLUMN($O$1),FALSE)*VLOOKUP($D124,素材!$1:$1016,COLUMN($E$1),FALSE)/(LEN(VLOOKUP($D124,素材!$1:$1016,COLUMN($F$1),FALSE))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W124">
        <f>IF(ISNUMBER(SEARCH(SUBSTITUTE(AW$1,RIGHT(AW$1,2),""),VLOOKUP($D124,素材!$1:$1016,COLUMN($F$1),FALSE))),VLOOKUP($C124,武器!$1:$998,COLUMN($O$1),FALSE)*VLOOKUP($D124,素材!$1:$1016,COLUMN($E$1),FALSE)/(LEN(VLOOKUP($D124,素材!$1:$1016,COLUMN($F$1),FALSE))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X124">
        <f>IF(ISNUMBER(SEARCH(SUBSTITUTE(AX$1,RIGHT(AX$1,2),""),VLOOKUP($D124,素材!$1:$1016,COLUMN($F$1),FALSE))),VLOOKUP($C124,武器!$1:$998,COLUMN($O$1),FALSE)*VLOOKUP($D124,素材!$1:$1016,COLUMN($E$1),FALSE)/(LEN(VLOOKUP($D124,素材!$1:$1016,COLUMN($F$1),FALSE))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Y124">
        <f>IF(ISNUMBER(SEARCH(SUBSTITUTE(AY$1,RIGHT(AY$1,2),""),VLOOKUP($D124,素材!$1:$1016,COLUMN($F$1),FALSE))),VLOOKUP($C124,武器!$1:$998,COLUMN($O$1),FALSE)*VLOOKUP($D124,素材!$1:$1016,COLUMN($E$1),FALSE)/(LEN(VLOOKUP($D124,素材!$1:$1016,COLUMN($F$1),FALSE))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AZ124">
        <f>IF(ISNUMBER(SEARCH(SUBSTITUTE(AZ$1,RIGHT(AZ$1,2),""),VLOOKUP($D124,素材!$1:$1016,COLUMN($F$1),FALSE))),VLOOKUP($C124,武器!$1:$998,COLUMN($O$1),FALSE)*VLOOKUP($D124,素材!$1:$1016,COLUMN($E$1),FALSE)/(LEN(VLOOKUP($D124,素材!$1:$1016,COLUMN($F$1),FALSE))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BA124">
        <f>IF(ISNUMBER(SEARCH(SUBSTITUTE(BA$1,RIGHT(BA$1,2),""),VLOOKUP($D124,素材!$1:$1016,COLUMN($F$1),FALSE))),VLOOKUP($C124,武器!$1:$998,COLUMN($O$1),FALSE)*VLOOKUP($D124,素材!$1:$1016,COLUMN($E$1),FALSE)/(LEN(VLOOKUP($D124,素材!$1:$1016,COLUMN($F$1),FALSE))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BB124">
        <f>IF(ISNUMBER(SEARCH(SUBSTITUTE(BB$1,RIGHT(BB$1,2),""),VLOOKUP($D124,素材!$1:$1016,COLUMN($F$1),FALSE))),VLOOKUP($C124,武器!$1:$998,COLUMN($O$1),FALSE)*VLOOKUP($D124,素材!$1:$1016,COLUMN($E$1),FALSE)/(LEN(VLOOKUP($D124,素材!$1:$1016,COLUMN($F$1),FALSE))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BC124">
        <f>IF(ISNUMBER(SEARCH(SUBSTITUTE(BC$1,RIGHT(BC$1,2),""),VLOOKUP($D124,素材!$1:$1016,COLUMN($F$1),FALSE))),VLOOKUP($C124,武器!$1:$998,COLUMN($O$1),FALSE)*VLOOKUP($D124,素材!$1:$1016,COLUMN($E$1),FALSE)/(LEN(VLOOKUP($D124,素材!$1:$1016,COLUMN($F$1),FALSE))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BD124">
        <f>IF(ISNUMBER(SEARCH(SUBSTITUTE(BD$1,RIGHT(BD$1,2),""),VLOOKUP($D124,素材!$1:$1016,COLUMN($F$1),FALSE))),VLOOKUP($C124,武器!$1:$998,COLUMN($O$1),FALSE)*VLOOKUP($D124,素材!$1:$1016,COLUMN($E$1),FALSE)/(LEN(VLOOKUP($D124,素材!$1:$1016,COLUMN($F$1),FALSE))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BE124">
        <f>IF(ISNUMBER(SEARCH(SUBSTITUTE(BE$1,RIGHT(BE$1,2),""),VLOOKUP($D124,素材!$1:$1016,COLUMN($F$1),FALSE))),VLOOKUP($C124,武器!$1:$998,COLUMN($O$1),FALSE)*VLOOKUP($D124,素材!$1:$1016,COLUMN($E$1),FALSE)/(LEN(VLOOKUP($D124,素材!$1:$1016,COLUMN($F$1),FALSE))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BF124">
        <f>IF(ISNUMBER(SEARCH(SUBSTITUTE(BF$1,RIGHT(BF$1,2),""),VLOOKUP($D124,素材!$1:$1016,COLUMN($F$1),FALSE))),VLOOKUP($C124,武器!$1:$998,COLUMN($O$1),FALSE)*VLOOKUP($D124,素材!$1:$1016,COLUMN($E$1),FALSE)/(LEN(VLOOKUP($D124,素材!$1:$1016,COLUMN($F$1),FALSE)) - LEN(SUBSTITUTE(VLOOKUP($D124,素材!$1:$1016,COLUMN($F$1),FALSE), "・", 0)) + 1), 0)</f>
        <v>0</v>
      </c>
      <c r="CM124">
        <f t="shared" si="8"/>
        <v>0</v>
      </c>
      <c r="CN124" s="22" t="str">
        <f>IF(E124="武器",IF(J124-1&gt;SUM(G124:I124),"盾",IF(MAX(G124:I124)=G124,"切断",IF(MAX(G124:I124)=H124,"貫通",IF(MAX(G124:I124)=I124,"打撃","射撃")))),E124)&amp;".webp"</f>
        <v>体.webp</v>
      </c>
      <c r="CO124">
        <f>IFERROR(VLOOKUP($C124,武器!$1:$998,COLUMN(V$1),FALSE)*VLOOKUP($D124,素材!$1:$1016,COLUMN(N$1),FALSE)+IF(CJ124="",0,VLOOKUP($CJ124,装強!$1:$1008,COLUMN($CL$1),FALSE)),"")</f>
        <v>600</v>
      </c>
      <c r="CP124" t="str">
        <f>VLOOKUP(D124,素材!$A:$O,COLUMN(素材!O$1),FALSE)</f>
        <v>野生動物から得られる丈夫な皮素材。皮装備の性能を向上させ、基本的な防護性能を備えています。</v>
      </c>
      <c r="CQ124" t="str">
        <f>VLOOKUP(C124,武器!$A:$W,COLUMN(武器!W$1),FALSE)</f>
        <v>HP 物理 魔法 体幹 出血 疲労 Cr</v>
      </c>
      <c r="CS124" t="str">
        <f t="shared" si="7"/>
        <v>e_124</v>
      </c>
      <c r="CT124">
        <f t="shared" si="9"/>
        <v>60000</v>
      </c>
    </row>
    <row r="125" spans="1:98" outlineLevel="1" x14ac:dyDescent="0.4">
      <c r="A125" t="str">
        <f t="shared" si="10"/>
        <v>獣皮の胴衣</v>
      </c>
      <c r="B125" t="str">
        <f>IFERROR(VLOOKUP($D125,素材!$1:$1016,COLUMN($B$1),FALSE)&amp;"・"&amp;VLOOKUP($C125,武器!$1:$998,COLUMN(B$1),FALSE),"")</f>
        <v>ビーストレザー・ベスト</v>
      </c>
      <c r="C125" t="s">
        <v>207</v>
      </c>
      <c r="D125" s="24" t="s">
        <v>251</v>
      </c>
      <c r="E125" t="str">
        <f>IFERROR(VLOOKUP(C125,武器!$1:$998,COLUMN(C$1),FALSE),"")</f>
        <v>体</v>
      </c>
      <c r="F125">
        <f>IFERROR(ROUNDDOWN((VLOOKUP($C125,武器!$1:$998,COLUMN(D$1),FALSE)+IFERROR(VLOOKUP($CJ125,装強!$1:$999,COLUMN(F$1),FALSE),0))*VLOOKUP($D125,素材!$1:$1016,COLUMN(D$1),FALSE),0),"")</f>
        <v>0</v>
      </c>
      <c r="G125">
        <f>IFERROR(ROUNDDOWN((VLOOKUP($C125,武器!$1:$998,COLUMN(E$1),FALSE)+IFERROR(VLOOKUP($CJ125,装強!$1:$999,COLUMN(G$1),FALSE),0))*VLOOKUP($D125,素材!$1:$1016,COLUMN($E$1),FALSE),0),"")</f>
        <v>0</v>
      </c>
      <c r="H125">
        <f>IFERROR(ROUNDDOWN((VLOOKUP($C125,武器!$1:$998,COLUMN(F$1),FALSE)+IFERROR(VLOOKUP($CJ125,装強!$1:$999,COLUMN(H$1),FALSE),0))*VLOOKUP($D125,素材!$1:$1016,COLUMN($E$1),FALSE),0),"")</f>
        <v>0</v>
      </c>
      <c r="I125">
        <f>IFERROR(ROUNDDOWN((VLOOKUP($C125,武器!$1:$998,COLUMN(G$1),FALSE)+IFERROR(VLOOKUP($CJ125,装強!$1:$999,COLUMN(I$1),FALSE),0))*VLOOKUP($D125,素材!$1:$1016,COLUMN($E$1),FALSE),0),"")</f>
        <v>0</v>
      </c>
      <c r="J125">
        <f>IFERROR(ROUNDDOWN((VLOOKUP($C125,武器!$1:$998,COLUMN(H$1),FALSE)+IFERROR(VLOOKUP($CJ125,装強!$1:$999,COLUMN(J$1),FALSE),0))*VLOOKUP($D125,素材!$1:$1016,COLUMN($E$1),FALSE),0),"")</f>
        <v>0</v>
      </c>
      <c r="K125">
        <f>IFERROR(ROUNDDOWN((VLOOKUP($C125,武器!$1:$998,COLUMN(I$1),FALSE)+IFERROR(VLOOKUP($CJ125,装強!$1:$999,COLUMN(K$1),FALSE),0))*VLOOKUP($D125,素材!$1:$1016,COLUMN($E$1),FALSE),0),"")</f>
        <v>0</v>
      </c>
      <c r="L125" t="str">
        <f>IFERROR(VLOOKUP($D125,素材!$1:$1016,COLUMN($F$1),FALSE),"")</f>
        <v>-</v>
      </c>
      <c r="M125" t="str">
        <f>IFERROR(VLOOKUP($C125,武器!$1:$998,COLUMN(AA$1),FALSE)*VLOOKUP($D125,素材!$1:$1016,COLUMN($G$1),FALSE),"")</f>
        <v/>
      </c>
      <c r="N125">
        <f>IFERROR(VLOOKUP($C125,武器!$1:$998,COLUMN(I$1),FALSE),"")</f>
        <v>0</v>
      </c>
      <c r="O125" s="23" t="str">
        <f>IFERROR((VLOOKUP($C125,武器!$1:$998,COLUMN(K$1),FALSE)+VLOOKUP($D125,素材!$1:$1016,COLUMN(H$1),FALSE))*100+IFERROR(VLOOKUP($CJ125,装強!$1:$999,COLUMN(O$1),FALSE),0),"")</f>
        <v/>
      </c>
      <c r="P125" s="23" t="str">
        <f>IFERROR((VLOOKUP($C125,武器!$1:$998,COLUMN(L$1),FALSE)+VLOOKUP($D125,素材!$1:$1016,COLUMN(I$1),FALSE))*100+IFERROR(VLOOKUP($CJ125,装強!$1:$999,COLUMN(P$1),FALSE),0),"")</f>
        <v/>
      </c>
      <c r="Q125">
        <f>IFERROR(ROUNDUP(VLOOKUP($C125,武器!$1:$998,COLUMN(M$1),FALSE)*(VLOOKUP($D125,素材!$1:$1002,COLUMN(D$1),FALSE)/100),1),"")</f>
        <v>-3</v>
      </c>
      <c r="R125">
        <f>IFERROR(ROUNDUP(VLOOKUP($C125,武器!$1:$998,COLUMN(N$1),FALSE)*(VLOOKUP($D125,素材!$1:$1002,COLUMN(D$1),FALSE)/100),1),"")</f>
        <v>0</v>
      </c>
      <c r="S125">
        <f>IFERROR(VLOOKUP($C125,武器!$1:$998,COLUMN(P$1),FALSE),"")</f>
        <v>0</v>
      </c>
      <c r="T125">
        <f>IFERROR(VLOOKUP($C125,武器!$1:$998,COLUMN(Q$1),FALSE),"")</f>
        <v>0</v>
      </c>
      <c r="U125">
        <f>IFERROR(VLOOKUP($C125,武器!$1:$998,COLUMN(R$1),FALSE),"")</f>
        <v>0</v>
      </c>
      <c r="V125">
        <f>IFERROR(VLOOKUP($C125,武器!$1:$998,COLUMN(Q$1),FALSE),"")</f>
        <v>0</v>
      </c>
      <c r="W125">
        <f>IFERROR(VLOOKUP($C125,武器!$1:$998,COLUMN(T$1),FALSE),"")</f>
        <v>0</v>
      </c>
      <c r="Y125">
        <f>IFERROR(VLOOKUP($C125,武器!$1:$998,COLUMN(U$1),FALSE),"")</f>
        <v>0</v>
      </c>
      <c r="Z125">
        <f>IFERROR(ROUNDUP(VLOOKUP($C125,武器!$1:$998,COLUMN(O$1),FALSE)*VLOOKUP($D125,素材!$1:$1016,COLUMN(E$1),FALSE),1),"")</f>
        <v>7.5</v>
      </c>
      <c r="AA125">
        <f>IF(ISNUMBER(SEARCH(SUBSTITUTE(AA$1,RIGHT(AA$1,2),""),VLOOKUP($D125,素材!$1:$1016,COLUMN($F$1),FALSE))),VLOOKUP($C125,武器!$1:$998,COLUMN($O$1),FALSE)*VLOOKUP($D125,素材!$1:$1016,COLUMN($E$1),FALSE)/(LEN(VLOOKUP($D125,素材!$1:$1016,COLUMN($F$1),FALSE))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B125">
        <f>IF(ISNUMBER(SEARCH(SUBSTITUTE(AB$1,RIGHT(AB$1,2),""),VLOOKUP($D125,素材!$1:$1016,COLUMN($F$1),FALSE))),VLOOKUP($C125,武器!$1:$998,COLUMN($O$1),FALSE)*VLOOKUP($D125,素材!$1:$1016,COLUMN($E$1),FALSE)/(LEN(VLOOKUP($D125,素材!$1:$1016,COLUMN($F$1),FALSE))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C125">
        <f>IF(ISNUMBER(SEARCH(SUBSTITUTE(AC$1,RIGHT(AC$1,2),""),VLOOKUP($D125,素材!$1:$1016,COLUMN($F$1),FALSE))),VLOOKUP($C125,武器!$1:$998,COLUMN($O$1),FALSE)*VLOOKUP($D125,素材!$1:$1016,COLUMN($E$1),FALSE)/(LEN(VLOOKUP($D125,素材!$1:$1016,COLUMN($F$1),FALSE))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D125">
        <f>IF(ISNUMBER(SEARCH(SUBSTITUTE(AD$1,RIGHT(AD$1,2),""),VLOOKUP($D125,素材!$1:$1016,COLUMN($F$1),FALSE))),VLOOKUP($C125,武器!$1:$998,COLUMN($O$1),FALSE)*VLOOKUP($D125,素材!$1:$1016,COLUMN($E$1),FALSE)/(LEN(VLOOKUP($D125,素材!$1:$1016,COLUMN($F$1),FALSE))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E125">
        <f>IF(ISNUMBER(SEARCH(SUBSTITUTE(AE$1,RIGHT(AE$1,2),""),VLOOKUP($D125,素材!$1:$1016,COLUMN($F$1),FALSE))),VLOOKUP($C125,武器!$1:$998,COLUMN($O$1),FALSE)*VLOOKUP($D125,素材!$1:$1016,COLUMN($E$1),FALSE)/(LEN(VLOOKUP($D125,素材!$1:$1016,COLUMN($F$1),FALSE))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F125">
        <f>IF(ISNUMBER(SEARCH(SUBSTITUTE(AF$1,RIGHT(AF$1,2),""),VLOOKUP($D125,素材!$1:$1016,COLUMN($F$1),FALSE))),VLOOKUP($C125,武器!$1:$998,COLUMN($O$1),FALSE)*VLOOKUP($D125,素材!$1:$1016,COLUMN($E$1),FALSE)/(LEN(VLOOKUP($D125,素材!$1:$1016,COLUMN($F$1),FALSE))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G125">
        <f>IF(ISNUMBER(SEARCH(SUBSTITUTE(AG$1,RIGHT(AG$1,2),""),VLOOKUP($D125,素材!$1:$1016,COLUMN($F$1),FALSE))),VLOOKUP($C125,武器!$1:$998,COLUMN($O$1),FALSE)*VLOOKUP($D125,素材!$1:$1016,COLUMN($E$1),FALSE)/(LEN(VLOOKUP($D125,素材!$1:$1016,COLUMN($F$1),FALSE))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H125">
        <f>IF(ISNUMBER(SEARCH(SUBSTITUTE(AH$1,RIGHT(AH$1,2),""),VLOOKUP($D125,素材!$1:$1016,COLUMN($F$1),FALSE))),VLOOKUP($C125,武器!$1:$998,COLUMN($O$1),FALSE)*VLOOKUP($D125,素材!$1:$1016,COLUMN($E$1),FALSE)/(LEN(VLOOKUP($D125,素材!$1:$1016,COLUMN($F$1),FALSE))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I125">
        <f>IF(ISNUMBER(SEARCH(SUBSTITUTE(AI$1,RIGHT(AI$1,2),""),VLOOKUP($D125,素材!$1:$1016,COLUMN($F$1),FALSE))),VLOOKUP($C125,武器!$1:$998,COLUMN($O$1),FALSE)*VLOOKUP($D125,素材!$1:$1016,COLUMN($E$1),FALSE)/(LEN(VLOOKUP($D125,素材!$1:$1016,COLUMN($F$1),FALSE))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J125">
        <f>IF(ISNUMBER(SEARCH(SUBSTITUTE(AJ$1,RIGHT(AJ$1,2),""),VLOOKUP($D125,素材!$1:$1016,COLUMN($F$1),FALSE))),VLOOKUP($C125,武器!$1:$998,COLUMN($O$1),FALSE)*VLOOKUP($D125,素材!$1:$1016,COLUMN($E$1),FALSE)/(LEN(VLOOKUP($D125,素材!$1:$1016,COLUMN($F$1),FALSE))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K125">
        <f>IF(ISNUMBER(SEARCH(SUBSTITUTE(AK$1,RIGHT(AK$1,2),""),VLOOKUP($D125,素材!$1:$1016,COLUMN($F$1),FALSE))),VLOOKUP($C125,武器!$1:$998,COLUMN($O$1),FALSE)*VLOOKUP($D125,素材!$1:$1016,COLUMN($E$1),FALSE)/(LEN(VLOOKUP($D125,素材!$1:$1016,COLUMN($F$1),FALSE))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L125">
        <f>IF(ISNUMBER(SEARCH(SUBSTITUTE(AL$1,RIGHT(AL$1,2),""),VLOOKUP($D125,素材!$1:$1016,COLUMN($F$1),FALSE))),VLOOKUP($C125,武器!$1:$998,COLUMN($O$1),FALSE)*VLOOKUP($D125,素材!$1:$1016,COLUMN($E$1),FALSE)/(LEN(VLOOKUP($D125,素材!$1:$1016,COLUMN($F$1),FALSE))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M125">
        <f>IF(ISNUMBER(SEARCH(SUBSTITUTE(AM$1,RIGHT(AM$1,2),""),VLOOKUP($D125,素材!$1:$1016,COLUMN($F$1),FALSE))),VLOOKUP($C125,武器!$1:$998,COLUMN($O$1),FALSE)*VLOOKUP($D125,素材!$1:$1016,COLUMN($E$1),FALSE)/(LEN(VLOOKUP($D125,素材!$1:$1016,COLUMN($F$1),FALSE))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N125">
        <f>IF(ISNUMBER(SEARCH(SUBSTITUTE(AN$1,RIGHT(AN$1,2),""),VLOOKUP($D125,素材!$1:$1016,COLUMN($F$1),FALSE))),VLOOKUP($C125,武器!$1:$998,COLUMN($O$1),FALSE)*VLOOKUP($D125,素材!$1:$1016,COLUMN($E$1),FALSE)/(LEN(VLOOKUP($D125,素材!$1:$1016,COLUMN($F$1),FALSE))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O125">
        <f>IF(ISNUMBER(SEARCH(SUBSTITUTE(AO$1,RIGHT(AO$1,2),""),VLOOKUP($D125,素材!$1:$1016,COLUMN($F$1),FALSE))),VLOOKUP($C125,武器!$1:$998,COLUMN($O$1),FALSE)*VLOOKUP($D125,素材!$1:$1016,COLUMN($E$1),FALSE)/(LEN(VLOOKUP($D125,素材!$1:$1016,COLUMN($F$1),FALSE))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P125">
        <f>IF(ISNUMBER(SEARCH(SUBSTITUTE(AP$1,RIGHT(AP$1,2),""),VLOOKUP($D125,素材!$1:$1016,COLUMN($F$1),FALSE))),VLOOKUP($C125,武器!$1:$998,COLUMN($O$1),FALSE)*VLOOKUP($D125,素材!$1:$1016,COLUMN($E$1),FALSE)/(LEN(VLOOKUP($D125,素材!$1:$1016,COLUMN($F$1),FALSE))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Q125">
        <f>IF(ISNUMBER(SEARCH(SUBSTITUTE(AQ$1,RIGHT(AQ$1,2),""),VLOOKUP($D125,素材!$1:$1016,COLUMN($F$1),FALSE))),VLOOKUP($C125,武器!$1:$998,COLUMN($O$1),FALSE)*VLOOKUP($D125,素材!$1:$1016,COLUMN($E$1),FALSE)/(LEN(VLOOKUP($D125,素材!$1:$1016,COLUMN($F$1),FALSE))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R125">
        <f>IF(ISNUMBER(SEARCH(SUBSTITUTE(AR$1,RIGHT(AR$1,2),""),VLOOKUP($D125,素材!$1:$1016,COLUMN($F$1),FALSE))),VLOOKUP($C125,武器!$1:$998,COLUMN($O$1),FALSE)*VLOOKUP($D125,素材!$1:$1016,COLUMN($E$1),FALSE)/(LEN(VLOOKUP($D125,素材!$1:$1016,COLUMN($F$1),FALSE))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S125">
        <f>IF(ISNUMBER(SEARCH(SUBSTITUTE(AS$1,RIGHT(AS$1,2),""),VLOOKUP($D125,素材!$1:$1016,COLUMN($F$1),FALSE))),VLOOKUP($C125,武器!$1:$998,COLUMN($O$1),FALSE)*VLOOKUP($D125,素材!$1:$1016,COLUMN($E$1),FALSE)/(LEN(VLOOKUP($D125,素材!$1:$1016,COLUMN($F$1),FALSE))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T125">
        <f>IF(ISNUMBER(SEARCH(SUBSTITUTE(AT$1,RIGHT(AT$1,2),""),VLOOKUP($D125,素材!$1:$1016,COLUMN($F$1),FALSE))),VLOOKUP($C125,武器!$1:$998,COLUMN($O$1),FALSE)*VLOOKUP($D125,素材!$1:$1016,COLUMN($E$1),FALSE)/(LEN(VLOOKUP($D125,素材!$1:$1016,COLUMN($F$1),FALSE))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U125">
        <f>IF(ISNUMBER(SEARCH(SUBSTITUTE(AU$1,RIGHT(AU$1,2),""),VLOOKUP($D125,素材!$1:$1016,COLUMN($F$1),FALSE))),VLOOKUP($C125,武器!$1:$998,COLUMN($O$1),FALSE)*VLOOKUP($D125,素材!$1:$1016,COLUMN($E$1),FALSE)/(LEN(VLOOKUP($D125,素材!$1:$1016,COLUMN($F$1),FALSE))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V125">
        <f>IF(ISNUMBER(SEARCH(SUBSTITUTE(AV$1,RIGHT(AV$1,2),""),VLOOKUP($D125,素材!$1:$1016,COLUMN($F$1),FALSE))),VLOOKUP($C125,武器!$1:$998,COLUMN($O$1),FALSE)*VLOOKUP($D125,素材!$1:$1016,COLUMN($E$1),FALSE)/(LEN(VLOOKUP($D125,素材!$1:$1016,COLUMN($F$1),FALSE))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W125">
        <f>IF(ISNUMBER(SEARCH(SUBSTITUTE(AW$1,RIGHT(AW$1,2),""),VLOOKUP($D125,素材!$1:$1016,COLUMN($F$1),FALSE))),VLOOKUP($C125,武器!$1:$998,COLUMN($O$1),FALSE)*VLOOKUP($D125,素材!$1:$1016,COLUMN($E$1),FALSE)/(LEN(VLOOKUP($D125,素材!$1:$1016,COLUMN($F$1),FALSE))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X125">
        <f>IF(ISNUMBER(SEARCH(SUBSTITUTE(AX$1,RIGHT(AX$1,2),""),VLOOKUP($D125,素材!$1:$1016,COLUMN($F$1),FALSE))),VLOOKUP($C125,武器!$1:$998,COLUMN($O$1),FALSE)*VLOOKUP($D125,素材!$1:$1016,COLUMN($E$1),FALSE)/(LEN(VLOOKUP($D125,素材!$1:$1016,COLUMN($F$1),FALSE))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Y125">
        <f>IF(ISNUMBER(SEARCH(SUBSTITUTE(AY$1,RIGHT(AY$1,2),""),VLOOKUP($D125,素材!$1:$1016,COLUMN($F$1),FALSE))),VLOOKUP($C125,武器!$1:$998,COLUMN($O$1),FALSE)*VLOOKUP($D125,素材!$1:$1016,COLUMN($E$1),FALSE)/(LEN(VLOOKUP($D125,素材!$1:$1016,COLUMN($F$1),FALSE))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AZ125">
        <f>IF(ISNUMBER(SEARCH(SUBSTITUTE(AZ$1,RIGHT(AZ$1,2),""),VLOOKUP($D125,素材!$1:$1016,COLUMN($F$1),FALSE))),VLOOKUP($C125,武器!$1:$998,COLUMN($O$1),FALSE)*VLOOKUP($D125,素材!$1:$1016,COLUMN($E$1),FALSE)/(LEN(VLOOKUP($D125,素材!$1:$1016,COLUMN($F$1),FALSE))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BA125">
        <f>IF(ISNUMBER(SEARCH(SUBSTITUTE(BA$1,RIGHT(BA$1,2),""),VLOOKUP($D125,素材!$1:$1016,COLUMN($F$1),FALSE))),VLOOKUP($C125,武器!$1:$998,COLUMN($O$1),FALSE)*VLOOKUP($D125,素材!$1:$1016,COLUMN($E$1),FALSE)/(LEN(VLOOKUP($D125,素材!$1:$1016,COLUMN($F$1),FALSE))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BB125">
        <f>IF(ISNUMBER(SEARCH(SUBSTITUTE(BB$1,RIGHT(BB$1,2),""),VLOOKUP($D125,素材!$1:$1016,COLUMN($F$1),FALSE))),VLOOKUP($C125,武器!$1:$998,COLUMN($O$1),FALSE)*VLOOKUP($D125,素材!$1:$1016,COLUMN($E$1),FALSE)/(LEN(VLOOKUP($D125,素材!$1:$1016,COLUMN($F$1),FALSE))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BC125">
        <f>IF(ISNUMBER(SEARCH(SUBSTITUTE(BC$1,RIGHT(BC$1,2),""),VLOOKUP($D125,素材!$1:$1016,COLUMN($F$1),FALSE))),VLOOKUP($C125,武器!$1:$998,COLUMN($O$1),FALSE)*VLOOKUP($D125,素材!$1:$1016,COLUMN($E$1),FALSE)/(LEN(VLOOKUP($D125,素材!$1:$1016,COLUMN($F$1),FALSE))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BD125">
        <f>IF(ISNUMBER(SEARCH(SUBSTITUTE(BD$1,RIGHT(BD$1,2),""),VLOOKUP($D125,素材!$1:$1016,COLUMN($F$1),FALSE))),VLOOKUP($C125,武器!$1:$998,COLUMN($O$1),FALSE)*VLOOKUP($D125,素材!$1:$1016,COLUMN($E$1),FALSE)/(LEN(VLOOKUP($D125,素材!$1:$1016,COLUMN($F$1),FALSE))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BE125">
        <f>IF(ISNUMBER(SEARCH(SUBSTITUTE(BE$1,RIGHT(BE$1,2),""),VLOOKUP($D125,素材!$1:$1016,COLUMN($F$1),FALSE))),VLOOKUP($C125,武器!$1:$998,COLUMN($O$1),FALSE)*VLOOKUP($D125,素材!$1:$1016,COLUMN($E$1),FALSE)/(LEN(VLOOKUP($D125,素材!$1:$1016,COLUMN($F$1),FALSE))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BF125">
        <f>IF(ISNUMBER(SEARCH(SUBSTITUTE(BF$1,RIGHT(BF$1,2),""),VLOOKUP($D125,素材!$1:$1016,COLUMN($F$1),FALSE))),VLOOKUP($C125,武器!$1:$998,COLUMN($O$1),FALSE)*VLOOKUP($D125,素材!$1:$1016,COLUMN($E$1),FALSE)/(LEN(VLOOKUP($D125,素材!$1:$1016,COLUMN($F$1),FALSE)) - LEN(SUBSTITUTE(VLOOKUP($D125,素材!$1:$1016,COLUMN($F$1),FALSE), "・", 0)) + 1), 0)</f>
        <v>0</v>
      </c>
      <c r="CM125">
        <f t="shared" si="8"/>
        <v>0</v>
      </c>
      <c r="CN125" s="22" t="str">
        <f>IF(E125="武器",IF(J125-1&gt;SUM(G125:I125),"盾",IF(MAX(G125:I125)=G125,"切断",IF(MAX(G125:I125)=H125,"貫通",IF(MAX(G125:I125)=I125,"打撃","射撃")))),E125)&amp;".webp"</f>
        <v>体.webp</v>
      </c>
      <c r="CO125">
        <f>IFERROR(VLOOKUP($C125,武器!$1:$998,COLUMN(V$1),FALSE)*VLOOKUP($D125,素材!$1:$1016,COLUMN(N$1),FALSE)+IF(CJ125="",0,VLOOKUP($CJ125,装強!$1:$1008,COLUMN($CL$1),FALSE)),"")</f>
        <v>500</v>
      </c>
      <c r="CP125" t="str">
        <f>VLOOKUP(D125,素材!$A:$O,COLUMN(素材!O$1),FALSE)</f>
        <v>野生動物から得られる丈夫な皮素材。皮装備の性能を向上させ、基本的な防護性能を備えています。</v>
      </c>
      <c r="CQ125" t="str">
        <f>VLOOKUP(C125,武器!$A:$W,COLUMN(武器!W$1),FALSE)</f>
        <v>HP 物理 魔法 体幹 出血 疲労 Cr</v>
      </c>
      <c r="CS125" t="str">
        <f t="shared" si="7"/>
        <v>e_125</v>
      </c>
      <c r="CT125">
        <f t="shared" si="9"/>
        <v>50000</v>
      </c>
    </row>
    <row r="126" spans="1:98" outlineLevel="1" x14ac:dyDescent="0.4">
      <c r="A126" t="str">
        <f t="shared" ref="A126" si="15">D126&amp;"の"&amp;C126</f>
        <v>軽皮の帽子</v>
      </c>
      <c r="B126" t="str">
        <f>IFERROR(VLOOKUP($D126,素材!$1:$1016,COLUMN($B$1),FALSE)&amp;"・"&amp;VLOOKUP($C126,武器!$1:$998,COLUMN(B$1),FALSE),"")</f>
        <v>ライトレザー・ハット</v>
      </c>
      <c r="C126" t="s">
        <v>1196</v>
      </c>
      <c r="D126" s="24" t="s">
        <v>250</v>
      </c>
      <c r="E126" t="str">
        <f>IFERROR(VLOOKUP(C126,武器!$1:$998,COLUMN(C$1),FALSE),"")</f>
        <v>頭</v>
      </c>
      <c r="F126">
        <f>IFERROR(ROUNDDOWN((VLOOKUP($C126,武器!$1:$998,COLUMN(D$1),FALSE)+IFERROR(VLOOKUP($CJ126,装強!$1:$999,COLUMN(F$1),FALSE),0))*VLOOKUP($D126,素材!$1:$1016,COLUMN(D$1),FALSE),0),"")</f>
        <v>0</v>
      </c>
      <c r="G126">
        <f>IFERROR(ROUNDDOWN((VLOOKUP($C126,武器!$1:$998,COLUMN(E$1),FALSE)+IFERROR(VLOOKUP($CJ126,装強!$1:$999,COLUMN(G$1),FALSE),0))*VLOOKUP($D126,素材!$1:$1016,COLUMN($E$1),FALSE),0),"")</f>
        <v>0</v>
      </c>
      <c r="H126">
        <f>IFERROR(ROUNDDOWN((VLOOKUP($C126,武器!$1:$998,COLUMN(F$1),FALSE)+IFERROR(VLOOKUP($CJ126,装強!$1:$999,COLUMN(H$1),FALSE),0))*VLOOKUP($D126,素材!$1:$1016,COLUMN($E$1),FALSE),0),"")</f>
        <v>0</v>
      </c>
      <c r="I126">
        <f>IFERROR(ROUNDDOWN((VLOOKUP($C126,武器!$1:$998,COLUMN(G$1),FALSE)+IFERROR(VLOOKUP($CJ126,装強!$1:$999,COLUMN(I$1),FALSE),0))*VLOOKUP($D126,素材!$1:$1016,COLUMN($E$1),FALSE),0),"")</f>
        <v>0</v>
      </c>
      <c r="J126">
        <f>IFERROR(ROUNDDOWN((VLOOKUP($C126,武器!$1:$998,COLUMN(H$1),FALSE)+IFERROR(VLOOKUP($CJ126,装強!$1:$999,COLUMN(J$1),FALSE),0))*VLOOKUP($D126,素材!$1:$1016,COLUMN($E$1),FALSE),0),"")</f>
        <v>0</v>
      </c>
      <c r="K126">
        <f>IFERROR(ROUNDDOWN((VLOOKUP($C126,武器!$1:$998,COLUMN(I$1),FALSE)+IFERROR(VLOOKUP($CJ126,装強!$1:$999,COLUMN(K$1),FALSE),0))*VLOOKUP($D126,素材!$1:$1016,COLUMN($E$1),FALSE),0),"")</f>
        <v>0</v>
      </c>
      <c r="L126" t="str">
        <f>IFERROR(VLOOKUP($D126,素材!$1:$1016,COLUMN($F$1),FALSE),"")</f>
        <v>-</v>
      </c>
      <c r="M126" t="str">
        <f>IFERROR(VLOOKUP($C126,武器!$1:$998,COLUMN(AA$1),FALSE)*VLOOKUP($D126,素材!$1:$1016,COLUMN($G$1),FALSE),"")</f>
        <v/>
      </c>
      <c r="N126">
        <f>IFERROR(VLOOKUP($C126,武器!$1:$998,COLUMN(I$1),FALSE),"")</f>
        <v>0</v>
      </c>
      <c r="O126" s="23" t="str">
        <f>IFERROR((VLOOKUP($C126,武器!$1:$998,COLUMN(K$1),FALSE)+VLOOKUP($D126,素材!$1:$1016,COLUMN(H$1),FALSE))*100+IFERROR(VLOOKUP($CJ126,装強!$1:$999,COLUMN(O$1),FALSE),0),"")</f>
        <v/>
      </c>
      <c r="P126" s="23" t="str">
        <f>IFERROR((VLOOKUP($C126,武器!$1:$998,COLUMN(L$1),FALSE)+VLOOKUP($D126,素材!$1:$1016,COLUMN(I$1),FALSE))*100+IFERROR(VLOOKUP($CJ126,装強!$1:$999,COLUMN(P$1),FALSE),0),"")</f>
        <v/>
      </c>
      <c r="Q126">
        <f>IFERROR(ROUNDUP(VLOOKUP($C126,武器!$1:$998,COLUMN(M$1),FALSE)*(VLOOKUP($D126,素材!$1:$1002,COLUMN(D$1),FALSE)/100),1),"")</f>
        <v>0</v>
      </c>
      <c r="R126">
        <f>IFERROR(ROUNDUP(VLOOKUP($C126,武器!$1:$998,COLUMN(N$1),FALSE)*(VLOOKUP($D126,素材!$1:$1002,COLUMN(D$1),FALSE)/100),1),"")</f>
        <v>0</v>
      </c>
      <c r="S126">
        <f>IFERROR(VLOOKUP($C126,武器!$1:$998,COLUMN(P$1),FALSE),"")</f>
        <v>0</v>
      </c>
      <c r="T126">
        <f>IFERROR(VLOOKUP($C126,武器!$1:$998,COLUMN(Q$1),FALSE),"")</f>
        <v>0</v>
      </c>
      <c r="U126">
        <f>IFERROR(VLOOKUP($C126,武器!$1:$998,COLUMN(R$1),FALSE),"")</f>
        <v>0</v>
      </c>
      <c r="V126">
        <f>IFERROR(VLOOKUP($C126,武器!$1:$998,COLUMN(Q$1),FALSE),"")</f>
        <v>0</v>
      </c>
      <c r="W126">
        <f>IFERROR(VLOOKUP($C126,武器!$1:$998,COLUMN(T$1),FALSE),"")</f>
        <v>0</v>
      </c>
      <c r="Y126">
        <f>IFERROR(VLOOKUP($C126,武器!$1:$998,COLUMN(U$1),FALSE),"")</f>
        <v>0</v>
      </c>
      <c r="Z126">
        <f>IFERROR(ROUNDUP(VLOOKUP($C126,武器!$1:$998,COLUMN(O$1),FALSE)*VLOOKUP($D126,素材!$1:$1016,COLUMN(E$1),FALSE),1),"")</f>
        <v>1.5</v>
      </c>
      <c r="AA126">
        <f>IF(ISNUMBER(SEARCH(SUBSTITUTE(AA$1,RIGHT(AA$1,2),""),VLOOKUP($D126,素材!$1:$1016,COLUMN($F$1),FALSE))),VLOOKUP($C126,武器!$1:$998,COLUMN($O$1),FALSE)*VLOOKUP($D126,素材!$1:$1016,COLUMN($E$1),FALSE)/(LEN(VLOOKUP($D126,素材!$1:$1016,COLUMN($F$1),FALSE))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B126">
        <f>IF(ISNUMBER(SEARCH(SUBSTITUTE(AB$1,RIGHT(AB$1,2),""),VLOOKUP($D126,素材!$1:$1016,COLUMN($F$1),FALSE))),VLOOKUP($C126,武器!$1:$998,COLUMN($O$1),FALSE)*VLOOKUP($D126,素材!$1:$1016,COLUMN($E$1),FALSE)/(LEN(VLOOKUP($D126,素材!$1:$1016,COLUMN($F$1),FALSE))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C126">
        <f>IF(ISNUMBER(SEARCH(SUBSTITUTE(AC$1,RIGHT(AC$1,2),""),VLOOKUP($D126,素材!$1:$1016,COLUMN($F$1),FALSE))),VLOOKUP($C126,武器!$1:$998,COLUMN($O$1),FALSE)*VLOOKUP($D126,素材!$1:$1016,COLUMN($E$1),FALSE)/(LEN(VLOOKUP($D126,素材!$1:$1016,COLUMN($F$1),FALSE))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D126">
        <f>IF(ISNUMBER(SEARCH(SUBSTITUTE(AD$1,RIGHT(AD$1,2),""),VLOOKUP($D126,素材!$1:$1016,COLUMN($F$1),FALSE))),VLOOKUP($C126,武器!$1:$998,COLUMN($O$1),FALSE)*VLOOKUP($D126,素材!$1:$1016,COLUMN($E$1),FALSE)/(LEN(VLOOKUP($D126,素材!$1:$1016,COLUMN($F$1),FALSE))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E126">
        <f>IF(ISNUMBER(SEARCH(SUBSTITUTE(AE$1,RIGHT(AE$1,2),""),VLOOKUP($D126,素材!$1:$1016,COLUMN($F$1),FALSE))),VLOOKUP($C126,武器!$1:$998,COLUMN($O$1),FALSE)*VLOOKUP($D126,素材!$1:$1016,COLUMN($E$1),FALSE)/(LEN(VLOOKUP($D126,素材!$1:$1016,COLUMN($F$1),FALSE))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F126">
        <f>IF(ISNUMBER(SEARCH(SUBSTITUTE(AF$1,RIGHT(AF$1,2),""),VLOOKUP($D126,素材!$1:$1016,COLUMN($F$1),FALSE))),VLOOKUP($C126,武器!$1:$998,COLUMN($O$1),FALSE)*VLOOKUP($D126,素材!$1:$1016,COLUMN($E$1),FALSE)/(LEN(VLOOKUP($D126,素材!$1:$1016,COLUMN($F$1),FALSE))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G126">
        <f>IF(ISNUMBER(SEARCH(SUBSTITUTE(AG$1,RIGHT(AG$1,2),""),VLOOKUP($D126,素材!$1:$1016,COLUMN($F$1),FALSE))),VLOOKUP($C126,武器!$1:$998,COLUMN($O$1),FALSE)*VLOOKUP($D126,素材!$1:$1016,COLUMN($E$1),FALSE)/(LEN(VLOOKUP($D126,素材!$1:$1016,COLUMN($F$1),FALSE))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H126">
        <f>IF(ISNUMBER(SEARCH(SUBSTITUTE(AH$1,RIGHT(AH$1,2),""),VLOOKUP($D126,素材!$1:$1016,COLUMN($F$1),FALSE))),VLOOKUP($C126,武器!$1:$998,COLUMN($O$1),FALSE)*VLOOKUP($D126,素材!$1:$1016,COLUMN($E$1),FALSE)/(LEN(VLOOKUP($D126,素材!$1:$1016,COLUMN($F$1),FALSE))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I126">
        <f>IF(ISNUMBER(SEARCH(SUBSTITUTE(AI$1,RIGHT(AI$1,2),""),VLOOKUP($D126,素材!$1:$1016,COLUMN($F$1),FALSE))),VLOOKUP($C126,武器!$1:$998,COLUMN($O$1),FALSE)*VLOOKUP($D126,素材!$1:$1016,COLUMN($E$1),FALSE)/(LEN(VLOOKUP($D126,素材!$1:$1016,COLUMN($F$1),FALSE))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J126">
        <f>IF(ISNUMBER(SEARCH(SUBSTITUTE(AJ$1,RIGHT(AJ$1,2),""),VLOOKUP($D126,素材!$1:$1016,COLUMN($F$1),FALSE))),VLOOKUP($C126,武器!$1:$998,COLUMN($O$1),FALSE)*VLOOKUP($D126,素材!$1:$1016,COLUMN($E$1),FALSE)/(LEN(VLOOKUP($D126,素材!$1:$1016,COLUMN($F$1),FALSE))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K126">
        <f>IF(ISNUMBER(SEARCH(SUBSTITUTE(AK$1,RIGHT(AK$1,2),""),VLOOKUP($D126,素材!$1:$1016,COLUMN($F$1),FALSE))),VLOOKUP($C126,武器!$1:$998,COLUMN($O$1),FALSE)*VLOOKUP($D126,素材!$1:$1016,COLUMN($E$1),FALSE)/(LEN(VLOOKUP($D126,素材!$1:$1016,COLUMN($F$1),FALSE))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L126">
        <f>IF(ISNUMBER(SEARCH(SUBSTITUTE(AL$1,RIGHT(AL$1,2),""),VLOOKUP($D126,素材!$1:$1016,COLUMN($F$1),FALSE))),VLOOKUP($C126,武器!$1:$998,COLUMN($O$1),FALSE)*VLOOKUP($D126,素材!$1:$1016,COLUMN($E$1),FALSE)/(LEN(VLOOKUP($D126,素材!$1:$1016,COLUMN($F$1),FALSE))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M126">
        <f>IF(ISNUMBER(SEARCH(SUBSTITUTE(AM$1,RIGHT(AM$1,2),""),VLOOKUP($D126,素材!$1:$1016,COLUMN($F$1),FALSE))),VLOOKUP($C126,武器!$1:$998,COLUMN($O$1),FALSE)*VLOOKUP($D126,素材!$1:$1016,COLUMN($E$1),FALSE)/(LEN(VLOOKUP($D126,素材!$1:$1016,COLUMN($F$1),FALSE))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N126">
        <f>IF(ISNUMBER(SEARCH(SUBSTITUTE(AN$1,RIGHT(AN$1,2),""),VLOOKUP($D126,素材!$1:$1016,COLUMN($F$1),FALSE))),VLOOKUP($C126,武器!$1:$998,COLUMN($O$1),FALSE)*VLOOKUP($D126,素材!$1:$1016,COLUMN($E$1),FALSE)/(LEN(VLOOKUP($D126,素材!$1:$1016,COLUMN($F$1),FALSE))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O126">
        <f>IF(ISNUMBER(SEARCH(SUBSTITUTE(AO$1,RIGHT(AO$1,2),""),VLOOKUP($D126,素材!$1:$1016,COLUMN($F$1),FALSE))),VLOOKUP($C126,武器!$1:$998,COLUMN($O$1),FALSE)*VLOOKUP($D126,素材!$1:$1016,COLUMN($E$1),FALSE)/(LEN(VLOOKUP($D126,素材!$1:$1016,COLUMN($F$1),FALSE))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P126">
        <f>IF(ISNUMBER(SEARCH(SUBSTITUTE(AP$1,RIGHT(AP$1,2),""),VLOOKUP($D126,素材!$1:$1016,COLUMN($F$1),FALSE))),VLOOKUP($C126,武器!$1:$998,COLUMN($O$1),FALSE)*VLOOKUP($D126,素材!$1:$1016,COLUMN($E$1),FALSE)/(LEN(VLOOKUP($D126,素材!$1:$1016,COLUMN($F$1),FALSE))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Q126">
        <f>IF(ISNUMBER(SEARCH(SUBSTITUTE(AQ$1,RIGHT(AQ$1,2),""),VLOOKUP($D126,素材!$1:$1016,COLUMN($F$1),FALSE))),VLOOKUP($C126,武器!$1:$998,COLUMN($O$1),FALSE)*VLOOKUP($D126,素材!$1:$1016,COLUMN($E$1),FALSE)/(LEN(VLOOKUP($D126,素材!$1:$1016,COLUMN($F$1),FALSE))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R126">
        <f>IF(ISNUMBER(SEARCH(SUBSTITUTE(AR$1,RIGHT(AR$1,2),""),VLOOKUP($D126,素材!$1:$1016,COLUMN($F$1),FALSE))),VLOOKUP($C126,武器!$1:$998,COLUMN($O$1),FALSE)*VLOOKUP($D126,素材!$1:$1016,COLUMN($E$1),FALSE)/(LEN(VLOOKUP($D126,素材!$1:$1016,COLUMN($F$1),FALSE))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S126">
        <f>IF(ISNUMBER(SEARCH(SUBSTITUTE(AS$1,RIGHT(AS$1,2),""),VLOOKUP($D126,素材!$1:$1016,COLUMN($F$1),FALSE))),VLOOKUP($C126,武器!$1:$998,COLUMN($O$1),FALSE)*VLOOKUP($D126,素材!$1:$1016,COLUMN($E$1),FALSE)/(LEN(VLOOKUP($D126,素材!$1:$1016,COLUMN($F$1),FALSE))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T126">
        <f>IF(ISNUMBER(SEARCH(SUBSTITUTE(AT$1,RIGHT(AT$1,2),""),VLOOKUP($D126,素材!$1:$1016,COLUMN($F$1),FALSE))),VLOOKUP($C126,武器!$1:$998,COLUMN($O$1),FALSE)*VLOOKUP($D126,素材!$1:$1016,COLUMN($E$1),FALSE)/(LEN(VLOOKUP($D126,素材!$1:$1016,COLUMN($F$1),FALSE))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U126">
        <f>IF(ISNUMBER(SEARCH(SUBSTITUTE(AU$1,RIGHT(AU$1,2),""),VLOOKUP($D126,素材!$1:$1016,COLUMN($F$1),FALSE))),VLOOKUP($C126,武器!$1:$998,COLUMN($O$1),FALSE)*VLOOKUP($D126,素材!$1:$1016,COLUMN($E$1),FALSE)/(LEN(VLOOKUP($D126,素材!$1:$1016,COLUMN($F$1),FALSE))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V126">
        <f>IF(ISNUMBER(SEARCH(SUBSTITUTE(AV$1,RIGHT(AV$1,2),""),VLOOKUP($D126,素材!$1:$1016,COLUMN($F$1),FALSE))),VLOOKUP($C126,武器!$1:$998,COLUMN($O$1),FALSE)*VLOOKUP($D126,素材!$1:$1016,COLUMN($E$1),FALSE)/(LEN(VLOOKUP($D126,素材!$1:$1016,COLUMN($F$1),FALSE))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W126">
        <f>IF(ISNUMBER(SEARCH(SUBSTITUTE(AW$1,RIGHT(AW$1,2),""),VLOOKUP($D126,素材!$1:$1016,COLUMN($F$1),FALSE))),VLOOKUP($C126,武器!$1:$998,COLUMN($O$1),FALSE)*VLOOKUP($D126,素材!$1:$1016,COLUMN($E$1),FALSE)/(LEN(VLOOKUP($D126,素材!$1:$1016,COLUMN($F$1),FALSE))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X126">
        <f>IF(ISNUMBER(SEARCH(SUBSTITUTE(AX$1,RIGHT(AX$1,2),""),VLOOKUP($D126,素材!$1:$1016,COLUMN($F$1),FALSE))),VLOOKUP($C126,武器!$1:$998,COLUMN($O$1),FALSE)*VLOOKUP($D126,素材!$1:$1016,COLUMN($E$1),FALSE)/(LEN(VLOOKUP($D126,素材!$1:$1016,COLUMN($F$1),FALSE))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Y126">
        <f>IF(ISNUMBER(SEARCH(SUBSTITUTE(AY$1,RIGHT(AY$1,2),""),VLOOKUP($D126,素材!$1:$1016,COLUMN($F$1),FALSE))),VLOOKUP($C126,武器!$1:$998,COLUMN($O$1),FALSE)*VLOOKUP($D126,素材!$1:$1016,COLUMN($E$1),FALSE)/(LEN(VLOOKUP($D126,素材!$1:$1016,COLUMN($F$1),FALSE))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AZ126">
        <f>IF(ISNUMBER(SEARCH(SUBSTITUTE(AZ$1,RIGHT(AZ$1,2),""),VLOOKUP($D126,素材!$1:$1016,COLUMN($F$1),FALSE))),VLOOKUP($C126,武器!$1:$998,COLUMN($O$1),FALSE)*VLOOKUP($D126,素材!$1:$1016,COLUMN($E$1),FALSE)/(LEN(VLOOKUP($D126,素材!$1:$1016,COLUMN($F$1),FALSE))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BA126">
        <f>IF(ISNUMBER(SEARCH(SUBSTITUTE(BA$1,RIGHT(BA$1,2),""),VLOOKUP($D126,素材!$1:$1016,COLUMN($F$1),FALSE))),VLOOKUP($C126,武器!$1:$998,COLUMN($O$1),FALSE)*VLOOKUP($D126,素材!$1:$1016,COLUMN($E$1),FALSE)/(LEN(VLOOKUP($D126,素材!$1:$1016,COLUMN($F$1),FALSE))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BB126">
        <f>IF(ISNUMBER(SEARCH(SUBSTITUTE(BB$1,RIGHT(BB$1,2),""),VLOOKUP($D126,素材!$1:$1016,COLUMN($F$1),FALSE))),VLOOKUP($C126,武器!$1:$998,COLUMN($O$1),FALSE)*VLOOKUP($D126,素材!$1:$1016,COLUMN($E$1),FALSE)/(LEN(VLOOKUP($D126,素材!$1:$1016,COLUMN($F$1),FALSE))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BC126">
        <f>IF(ISNUMBER(SEARCH(SUBSTITUTE(BC$1,RIGHT(BC$1,2),""),VLOOKUP($D126,素材!$1:$1016,COLUMN($F$1),FALSE))),VLOOKUP($C126,武器!$1:$998,COLUMN($O$1),FALSE)*VLOOKUP($D126,素材!$1:$1016,COLUMN($E$1),FALSE)/(LEN(VLOOKUP($D126,素材!$1:$1016,COLUMN($F$1),FALSE))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BD126">
        <f>IF(ISNUMBER(SEARCH(SUBSTITUTE(BD$1,RIGHT(BD$1,2),""),VLOOKUP($D126,素材!$1:$1016,COLUMN($F$1),FALSE))),VLOOKUP($C126,武器!$1:$998,COLUMN($O$1),FALSE)*VLOOKUP($D126,素材!$1:$1016,COLUMN($E$1),FALSE)/(LEN(VLOOKUP($D126,素材!$1:$1016,COLUMN($F$1),FALSE))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BE126">
        <f>IF(ISNUMBER(SEARCH(SUBSTITUTE(BE$1,RIGHT(BE$1,2),""),VLOOKUP($D126,素材!$1:$1016,COLUMN($F$1),FALSE))),VLOOKUP($C126,武器!$1:$998,COLUMN($O$1),FALSE)*VLOOKUP($D126,素材!$1:$1016,COLUMN($E$1),FALSE)/(LEN(VLOOKUP($D126,素材!$1:$1016,COLUMN($F$1),FALSE))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BF126">
        <f>IF(ISNUMBER(SEARCH(SUBSTITUTE(BF$1,RIGHT(BF$1,2),""),VLOOKUP($D126,素材!$1:$1016,COLUMN($F$1),FALSE))),VLOOKUP($C126,武器!$1:$998,COLUMN($O$1),FALSE)*VLOOKUP($D126,素材!$1:$1016,COLUMN($E$1),FALSE)/(LEN(VLOOKUP($D126,素材!$1:$1016,COLUMN($F$1),FALSE)) - LEN(SUBSTITUTE(VLOOKUP($D126,素材!$1:$1016,COLUMN($F$1),FALSE), "・", 0)) + 1), 0)</f>
        <v>0</v>
      </c>
      <c r="CM126">
        <f t="shared" si="8"/>
        <v>0</v>
      </c>
      <c r="CN126" s="22" t="str">
        <f>IF(E126="武器",IF(J126-1&gt;SUM(G126:I126),"盾",IF(MAX(G126:I126)=G126,"切断",IF(MAX(G126:I126)=H126,"貫通",IF(MAX(G126:I126)=I126,"打撃","射撃")))),E126)&amp;".webp"</f>
        <v>頭.webp</v>
      </c>
      <c r="CO126">
        <f>IFERROR(VLOOKUP($C126,武器!$1:$998,COLUMN(V$1),FALSE)*VLOOKUP($D126,素材!$1:$1016,COLUMN(N$1),FALSE)+IF(CJ126="",0,VLOOKUP($CJ126,装強!$1:$1008,COLUMN($CL$1),FALSE)),"")</f>
        <v>500</v>
      </c>
      <c r="CP126" t="str">
        <f>VLOOKUP(D126,素材!$A:$O,COLUMN(素材!O$1),FALSE)</f>
        <v>高品質な加工を施した軽量の皮素材。軽量化により動きやすさを確保しつつ、適度な防御力を提供します。</v>
      </c>
      <c r="CQ126" t="str">
        <f>VLOOKUP(C126,武器!$A:$W,COLUMN(武器!W$1),FALSE)</f>
        <v>命中 魔防 Cr</v>
      </c>
      <c r="CS126" t="str">
        <f t="shared" si="7"/>
        <v>e_126</v>
      </c>
      <c r="CT126">
        <f t="shared" ref="CT126" si="16">CO126*100</f>
        <v>50000</v>
      </c>
    </row>
    <row r="127" spans="1:98" outlineLevel="1" x14ac:dyDescent="0.4">
      <c r="A127" t="str">
        <f t="shared" si="10"/>
        <v>軽皮の衣布</v>
      </c>
      <c r="B127" t="str">
        <f>IFERROR(VLOOKUP($D127,素材!$1:$1016,COLUMN($B$1),FALSE)&amp;"・"&amp;VLOOKUP($C127,武器!$1:$998,COLUMN(B$1),FALSE),"")</f>
        <v>ライトレザー・クロース</v>
      </c>
      <c r="C127" t="s">
        <v>247</v>
      </c>
      <c r="D127" s="24" t="s">
        <v>250</v>
      </c>
      <c r="E127" t="str">
        <f>IFERROR(VLOOKUP(C127,武器!$1:$998,COLUMN(C$1),FALSE),"")</f>
        <v>体</v>
      </c>
      <c r="F127">
        <f>IFERROR(ROUNDDOWN((VLOOKUP($C127,武器!$1:$998,COLUMN(D$1),FALSE)+IFERROR(VLOOKUP($CJ127,装強!$1:$999,COLUMN(F$1),FALSE),0))*VLOOKUP($D127,素材!$1:$1016,COLUMN(D$1),FALSE),0),"")</f>
        <v>0</v>
      </c>
      <c r="G127">
        <f>IFERROR(ROUNDDOWN((VLOOKUP($C127,武器!$1:$998,COLUMN(E$1),FALSE)+IFERROR(VLOOKUP($CJ127,装強!$1:$999,COLUMN(G$1),FALSE),0))*VLOOKUP($D127,素材!$1:$1016,COLUMN($E$1),FALSE),0),"")</f>
        <v>0</v>
      </c>
      <c r="H127">
        <f>IFERROR(ROUNDDOWN((VLOOKUP($C127,武器!$1:$998,COLUMN(F$1),FALSE)+IFERROR(VLOOKUP($CJ127,装強!$1:$999,COLUMN(H$1),FALSE),0))*VLOOKUP($D127,素材!$1:$1016,COLUMN($E$1),FALSE),0),"")</f>
        <v>0</v>
      </c>
      <c r="I127">
        <f>IFERROR(ROUNDDOWN((VLOOKUP($C127,武器!$1:$998,COLUMN(G$1),FALSE)+IFERROR(VLOOKUP($CJ127,装強!$1:$999,COLUMN(I$1),FALSE),0))*VLOOKUP($D127,素材!$1:$1016,COLUMN($E$1),FALSE),0),"")</f>
        <v>0</v>
      </c>
      <c r="J127">
        <f>IFERROR(ROUNDDOWN((VLOOKUP($C127,武器!$1:$998,COLUMN(H$1),FALSE)+IFERROR(VLOOKUP($CJ127,装強!$1:$999,COLUMN(J$1),FALSE),0))*VLOOKUP($D127,素材!$1:$1016,COLUMN($E$1),FALSE),0),"")</f>
        <v>0</v>
      </c>
      <c r="K127">
        <f>IFERROR(ROUNDDOWN((VLOOKUP($C127,武器!$1:$998,COLUMN(I$1),FALSE)+IFERROR(VLOOKUP($CJ127,装強!$1:$999,COLUMN(K$1),FALSE),0))*VLOOKUP($D127,素材!$1:$1016,COLUMN($E$1),FALSE),0),"")</f>
        <v>0</v>
      </c>
      <c r="L127" t="str">
        <f>IFERROR(VLOOKUP($D127,素材!$1:$1016,COLUMN($F$1),FALSE),"")</f>
        <v>-</v>
      </c>
      <c r="M127" t="str">
        <f>IFERROR(VLOOKUP($C127,武器!$1:$998,COLUMN(AA$1),FALSE)*VLOOKUP($D127,素材!$1:$1016,COLUMN($G$1),FALSE),"")</f>
        <v/>
      </c>
      <c r="N127">
        <f>IFERROR(VLOOKUP($C127,武器!$1:$998,COLUMN(I$1),FALSE),"")</f>
        <v>0</v>
      </c>
      <c r="O127" s="23" t="str">
        <f>IFERROR((VLOOKUP($C127,武器!$1:$998,COLUMN(K$1),FALSE)+VLOOKUP($D127,素材!$1:$1016,COLUMN(H$1),FALSE))*100+IFERROR(VLOOKUP($CJ127,装強!$1:$999,COLUMN(O$1),FALSE),0),"")</f>
        <v/>
      </c>
      <c r="P127" s="23" t="str">
        <f>IFERROR((VLOOKUP($C127,武器!$1:$998,COLUMN(L$1),FALSE)+VLOOKUP($D127,素材!$1:$1016,COLUMN(I$1),FALSE))*100+IFERROR(VLOOKUP($CJ127,装強!$1:$999,COLUMN(P$1),FALSE),0),"")</f>
        <v/>
      </c>
      <c r="Q127">
        <f>IFERROR(ROUNDUP(VLOOKUP($C127,武器!$1:$998,COLUMN(M$1),FALSE)*(VLOOKUP($D127,素材!$1:$1002,COLUMN(D$1),FALSE)/100),1),"")</f>
        <v>0</v>
      </c>
      <c r="R127">
        <f>IFERROR(ROUNDUP(VLOOKUP($C127,武器!$1:$998,COLUMN(N$1),FALSE)*(VLOOKUP($D127,素材!$1:$1002,COLUMN(D$1),FALSE)/100),1),"")</f>
        <v>0</v>
      </c>
      <c r="S127">
        <f>IFERROR(VLOOKUP($C127,武器!$1:$998,COLUMN(P$1),FALSE),"")</f>
        <v>0</v>
      </c>
      <c r="T127">
        <f>IFERROR(VLOOKUP($C127,武器!$1:$998,COLUMN(Q$1),FALSE),"")</f>
        <v>0</v>
      </c>
      <c r="U127">
        <f>IFERROR(VLOOKUP($C127,武器!$1:$998,COLUMN(R$1),FALSE),"")</f>
        <v>0</v>
      </c>
      <c r="V127">
        <f>IFERROR(VLOOKUP($C127,武器!$1:$998,COLUMN(Q$1),FALSE),"")</f>
        <v>0</v>
      </c>
      <c r="W127">
        <f>IFERROR(VLOOKUP($C127,武器!$1:$998,COLUMN(T$1),FALSE),"")</f>
        <v>0</v>
      </c>
      <c r="Y127">
        <f>IFERROR(VLOOKUP($C127,武器!$1:$998,COLUMN(U$1),FALSE),"")</f>
        <v>0</v>
      </c>
      <c r="Z127">
        <f>IFERROR(ROUNDUP(VLOOKUP($C127,武器!$1:$998,COLUMN(O$1),FALSE)*VLOOKUP($D127,素材!$1:$1016,COLUMN(E$1),FALSE),1),"")</f>
        <v>4.5</v>
      </c>
      <c r="AA127">
        <f>IF(ISNUMBER(SEARCH(SUBSTITUTE(AA$1,RIGHT(AA$1,2),""),VLOOKUP($D127,素材!$1:$1016,COLUMN($F$1),FALSE))),VLOOKUP($C127,武器!$1:$998,COLUMN($O$1),FALSE)*VLOOKUP($D127,素材!$1:$1016,COLUMN($E$1),FALSE)/(LEN(VLOOKUP($D127,素材!$1:$1016,COLUMN($F$1),FALSE))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B127">
        <f>IF(ISNUMBER(SEARCH(SUBSTITUTE(AB$1,RIGHT(AB$1,2),""),VLOOKUP($D127,素材!$1:$1016,COLUMN($F$1),FALSE))),VLOOKUP($C127,武器!$1:$998,COLUMN($O$1),FALSE)*VLOOKUP($D127,素材!$1:$1016,COLUMN($E$1),FALSE)/(LEN(VLOOKUP($D127,素材!$1:$1016,COLUMN($F$1),FALSE))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C127">
        <f>IF(ISNUMBER(SEARCH(SUBSTITUTE(AC$1,RIGHT(AC$1,2),""),VLOOKUP($D127,素材!$1:$1016,COLUMN($F$1),FALSE))),VLOOKUP($C127,武器!$1:$998,COLUMN($O$1),FALSE)*VLOOKUP($D127,素材!$1:$1016,COLUMN($E$1),FALSE)/(LEN(VLOOKUP($D127,素材!$1:$1016,COLUMN($F$1),FALSE))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D127">
        <f>IF(ISNUMBER(SEARCH(SUBSTITUTE(AD$1,RIGHT(AD$1,2),""),VLOOKUP($D127,素材!$1:$1016,COLUMN($F$1),FALSE))),VLOOKUP($C127,武器!$1:$998,COLUMN($O$1),FALSE)*VLOOKUP($D127,素材!$1:$1016,COLUMN($E$1),FALSE)/(LEN(VLOOKUP($D127,素材!$1:$1016,COLUMN($F$1),FALSE))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E127">
        <f>IF(ISNUMBER(SEARCH(SUBSTITUTE(AE$1,RIGHT(AE$1,2),""),VLOOKUP($D127,素材!$1:$1016,COLUMN($F$1),FALSE))),VLOOKUP($C127,武器!$1:$998,COLUMN($O$1),FALSE)*VLOOKUP($D127,素材!$1:$1016,COLUMN($E$1),FALSE)/(LEN(VLOOKUP($D127,素材!$1:$1016,COLUMN($F$1),FALSE))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F127">
        <f>IF(ISNUMBER(SEARCH(SUBSTITUTE(AF$1,RIGHT(AF$1,2),""),VLOOKUP($D127,素材!$1:$1016,COLUMN($F$1),FALSE))),VLOOKUP($C127,武器!$1:$998,COLUMN($O$1),FALSE)*VLOOKUP($D127,素材!$1:$1016,COLUMN($E$1),FALSE)/(LEN(VLOOKUP($D127,素材!$1:$1016,COLUMN($F$1),FALSE))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G127">
        <f>IF(ISNUMBER(SEARCH(SUBSTITUTE(AG$1,RIGHT(AG$1,2),""),VLOOKUP($D127,素材!$1:$1016,COLUMN($F$1),FALSE))),VLOOKUP($C127,武器!$1:$998,COLUMN($O$1),FALSE)*VLOOKUP($D127,素材!$1:$1016,COLUMN($E$1),FALSE)/(LEN(VLOOKUP($D127,素材!$1:$1016,COLUMN($F$1),FALSE))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H127">
        <f>IF(ISNUMBER(SEARCH(SUBSTITUTE(AH$1,RIGHT(AH$1,2),""),VLOOKUP($D127,素材!$1:$1016,COLUMN($F$1),FALSE))),VLOOKUP($C127,武器!$1:$998,COLUMN($O$1),FALSE)*VLOOKUP($D127,素材!$1:$1016,COLUMN($E$1),FALSE)/(LEN(VLOOKUP($D127,素材!$1:$1016,COLUMN($F$1),FALSE))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I127">
        <f>IF(ISNUMBER(SEARCH(SUBSTITUTE(AI$1,RIGHT(AI$1,2),""),VLOOKUP($D127,素材!$1:$1016,COLUMN($F$1),FALSE))),VLOOKUP($C127,武器!$1:$998,COLUMN($O$1),FALSE)*VLOOKUP($D127,素材!$1:$1016,COLUMN($E$1),FALSE)/(LEN(VLOOKUP($D127,素材!$1:$1016,COLUMN($F$1),FALSE))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J127">
        <f>IF(ISNUMBER(SEARCH(SUBSTITUTE(AJ$1,RIGHT(AJ$1,2),""),VLOOKUP($D127,素材!$1:$1016,COLUMN($F$1),FALSE))),VLOOKUP($C127,武器!$1:$998,COLUMN($O$1),FALSE)*VLOOKUP($D127,素材!$1:$1016,COLUMN($E$1),FALSE)/(LEN(VLOOKUP($D127,素材!$1:$1016,COLUMN($F$1),FALSE))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K127">
        <f>IF(ISNUMBER(SEARCH(SUBSTITUTE(AK$1,RIGHT(AK$1,2),""),VLOOKUP($D127,素材!$1:$1016,COLUMN($F$1),FALSE))),VLOOKUP($C127,武器!$1:$998,COLUMN($O$1),FALSE)*VLOOKUP($D127,素材!$1:$1016,COLUMN($E$1),FALSE)/(LEN(VLOOKUP($D127,素材!$1:$1016,COLUMN($F$1),FALSE))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L127">
        <f>IF(ISNUMBER(SEARCH(SUBSTITUTE(AL$1,RIGHT(AL$1,2),""),VLOOKUP($D127,素材!$1:$1016,COLUMN($F$1),FALSE))),VLOOKUP($C127,武器!$1:$998,COLUMN($O$1),FALSE)*VLOOKUP($D127,素材!$1:$1016,COLUMN($E$1),FALSE)/(LEN(VLOOKUP($D127,素材!$1:$1016,COLUMN($F$1),FALSE))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M127">
        <f>IF(ISNUMBER(SEARCH(SUBSTITUTE(AM$1,RIGHT(AM$1,2),""),VLOOKUP($D127,素材!$1:$1016,COLUMN($F$1),FALSE))),VLOOKUP($C127,武器!$1:$998,COLUMN($O$1),FALSE)*VLOOKUP($D127,素材!$1:$1016,COLUMN($E$1),FALSE)/(LEN(VLOOKUP($D127,素材!$1:$1016,COLUMN($F$1),FALSE))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N127">
        <f>IF(ISNUMBER(SEARCH(SUBSTITUTE(AN$1,RIGHT(AN$1,2),""),VLOOKUP($D127,素材!$1:$1016,COLUMN($F$1),FALSE))),VLOOKUP($C127,武器!$1:$998,COLUMN($O$1),FALSE)*VLOOKUP($D127,素材!$1:$1016,COLUMN($E$1),FALSE)/(LEN(VLOOKUP($D127,素材!$1:$1016,COLUMN($F$1),FALSE))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O127">
        <f>IF(ISNUMBER(SEARCH(SUBSTITUTE(AO$1,RIGHT(AO$1,2),""),VLOOKUP($D127,素材!$1:$1016,COLUMN($F$1),FALSE))),VLOOKUP($C127,武器!$1:$998,COLUMN($O$1),FALSE)*VLOOKUP($D127,素材!$1:$1016,COLUMN($E$1),FALSE)/(LEN(VLOOKUP($D127,素材!$1:$1016,COLUMN($F$1),FALSE))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P127">
        <f>IF(ISNUMBER(SEARCH(SUBSTITUTE(AP$1,RIGHT(AP$1,2),""),VLOOKUP($D127,素材!$1:$1016,COLUMN($F$1),FALSE))),VLOOKUP($C127,武器!$1:$998,COLUMN($O$1),FALSE)*VLOOKUP($D127,素材!$1:$1016,COLUMN($E$1),FALSE)/(LEN(VLOOKUP($D127,素材!$1:$1016,COLUMN($F$1),FALSE))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Q127">
        <f>IF(ISNUMBER(SEARCH(SUBSTITUTE(AQ$1,RIGHT(AQ$1,2),""),VLOOKUP($D127,素材!$1:$1016,COLUMN($F$1),FALSE))),VLOOKUP($C127,武器!$1:$998,COLUMN($O$1),FALSE)*VLOOKUP($D127,素材!$1:$1016,COLUMN($E$1),FALSE)/(LEN(VLOOKUP($D127,素材!$1:$1016,COLUMN($F$1),FALSE))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R127">
        <f>IF(ISNUMBER(SEARCH(SUBSTITUTE(AR$1,RIGHT(AR$1,2),""),VLOOKUP($D127,素材!$1:$1016,COLUMN($F$1),FALSE))),VLOOKUP($C127,武器!$1:$998,COLUMN($O$1),FALSE)*VLOOKUP($D127,素材!$1:$1016,COLUMN($E$1),FALSE)/(LEN(VLOOKUP($D127,素材!$1:$1016,COLUMN($F$1),FALSE))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S127">
        <f>IF(ISNUMBER(SEARCH(SUBSTITUTE(AS$1,RIGHT(AS$1,2),""),VLOOKUP($D127,素材!$1:$1016,COLUMN($F$1),FALSE))),VLOOKUP($C127,武器!$1:$998,COLUMN($O$1),FALSE)*VLOOKUP($D127,素材!$1:$1016,COLUMN($E$1),FALSE)/(LEN(VLOOKUP($D127,素材!$1:$1016,COLUMN($F$1),FALSE))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T127">
        <f>IF(ISNUMBER(SEARCH(SUBSTITUTE(AT$1,RIGHT(AT$1,2),""),VLOOKUP($D127,素材!$1:$1016,COLUMN($F$1),FALSE))),VLOOKUP($C127,武器!$1:$998,COLUMN($O$1),FALSE)*VLOOKUP($D127,素材!$1:$1016,COLUMN($E$1),FALSE)/(LEN(VLOOKUP($D127,素材!$1:$1016,COLUMN($F$1),FALSE))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U127">
        <f>IF(ISNUMBER(SEARCH(SUBSTITUTE(AU$1,RIGHT(AU$1,2),""),VLOOKUP($D127,素材!$1:$1016,COLUMN($F$1),FALSE))),VLOOKUP($C127,武器!$1:$998,COLUMN($O$1),FALSE)*VLOOKUP($D127,素材!$1:$1016,COLUMN($E$1),FALSE)/(LEN(VLOOKUP($D127,素材!$1:$1016,COLUMN($F$1),FALSE))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V127">
        <f>IF(ISNUMBER(SEARCH(SUBSTITUTE(AV$1,RIGHT(AV$1,2),""),VLOOKUP($D127,素材!$1:$1016,COLUMN($F$1),FALSE))),VLOOKUP($C127,武器!$1:$998,COLUMN($O$1),FALSE)*VLOOKUP($D127,素材!$1:$1016,COLUMN($E$1),FALSE)/(LEN(VLOOKUP($D127,素材!$1:$1016,COLUMN($F$1),FALSE))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W127">
        <f>IF(ISNUMBER(SEARCH(SUBSTITUTE(AW$1,RIGHT(AW$1,2),""),VLOOKUP($D127,素材!$1:$1016,COLUMN($F$1),FALSE))),VLOOKUP($C127,武器!$1:$998,COLUMN($O$1),FALSE)*VLOOKUP($D127,素材!$1:$1016,COLUMN($E$1),FALSE)/(LEN(VLOOKUP($D127,素材!$1:$1016,COLUMN($F$1),FALSE))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X127">
        <f>IF(ISNUMBER(SEARCH(SUBSTITUTE(AX$1,RIGHT(AX$1,2),""),VLOOKUP($D127,素材!$1:$1016,COLUMN($F$1),FALSE))),VLOOKUP($C127,武器!$1:$998,COLUMN($O$1),FALSE)*VLOOKUP($D127,素材!$1:$1016,COLUMN($E$1),FALSE)/(LEN(VLOOKUP($D127,素材!$1:$1016,COLUMN($F$1),FALSE))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Y127">
        <f>IF(ISNUMBER(SEARCH(SUBSTITUTE(AY$1,RIGHT(AY$1,2),""),VLOOKUP($D127,素材!$1:$1016,COLUMN($F$1),FALSE))),VLOOKUP($C127,武器!$1:$998,COLUMN($O$1),FALSE)*VLOOKUP($D127,素材!$1:$1016,COLUMN($E$1),FALSE)/(LEN(VLOOKUP($D127,素材!$1:$1016,COLUMN($F$1),FALSE))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AZ127">
        <f>IF(ISNUMBER(SEARCH(SUBSTITUTE(AZ$1,RIGHT(AZ$1,2),""),VLOOKUP($D127,素材!$1:$1016,COLUMN($F$1),FALSE))),VLOOKUP($C127,武器!$1:$998,COLUMN($O$1),FALSE)*VLOOKUP($D127,素材!$1:$1016,COLUMN($E$1),FALSE)/(LEN(VLOOKUP($D127,素材!$1:$1016,COLUMN($F$1),FALSE))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BA127">
        <f>IF(ISNUMBER(SEARCH(SUBSTITUTE(BA$1,RIGHT(BA$1,2),""),VLOOKUP($D127,素材!$1:$1016,COLUMN($F$1),FALSE))),VLOOKUP($C127,武器!$1:$998,COLUMN($O$1),FALSE)*VLOOKUP($D127,素材!$1:$1016,COLUMN($E$1),FALSE)/(LEN(VLOOKUP($D127,素材!$1:$1016,COLUMN($F$1),FALSE))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BB127">
        <f>IF(ISNUMBER(SEARCH(SUBSTITUTE(BB$1,RIGHT(BB$1,2),""),VLOOKUP($D127,素材!$1:$1016,COLUMN($F$1),FALSE))),VLOOKUP($C127,武器!$1:$998,COLUMN($O$1),FALSE)*VLOOKUP($D127,素材!$1:$1016,COLUMN($E$1),FALSE)/(LEN(VLOOKUP($D127,素材!$1:$1016,COLUMN($F$1),FALSE))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BC127">
        <f>IF(ISNUMBER(SEARCH(SUBSTITUTE(BC$1,RIGHT(BC$1,2),""),VLOOKUP($D127,素材!$1:$1016,COLUMN($F$1),FALSE))),VLOOKUP($C127,武器!$1:$998,COLUMN($O$1),FALSE)*VLOOKUP($D127,素材!$1:$1016,COLUMN($E$1),FALSE)/(LEN(VLOOKUP($D127,素材!$1:$1016,COLUMN($F$1),FALSE))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BD127">
        <f>IF(ISNUMBER(SEARCH(SUBSTITUTE(BD$1,RIGHT(BD$1,2),""),VLOOKUP($D127,素材!$1:$1016,COLUMN($F$1),FALSE))),VLOOKUP($C127,武器!$1:$998,COLUMN($O$1),FALSE)*VLOOKUP($D127,素材!$1:$1016,COLUMN($E$1),FALSE)/(LEN(VLOOKUP($D127,素材!$1:$1016,COLUMN($F$1),FALSE))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BE127">
        <f>IF(ISNUMBER(SEARCH(SUBSTITUTE(BE$1,RIGHT(BE$1,2),""),VLOOKUP($D127,素材!$1:$1016,COLUMN($F$1),FALSE))),VLOOKUP($C127,武器!$1:$998,COLUMN($O$1),FALSE)*VLOOKUP($D127,素材!$1:$1016,COLUMN($E$1),FALSE)/(LEN(VLOOKUP($D127,素材!$1:$1016,COLUMN($F$1),FALSE))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BF127">
        <f>IF(ISNUMBER(SEARCH(SUBSTITUTE(BF$1,RIGHT(BF$1,2),""),VLOOKUP($D127,素材!$1:$1016,COLUMN($F$1),FALSE))),VLOOKUP($C127,武器!$1:$998,COLUMN($O$1),FALSE)*VLOOKUP($D127,素材!$1:$1016,COLUMN($E$1),FALSE)/(LEN(VLOOKUP($D127,素材!$1:$1016,COLUMN($F$1),FALSE)) - LEN(SUBSTITUTE(VLOOKUP($D127,素材!$1:$1016,COLUMN($F$1),FALSE), "・", 0)) + 1), 0)</f>
        <v>0</v>
      </c>
      <c r="CM127">
        <f t="shared" si="8"/>
        <v>0</v>
      </c>
      <c r="CN127" s="22" t="str">
        <f>IF(E127="武器",IF(J127-1&gt;SUM(G127:I127),"盾",IF(MAX(G127:I127)=G127,"切断",IF(MAX(G127:I127)=H127,"貫通",IF(MAX(G127:I127)=I127,"打撃","射撃")))),E127)&amp;".webp"</f>
        <v>体.webp</v>
      </c>
      <c r="CO127">
        <f>IFERROR(VLOOKUP($C127,武器!$1:$998,COLUMN(V$1),FALSE)*VLOOKUP($D127,素材!$1:$1016,COLUMN(N$1),FALSE)+IF(CJ127="",0,VLOOKUP($CJ127,装強!$1:$1008,COLUMN($CL$1),FALSE)),"")</f>
        <v>1000</v>
      </c>
      <c r="CP127" t="str">
        <f>VLOOKUP(D127,素材!$A:$O,COLUMN(素材!O$1),FALSE)</f>
        <v>高品質な加工を施した軽量の皮素材。軽量化により動きやすさを確保しつつ、適度な防御力を提供します。</v>
      </c>
      <c r="CQ127" t="str">
        <f>VLOOKUP(C127,武器!$A:$W,COLUMN(武器!W$1),FALSE)</f>
        <v>HP 物理 魔法 体幹 出血 疲労 Cr</v>
      </c>
      <c r="CS127" t="str">
        <f t="shared" si="7"/>
        <v>e_127</v>
      </c>
      <c r="CT127">
        <f t="shared" si="9"/>
        <v>100000</v>
      </c>
    </row>
    <row r="128" spans="1:98" outlineLevel="1" x14ac:dyDescent="0.4">
      <c r="A128" t="str">
        <f t="shared" si="10"/>
        <v>軽皮の法衣</v>
      </c>
      <c r="B128" t="str">
        <f>IFERROR(VLOOKUP($D128,素材!$1:$1016,COLUMN($B$1),FALSE)&amp;"・"&amp;VLOOKUP($C128,武器!$1:$998,COLUMN(B$1),FALSE),"")</f>
        <v>ライトレザー・ローブ</v>
      </c>
      <c r="C128" t="s">
        <v>246</v>
      </c>
      <c r="D128" s="24" t="s">
        <v>250</v>
      </c>
      <c r="E128" t="str">
        <f>IFERROR(VLOOKUP(C128,武器!$1:$998,COLUMN(C$1),FALSE),"")</f>
        <v>体</v>
      </c>
      <c r="F128">
        <f>IFERROR(ROUNDDOWN((VLOOKUP($C128,武器!$1:$998,COLUMN(D$1),FALSE)+IFERROR(VLOOKUP($CJ128,装強!$1:$999,COLUMN(F$1),FALSE),0))*VLOOKUP($D128,素材!$1:$1016,COLUMN(D$1),FALSE),0),"")</f>
        <v>0</v>
      </c>
      <c r="G128">
        <f>IFERROR(ROUNDDOWN((VLOOKUP($C128,武器!$1:$998,COLUMN(E$1),FALSE)+IFERROR(VLOOKUP($CJ128,装強!$1:$999,COLUMN(G$1),FALSE),0))*VLOOKUP($D128,素材!$1:$1016,COLUMN($E$1),FALSE),0),"")</f>
        <v>0</v>
      </c>
      <c r="H128">
        <f>IFERROR(ROUNDDOWN((VLOOKUP($C128,武器!$1:$998,COLUMN(F$1),FALSE)+IFERROR(VLOOKUP($CJ128,装強!$1:$999,COLUMN(H$1),FALSE),0))*VLOOKUP($D128,素材!$1:$1016,COLUMN($E$1),FALSE),0),"")</f>
        <v>0</v>
      </c>
      <c r="I128">
        <f>IFERROR(ROUNDDOWN((VLOOKUP($C128,武器!$1:$998,COLUMN(G$1),FALSE)+IFERROR(VLOOKUP($CJ128,装強!$1:$999,COLUMN(I$1),FALSE),0))*VLOOKUP($D128,素材!$1:$1016,COLUMN($E$1),FALSE),0),"")</f>
        <v>0</v>
      </c>
      <c r="J128">
        <f>IFERROR(ROUNDDOWN((VLOOKUP($C128,武器!$1:$998,COLUMN(H$1),FALSE)+IFERROR(VLOOKUP($CJ128,装強!$1:$999,COLUMN(J$1),FALSE),0))*VLOOKUP($D128,素材!$1:$1016,COLUMN($E$1),FALSE),0),"")</f>
        <v>0</v>
      </c>
      <c r="K128">
        <f>IFERROR(ROUNDDOWN((VLOOKUP($C128,武器!$1:$998,COLUMN(I$1),FALSE)+IFERROR(VLOOKUP($CJ128,装強!$1:$999,COLUMN(K$1),FALSE),0))*VLOOKUP($D128,素材!$1:$1016,COLUMN($E$1),FALSE),0),"")</f>
        <v>0</v>
      </c>
      <c r="L128" t="str">
        <f>IFERROR(VLOOKUP($D128,素材!$1:$1016,COLUMN($F$1),FALSE),"")</f>
        <v>-</v>
      </c>
      <c r="M128" t="str">
        <f>IFERROR(VLOOKUP($C128,武器!$1:$998,COLUMN(AA$1),FALSE)*VLOOKUP($D128,素材!$1:$1016,COLUMN($G$1),FALSE),"")</f>
        <v/>
      </c>
      <c r="N128">
        <f>IFERROR(VLOOKUP($C128,武器!$1:$998,COLUMN(I$1),FALSE),"")</f>
        <v>0</v>
      </c>
      <c r="O128" s="23" t="str">
        <f>IFERROR((VLOOKUP($C128,武器!$1:$998,COLUMN(K$1),FALSE)+VLOOKUP($D128,素材!$1:$1016,COLUMN(H$1),FALSE))*100+IFERROR(VLOOKUP($CJ128,装強!$1:$999,COLUMN(O$1),FALSE),0),"")</f>
        <v/>
      </c>
      <c r="P128" s="23" t="str">
        <f>IFERROR((VLOOKUP($C128,武器!$1:$998,COLUMN(L$1),FALSE)+VLOOKUP($D128,素材!$1:$1016,COLUMN(I$1),FALSE))*100+IFERROR(VLOOKUP($CJ128,装強!$1:$999,COLUMN(P$1),FALSE),0),"")</f>
        <v/>
      </c>
      <c r="Q128">
        <f>IFERROR(ROUNDUP(VLOOKUP($C128,武器!$1:$998,COLUMN(M$1),FALSE)*(VLOOKUP($D128,素材!$1:$1002,COLUMN(D$1),FALSE)/100),1),"")</f>
        <v>0</v>
      </c>
      <c r="R128">
        <f>IFERROR(ROUNDUP(VLOOKUP($C128,武器!$1:$998,COLUMN(N$1),FALSE)*(VLOOKUP($D128,素材!$1:$1002,COLUMN(D$1),FALSE)/100),1),"")</f>
        <v>0</v>
      </c>
      <c r="S128">
        <f>IFERROR(VLOOKUP($C128,武器!$1:$998,COLUMN(P$1),FALSE),"")</f>
        <v>0</v>
      </c>
      <c r="T128">
        <f>IFERROR(VLOOKUP($C128,武器!$1:$998,COLUMN(Q$1),FALSE),"")</f>
        <v>0</v>
      </c>
      <c r="U128">
        <f>IFERROR(VLOOKUP($C128,武器!$1:$998,COLUMN(R$1),FALSE),"")</f>
        <v>0</v>
      </c>
      <c r="V128">
        <f>IFERROR(VLOOKUP($C128,武器!$1:$998,COLUMN(Q$1),FALSE),"")</f>
        <v>0</v>
      </c>
      <c r="W128">
        <f>IFERROR(VLOOKUP($C128,武器!$1:$998,COLUMN(T$1),FALSE),"")</f>
        <v>0</v>
      </c>
      <c r="Y128">
        <f>IFERROR(VLOOKUP($C128,武器!$1:$998,COLUMN(U$1),FALSE),"")</f>
        <v>0</v>
      </c>
      <c r="Z128">
        <f>IFERROR(ROUNDUP(VLOOKUP($C128,武器!$1:$998,COLUMN(O$1),FALSE)*VLOOKUP($D128,素材!$1:$1016,COLUMN(E$1),FALSE),1),"")</f>
        <v>3</v>
      </c>
      <c r="AA128">
        <f>IF(ISNUMBER(SEARCH(SUBSTITUTE(AA$1,RIGHT(AA$1,2),""),VLOOKUP($D128,素材!$1:$1016,COLUMN($F$1),FALSE))),VLOOKUP($C128,武器!$1:$998,COLUMN($O$1),FALSE)*VLOOKUP($D128,素材!$1:$1016,COLUMN($E$1),FALSE)/(LEN(VLOOKUP($D128,素材!$1:$1016,COLUMN($F$1),FALSE))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B128">
        <f>IF(ISNUMBER(SEARCH(SUBSTITUTE(AB$1,RIGHT(AB$1,2),""),VLOOKUP($D128,素材!$1:$1016,COLUMN($F$1),FALSE))),VLOOKUP($C128,武器!$1:$998,COLUMN($O$1),FALSE)*VLOOKUP($D128,素材!$1:$1016,COLUMN($E$1),FALSE)/(LEN(VLOOKUP($D128,素材!$1:$1016,COLUMN($F$1),FALSE))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C128">
        <f>IF(ISNUMBER(SEARCH(SUBSTITUTE(AC$1,RIGHT(AC$1,2),""),VLOOKUP($D128,素材!$1:$1016,COLUMN($F$1),FALSE))),VLOOKUP($C128,武器!$1:$998,COLUMN($O$1),FALSE)*VLOOKUP($D128,素材!$1:$1016,COLUMN($E$1),FALSE)/(LEN(VLOOKUP($D128,素材!$1:$1016,COLUMN($F$1),FALSE))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D128">
        <f>IF(ISNUMBER(SEARCH(SUBSTITUTE(AD$1,RIGHT(AD$1,2),""),VLOOKUP($D128,素材!$1:$1016,COLUMN($F$1),FALSE))),VLOOKUP($C128,武器!$1:$998,COLUMN($O$1),FALSE)*VLOOKUP($D128,素材!$1:$1016,COLUMN($E$1),FALSE)/(LEN(VLOOKUP($D128,素材!$1:$1016,COLUMN($F$1),FALSE))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E128">
        <f>IF(ISNUMBER(SEARCH(SUBSTITUTE(AE$1,RIGHT(AE$1,2),""),VLOOKUP($D128,素材!$1:$1016,COLUMN($F$1),FALSE))),VLOOKUP($C128,武器!$1:$998,COLUMN($O$1),FALSE)*VLOOKUP($D128,素材!$1:$1016,COLUMN($E$1),FALSE)/(LEN(VLOOKUP($D128,素材!$1:$1016,COLUMN($F$1),FALSE))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F128">
        <f>IF(ISNUMBER(SEARCH(SUBSTITUTE(AF$1,RIGHT(AF$1,2),""),VLOOKUP($D128,素材!$1:$1016,COLUMN($F$1),FALSE))),VLOOKUP($C128,武器!$1:$998,COLUMN($O$1),FALSE)*VLOOKUP($D128,素材!$1:$1016,COLUMN($E$1),FALSE)/(LEN(VLOOKUP($D128,素材!$1:$1016,COLUMN($F$1),FALSE))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G128">
        <f>IF(ISNUMBER(SEARCH(SUBSTITUTE(AG$1,RIGHT(AG$1,2),""),VLOOKUP($D128,素材!$1:$1016,COLUMN($F$1),FALSE))),VLOOKUP($C128,武器!$1:$998,COLUMN($O$1),FALSE)*VLOOKUP($D128,素材!$1:$1016,COLUMN($E$1),FALSE)/(LEN(VLOOKUP($D128,素材!$1:$1016,COLUMN($F$1),FALSE))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H128">
        <f>IF(ISNUMBER(SEARCH(SUBSTITUTE(AH$1,RIGHT(AH$1,2),""),VLOOKUP($D128,素材!$1:$1016,COLUMN($F$1),FALSE))),VLOOKUP($C128,武器!$1:$998,COLUMN($O$1),FALSE)*VLOOKUP($D128,素材!$1:$1016,COLUMN($E$1),FALSE)/(LEN(VLOOKUP($D128,素材!$1:$1016,COLUMN($F$1),FALSE))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I128">
        <f>IF(ISNUMBER(SEARCH(SUBSTITUTE(AI$1,RIGHT(AI$1,2),""),VLOOKUP($D128,素材!$1:$1016,COLUMN($F$1),FALSE))),VLOOKUP($C128,武器!$1:$998,COLUMN($O$1),FALSE)*VLOOKUP($D128,素材!$1:$1016,COLUMN($E$1),FALSE)/(LEN(VLOOKUP($D128,素材!$1:$1016,COLUMN($F$1),FALSE))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J128">
        <f>IF(ISNUMBER(SEARCH(SUBSTITUTE(AJ$1,RIGHT(AJ$1,2),""),VLOOKUP($D128,素材!$1:$1016,COLUMN($F$1),FALSE))),VLOOKUP($C128,武器!$1:$998,COLUMN($O$1),FALSE)*VLOOKUP($D128,素材!$1:$1016,COLUMN($E$1),FALSE)/(LEN(VLOOKUP($D128,素材!$1:$1016,COLUMN($F$1),FALSE))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K128">
        <f>IF(ISNUMBER(SEARCH(SUBSTITUTE(AK$1,RIGHT(AK$1,2),""),VLOOKUP($D128,素材!$1:$1016,COLUMN($F$1),FALSE))),VLOOKUP($C128,武器!$1:$998,COLUMN($O$1),FALSE)*VLOOKUP($D128,素材!$1:$1016,COLUMN($E$1),FALSE)/(LEN(VLOOKUP($D128,素材!$1:$1016,COLUMN($F$1),FALSE))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L128">
        <f>IF(ISNUMBER(SEARCH(SUBSTITUTE(AL$1,RIGHT(AL$1,2),""),VLOOKUP($D128,素材!$1:$1016,COLUMN($F$1),FALSE))),VLOOKUP($C128,武器!$1:$998,COLUMN($O$1),FALSE)*VLOOKUP($D128,素材!$1:$1016,COLUMN($E$1),FALSE)/(LEN(VLOOKUP($D128,素材!$1:$1016,COLUMN($F$1),FALSE))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M128">
        <f>IF(ISNUMBER(SEARCH(SUBSTITUTE(AM$1,RIGHT(AM$1,2),""),VLOOKUP($D128,素材!$1:$1016,COLUMN($F$1),FALSE))),VLOOKUP($C128,武器!$1:$998,COLUMN($O$1),FALSE)*VLOOKUP($D128,素材!$1:$1016,COLUMN($E$1),FALSE)/(LEN(VLOOKUP($D128,素材!$1:$1016,COLUMN($F$1),FALSE))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N128">
        <f>IF(ISNUMBER(SEARCH(SUBSTITUTE(AN$1,RIGHT(AN$1,2),""),VLOOKUP($D128,素材!$1:$1016,COLUMN($F$1),FALSE))),VLOOKUP($C128,武器!$1:$998,COLUMN($O$1),FALSE)*VLOOKUP($D128,素材!$1:$1016,COLUMN($E$1),FALSE)/(LEN(VLOOKUP($D128,素材!$1:$1016,COLUMN($F$1),FALSE))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O128">
        <f>IF(ISNUMBER(SEARCH(SUBSTITUTE(AO$1,RIGHT(AO$1,2),""),VLOOKUP($D128,素材!$1:$1016,COLUMN($F$1),FALSE))),VLOOKUP($C128,武器!$1:$998,COLUMN($O$1),FALSE)*VLOOKUP($D128,素材!$1:$1016,COLUMN($E$1),FALSE)/(LEN(VLOOKUP($D128,素材!$1:$1016,COLUMN($F$1),FALSE))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P128">
        <f>IF(ISNUMBER(SEARCH(SUBSTITUTE(AP$1,RIGHT(AP$1,2),""),VLOOKUP($D128,素材!$1:$1016,COLUMN($F$1),FALSE))),VLOOKUP($C128,武器!$1:$998,COLUMN($O$1),FALSE)*VLOOKUP($D128,素材!$1:$1016,COLUMN($E$1),FALSE)/(LEN(VLOOKUP($D128,素材!$1:$1016,COLUMN($F$1),FALSE))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Q128">
        <f>IF(ISNUMBER(SEARCH(SUBSTITUTE(AQ$1,RIGHT(AQ$1,2),""),VLOOKUP($D128,素材!$1:$1016,COLUMN($F$1),FALSE))),VLOOKUP($C128,武器!$1:$998,COLUMN($O$1),FALSE)*VLOOKUP($D128,素材!$1:$1016,COLUMN($E$1),FALSE)/(LEN(VLOOKUP($D128,素材!$1:$1016,COLUMN($F$1),FALSE))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R128">
        <f>IF(ISNUMBER(SEARCH(SUBSTITUTE(AR$1,RIGHT(AR$1,2),""),VLOOKUP($D128,素材!$1:$1016,COLUMN($F$1),FALSE))),VLOOKUP($C128,武器!$1:$998,COLUMN($O$1),FALSE)*VLOOKUP($D128,素材!$1:$1016,COLUMN($E$1),FALSE)/(LEN(VLOOKUP($D128,素材!$1:$1016,COLUMN($F$1),FALSE))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S128">
        <f>IF(ISNUMBER(SEARCH(SUBSTITUTE(AS$1,RIGHT(AS$1,2),""),VLOOKUP($D128,素材!$1:$1016,COLUMN($F$1),FALSE))),VLOOKUP($C128,武器!$1:$998,COLUMN($O$1),FALSE)*VLOOKUP($D128,素材!$1:$1016,COLUMN($E$1),FALSE)/(LEN(VLOOKUP($D128,素材!$1:$1016,COLUMN($F$1),FALSE))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T128">
        <f>IF(ISNUMBER(SEARCH(SUBSTITUTE(AT$1,RIGHT(AT$1,2),""),VLOOKUP($D128,素材!$1:$1016,COLUMN($F$1),FALSE))),VLOOKUP($C128,武器!$1:$998,COLUMN($O$1),FALSE)*VLOOKUP($D128,素材!$1:$1016,COLUMN($E$1),FALSE)/(LEN(VLOOKUP($D128,素材!$1:$1016,COLUMN($F$1),FALSE))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U128">
        <f>IF(ISNUMBER(SEARCH(SUBSTITUTE(AU$1,RIGHT(AU$1,2),""),VLOOKUP($D128,素材!$1:$1016,COLUMN($F$1),FALSE))),VLOOKUP($C128,武器!$1:$998,COLUMN($O$1),FALSE)*VLOOKUP($D128,素材!$1:$1016,COLUMN($E$1),FALSE)/(LEN(VLOOKUP($D128,素材!$1:$1016,COLUMN($F$1),FALSE))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V128">
        <f>IF(ISNUMBER(SEARCH(SUBSTITUTE(AV$1,RIGHT(AV$1,2),""),VLOOKUP($D128,素材!$1:$1016,COLUMN($F$1),FALSE))),VLOOKUP($C128,武器!$1:$998,COLUMN($O$1),FALSE)*VLOOKUP($D128,素材!$1:$1016,COLUMN($E$1),FALSE)/(LEN(VLOOKUP($D128,素材!$1:$1016,COLUMN($F$1),FALSE))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W128">
        <f>IF(ISNUMBER(SEARCH(SUBSTITUTE(AW$1,RIGHT(AW$1,2),""),VLOOKUP($D128,素材!$1:$1016,COLUMN($F$1),FALSE))),VLOOKUP($C128,武器!$1:$998,COLUMN($O$1),FALSE)*VLOOKUP($D128,素材!$1:$1016,COLUMN($E$1),FALSE)/(LEN(VLOOKUP($D128,素材!$1:$1016,COLUMN($F$1),FALSE))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X128">
        <f>IF(ISNUMBER(SEARCH(SUBSTITUTE(AX$1,RIGHT(AX$1,2),""),VLOOKUP($D128,素材!$1:$1016,COLUMN($F$1),FALSE))),VLOOKUP($C128,武器!$1:$998,COLUMN($O$1),FALSE)*VLOOKUP($D128,素材!$1:$1016,COLUMN($E$1),FALSE)/(LEN(VLOOKUP($D128,素材!$1:$1016,COLUMN($F$1),FALSE))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Y128">
        <f>IF(ISNUMBER(SEARCH(SUBSTITUTE(AY$1,RIGHT(AY$1,2),""),VLOOKUP($D128,素材!$1:$1016,COLUMN($F$1),FALSE))),VLOOKUP($C128,武器!$1:$998,COLUMN($O$1),FALSE)*VLOOKUP($D128,素材!$1:$1016,COLUMN($E$1),FALSE)/(LEN(VLOOKUP($D128,素材!$1:$1016,COLUMN($F$1),FALSE))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AZ128">
        <f>IF(ISNUMBER(SEARCH(SUBSTITUTE(AZ$1,RIGHT(AZ$1,2),""),VLOOKUP($D128,素材!$1:$1016,COLUMN($F$1),FALSE))),VLOOKUP($C128,武器!$1:$998,COLUMN($O$1),FALSE)*VLOOKUP($D128,素材!$1:$1016,COLUMN($E$1),FALSE)/(LEN(VLOOKUP($D128,素材!$1:$1016,COLUMN($F$1),FALSE))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BA128">
        <f>IF(ISNUMBER(SEARCH(SUBSTITUTE(BA$1,RIGHT(BA$1,2),""),VLOOKUP($D128,素材!$1:$1016,COLUMN($F$1),FALSE))),VLOOKUP($C128,武器!$1:$998,COLUMN($O$1),FALSE)*VLOOKUP($D128,素材!$1:$1016,COLUMN($E$1),FALSE)/(LEN(VLOOKUP($D128,素材!$1:$1016,COLUMN($F$1),FALSE))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BB128">
        <f>IF(ISNUMBER(SEARCH(SUBSTITUTE(BB$1,RIGHT(BB$1,2),""),VLOOKUP($D128,素材!$1:$1016,COLUMN($F$1),FALSE))),VLOOKUP($C128,武器!$1:$998,COLUMN($O$1),FALSE)*VLOOKUP($D128,素材!$1:$1016,COLUMN($E$1),FALSE)/(LEN(VLOOKUP($D128,素材!$1:$1016,COLUMN($F$1),FALSE))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BC128">
        <f>IF(ISNUMBER(SEARCH(SUBSTITUTE(BC$1,RIGHT(BC$1,2),""),VLOOKUP($D128,素材!$1:$1016,COLUMN($F$1),FALSE))),VLOOKUP($C128,武器!$1:$998,COLUMN($O$1),FALSE)*VLOOKUP($D128,素材!$1:$1016,COLUMN($E$1),FALSE)/(LEN(VLOOKUP($D128,素材!$1:$1016,COLUMN($F$1),FALSE))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BD128">
        <f>IF(ISNUMBER(SEARCH(SUBSTITUTE(BD$1,RIGHT(BD$1,2),""),VLOOKUP($D128,素材!$1:$1016,COLUMN($F$1),FALSE))),VLOOKUP($C128,武器!$1:$998,COLUMN($O$1),FALSE)*VLOOKUP($D128,素材!$1:$1016,COLUMN($E$1),FALSE)/(LEN(VLOOKUP($D128,素材!$1:$1016,COLUMN($F$1),FALSE))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BE128">
        <f>IF(ISNUMBER(SEARCH(SUBSTITUTE(BE$1,RIGHT(BE$1,2),""),VLOOKUP($D128,素材!$1:$1016,COLUMN($F$1),FALSE))),VLOOKUP($C128,武器!$1:$998,COLUMN($O$1),FALSE)*VLOOKUP($D128,素材!$1:$1016,COLUMN($E$1),FALSE)/(LEN(VLOOKUP($D128,素材!$1:$1016,COLUMN($F$1),FALSE))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BF128">
        <f>IF(ISNUMBER(SEARCH(SUBSTITUTE(BF$1,RIGHT(BF$1,2),""),VLOOKUP($D128,素材!$1:$1016,COLUMN($F$1),FALSE))),VLOOKUP($C128,武器!$1:$998,COLUMN($O$1),FALSE)*VLOOKUP($D128,素材!$1:$1016,COLUMN($E$1),FALSE)/(LEN(VLOOKUP($D128,素材!$1:$1016,COLUMN($F$1),FALSE)) - LEN(SUBSTITUTE(VLOOKUP($D128,素材!$1:$1016,COLUMN($F$1),FALSE), "・", 0)) + 1), 0)</f>
        <v>0</v>
      </c>
      <c r="CM128">
        <f t="shared" si="8"/>
        <v>0</v>
      </c>
      <c r="CN128" s="22" t="str">
        <f>IF(E128="武器",IF(J128-1&gt;SUM(G128:I128),"盾",IF(MAX(G128:I128)=G128,"切断",IF(MAX(G128:I128)=H128,"貫通",IF(MAX(G128:I128)=I128,"打撃","射撃")))),E128)&amp;".webp"</f>
        <v>体.webp</v>
      </c>
      <c r="CO128">
        <f>IFERROR(VLOOKUP($C128,武器!$1:$998,COLUMN(V$1),FALSE)*VLOOKUP($D128,素材!$1:$1016,COLUMN(N$1),FALSE)+IF(CJ128="",0,VLOOKUP($CJ128,装強!$1:$1008,COLUMN($CL$1),FALSE)),"")</f>
        <v>1000</v>
      </c>
      <c r="CP128" t="str">
        <f>VLOOKUP(D128,素材!$A:$O,COLUMN(素材!O$1),FALSE)</f>
        <v>高品質な加工を施した軽量の皮素材。軽量化により動きやすさを確保しつつ、適度な防御力を提供します。</v>
      </c>
      <c r="CQ128" t="str">
        <f>VLOOKUP(C128,武器!$A:$W,COLUMN(武器!W$1),FALSE)</f>
        <v>HP 物理 魔法 体幹 出血 疲労 Cr</v>
      </c>
      <c r="CS128" t="str">
        <f t="shared" si="7"/>
        <v>e_128</v>
      </c>
      <c r="CT128">
        <f t="shared" si="9"/>
        <v>100000</v>
      </c>
    </row>
    <row r="129" spans="1:98" outlineLevel="1" x14ac:dyDescent="0.4">
      <c r="A129" t="str">
        <f t="shared" si="10"/>
        <v>軽皮の鎧</v>
      </c>
      <c r="B129" t="str">
        <f>IFERROR(VLOOKUP($D129,素材!$1:$1016,COLUMN($B$1),FALSE)&amp;"・"&amp;VLOOKUP($C129,武器!$1:$998,COLUMN(B$1),FALSE),"")</f>
        <v>ライトレザー・アーマー</v>
      </c>
      <c r="C129" t="s">
        <v>208</v>
      </c>
      <c r="D129" s="24" t="s">
        <v>250</v>
      </c>
      <c r="E129" t="str">
        <f>IFERROR(VLOOKUP(C129,武器!$1:$998,COLUMN(C$1),FALSE),"")</f>
        <v>体</v>
      </c>
      <c r="F129">
        <f>IFERROR(ROUNDDOWN((VLOOKUP($C129,武器!$1:$998,COLUMN(D$1),FALSE)+IFERROR(VLOOKUP($CJ129,装強!$1:$999,COLUMN(F$1),FALSE),0))*VLOOKUP($D129,素材!$1:$1016,COLUMN(D$1),FALSE),0),"")</f>
        <v>0</v>
      </c>
      <c r="G129">
        <f>IFERROR(ROUNDDOWN((VLOOKUP($C129,武器!$1:$998,COLUMN(E$1),FALSE)+IFERROR(VLOOKUP($CJ129,装強!$1:$999,COLUMN(G$1),FALSE),0))*VLOOKUP($D129,素材!$1:$1016,COLUMN($E$1),FALSE),0),"")</f>
        <v>0</v>
      </c>
      <c r="H129">
        <f>IFERROR(ROUNDDOWN((VLOOKUP($C129,武器!$1:$998,COLUMN(F$1),FALSE)+IFERROR(VLOOKUP($CJ129,装強!$1:$999,COLUMN(H$1),FALSE),0))*VLOOKUP($D129,素材!$1:$1016,COLUMN($E$1),FALSE),0),"")</f>
        <v>0</v>
      </c>
      <c r="I129">
        <f>IFERROR(ROUNDDOWN((VLOOKUP($C129,武器!$1:$998,COLUMN(G$1),FALSE)+IFERROR(VLOOKUP($CJ129,装強!$1:$999,COLUMN(I$1),FALSE),0))*VLOOKUP($D129,素材!$1:$1016,COLUMN($E$1),FALSE),0),"")</f>
        <v>0</v>
      </c>
      <c r="J129">
        <f>IFERROR(ROUNDDOWN((VLOOKUP($C129,武器!$1:$998,COLUMN(H$1),FALSE)+IFERROR(VLOOKUP($CJ129,装強!$1:$999,COLUMN(J$1),FALSE),0))*VLOOKUP($D129,素材!$1:$1016,COLUMN($E$1),FALSE),0),"")</f>
        <v>0</v>
      </c>
      <c r="K129">
        <f>IFERROR(ROUNDDOWN((VLOOKUP($C129,武器!$1:$998,COLUMN(I$1),FALSE)+IFERROR(VLOOKUP($CJ129,装強!$1:$999,COLUMN(K$1),FALSE),0))*VLOOKUP($D129,素材!$1:$1016,COLUMN($E$1),FALSE),0),"")</f>
        <v>0</v>
      </c>
      <c r="L129" t="str">
        <f>IFERROR(VLOOKUP($D129,素材!$1:$1016,COLUMN($F$1),FALSE),"")</f>
        <v>-</v>
      </c>
      <c r="M129" t="str">
        <f>IFERROR(VLOOKUP($C129,武器!$1:$998,COLUMN(AA$1),FALSE)*VLOOKUP($D129,素材!$1:$1016,COLUMN($G$1),FALSE),"")</f>
        <v/>
      </c>
      <c r="N129">
        <f>IFERROR(VLOOKUP($C129,武器!$1:$998,COLUMN(I$1),FALSE),"")</f>
        <v>0</v>
      </c>
      <c r="O129" s="23" t="str">
        <f>IFERROR((VLOOKUP($C129,武器!$1:$998,COLUMN(K$1),FALSE)+VLOOKUP($D129,素材!$1:$1016,COLUMN(H$1),FALSE))*100+IFERROR(VLOOKUP($CJ129,装強!$1:$999,COLUMN(O$1),FALSE),0),"")</f>
        <v/>
      </c>
      <c r="P129" s="23" t="str">
        <f>IFERROR((VLOOKUP($C129,武器!$1:$998,COLUMN(L$1),FALSE)+VLOOKUP($D129,素材!$1:$1016,COLUMN(I$1),FALSE))*100+IFERROR(VLOOKUP($CJ129,装強!$1:$999,COLUMN(P$1),FALSE),0),"")</f>
        <v/>
      </c>
      <c r="Q129">
        <f>IFERROR(ROUNDUP(VLOOKUP($C129,武器!$1:$998,COLUMN(M$1),FALSE)*(VLOOKUP($D129,素材!$1:$1002,COLUMN(D$1),FALSE)/100),1),"")</f>
        <v>-3.8000000000000003</v>
      </c>
      <c r="R129">
        <f>IFERROR(ROUNDUP(VLOOKUP($C129,武器!$1:$998,COLUMN(N$1),FALSE)*(VLOOKUP($D129,素材!$1:$1002,COLUMN(D$1),FALSE)/100),1),"")</f>
        <v>0</v>
      </c>
      <c r="S129">
        <f>IFERROR(VLOOKUP($C129,武器!$1:$998,COLUMN(P$1),FALSE),"")</f>
        <v>0</v>
      </c>
      <c r="T129">
        <f>IFERROR(VLOOKUP($C129,武器!$1:$998,COLUMN(Q$1),FALSE),"")</f>
        <v>0</v>
      </c>
      <c r="U129">
        <f>IFERROR(VLOOKUP($C129,武器!$1:$998,COLUMN(R$1),FALSE),"")</f>
        <v>0</v>
      </c>
      <c r="V129">
        <f>IFERROR(VLOOKUP($C129,武器!$1:$998,COLUMN(Q$1),FALSE),"")</f>
        <v>0</v>
      </c>
      <c r="W129">
        <f>IFERROR(VLOOKUP($C129,武器!$1:$998,COLUMN(T$1),FALSE),"")</f>
        <v>0</v>
      </c>
      <c r="Y129">
        <f>IFERROR(VLOOKUP($C129,武器!$1:$998,COLUMN(U$1),FALSE),"")</f>
        <v>0</v>
      </c>
      <c r="Z129">
        <f>IFERROR(ROUNDUP(VLOOKUP($C129,武器!$1:$998,COLUMN(O$1),FALSE)*VLOOKUP($D129,素材!$1:$1016,COLUMN(E$1),FALSE),1),"")</f>
        <v>10.5</v>
      </c>
      <c r="AA129">
        <f>IF(ISNUMBER(SEARCH(SUBSTITUTE(AA$1,RIGHT(AA$1,2),""),VLOOKUP($D129,素材!$1:$1016,COLUMN($F$1),FALSE))),VLOOKUP($C129,武器!$1:$998,COLUMN($O$1),FALSE)*VLOOKUP($D129,素材!$1:$1016,COLUMN($E$1),FALSE)/(LEN(VLOOKUP($D129,素材!$1:$1016,COLUMN($F$1),FALSE))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B129">
        <f>IF(ISNUMBER(SEARCH(SUBSTITUTE(AB$1,RIGHT(AB$1,2),""),VLOOKUP($D129,素材!$1:$1016,COLUMN($F$1),FALSE))),VLOOKUP($C129,武器!$1:$998,COLUMN($O$1),FALSE)*VLOOKUP($D129,素材!$1:$1016,COLUMN($E$1),FALSE)/(LEN(VLOOKUP($D129,素材!$1:$1016,COLUMN($F$1),FALSE))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C129">
        <f>IF(ISNUMBER(SEARCH(SUBSTITUTE(AC$1,RIGHT(AC$1,2),""),VLOOKUP($D129,素材!$1:$1016,COLUMN($F$1),FALSE))),VLOOKUP($C129,武器!$1:$998,COLUMN($O$1),FALSE)*VLOOKUP($D129,素材!$1:$1016,COLUMN($E$1),FALSE)/(LEN(VLOOKUP($D129,素材!$1:$1016,COLUMN($F$1),FALSE))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D129">
        <f>IF(ISNUMBER(SEARCH(SUBSTITUTE(AD$1,RIGHT(AD$1,2),""),VLOOKUP($D129,素材!$1:$1016,COLUMN($F$1),FALSE))),VLOOKUP($C129,武器!$1:$998,COLUMN($O$1),FALSE)*VLOOKUP($D129,素材!$1:$1016,COLUMN($E$1),FALSE)/(LEN(VLOOKUP($D129,素材!$1:$1016,COLUMN($F$1),FALSE))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E129">
        <f>IF(ISNUMBER(SEARCH(SUBSTITUTE(AE$1,RIGHT(AE$1,2),""),VLOOKUP($D129,素材!$1:$1016,COLUMN($F$1),FALSE))),VLOOKUP($C129,武器!$1:$998,COLUMN($O$1),FALSE)*VLOOKUP($D129,素材!$1:$1016,COLUMN($E$1),FALSE)/(LEN(VLOOKUP($D129,素材!$1:$1016,COLUMN($F$1),FALSE))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F129">
        <f>IF(ISNUMBER(SEARCH(SUBSTITUTE(AF$1,RIGHT(AF$1,2),""),VLOOKUP($D129,素材!$1:$1016,COLUMN($F$1),FALSE))),VLOOKUP($C129,武器!$1:$998,COLUMN($O$1),FALSE)*VLOOKUP($D129,素材!$1:$1016,COLUMN($E$1),FALSE)/(LEN(VLOOKUP($D129,素材!$1:$1016,COLUMN($F$1),FALSE))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G129">
        <f>IF(ISNUMBER(SEARCH(SUBSTITUTE(AG$1,RIGHT(AG$1,2),""),VLOOKUP($D129,素材!$1:$1016,COLUMN($F$1),FALSE))),VLOOKUP($C129,武器!$1:$998,COLUMN($O$1),FALSE)*VLOOKUP($D129,素材!$1:$1016,COLUMN($E$1),FALSE)/(LEN(VLOOKUP($D129,素材!$1:$1016,COLUMN($F$1),FALSE))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H129">
        <f>IF(ISNUMBER(SEARCH(SUBSTITUTE(AH$1,RIGHT(AH$1,2),""),VLOOKUP($D129,素材!$1:$1016,COLUMN($F$1),FALSE))),VLOOKUP($C129,武器!$1:$998,COLUMN($O$1),FALSE)*VLOOKUP($D129,素材!$1:$1016,COLUMN($E$1),FALSE)/(LEN(VLOOKUP($D129,素材!$1:$1016,COLUMN($F$1),FALSE))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I129">
        <f>IF(ISNUMBER(SEARCH(SUBSTITUTE(AI$1,RIGHT(AI$1,2),""),VLOOKUP($D129,素材!$1:$1016,COLUMN($F$1),FALSE))),VLOOKUP($C129,武器!$1:$998,COLUMN($O$1),FALSE)*VLOOKUP($D129,素材!$1:$1016,COLUMN($E$1),FALSE)/(LEN(VLOOKUP($D129,素材!$1:$1016,COLUMN($F$1),FALSE))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J129">
        <f>IF(ISNUMBER(SEARCH(SUBSTITUTE(AJ$1,RIGHT(AJ$1,2),""),VLOOKUP($D129,素材!$1:$1016,COLUMN($F$1),FALSE))),VLOOKUP($C129,武器!$1:$998,COLUMN($O$1),FALSE)*VLOOKUP($D129,素材!$1:$1016,COLUMN($E$1),FALSE)/(LEN(VLOOKUP($D129,素材!$1:$1016,COLUMN($F$1),FALSE))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K129">
        <f>IF(ISNUMBER(SEARCH(SUBSTITUTE(AK$1,RIGHT(AK$1,2),""),VLOOKUP($D129,素材!$1:$1016,COLUMN($F$1),FALSE))),VLOOKUP($C129,武器!$1:$998,COLUMN($O$1),FALSE)*VLOOKUP($D129,素材!$1:$1016,COLUMN($E$1),FALSE)/(LEN(VLOOKUP($D129,素材!$1:$1016,COLUMN($F$1),FALSE))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L129">
        <f>IF(ISNUMBER(SEARCH(SUBSTITUTE(AL$1,RIGHT(AL$1,2),""),VLOOKUP($D129,素材!$1:$1016,COLUMN($F$1),FALSE))),VLOOKUP($C129,武器!$1:$998,COLUMN($O$1),FALSE)*VLOOKUP($D129,素材!$1:$1016,COLUMN($E$1),FALSE)/(LEN(VLOOKUP($D129,素材!$1:$1016,COLUMN($F$1),FALSE))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M129">
        <f>IF(ISNUMBER(SEARCH(SUBSTITUTE(AM$1,RIGHT(AM$1,2),""),VLOOKUP($D129,素材!$1:$1016,COLUMN($F$1),FALSE))),VLOOKUP($C129,武器!$1:$998,COLUMN($O$1),FALSE)*VLOOKUP($D129,素材!$1:$1016,COLUMN($E$1),FALSE)/(LEN(VLOOKUP($D129,素材!$1:$1016,COLUMN($F$1),FALSE))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N129">
        <f>IF(ISNUMBER(SEARCH(SUBSTITUTE(AN$1,RIGHT(AN$1,2),""),VLOOKUP($D129,素材!$1:$1016,COLUMN($F$1),FALSE))),VLOOKUP($C129,武器!$1:$998,COLUMN($O$1),FALSE)*VLOOKUP($D129,素材!$1:$1016,COLUMN($E$1),FALSE)/(LEN(VLOOKUP($D129,素材!$1:$1016,COLUMN($F$1),FALSE))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O129">
        <f>IF(ISNUMBER(SEARCH(SUBSTITUTE(AO$1,RIGHT(AO$1,2),""),VLOOKUP($D129,素材!$1:$1016,COLUMN($F$1),FALSE))),VLOOKUP($C129,武器!$1:$998,COLUMN($O$1),FALSE)*VLOOKUP($D129,素材!$1:$1016,COLUMN($E$1),FALSE)/(LEN(VLOOKUP($D129,素材!$1:$1016,COLUMN($F$1),FALSE))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P129">
        <f>IF(ISNUMBER(SEARCH(SUBSTITUTE(AP$1,RIGHT(AP$1,2),""),VLOOKUP($D129,素材!$1:$1016,COLUMN($F$1),FALSE))),VLOOKUP($C129,武器!$1:$998,COLUMN($O$1),FALSE)*VLOOKUP($D129,素材!$1:$1016,COLUMN($E$1),FALSE)/(LEN(VLOOKUP($D129,素材!$1:$1016,COLUMN($F$1),FALSE))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Q129">
        <f>IF(ISNUMBER(SEARCH(SUBSTITUTE(AQ$1,RIGHT(AQ$1,2),""),VLOOKUP($D129,素材!$1:$1016,COLUMN($F$1),FALSE))),VLOOKUP($C129,武器!$1:$998,COLUMN($O$1),FALSE)*VLOOKUP($D129,素材!$1:$1016,COLUMN($E$1),FALSE)/(LEN(VLOOKUP($D129,素材!$1:$1016,COLUMN($F$1),FALSE))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R129">
        <f>IF(ISNUMBER(SEARCH(SUBSTITUTE(AR$1,RIGHT(AR$1,2),""),VLOOKUP($D129,素材!$1:$1016,COLUMN($F$1),FALSE))),VLOOKUP($C129,武器!$1:$998,COLUMN($O$1),FALSE)*VLOOKUP($D129,素材!$1:$1016,COLUMN($E$1),FALSE)/(LEN(VLOOKUP($D129,素材!$1:$1016,COLUMN($F$1),FALSE))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S129">
        <f>IF(ISNUMBER(SEARCH(SUBSTITUTE(AS$1,RIGHT(AS$1,2),""),VLOOKUP($D129,素材!$1:$1016,COLUMN($F$1),FALSE))),VLOOKUP($C129,武器!$1:$998,COLUMN($O$1),FALSE)*VLOOKUP($D129,素材!$1:$1016,COLUMN($E$1),FALSE)/(LEN(VLOOKUP($D129,素材!$1:$1016,COLUMN($F$1),FALSE))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T129">
        <f>IF(ISNUMBER(SEARCH(SUBSTITUTE(AT$1,RIGHT(AT$1,2),""),VLOOKUP($D129,素材!$1:$1016,COLUMN($F$1),FALSE))),VLOOKUP($C129,武器!$1:$998,COLUMN($O$1),FALSE)*VLOOKUP($D129,素材!$1:$1016,COLUMN($E$1),FALSE)/(LEN(VLOOKUP($D129,素材!$1:$1016,COLUMN($F$1),FALSE))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U129">
        <f>IF(ISNUMBER(SEARCH(SUBSTITUTE(AU$1,RIGHT(AU$1,2),""),VLOOKUP($D129,素材!$1:$1016,COLUMN($F$1),FALSE))),VLOOKUP($C129,武器!$1:$998,COLUMN($O$1),FALSE)*VLOOKUP($D129,素材!$1:$1016,COLUMN($E$1),FALSE)/(LEN(VLOOKUP($D129,素材!$1:$1016,COLUMN($F$1),FALSE))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V129">
        <f>IF(ISNUMBER(SEARCH(SUBSTITUTE(AV$1,RIGHT(AV$1,2),""),VLOOKUP($D129,素材!$1:$1016,COLUMN($F$1),FALSE))),VLOOKUP($C129,武器!$1:$998,COLUMN($O$1),FALSE)*VLOOKUP($D129,素材!$1:$1016,COLUMN($E$1),FALSE)/(LEN(VLOOKUP($D129,素材!$1:$1016,COLUMN($F$1),FALSE))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W129">
        <f>IF(ISNUMBER(SEARCH(SUBSTITUTE(AW$1,RIGHT(AW$1,2),""),VLOOKUP($D129,素材!$1:$1016,COLUMN($F$1),FALSE))),VLOOKUP($C129,武器!$1:$998,COLUMN($O$1),FALSE)*VLOOKUP($D129,素材!$1:$1016,COLUMN($E$1),FALSE)/(LEN(VLOOKUP($D129,素材!$1:$1016,COLUMN($F$1),FALSE))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X129">
        <f>IF(ISNUMBER(SEARCH(SUBSTITUTE(AX$1,RIGHT(AX$1,2),""),VLOOKUP($D129,素材!$1:$1016,COLUMN($F$1),FALSE))),VLOOKUP($C129,武器!$1:$998,COLUMN($O$1),FALSE)*VLOOKUP($D129,素材!$1:$1016,COLUMN($E$1),FALSE)/(LEN(VLOOKUP($D129,素材!$1:$1016,COLUMN($F$1),FALSE))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Y129">
        <f>IF(ISNUMBER(SEARCH(SUBSTITUTE(AY$1,RIGHT(AY$1,2),""),VLOOKUP($D129,素材!$1:$1016,COLUMN($F$1),FALSE))),VLOOKUP($C129,武器!$1:$998,COLUMN($O$1),FALSE)*VLOOKUP($D129,素材!$1:$1016,COLUMN($E$1),FALSE)/(LEN(VLOOKUP($D129,素材!$1:$1016,COLUMN($F$1),FALSE))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AZ129">
        <f>IF(ISNUMBER(SEARCH(SUBSTITUTE(AZ$1,RIGHT(AZ$1,2),""),VLOOKUP($D129,素材!$1:$1016,COLUMN($F$1),FALSE))),VLOOKUP($C129,武器!$1:$998,COLUMN($O$1),FALSE)*VLOOKUP($D129,素材!$1:$1016,COLUMN($E$1),FALSE)/(LEN(VLOOKUP($D129,素材!$1:$1016,COLUMN($F$1),FALSE))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BA129">
        <f>IF(ISNUMBER(SEARCH(SUBSTITUTE(BA$1,RIGHT(BA$1,2),""),VLOOKUP($D129,素材!$1:$1016,COLUMN($F$1),FALSE))),VLOOKUP($C129,武器!$1:$998,COLUMN($O$1),FALSE)*VLOOKUP($D129,素材!$1:$1016,COLUMN($E$1),FALSE)/(LEN(VLOOKUP($D129,素材!$1:$1016,COLUMN($F$1),FALSE))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BB129">
        <f>IF(ISNUMBER(SEARCH(SUBSTITUTE(BB$1,RIGHT(BB$1,2),""),VLOOKUP($D129,素材!$1:$1016,COLUMN($F$1),FALSE))),VLOOKUP($C129,武器!$1:$998,COLUMN($O$1),FALSE)*VLOOKUP($D129,素材!$1:$1016,COLUMN($E$1),FALSE)/(LEN(VLOOKUP($D129,素材!$1:$1016,COLUMN($F$1),FALSE))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BC129">
        <f>IF(ISNUMBER(SEARCH(SUBSTITUTE(BC$1,RIGHT(BC$1,2),""),VLOOKUP($D129,素材!$1:$1016,COLUMN($F$1),FALSE))),VLOOKUP($C129,武器!$1:$998,COLUMN($O$1),FALSE)*VLOOKUP($D129,素材!$1:$1016,COLUMN($E$1),FALSE)/(LEN(VLOOKUP($D129,素材!$1:$1016,COLUMN($F$1),FALSE))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BD129">
        <f>IF(ISNUMBER(SEARCH(SUBSTITUTE(BD$1,RIGHT(BD$1,2),""),VLOOKUP($D129,素材!$1:$1016,COLUMN($F$1),FALSE))),VLOOKUP($C129,武器!$1:$998,COLUMN($O$1),FALSE)*VLOOKUP($D129,素材!$1:$1016,COLUMN($E$1),FALSE)/(LEN(VLOOKUP($D129,素材!$1:$1016,COLUMN($F$1),FALSE))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BE129">
        <f>IF(ISNUMBER(SEARCH(SUBSTITUTE(BE$1,RIGHT(BE$1,2),""),VLOOKUP($D129,素材!$1:$1016,COLUMN($F$1),FALSE))),VLOOKUP($C129,武器!$1:$998,COLUMN($O$1),FALSE)*VLOOKUP($D129,素材!$1:$1016,COLUMN($E$1),FALSE)/(LEN(VLOOKUP($D129,素材!$1:$1016,COLUMN($F$1),FALSE))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BF129">
        <f>IF(ISNUMBER(SEARCH(SUBSTITUTE(BF$1,RIGHT(BF$1,2),""),VLOOKUP($D129,素材!$1:$1016,COLUMN($F$1),FALSE))),VLOOKUP($C129,武器!$1:$998,COLUMN($O$1),FALSE)*VLOOKUP($D129,素材!$1:$1016,COLUMN($E$1),FALSE)/(LEN(VLOOKUP($D129,素材!$1:$1016,COLUMN($F$1),FALSE)) - LEN(SUBSTITUTE(VLOOKUP($D129,素材!$1:$1016,COLUMN($F$1),FALSE), "・", 0)) + 1), 0)</f>
        <v>0</v>
      </c>
      <c r="CM129">
        <f t="shared" si="8"/>
        <v>0</v>
      </c>
      <c r="CN129" s="22" t="str">
        <f>IF(E129="武器",IF(J129-1&gt;SUM(G129:I129),"盾",IF(MAX(G129:I129)=G129,"切断",IF(MAX(G129:I129)=H129,"貫通",IF(MAX(G129:I129)=I129,"打撃","射撃")))),E129)&amp;".webp"</f>
        <v>体.webp</v>
      </c>
      <c r="CO129">
        <f>IFERROR(VLOOKUP($C129,武器!$1:$998,COLUMN(V$1),FALSE)*VLOOKUP($D129,素材!$1:$1016,COLUMN(N$1),FALSE)+IF(CJ129="",0,VLOOKUP($CJ129,装強!$1:$1008,COLUMN($CL$1),FALSE)),"")</f>
        <v>1500</v>
      </c>
      <c r="CP129" t="str">
        <f>VLOOKUP(D129,素材!$A:$O,COLUMN(素材!O$1),FALSE)</f>
        <v>高品質な加工を施した軽量の皮素材。軽量化により動きやすさを確保しつつ、適度な防御力を提供します。</v>
      </c>
      <c r="CQ129" t="str">
        <f>VLOOKUP(C129,武器!$A:$W,COLUMN(武器!W$1),FALSE)</f>
        <v>HP 物理 魔法 体幹 出血 疲労 Cr</v>
      </c>
      <c r="CS129" t="str">
        <f t="shared" si="7"/>
        <v>e_129</v>
      </c>
      <c r="CT129">
        <f t="shared" si="9"/>
        <v>150000</v>
      </c>
    </row>
    <row r="130" spans="1:98" outlineLevel="1" x14ac:dyDescent="0.4">
      <c r="A130" t="str">
        <f t="shared" si="10"/>
        <v>軽皮の胴衣</v>
      </c>
      <c r="B130" t="str">
        <f>IFERROR(VLOOKUP($D130,素材!$1:$1016,COLUMN($B$1),FALSE)&amp;"・"&amp;VLOOKUP($C130,武器!$1:$998,COLUMN(B$1),FALSE),"")</f>
        <v>ライトレザー・ベスト</v>
      </c>
      <c r="C130" t="s">
        <v>207</v>
      </c>
      <c r="D130" s="24" t="s">
        <v>250</v>
      </c>
      <c r="E130" t="str">
        <f>IFERROR(VLOOKUP(C130,武器!$1:$998,COLUMN(C$1),FALSE),"")</f>
        <v>体</v>
      </c>
      <c r="F130">
        <f>IFERROR(ROUNDDOWN((VLOOKUP($C130,武器!$1:$998,COLUMN(D$1),FALSE)+IFERROR(VLOOKUP($CJ130,装強!$1:$999,COLUMN(F$1),FALSE),0))*VLOOKUP($D130,素材!$1:$1016,COLUMN(D$1),FALSE),0),"")</f>
        <v>0</v>
      </c>
      <c r="G130">
        <f>IFERROR(ROUNDDOWN((VLOOKUP($C130,武器!$1:$998,COLUMN(E$1),FALSE)+IFERROR(VLOOKUP($CJ130,装強!$1:$999,COLUMN(G$1),FALSE),0))*VLOOKUP($D130,素材!$1:$1016,COLUMN($E$1),FALSE),0),"")</f>
        <v>0</v>
      </c>
      <c r="H130">
        <f>IFERROR(ROUNDDOWN((VLOOKUP($C130,武器!$1:$998,COLUMN(F$1),FALSE)+IFERROR(VLOOKUP($CJ130,装強!$1:$999,COLUMN(H$1),FALSE),0))*VLOOKUP($D130,素材!$1:$1016,COLUMN($E$1),FALSE),0),"")</f>
        <v>0</v>
      </c>
      <c r="I130">
        <f>IFERROR(ROUNDDOWN((VLOOKUP($C130,武器!$1:$998,COLUMN(G$1),FALSE)+IFERROR(VLOOKUP($CJ130,装強!$1:$999,COLUMN(I$1),FALSE),0))*VLOOKUP($D130,素材!$1:$1016,COLUMN($E$1),FALSE),0),"")</f>
        <v>0</v>
      </c>
      <c r="J130">
        <f>IFERROR(ROUNDDOWN((VLOOKUP($C130,武器!$1:$998,COLUMN(H$1),FALSE)+IFERROR(VLOOKUP($CJ130,装強!$1:$999,COLUMN(J$1),FALSE),0))*VLOOKUP($D130,素材!$1:$1016,COLUMN($E$1),FALSE),0),"")</f>
        <v>0</v>
      </c>
      <c r="K130">
        <f>IFERROR(ROUNDDOWN((VLOOKUP($C130,武器!$1:$998,COLUMN(I$1),FALSE)+IFERROR(VLOOKUP($CJ130,装強!$1:$999,COLUMN(K$1),FALSE),0))*VLOOKUP($D130,素材!$1:$1016,COLUMN($E$1),FALSE),0),"")</f>
        <v>0</v>
      </c>
      <c r="L130" t="str">
        <f>IFERROR(VLOOKUP($D130,素材!$1:$1016,COLUMN($F$1),FALSE),"")</f>
        <v>-</v>
      </c>
      <c r="M130" t="str">
        <f>IFERROR(VLOOKUP($C130,武器!$1:$998,COLUMN(AA$1),FALSE)*VLOOKUP($D130,素材!$1:$1016,COLUMN($G$1),FALSE),"")</f>
        <v/>
      </c>
      <c r="N130">
        <f>IFERROR(VLOOKUP($C130,武器!$1:$998,COLUMN(I$1),FALSE),"")</f>
        <v>0</v>
      </c>
      <c r="O130" s="23" t="str">
        <f>IFERROR((VLOOKUP($C130,武器!$1:$998,COLUMN(K$1),FALSE)+VLOOKUP($D130,素材!$1:$1016,COLUMN(H$1),FALSE))*100+IFERROR(VLOOKUP($CJ130,装強!$1:$999,COLUMN(O$1),FALSE),0),"")</f>
        <v/>
      </c>
      <c r="P130" s="23" t="str">
        <f>IFERROR((VLOOKUP($C130,武器!$1:$998,COLUMN(L$1),FALSE)+VLOOKUP($D130,素材!$1:$1016,COLUMN(I$1),FALSE))*100+IFERROR(VLOOKUP($CJ130,装強!$1:$999,COLUMN(P$1),FALSE),0),"")</f>
        <v/>
      </c>
      <c r="Q130">
        <f>IFERROR(ROUNDUP(VLOOKUP($C130,武器!$1:$998,COLUMN(M$1),FALSE)*(VLOOKUP($D130,素材!$1:$1002,COLUMN(D$1),FALSE)/100),1),"")</f>
        <v>-1.9000000000000001</v>
      </c>
      <c r="R130">
        <f>IFERROR(ROUNDUP(VLOOKUP($C130,武器!$1:$998,COLUMN(N$1),FALSE)*(VLOOKUP($D130,素材!$1:$1002,COLUMN(D$1),FALSE)/100),1),"")</f>
        <v>0</v>
      </c>
      <c r="S130">
        <f>IFERROR(VLOOKUP($C130,武器!$1:$998,COLUMN(P$1),FALSE),"")</f>
        <v>0</v>
      </c>
      <c r="T130">
        <f>IFERROR(VLOOKUP($C130,武器!$1:$998,COLUMN(Q$1),FALSE),"")</f>
        <v>0</v>
      </c>
      <c r="U130">
        <f>IFERROR(VLOOKUP($C130,武器!$1:$998,COLUMN(R$1),FALSE),"")</f>
        <v>0</v>
      </c>
      <c r="V130">
        <f>IFERROR(VLOOKUP($C130,武器!$1:$998,COLUMN(Q$1),FALSE),"")</f>
        <v>0</v>
      </c>
      <c r="W130">
        <f>IFERROR(VLOOKUP($C130,武器!$1:$998,COLUMN(T$1),FALSE),"")</f>
        <v>0</v>
      </c>
      <c r="Y130">
        <f>IFERROR(VLOOKUP($C130,武器!$1:$998,COLUMN(U$1),FALSE),"")</f>
        <v>0</v>
      </c>
      <c r="Z130">
        <f>IFERROR(ROUNDUP(VLOOKUP($C130,武器!$1:$998,COLUMN(O$1),FALSE)*VLOOKUP($D130,素材!$1:$1016,COLUMN(E$1),FALSE),1),"")</f>
        <v>7.5</v>
      </c>
      <c r="AA130">
        <f>IF(ISNUMBER(SEARCH(SUBSTITUTE(AA$1,RIGHT(AA$1,2),""),VLOOKUP($D130,素材!$1:$1016,COLUMN($F$1),FALSE))),VLOOKUP($C130,武器!$1:$998,COLUMN($O$1),FALSE)*VLOOKUP($D130,素材!$1:$1016,COLUMN($E$1),FALSE)/(LEN(VLOOKUP($D130,素材!$1:$1016,COLUMN($F$1),FALSE))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B130">
        <f>IF(ISNUMBER(SEARCH(SUBSTITUTE(AB$1,RIGHT(AB$1,2),""),VLOOKUP($D130,素材!$1:$1016,COLUMN($F$1),FALSE))),VLOOKUP($C130,武器!$1:$998,COLUMN($O$1),FALSE)*VLOOKUP($D130,素材!$1:$1016,COLUMN($E$1),FALSE)/(LEN(VLOOKUP($D130,素材!$1:$1016,COLUMN($F$1),FALSE))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C130">
        <f>IF(ISNUMBER(SEARCH(SUBSTITUTE(AC$1,RIGHT(AC$1,2),""),VLOOKUP($D130,素材!$1:$1016,COLUMN($F$1),FALSE))),VLOOKUP($C130,武器!$1:$998,COLUMN($O$1),FALSE)*VLOOKUP($D130,素材!$1:$1016,COLUMN($E$1),FALSE)/(LEN(VLOOKUP($D130,素材!$1:$1016,COLUMN($F$1),FALSE))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D130">
        <f>IF(ISNUMBER(SEARCH(SUBSTITUTE(AD$1,RIGHT(AD$1,2),""),VLOOKUP($D130,素材!$1:$1016,COLUMN($F$1),FALSE))),VLOOKUP($C130,武器!$1:$998,COLUMN($O$1),FALSE)*VLOOKUP($D130,素材!$1:$1016,COLUMN($E$1),FALSE)/(LEN(VLOOKUP($D130,素材!$1:$1016,COLUMN($F$1),FALSE))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E130">
        <f>IF(ISNUMBER(SEARCH(SUBSTITUTE(AE$1,RIGHT(AE$1,2),""),VLOOKUP($D130,素材!$1:$1016,COLUMN($F$1),FALSE))),VLOOKUP($C130,武器!$1:$998,COLUMN($O$1),FALSE)*VLOOKUP($D130,素材!$1:$1016,COLUMN($E$1),FALSE)/(LEN(VLOOKUP($D130,素材!$1:$1016,COLUMN($F$1),FALSE))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F130">
        <f>IF(ISNUMBER(SEARCH(SUBSTITUTE(AF$1,RIGHT(AF$1,2),""),VLOOKUP($D130,素材!$1:$1016,COLUMN($F$1),FALSE))),VLOOKUP($C130,武器!$1:$998,COLUMN($O$1),FALSE)*VLOOKUP($D130,素材!$1:$1016,COLUMN($E$1),FALSE)/(LEN(VLOOKUP($D130,素材!$1:$1016,COLUMN($F$1),FALSE))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G130">
        <f>IF(ISNUMBER(SEARCH(SUBSTITUTE(AG$1,RIGHT(AG$1,2),""),VLOOKUP($D130,素材!$1:$1016,COLUMN($F$1),FALSE))),VLOOKUP($C130,武器!$1:$998,COLUMN($O$1),FALSE)*VLOOKUP($D130,素材!$1:$1016,COLUMN($E$1),FALSE)/(LEN(VLOOKUP($D130,素材!$1:$1016,COLUMN($F$1),FALSE))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H130">
        <f>IF(ISNUMBER(SEARCH(SUBSTITUTE(AH$1,RIGHT(AH$1,2),""),VLOOKUP($D130,素材!$1:$1016,COLUMN($F$1),FALSE))),VLOOKUP($C130,武器!$1:$998,COLUMN($O$1),FALSE)*VLOOKUP($D130,素材!$1:$1016,COLUMN($E$1),FALSE)/(LEN(VLOOKUP($D130,素材!$1:$1016,COLUMN($F$1),FALSE))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I130">
        <f>IF(ISNUMBER(SEARCH(SUBSTITUTE(AI$1,RIGHT(AI$1,2),""),VLOOKUP($D130,素材!$1:$1016,COLUMN($F$1),FALSE))),VLOOKUP($C130,武器!$1:$998,COLUMN($O$1),FALSE)*VLOOKUP($D130,素材!$1:$1016,COLUMN($E$1),FALSE)/(LEN(VLOOKUP($D130,素材!$1:$1016,COLUMN($F$1),FALSE))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J130">
        <f>IF(ISNUMBER(SEARCH(SUBSTITUTE(AJ$1,RIGHT(AJ$1,2),""),VLOOKUP($D130,素材!$1:$1016,COLUMN($F$1),FALSE))),VLOOKUP($C130,武器!$1:$998,COLUMN($O$1),FALSE)*VLOOKUP($D130,素材!$1:$1016,COLUMN($E$1),FALSE)/(LEN(VLOOKUP($D130,素材!$1:$1016,COLUMN($F$1),FALSE))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K130">
        <f>IF(ISNUMBER(SEARCH(SUBSTITUTE(AK$1,RIGHT(AK$1,2),""),VLOOKUP($D130,素材!$1:$1016,COLUMN($F$1),FALSE))),VLOOKUP($C130,武器!$1:$998,COLUMN($O$1),FALSE)*VLOOKUP($D130,素材!$1:$1016,COLUMN($E$1),FALSE)/(LEN(VLOOKUP($D130,素材!$1:$1016,COLUMN($F$1),FALSE))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L130">
        <f>IF(ISNUMBER(SEARCH(SUBSTITUTE(AL$1,RIGHT(AL$1,2),""),VLOOKUP($D130,素材!$1:$1016,COLUMN($F$1),FALSE))),VLOOKUP($C130,武器!$1:$998,COLUMN($O$1),FALSE)*VLOOKUP($D130,素材!$1:$1016,COLUMN($E$1),FALSE)/(LEN(VLOOKUP($D130,素材!$1:$1016,COLUMN($F$1),FALSE))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M130">
        <f>IF(ISNUMBER(SEARCH(SUBSTITUTE(AM$1,RIGHT(AM$1,2),""),VLOOKUP($D130,素材!$1:$1016,COLUMN($F$1),FALSE))),VLOOKUP($C130,武器!$1:$998,COLUMN($O$1),FALSE)*VLOOKUP($D130,素材!$1:$1016,COLUMN($E$1),FALSE)/(LEN(VLOOKUP($D130,素材!$1:$1016,COLUMN($F$1),FALSE))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N130">
        <f>IF(ISNUMBER(SEARCH(SUBSTITUTE(AN$1,RIGHT(AN$1,2),""),VLOOKUP($D130,素材!$1:$1016,COLUMN($F$1),FALSE))),VLOOKUP($C130,武器!$1:$998,COLUMN($O$1),FALSE)*VLOOKUP($D130,素材!$1:$1016,COLUMN($E$1),FALSE)/(LEN(VLOOKUP($D130,素材!$1:$1016,COLUMN($F$1),FALSE))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O130">
        <f>IF(ISNUMBER(SEARCH(SUBSTITUTE(AO$1,RIGHT(AO$1,2),""),VLOOKUP($D130,素材!$1:$1016,COLUMN($F$1),FALSE))),VLOOKUP($C130,武器!$1:$998,COLUMN($O$1),FALSE)*VLOOKUP($D130,素材!$1:$1016,COLUMN($E$1),FALSE)/(LEN(VLOOKUP($D130,素材!$1:$1016,COLUMN($F$1),FALSE))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P130">
        <f>IF(ISNUMBER(SEARCH(SUBSTITUTE(AP$1,RIGHT(AP$1,2),""),VLOOKUP($D130,素材!$1:$1016,COLUMN($F$1),FALSE))),VLOOKUP($C130,武器!$1:$998,COLUMN($O$1),FALSE)*VLOOKUP($D130,素材!$1:$1016,COLUMN($E$1),FALSE)/(LEN(VLOOKUP($D130,素材!$1:$1016,COLUMN($F$1),FALSE))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Q130">
        <f>IF(ISNUMBER(SEARCH(SUBSTITUTE(AQ$1,RIGHT(AQ$1,2),""),VLOOKUP($D130,素材!$1:$1016,COLUMN($F$1),FALSE))),VLOOKUP($C130,武器!$1:$998,COLUMN($O$1),FALSE)*VLOOKUP($D130,素材!$1:$1016,COLUMN($E$1),FALSE)/(LEN(VLOOKUP($D130,素材!$1:$1016,COLUMN($F$1),FALSE))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R130">
        <f>IF(ISNUMBER(SEARCH(SUBSTITUTE(AR$1,RIGHT(AR$1,2),""),VLOOKUP($D130,素材!$1:$1016,COLUMN($F$1),FALSE))),VLOOKUP($C130,武器!$1:$998,COLUMN($O$1),FALSE)*VLOOKUP($D130,素材!$1:$1016,COLUMN($E$1),FALSE)/(LEN(VLOOKUP($D130,素材!$1:$1016,COLUMN($F$1),FALSE))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S130">
        <f>IF(ISNUMBER(SEARCH(SUBSTITUTE(AS$1,RIGHT(AS$1,2),""),VLOOKUP($D130,素材!$1:$1016,COLUMN($F$1),FALSE))),VLOOKUP($C130,武器!$1:$998,COLUMN($O$1),FALSE)*VLOOKUP($D130,素材!$1:$1016,COLUMN($E$1),FALSE)/(LEN(VLOOKUP($D130,素材!$1:$1016,COLUMN($F$1),FALSE))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T130">
        <f>IF(ISNUMBER(SEARCH(SUBSTITUTE(AT$1,RIGHT(AT$1,2),""),VLOOKUP($D130,素材!$1:$1016,COLUMN($F$1),FALSE))),VLOOKUP($C130,武器!$1:$998,COLUMN($O$1),FALSE)*VLOOKUP($D130,素材!$1:$1016,COLUMN($E$1),FALSE)/(LEN(VLOOKUP($D130,素材!$1:$1016,COLUMN($F$1),FALSE))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U130">
        <f>IF(ISNUMBER(SEARCH(SUBSTITUTE(AU$1,RIGHT(AU$1,2),""),VLOOKUP($D130,素材!$1:$1016,COLUMN($F$1),FALSE))),VLOOKUP($C130,武器!$1:$998,COLUMN($O$1),FALSE)*VLOOKUP($D130,素材!$1:$1016,COLUMN($E$1),FALSE)/(LEN(VLOOKUP($D130,素材!$1:$1016,COLUMN($F$1),FALSE))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V130">
        <f>IF(ISNUMBER(SEARCH(SUBSTITUTE(AV$1,RIGHT(AV$1,2),""),VLOOKUP($D130,素材!$1:$1016,COLUMN($F$1),FALSE))),VLOOKUP($C130,武器!$1:$998,COLUMN($O$1),FALSE)*VLOOKUP($D130,素材!$1:$1016,COLUMN($E$1),FALSE)/(LEN(VLOOKUP($D130,素材!$1:$1016,COLUMN($F$1),FALSE))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W130">
        <f>IF(ISNUMBER(SEARCH(SUBSTITUTE(AW$1,RIGHT(AW$1,2),""),VLOOKUP($D130,素材!$1:$1016,COLUMN($F$1),FALSE))),VLOOKUP($C130,武器!$1:$998,COLUMN($O$1),FALSE)*VLOOKUP($D130,素材!$1:$1016,COLUMN($E$1),FALSE)/(LEN(VLOOKUP($D130,素材!$1:$1016,COLUMN($F$1),FALSE))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X130">
        <f>IF(ISNUMBER(SEARCH(SUBSTITUTE(AX$1,RIGHT(AX$1,2),""),VLOOKUP($D130,素材!$1:$1016,COLUMN($F$1),FALSE))),VLOOKUP($C130,武器!$1:$998,COLUMN($O$1),FALSE)*VLOOKUP($D130,素材!$1:$1016,COLUMN($E$1),FALSE)/(LEN(VLOOKUP($D130,素材!$1:$1016,COLUMN($F$1),FALSE))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Y130">
        <f>IF(ISNUMBER(SEARCH(SUBSTITUTE(AY$1,RIGHT(AY$1,2),""),VLOOKUP($D130,素材!$1:$1016,COLUMN($F$1),FALSE))),VLOOKUP($C130,武器!$1:$998,COLUMN($O$1),FALSE)*VLOOKUP($D130,素材!$1:$1016,COLUMN($E$1),FALSE)/(LEN(VLOOKUP($D130,素材!$1:$1016,COLUMN($F$1),FALSE))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AZ130">
        <f>IF(ISNUMBER(SEARCH(SUBSTITUTE(AZ$1,RIGHT(AZ$1,2),""),VLOOKUP($D130,素材!$1:$1016,COLUMN($F$1),FALSE))),VLOOKUP($C130,武器!$1:$998,COLUMN($O$1),FALSE)*VLOOKUP($D130,素材!$1:$1016,COLUMN($E$1),FALSE)/(LEN(VLOOKUP($D130,素材!$1:$1016,COLUMN($F$1),FALSE))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BA130">
        <f>IF(ISNUMBER(SEARCH(SUBSTITUTE(BA$1,RIGHT(BA$1,2),""),VLOOKUP($D130,素材!$1:$1016,COLUMN($F$1),FALSE))),VLOOKUP($C130,武器!$1:$998,COLUMN($O$1),FALSE)*VLOOKUP($D130,素材!$1:$1016,COLUMN($E$1),FALSE)/(LEN(VLOOKUP($D130,素材!$1:$1016,COLUMN($F$1),FALSE))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BB130">
        <f>IF(ISNUMBER(SEARCH(SUBSTITUTE(BB$1,RIGHT(BB$1,2),""),VLOOKUP($D130,素材!$1:$1016,COLUMN($F$1),FALSE))),VLOOKUP($C130,武器!$1:$998,COLUMN($O$1),FALSE)*VLOOKUP($D130,素材!$1:$1016,COLUMN($E$1),FALSE)/(LEN(VLOOKUP($D130,素材!$1:$1016,COLUMN($F$1),FALSE))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BC130">
        <f>IF(ISNUMBER(SEARCH(SUBSTITUTE(BC$1,RIGHT(BC$1,2),""),VLOOKUP($D130,素材!$1:$1016,COLUMN($F$1),FALSE))),VLOOKUP($C130,武器!$1:$998,COLUMN($O$1),FALSE)*VLOOKUP($D130,素材!$1:$1016,COLUMN($E$1),FALSE)/(LEN(VLOOKUP($D130,素材!$1:$1016,COLUMN($F$1),FALSE))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BD130">
        <f>IF(ISNUMBER(SEARCH(SUBSTITUTE(BD$1,RIGHT(BD$1,2),""),VLOOKUP($D130,素材!$1:$1016,COLUMN($F$1),FALSE))),VLOOKUP($C130,武器!$1:$998,COLUMN($O$1),FALSE)*VLOOKUP($D130,素材!$1:$1016,COLUMN($E$1),FALSE)/(LEN(VLOOKUP($D130,素材!$1:$1016,COLUMN($F$1),FALSE))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BE130">
        <f>IF(ISNUMBER(SEARCH(SUBSTITUTE(BE$1,RIGHT(BE$1,2),""),VLOOKUP($D130,素材!$1:$1016,COLUMN($F$1),FALSE))),VLOOKUP($C130,武器!$1:$998,COLUMN($O$1),FALSE)*VLOOKUP($D130,素材!$1:$1016,COLUMN($E$1),FALSE)/(LEN(VLOOKUP($D130,素材!$1:$1016,COLUMN($F$1),FALSE))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BF130">
        <f>IF(ISNUMBER(SEARCH(SUBSTITUTE(BF$1,RIGHT(BF$1,2),""),VLOOKUP($D130,素材!$1:$1016,COLUMN($F$1),FALSE))),VLOOKUP($C130,武器!$1:$998,COLUMN($O$1),FALSE)*VLOOKUP($D130,素材!$1:$1016,COLUMN($E$1),FALSE)/(LEN(VLOOKUP($D130,素材!$1:$1016,COLUMN($F$1),FALSE)) - LEN(SUBSTITUTE(VLOOKUP($D130,素材!$1:$1016,COLUMN($F$1),FALSE), "・", 0)) + 1), 0)</f>
        <v>0</v>
      </c>
      <c r="CM130">
        <f t="shared" si="8"/>
        <v>0</v>
      </c>
      <c r="CN130" s="22" t="str">
        <f>IF(E130="武器",IF(J130-1&gt;SUM(G130:I130),"盾",IF(MAX(G130:I130)=G130,"切断",IF(MAX(G130:I130)=H130,"貫通",IF(MAX(G130:I130)=I130,"打撃","射撃")))),E130)&amp;".webp"</f>
        <v>体.webp</v>
      </c>
      <c r="CO130">
        <f>IFERROR(VLOOKUP($C130,武器!$1:$998,COLUMN(V$1),FALSE)*VLOOKUP($D130,素材!$1:$1016,COLUMN(N$1),FALSE)+IF(CJ130="",0,VLOOKUP($CJ130,装強!$1:$1008,COLUMN($CL$1),FALSE)),"")</f>
        <v>1250</v>
      </c>
      <c r="CP130" t="str">
        <f>VLOOKUP(D130,素材!$A:$O,COLUMN(素材!O$1),FALSE)</f>
        <v>高品質な加工を施した軽量の皮素材。軽量化により動きやすさを確保しつつ、適度な防御力を提供します。</v>
      </c>
      <c r="CQ130" t="str">
        <f>VLOOKUP(C130,武器!$A:$W,COLUMN(武器!W$1),FALSE)</f>
        <v>HP 物理 魔法 体幹 出血 疲労 Cr</v>
      </c>
      <c r="CS130" t="str">
        <f t="shared" si="7"/>
        <v>e_130</v>
      </c>
      <c r="CT130">
        <f t="shared" si="9"/>
        <v>125000</v>
      </c>
    </row>
    <row r="131" spans="1:98" outlineLevel="1" x14ac:dyDescent="0.4">
      <c r="A131" t="str">
        <f t="shared" ref="A131" si="17">D131&amp;"の"&amp;C131</f>
        <v>魔獣皮の帽子</v>
      </c>
      <c r="B131" t="str">
        <f>IFERROR(VLOOKUP($D131,素材!$1:$1016,COLUMN($B$1),FALSE)&amp;"・"&amp;VLOOKUP($C131,武器!$1:$998,COLUMN(B$1),FALSE),"")</f>
        <v>マジックレザー・ハット</v>
      </c>
      <c r="C131" t="s">
        <v>1196</v>
      </c>
      <c r="D131" s="24" t="s">
        <v>202</v>
      </c>
      <c r="E131" t="str">
        <f>IFERROR(VLOOKUP(C131,武器!$1:$998,COLUMN(C$1),FALSE),"")</f>
        <v>頭</v>
      </c>
      <c r="F131">
        <f>IFERROR(ROUNDDOWN((VLOOKUP($C131,武器!$1:$998,COLUMN(D$1),FALSE)+IFERROR(VLOOKUP($CJ131,装強!$1:$999,COLUMN(F$1),FALSE),0))*VLOOKUP($D131,素材!$1:$1016,COLUMN(D$1),FALSE),0),"")</f>
        <v>0</v>
      </c>
      <c r="G131">
        <f>IFERROR(ROUNDDOWN((VLOOKUP($C131,武器!$1:$998,COLUMN(E$1),FALSE)+IFERROR(VLOOKUP($CJ131,装強!$1:$999,COLUMN(G$1),FALSE),0))*VLOOKUP($D131,素材!$1:$1016,COLUMN($E$1),FALSE),0),"")</f>
        <v>0</v>
      </c>
      <c r="H131">
        <f>IFERROR(ROUNDDOWN((VLOOKUP($C131,武器!$1:$998,COLUMN(F$1),FALSE)+IFERROR(VLOOKUP($CJ131,装強!$1:$999,COLUMN(H$1),FALSE),0))*VLOOKUP($D131,素材!$1:$1016,COLUMN($E$1),FALSE),0),"")</f>
        <v>0</v>
      </c>
      <c r="I131">
        <f>IFERROR(ROUNDDOWN((VLOOKUP($C131,武器!$1:$998,COLUMN(G$1),FALSE)+IFERROR(VLOOKUP($CJ131,装強!$1:$999,COLUMN(I$1),FALSE),0))*VLOOKUP($D131,素材!$1:$1016,COLUMN($E$1),FALSE),0),"")</f>
        <v>0</v>
      </c>
      <c r="J131">
        <f>IFERROR(ROUNDDOWN((VLOOKUP($C131,武器!$1:$998,COLUMN(H$1),FALSE)+IFERROR(VLOOKUP($CJ131,装強!$1:$999,COLUMN(J$1),FALSE),0))*VLOOKUP($D131,素材!$1:$1016,COLUMN($E$1),FALSE),0),"")</f>
        <v>0</v>
      </c>
      <c r="K131">
        <f>IFERROR(ROUNDDOWN((VLOOKUP($C131,武器!$1:$998,COLUMN(I$1),FALSE)+IFERROR(VLOOKUP($CJ131,装強!$1:$999,COLUMN(K$1),FALSE),0))*VLOOKUP($D131,素材!$1:$1016,COLUMN($E$1),FALSE),0),"")</f>
        <v>0</v>
      </c>
      <c r="L131" t="str">
        <f>IFERROR(VLOOKUP($D131,素材!$1:$1016,COLUMN($F$1),FALSE),"")</f>
        <v>魔法</v>
      </c>
      <c r="M131" t="str">
        <f>IFERROR(VLOOKUP($C131,武器!$1:$998,COLUMN(AA$1),FALSE)*VLOOKUP($D131,素材!$1:$1016,COLUMN($G$1),FALSE),"")</f>
        <v/>
      </c>
      <c r="N131">
        <f>IFERROR(VLOOKUP($C131,武器!$1:$998,COLUMN(I$1),FALSE),"")</f>
        <v>0</v>
      </c>
      <c r="O131" s="23" t="str">
        <f>IFERROR((VLOOKUP($C131,武器!$1:$998,COLUMN(K$1),FALSE)+VLOOKUP($D131,素材!$1:$1016,COLUMN(H$1),FALSE))*100+IFERROR(VLOOKUP($CJ131,装強!$1:$999,COLUMN(O$1),FALSE),0),"")</f>
        <v/>
      </c>
      <c r="P131" s="23" t="str">
        <f>IFERROR((VLOOKUP($C131,武器!$1:$998,COLUMN(L$1),FALSE)+VLOOKUP($D131,素材!$1:$1016,COLUMN(I$1),FALSE))*100+IFERROR(VLOOKUP($CJ131,装強!$1:$999,COLUMN(P$1),FALSE),0),"")</f>
        <v/>
      </c>
      <c r="Q131">
        <f>IFERROR(ROUNDUP(VLOOKUP($C131,武器!$1:$998,COLUMN(M$1),FALSE)*(VLOOKUP($D131,素材!$1:$1002,COLUMN(D$1),FALSE)/100),1),"")</f>
        <v>0</v>
      </c>
      <c r="R131">
        <f>IFERROR(ROUNDUP(VLOOKUP($C131,武器!$1:$998,COLUMN(N$1),FALSE)*(VLOOKUP($D131,素材!$1:$1002,COLUMN(D$1),FALSE)/100),1),"")</f>
        <v>0</v>
      </c>
      <c r="S131">
        <f>IFERROR(VLOOKUP($C131,武器!$1:$998,COLUMN(P$1),FALSE),"")</f>
        <v>0</v>
      </c>
      <c r="T131">
        <f>IFERROR(VLOOKUP($C131,武器!$1:$998,COLUMN(Q$1),FALSE),"")</f>
        <v>0</v>
      </c>
      <c r="U131">
        <f>IFERROR(VLOOKUP($C131,武器!$1:$998,COLUMN(R$1),FALSE),"")</f>
        <v>0</v>
      </c>
      <c r="V131">
        <f>IFERROR(VLOOKUP($C131,武器!$1:$998,COLUMN(Q$1),FALSE),"")</f>
        <v>0</v>
      </c>
      <c r="W131">
        <f>IFERROR(VLOOKUP($C131,武器!$1:$998,COLUMN(T$1),FALSE),"")</f>
        <v>0</v>
      </c>
      <c r="Y131">
        <f>IFERROR(VLOOKUP($C131,武器!$1:$998,COLUMN(U$1),FALSE),"")</f>
        <v>0</v>
      </c>
      <c r="Z131">
        <f>IFERROR(ROUNDUP(VLOOKUP($C131,武器!$1:$998,COLUMN(O$1),FALSE)*VLOOKUP($D131,素材!$1:$1016,COLUMN(E$1),FALSE),1),"")</f>
        <v>1.5</v>
      </c>
      <c r="AA131">
        <f>IF(ISNUMBER(SEARCH(SUBSTITUTE(AA$1,RIGHT(AA$1,2),""),VLOOKUP($D131,素材!$1:$1016,COLUMN($F$1),FALSE))),VLOOKUP($C131,武器!$1:$998,COLUMN($O$1),FALSE)*VLOOKUP($D131,素材!$1:$1016,COLUMN($E$1),FALSE)/(LEN(VLOOKUP($D131,素材!$1:$1016,COLUMN($F$1),FALSE))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1.5</v>
      </c>
      <c r="AB131">
        <f>IF(ISNUMBER(SEARCH(SUBSTITUTE(AB$1,RIGHT(AB$1,2),""),VLOOKUP($D131,素材!$1:$1016,COLUMN($F$1),FALSE))),VLOOKUP($C131,武器!$1:$998,COLUMN($O$1),FALSE)*VLOOKUP($D131,素材!$1:$1016,COLUMN($E$1),FALSE)/(LEN(VLOOKUP($D131,素材!$1:$1016,COLUMN($F$1),FALSE))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C131">
        <f>IF(ISNUMBER(SEARCH(SUBSTITUTE(AC$1,RIGHT(AC$1,2),""),VLOOKUP($D131,素材!$1:$1016,COLUMN($F$1),FALSE))),VLOOKUP($C131,武器!$1:$998,COLUMN($O$1),FALSE)*VLOOKUP($D131,素材!$1:$1016,COLUMN($E$1),FALSE)/(LEN(VLOOKUP($D131,素材!$1:$1016,COLUMN($F$1),FALSE))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D131">
        <f>IF(ISNUMBER(SEARCH(SUBSTITUTE(AD$1,RIGHT(AD$1,2),""),VLOOKUP($D131,素材!$1:$1016,COLUMN($F$1),FALSE))),VLOOKUP($C131,武器!$1:$998,COLUMN($O$1),FALSE)*VLOOKUP($D131,素材!$1:$1016,COLUMN($E$1),FALSE)/(LEN(VLOOKUP($D131,素材!$1:$1016,COLUMN($F$1),FALSE))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E131">
        <f>IF(ISNUMBER(SEARCH(SUBSTITUTE(AE$1,RIGHT(AE$1,2),""),VLOOKUP($D131,素材!$1:$1016,COLUMN($F$1),FALSE))),VLOOKUP($C131,武器!$1:$998,COLUMN($O$1),FALSE)*VLOOKUP($D131,素材!$1:$1016,COLUMN($E$1),FALSE)/(LEN(VLOOKUP($D131,素材!$1:$1016,COLUMN($F$1),FALSE))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F131">
        <f>IF(ISNUMBER(SEARCH(SUBSTITUTE(AF$1,RIGHT(AF$1,2),""),VLOOKUP($D131,素材!$1:$1016,COLUMN($F$1),FALSE))),VLOOKUP($C131,武器!$1:$998,COLUMN($O$1),FALSE)*VLOOKUP($D131,素材!$1:$1016,COLUMN($E$1),FALSE)/(LEN(VLOOKUP($D131,素材!$1:$1016,COLUMN($F$1),FALSE))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G131">
        <f>IF(ISNUMBER(SEARCH(SUBSTITUTE(AG$1,RIGHT(AG$1,2),""),VLOOKUP($D131,素材!$1:$1016,COLUMN($F$1),FALSE))),VLOOKUP($C131,武器!$1:$998,COLUMN($O$1),FALSE)*VLOOKUP($D131,素材!$1:$1016,COLUMN($E$1),FALSE)/(LEN(VLOOKUP($D131,素材!$1:$1016,COLUMN($F$1),FALSE))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H131">
        <f>IF(ISNUMBER(SEARCH(SUBSTITUTE(AH$1,RIGHT(AH$1,2),""),VLOOKUP($D131,素材!$1:$1016,COLUMN($F$1),FALSE))),VLOOKUP($C131,武器!$1:$998,COLUMN($O$1),FALSE)*VLOOKUP($D131,素材!$1:$1016,COLUMN($E$1),FALSE)/(LEN(VLOOKUP($D131,素材!$1:$1016,COLUMN($F$1),FALSE))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I131">
        <f>IF(ISNUMBER(SEARCH(SUBSTITUTE(AI$1,RIGHT(AI$1,2),""),VLOOKUP($D131,素材!$1:$1016,COLUMN($F$1),FALSE))),VLOOKUP($C131,武器!$1:$998,COLUMN($O$1),FALSE)*VLOOKUP($D131,素材!$1:$1016,COLUMN($E$1),FALSE)/(LEN(VLOOKUP($D131,素材!$1:$1016,COLUMN($F$1),FALSE))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J131">
        <f>IF(ISNUMBER(SEARCH(SUBSTITUTE(AJ$1,RIGHT(AJ$1,2),""),VLOOKUP($D131,素材!$1:$1016,COLUMN($F$1),FALSE))),VLOOKUP($C131,武器!$1:$998,COLUMN($O$1),FALSE)*VLOOKUP($D131,素材!$1:$1016,COLUMN($E$1),FALSE)/(LEN(VLOOKUP($D131,素材!$1:$1016,COLUMN($F$1),FALSE))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K131">
        <f>IF(ISNUMBER(SEARCH(SUBSTITUTE(AK$1,RIGHT(AK$1,2),""),VLOOKUP($D131,素材!$1:$1016,COLUMN($F$1),FALSE))),VLOOKUP($C131,武器!$1:$998,COLUMN($O$1),FALSE)*VLOOKUP($D131,素材!$1:$1016,COLUMN($E$1),FALSE)/(LEN(VLOOKUP($D131,素材!$1:$1016,COLUMN($F$1),FALSE))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L131">
        <f>IF(ISNUMBER(SEARCH(SUBSTITUTE(AL$1,RIGHT(AL$1,2),""),VLOOKUP($D131,素材!$1:$1016,COLUMN($F$1),FALSE))),VLOOKUP($C131,武器!$1:$998,COLUMN($O$1),FALSE)*VLOOKUP($D131,素材!$1:$1016,COLUMN($E$1),FALSE)/(LEN(VLOOKUP($D131,素材!$1:$1016,COLUMN($F$1),FALSE))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M131">
        <f>IF(ISNUMBER(SEARCH(SUBSTITUTE(AM$1,RIGHT(AM$1,2),""),VLOOKUP($D131,素材!$1:$1016,COLUMN($F$1),FALSE))),VLOOKUP($C131,武器!$1:$998,COLUMN($O$1),FALSE)*VLOOKUP($D131,素材!$1:$1016,COLUMN($E$1),FALSE)/(LEN(VLOOKUP($D131,素材!$1:$1016,COLUMN($F$1),FALSE))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N131">
        <f>IF(ISNUMBER(SEARCH(SUBSTITUTE(AN$1,RIGHT(AN$1,2),""),VLOOKUP($D131,素材!$1:$1016,COLUMN($F$1),FALSE))),VLOOKUP($C131,武器!$1:$998,COLUMN($O$1),FALSE)*VLOOKUP($D131,素材!$1:$1016,COLUMN($E$1),FALSE)/(LEN(VLOOKUP($D131,素材!$1:$1016,COLUMN($F$1),FALSE))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O131">
        <f>IF(ISNUMBER(SEARCH(SUBSTITUTE(AO$1,RIGHT(AO$1,2),""),VLOOKUP($D131,素材!$1:$1016,COLUMN($F$1),FALSE))),VLOOKUP($C131,武器!$1:$998,COLUMN($O$1),FALSE)*VLOOKUP($D131,素材!$1:$1016,COLUMN($E$1),FALSE)/(LEN(VLOOKUP($D131,素材!$1:$1016,COLUMN($F$1),FALSE))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P131">
        <f>IF(ISNUMBER(SEARCH(SUBSTITUTE(AP$1,RIGHT(AP$1,2),""),VLOOKUP($D131,素材!$1:$1016,COLUMN($F$1),FALSE))),VLOOKUP($C131,武器!$1:$998,COLUMN($O$1),FALSE)*VLOOKUP($D131,素材!$1:$1016,COLUMN($E$1),FALSE)/(LEN(VLOOKUP($D131,素材!$1:$1016,COLUMN($F$1),FALSE))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Q131">
        <f>IF(ISNUMBER(SEARCH(SUBSTITUTE(AQ$1,RIGHT(AQ$1,2),""),VLOOKUP($D131,素材!$1:$1016,COLUMN($F$1),FALSE))),VLOOKUP($C131,武器!$1:$998,COLUMN($O$1),FALSE)*VLOOKUP($D131,素材!$1:$1016,COLUMN($E$1),FALSE)/(LEN(VLOOKUP($D131,素材!$1:$1016,COLUMN($F$1),FALSE))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R131">
        <f>IF(ISNUMBER(SEARCH(SUBSTITUTE(AR$1,RIGHT(AR$1,2),""),VLOOKUP($D131,素材!$1:$1016,COLUMN($F$1),FALSE))),VLOOKUP($C131,武器!$1:$998,COLUMN($O$1),FALSE)*VLOOKUP($D131,素材!$1:$1016,COLUMN($E$1),FALSE)/(LEN(VLOOKUP($D131,素材!$1:$1016,COLUMN($F$1),FALSE))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S131">
        <f>IF(ISNUMBER(SEARCH(SUBSTITUTE(AS$1,RIGHT(AS$1,2),""),VLOOKUP($D131,素材!$1:$1016,COLUMN($F$1),FALSE))),VLOOKUP($C131,武器!$1:$998,COLUMN($O$1),FALSE)*VLOOKUP($D131,素材!$1:$1016,COLUMN($E$1),FALSE)/(LEN(VLOOKUP($D131,素材!$1:$1016,COLUMN($F$1),FALSE))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T131">
        <f>IF(ISNUMBER(SEARCH(SUBSTITUTE(AT$1,RIGHT(AT$1,2),""),VLOOKUP($D131,素材!$1:$1016,COLUMN($F$1),FALSE))),VLOOKUP($C131,武器!$1:$998,COLUMN($O$1),FALSE)*VLOOKUP($D131,素材!$1:$1016,COLUMN($E$1),FALSE)/(LEN(VLOOKUP($D131,素材!$1:$1016,COLUMN($F$1),FALSE))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U131">
        <f>IF(ISNUMBER(SEARCH(SUBSTITUTE(AU$1,RIGHT(AU$1,2),""),VLOOKUP($D131,素材!$1:$1016,COLUMN($F$1),FALSE))),VLOOKUP($C131,武器!$1:$998,COLUMN($O$1),FALSE)*VLOOKUP($D131,素材!$1:$1016,COLUMN($E$1),FALSE)/(LEN(VLOOKUP($D131,素材!$1:$1016,COLUMN($F$1),FALSE))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V131">
        <f>IF(ISNUMBER(SEARCH(SUBSTITUTE(AV$1,RIGHT(AV$1,2),""),VLOOKUP($D131,素材!$1:$1016,COLUMN($F$1),FALSE))),VLOOKUP($C131,武器!$1:$998,COLUMN($O$1),FALSE)*VLOOKUP($D131,素材!$1:$1016,COLUMN($E$1),FALSE)/(LEN(VLOOKUP($D131,素材!$1:$1016,COLUMN($F$1),FALSE))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W131">
        <f>IF(ISNUMBER(SEARCH(SUBSTITUTE(AW$1,RIGHT(AW$1,2),""),VLOOKUP($D131,素材!$1:$1016,COLUMN($F$1),FALSE))),VLOOKUP($C131,武器!$1:$998,COLUMN($O$1),FALSE)*VLOOKUP($D131,素材!$1:$1016,COLUMN($E$1),FALSE)/(LEN(VLOOKUP($D131,素材!$1:$1016,COLUMN($F$1),FALSE))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X131">
        <f>IF(ISNUMBER(SEARCH(SUBSTITUTE(AX$1,RIGHT(AX$1,2),""),VLOOKUP($D131,素材!$1:$1016,COLUMN($F$1),FALSE))),VLOOKUP($C131,武器!$1:$998,COLUMN($O$1),FALSE)*VLOOKUP($D131,素材!$1:$1016,COLUMN($E$1),FALSE)/(LEN(VLOOKUP($D131,素材!$1:$1016,COLUMN($F$1),FALSE))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Y131">
        <f>IF(ISNUMBER(SEARCH(SUBSTITUTE(AY$1,RIGHT(AY$1,2),""),VLOOKUP($D131,素材!$1:$1016,COLUMN($F$1),FALSE))),VLOOKUP($C131,武器!$1:$998,COLUMN($O$1),FALSE)*VLOOKUP($D131,素材!$1:$1016,COLUMN($E$1),FALSE)/(LEN(VLOOKUP($D131,素材!$1:$1016,COLUMN($F$1),FALSE))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AZ131">
        <f>IF(ISNUMBER(SEARCH(SUBSTITUTE(AZ$1,RIGHT(AZ$1,2),""),VLOOKUP($D131,素材!$1:$1016,COLUMN($F$1),FALSE))),VLOOKUP($C131,武器!$1:$998,COLUMN($O$1),FALSE)*VLOOKUP($D131,素材!$1:$1016,COLUMN($E$1),FALSE)/(LEN(VLOOKUP($D131,素材!$1:$1016,COLUMN($F$1),FALSE))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BA131">
        <f>IF(ISNUMBER(SEARCH(SUBSTITUTE(BA$1,RIGHT(BA$1,2),""),VLOOKUP($D131,素材!$1:$1016,COLUMN($F$1),FALSE))),VLOOKUP($C131,武器!$1:$998,COLUMN($O$1),FALSE)*VLOOKUP($D131,素材!$1:$1016,COLUMN($E$1),FALSE)/(LEN(VLOOKUP($D131,素材!$1:$1016,COLUMN($F$1),FALSE))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BB131">
        <f>IF(ISNUMBER(SEARCH(SUBSTITUTE(BB$1,RIGHT(BB$1,2),""),VLOOKUP($D131,素材!$1:$1016,COLUMN($F$1),FALSE))),VLOOKUP($C131,武器!$1:$998,COLUMN($O$1),FALSE)*VLOOKUP($D131,素材!$1:$1016,COLUMN($E$1),FALSE)/(LEN(VLOOKUP($D131,素材!$1:$1016,COLUMN($F$1),FALSE))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BC131">
        <f>IF(ISNUMBER(SEARCH(SUBSTITUTE(BC$1,RIGHT(BC$1,2),""),VLOOKUP($D131,素材!$1:$1016,COLUMN($F$1),FALSE))),VLOOKUP($C131,武器!$1:$998,COLUMN($O$1),FALSE)*VLOOKUP($D131,素材!$1:$1016,COLUMN($E$1),FALSE)/(LEN(VLOOKUP($D131,素材!$1:$1016,COLUMN($F$1),FALSE))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BD131">
        <f>IF(ISNUMBER(SEARCH(SUBSTITUTE(BD$1,RIGHT(BD$1,2),""),VLOOKUP($D131,素材!$1:$1016,COLUMN($F$1),FALSE))),VLOOKUP($C131,武器!$1:$998,COLUMN($O$1),FALSE)*VLOOKUP($D131,素材!$1:$1016,COLUMN($E$1),FALSE)/(LEN(VLOOKUP($D131,素材!$1:$1016,COLUMN($F$1),FALSE))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1.5</v>
      </c>
      <c r="BE131">
        <f>IF(ISNUMBER(SEARCH(SUBSTITUTE(BE$1,RIGHT(BE$1,2),""),VLOOKUP($D131,素材!$1:$1016,COLUMN($F$1),FALSE))),VLOOKUP($C131,武器!$1:$998,COLUMN($O$1),FALSE)*VLOOKUP($D131,素材!$1:$1016,COLUMN($E$1),FALSE)/(LEN(VLOOKUP($D131,素材!$1:$1016,COLUMN($F$1),FALSE))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BF131">
        <f>IF(ISNUMBER(SEARCH(SUBSTITUTE(BF$1,RIGHT(BF$1,2),""),VLOOKUP($D131,素材!$1:$1016,COLUMN($F$1),FALSE))),VLOOKUP($C131,武器!$1:$998,COLUMN($O$1),FALSE)*VLOOKUP($D131,素材!$1:$1016,COLUMN($E$1),FALSE)/(LEN(VLOOKUP($D131,素材!$1:$1016,COLUMN($F$1),FALSE)) - LEN(SUBSTITUTE(VLOOKUP($D131,素材!$1:$1016,COLUMN($F$1),FALSE), "・", 0)) + 1), 0)</f>
        <v>0</v>
      </c>
      <c r="CM131">
        <f t="shared" si="8"/>
        <v>0</v>
      </c>
      <c r="CN131" s="22" t="str">
        <f>IF(E131="武器",IF(J131-1&gt;SUM(G131:I131),"盾",IF(MAX(G131:I131)=G131,"切断",IF(MAX(G131:I131)=H131,"貫通",IF(MAX(G131:I131)=I131,"打撃","射撃")))),E131)&amp;".webp"</f>
        <v>頭.webp</v>
      </c>
      <c r="CO131">
        <f>IFERROR(VLOOKUP($C131,武器!$1:$998,COLUMN(V$1),FALSE)*VLOOKUP($D131,素材!$1:$1016,COLUMN(N$1),FALSE)+IF(CJ131="",0,VLOOKUP($CJ131,装強!$1:$1008,COLUMN($CL$1),FALSE)),"")</f>
        <v>1500</v>
      </c>
      <c r="CP131" t="str">
        <f>VLOOKUP(D131,素材!$A:$O,COLUMN(素材!O$1),FALSE)</f>
        <v>魔力を帯びた特殊な皮素材。魔法防御や属性耐性を強化する効果があり、高レベルの冒険者に重宝されます。</v>
      </c>
      <c r="CQ131" t="str">
        <f>VLOOKUP(C131,武器!$A:$W,COLUMN(武器!W$1),FALSE)</f>
        <v>命中 魔防 Cr</v>
      </c>
      <c r="CS131" t="str">
        <f t="shared" si="7"/>
        <v>e_131</v>
      </c>
      <c r="CT131">
        <f t="shared" ref="CT131" si="18">CO131*100</f>
        <v>150000</v>
      </c>
    </row>
    <row r="132" spans="1:98" outlineLevel="1" x14ac:dyDescent="0.4">
      <c r="A132" t="str">
        <f t="shared" si="10"/>
        <v>魔獣皮の衣布</v>
      </c>
      <c r="B132" t="str">
        <f>IFERROR(VLOOKUP($D132,素材!$1:$1016,COLUMN($B$1),FALSE)&amp;"・"&amp;VLOOKUP($C132,武器!$1:$998,COLUMN(B$1),FALSE),"")</f>
        <v>マジックレザー・クロース</v>
      </c>
      <c r="C132" t="s">
        <v>247</v>
      </c>
      <c r="D132" s="24" t="s">
        <v>202</v>
      </c>
      <c r="E132" t="str">
        <f>IFERROR(VLOOKUP(C132,武器!$1:$998,COLUMN(C$1),FALSE),"")</f>
        <v>体</v>
      </c>
      <c r="F132">
        <f>IFERROR(ROUNDDOWN((VLOOKUP($C132,武器!$1:$998,COLUMN(D$1),FALSE)+IFERROR(VLOOKUP($CJ132,装強!$1:$999,COLUMN(F$1),FALSE),0))*VLOOKUP($D132,素材!$1:$1016,COLUMN(D$1),FALSE),0),"")</f>
        <v>0</v>
      </c>
      <c r="G132">
        <f>IFERROR(ROUNDDOWN((VLOOKUP($C132,武器!$1:$998,COLUMN(E$1),FALSE)+IFERROR(VLOOKUP($CJ132,装強!$1:$999,COLUMN(G$1),FALSE),0))*VLOOKUP($D132,素材!$1:$1016,COLUMN($E$1),FALSE),0),"")</f>
        <v>0</v>
      </c>
      <c r="H132">
        <f>IFERROR(ROUNDDOWN((VLOOKUP($C132,武器!$1:$998,COLUMN(F$1),FALSE)+IFERROR(VLOOKUP($CJ132,装強!$1:$999,COLUMN(H$1),FALSE),0))*VLOOKUP($D132,素材!$1:$1016,COLUMN($E$1),FALSE),0),"")</f>
        <v>0</v>
      </c>
      <c r="I132">
        <f>IFERROR(ROUNDDOWN((VLOOKUP($C132,武器!$1:$998,COLUMN(G$1),FALSE)+IFERROR(VLOOKUP($CJ132,装強!$1:$999,COLUMN(I$1),FALSE),0))*VLOOKUP($D132,素材!$1:$1016,COLUMN($E$1),FALSE),0),"")</f>
        <v>0</v>
      </c>
      <c r="J132">
        <f>IFERROR(ROUNDDOWN((VLOOKUP($C132,武器!$1:$998,COLUMN(H$1),FALSE)+IFERROR(VLOOKUP($CJ132,装強!$1:$999,COLUMN(J$1),FALSE),0))*VLOOKUP($D132,素材!$1:$1016,COLUMN($E$1),FALSE),0),"")</f>
        <v>0</v>
      </c>
      <c r="K132">
        <f>IFERROR(ROUNDDOWN((VLOOKUP($C132,武器!$1:$998,COLUMN(I$1),FALSE)+IFERROR(VLOOKUP($CJ132,装強!$1:$999,COLUMN(K$1),FALSE),0))*VLOOKUP($D132,素材!$1:$1016,COLUMN($E$1),FALSE),0),"")</f>
        <v>0</v>
      </c>
      <c r="L132" t="str">
        <f>IFERROR(VLOOKUP($D132,素材!$1:$1016,COLUMN($F$1),FALSE),"")</f>
        <v>魔法</v>
      </c>
      <c r="M132" t="str">
        <f>IFERROR(VLOOKUP($C132,武器!$1:$998,COLUMN(AA$1),FALSE)*VLOOKUP($D132,素材!$1:$1016,COLUMN($G$1),FALSE),"")</f>
        <v/>
      </c>
      <c r="N132">
        <f>IFERROR(VLOOKUP($C132,武器!$1:$998,COLUMN(I$1),FALSE),"")</f>
        <v>0</v>
      </c>
      <c r="O132" s="23" t="str">
        <f>IFERROR((VLOOKUP($C132,武器!$1:$998,COLUMN(K$1),FALSE)+VLOOKUP($D132,素材!$1:$1016,COLUMN(H$1),FALSE))*100+IFERROR(VLOOKUP($CJ132,装強!$1:$999,COLUMN(O$1),FALSE),0),"")</f>
        <v/>
      </c>
      <c r="P132" s="23" t="str">
        <f>IFERROR((VLOOKUP($C132,武器!$1:$998,COLUMN(L$1),FALSE)+VLOOKUP($D132,素材!$1:$1016,COLUMN(I$1),FALSE))*100+IFERROR(VLOOKUP($CJ132,装強!$1:$999,COLUMN(P$1),FALSE),0),"")</f>
        <v/>
      </c>
      <c r="Q132">
        <f>IFERROR(ROUNDUP(VLOOKUP($C132,武器!$1:$998,COLUMN(M$1),FALSE)*(VLOOKUP($D132,素材!$1:$1002,COLUMN(D$1),FALSE)/100),1),"")</f>
        <v>0</v>
      </c>
      <c r="R132">
        <f>IFERROR(ROUNDUP(VLOOKUP($C132,武器!$1:$998,COLUMN(N$1),FALSE)*(VLOOKUP($D132,素材!$1:$1002,COLUMN(D$1),FALSE)/100),1),"")</f>
        <v>0</v>
      </c>
      <c r="S132">
        <f>IFERROR(VLOOKUP($C132,武器!$1:$998,COLUMN(P$1),FALSE),"")</f>
        <v>0</v>
      </c>
      <c r="T132">
        <f>IFERROR(VLOOKUP($C132,武器!$1:$998,COLUMN(Q$1),FALSE),"")</f>
        <v>0</v>
      </c>
      <c r="U132">
        <f>IFERROR(VLOOKUP($C132,武器!$1:$998,COLUMN(R$1),FALSE),"")</f>
        <v>0</v>
      </c>
      <c r="V132">
        <f>IFERROR(VLOOKUP($C132,武器!$1:$998,COLUMN(Q$1),FALSE),"")</f>
        <v>0</v>
      </c>
      <c r="W132">
        <f>IFERROR(VLOOKUP($C132,武器!$1:$998,COLUMN(T$1),FALSE),"")</f>
        <v>0</v>
      </c>
      <c r="Y132">
        <f>IFERROR(VLOOKUP($C132,武器!$1:$998,COLUMN(U$1),FALSE),"")</f>
        <v>0</v>
      </c>
      <c r="Z132">
        <f>IFERROR(ROUNDUP(VLOOKUP($C132,武器!$1:$998,COLUMN(O$1),FALSE)*VLOOKUP($D132,素材!$1:$1016,COLUMN(E$1),FALSE),1),"")</f>
        <v>4.5</v>
      </c>
      <c r="AA132">
        <f>IF(ISNUMBER(SEARCH(SUBSTITUTE(AA$1,RIGHT(AA$1,2),""),VLOOKUP($D132,素材!$1:$1016,COLUMN($F$1),FALSE))),VLOOKUP($C132,武器!$1:$998,COLUMN($O$1),FALSE)*VLOOKUP($D132,素材!$1:$1016,COLUMN($E$1),FALSE)/(LEN(VLOOKUP($D132,素材!$1:$1016,COLUMN($F$1),FALSE))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4.5</v>
      </c>
      <c r="AB132">
        <f>IF(ISNUMBER(SEARCH(SUBSTITUTE(AB$1,RIGHT(AB$1,2),""),VLOOKUP($D132,素材!$1:$1016,COLUMN($F$1),FALSE))),VLOOKUP($C132,武器!$1:$998,COLUMN($O$1),FALSE)*VLOOKUP($D132,素材!$1:$1016,COLUMN($E$1),FALSE)/(LEN(VLOOKUP($D132,素材!$1:$1016,COLUMN($F$1),FALSE))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C132">
        <f>IF(ISNUMBER(SEARCH(SUBSTITUTE(AC$1,RIGHT(AC$1,2),""),VLOOKUP($D132,素材!$1:$1016,COLUMN($F$1),FALSE))),VLOOKUP($C132,武器!$1:$998,COLUMN($O$1),FALSE)*VLOOKUP($D132,素材!$1:$1016,COLUMN($E$1),FALSE)/(LEN(VLOOKUP($D132,素材!$1:$1016,COLUMN($F$1),FALSE))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D132">
        <f>IF(ISNUMBER(SEARCH(SUBSTITUTE(AD$1,RIGHT(AD$1,2),""),VLOOKUP($D132,素材!$1:$1016,COLUMN($F$1),FALSE))),VLOOKUP($C132,武器!$1:$998,COLUMN($O$1),FALSE)*VLOOKUP($D132,素材!$1:$1016,COLUMN($E$1),FALSE)/(LEN(VLOOKUP($D132,素材!$1:$1016,COLUMN($F$1),FALSE))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E132">
        <f>IF(ISNUMBER(SEARCH(SUBSTITUTE(AE$1,RIGHT(AE$1,2),""),VLOOKUP($D132,素材!$1:$1016,COLUMN($F$1),FALSE))),VLOOKUP($C132,武器!$1:$998,COLUMN($O$1),FALSE)*VLOOKUP($D132,素材!$1:$1016,COLUMN($E$1),FALSE)/(LEN(VLOOKUP($D132,素材!$1:$1016,COLUMN($F$1),FALSE))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F132">
        <f>IF(ISNUMBER(SEARCH(SUBSTITUTE(AF$1,RIGHT(AF$1,2),""),VLOOKUP($D132,素材!$1:$1016,COLUMN($F$1),FALSE))),VLOOKUP($C132,武器!$1:$998,COLUMN($O$1),FALSE)*VLOOKUP($D132,素材!$1:$1016,COLUMN($E$1),FALSE)/(LEN(VLOOKUP($D132,素材!$1:$1016,COLUMN($F$1),FALSE))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G132">
        <f>IF(ISNUMBER(SEARCH(SUBSTITUTE(AG$1,RIGHT(AG$1,2),""),VLOOKUP($D132,素材!$1:$1016,COLUMN($F$1),FALSE))),VLOOKUP($C132,武器!$1:$998,COLUMN($O$1),FALSE)*VLOOKUP($D132,素材!$1:$1016,COLUMN($E$1),FALSE)/(LEN(VLOOKUP($D132,素材!$1:$1016,COLUMN($F$1),FALSE))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H132">
        <f>IF(ISNUMBER(SEARCH(SUBSTITUTE(AH$1,RIGHT(AH$1,2),""),VLOOKUP($D132,素材!$1:$1016,COLUMN($F$1),FALSE))),VLOOKUP($C132,武器!$1:$998,COLUMN($O$1),FALSE)*VLOOKUP($D132,素材!$1:$1016,COLUMN($E$1),FALSE)/(LEN(VLOOKUP($D132,素材!$1:$1016,COLUMN($F$1),FALSE))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I132">
        <f>IF(ISNUMBER(SEARCH(SUBSTITUTE(AI$1,RIGHT(AI$1,2),""),VLOOKUP($D132,素材!$1:$1016,COLUMN($F$1),FALSE))),VLOOKUP($C132,武器!$1:$998,COLUMN($O$1),FALSE)*VLOOKUP($D132,素材!$1:$1016,COLUMN($E$1),FALSE)/(LEN(VLOOKUP($D132,素材!$1:$1016,COLUMN($F$1),FALSE))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J132">
        <f>IF(ISNUMBER(SEARCH(SUBSTITUTE(AJ$1,RIGHT(AJ$1,2),""),VLOOKUP($D132,素材!$1:$1016,COLUMN($F$1),FALSE))),VLOOKUP($C132,武器!$1:$998,COLUMN($O$1),FALSE)*VLOOKUP($D132,素材!$1:$1016,COLUMN($E$1),FALSE)/(LEN(VLOOKUP($D132,素材!$1:$1016,COLUMN($F$1),FALSE))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K132">
        <f>IF(ISNUMBER(SEARCH(SUBSTITUTE(AK$1,RIGHT(AK$1,2),""),VLOOKUP($D132,素材!$1:$1016,COLUMN($F$1),FALSE))),VLOOKUP($C132,武器!$1:$998,COLUMN($O$1),FALSE)*VLOOKUP($D132,素材!$1:$1016,COLUMN($E$1),FALSE)/(LEN(VLOOKUP($D132,素材!$1:$1016,COLUMN($F$1),FALSE))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L132">
        <f>IF(ISNUMBER(SEARCH(SUBSTITUTE(AL$1,RIGHT(AL$1,2),""),VLOOKUP($D132,素材!$1:$1016,COLUMN($F$1),FALSE))),VLOOKUP($C132,武器!$1:$998,COLUMN($O$1),FALSE)*VLOOKUP($D132,素材!$1:$1016,COLUMN($E$1),FALSE)/(LEN(VLOOKUP($D132,素材!$1:$1016,COLUMN($F$1),FALSE))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M132">
        <f>IF(ISNUMBER(SEARCH(SUBSTITUTE(AM$1,RIGHT(AM$1,2),""),VLOOKUP($D132,素材!$1:$1016,COLUMN($F$1),FALSE))),VLOOKUP($C132,武器!$1:$998,COLUMN($O$1),FALSE)*VLOOKUP($D132,素材!$1:$1016,COLUMN($E$1),FALSE)/(LEN(VLOOKUP($D132,素材!$1:$1016,COLUMN($F$1),FALSE))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N132">
        <f>IF(ISNUMBER(SEARCH(SUBSTITUTE(AN$1,RIGHT(AN$1,2),""),VLOOKUP($D132,素材!$1:$1016,COLUMN($F$1),FALSE))),VLOOKUP($C132,武器!$1:$998,COLUMN($O$1),FALSE)*VLOOKUP($D132,素材!$1:$1016,COLUMN($E$1),FALSE)/(LEN(VLOOKUP($D132,素材!$1:$1016,COLUMN($F$1),FALSE))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O132">
        <f>IF(ISNUMBER(SEARCH(SUBSTITUTE(AO$1,RIGHT(AO$1,2),""),VLOOKUP($D132,素材!$1:$1016,COLUMN($F$1),FALSE))),VLOOKUP($C132,武器!$1:$998,COLUMN($O$1),FALSE)*VLOOKUP($D132,素材!$1:$1016,COLUMN($E$1),FALSE)/(LEN(VLOOKUP($D132,素材!$1:$1016,COLUMN($F$1),FALSE))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P132">
        <f>IF(ISNUMBER(SEARCH(SUBSTITUTE(AP$1,RIGHT(AP$1,2),""),VLOOKUP($D132,素材!$1:$1016,COLUMN($F$1),FALSE))),VLOOKUP($C132,武器!$1:$998,COLUMN($O$1),FALSE)*VLOOKUP($D132,素材!$1:$1016,COLUMN($E$1),FALSE)/(LEN(VLOOKUP($D132,素材!$1:$1016,COLUMN($F$1),FALSE))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Q132">
        <f>IF(ISNUMBER(SEARCH(SUBSTITUTE(AQ$1,RIGHT(AQ$1,2),""),VLOOKUP($D132,素材!$1:$1016,COLUMN($F$1),FALSE))),VLOOKUP($C132,武器!$1:$998,COLUMN($O$1),FALSE)*VLOOKUP($D132,素材!$1:$1016,COLUMN($E$1),FALSE)/(LEN(VLOOKUP($D132,素材!$1:$1016,COLUMN($F$1),FALSE))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R132">
        <f>IF(ISNUMBER(SEARCH(SUBSTITUTE(AR$1,RIGHT(AR$1,2),""),VLOOKUP($D132,素材!$1:$1016,COLUMN($F$1),FALSE))),VLOOKUP($C132,武器!$1:$998,COLUMN($O$1),FALSE)*VLOOKUP($D132,素材!$1:$1016,COLUMN($E$1),FALSE)/(LEN(VLOOKUP($D132,素材!$1:$1016,COLUMN($F$1),FALSE))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S132">
        <f>IF(ISNUMBER(SEARCH(SUBSTITUTE(AS$1,RIGHT(AS$1,2),""),VLOOKUP($D132,素材!$1:$1016,COLUMN($F$1),FALSE))),VLOOKUP($C132,武器!$1:$998,COLUMN($O$1),FALSE)*VLOOKUP($D132,素材!$1:$1016,COLUMN($E$1),FALSE)/(LEN(VLOOKUP($D132,素材!$1:$1016,COLUMN($F$1),FALSE))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T132">
        <f>IF(ISNUMBER(SEARCH(SUBSTITUTE(AT$1,RIGHT(AT$1,2),""),VLOOKUP($D132,素材!$1:$1016,COLUMN($F$1),FALSE))),VLOOKUP($C132,武器!$1:$998,COLUMN($O$1),FALSE)*VLOOKUP($D132,素材!$1:$1016,COLUMN($E$1),FALSE)/(LEN(VLOOKUP($D132,素材!$1:$1016,COLUMN($F$1),FALSE))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U132">
        <f>IF(ISNUMBER(SEARCH(SUBSTITUTE(AU$1,RIGHT(AU$1,2),""),VLOOKUP($D132,素材!$1:$1016,COLUMN($F$1),FALSE))),VLOOKUP($C132,武器!$1:$998,COLUMN($O$1),FALSE)*VLOOKUP($D132,素材!$1:$1016,COLUMN($E$1),FALSE)/(LEN(VLOOKUP($D132,素材!$1:$1016,COLUMN($F$1),FALSE))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V132">
        <f>IF(ISNUMBER(SEARCH(SUBSTITUTE(AV$1,RIGHT(AV$1,2),""),VLOOKUP($D132,素材!$1:$1016,COLUMN($F$1),FALSE))),VLOOKUP($C132,武器!$1:$998,COLUMN($O$1),FALSE)*VLOOKUP($D132,素材!$1:$1016,COLUMN($E$1),FALSE)/(LEN(VLOOKUP($D132,素材!$1:$1016,COLUMN($F$1),FALSE))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W132">
        <f>IF(ISNUMBER(SEARCH(SUBSTITUTE(AW$1,RIGHT(AW$1,2),""),VLOOKUP($D132,素材!$1:$1016,COLUMN($F$1),FALSE))),VLOOKUP($C132,武器!$1:$998,COLUMN($O$1),FALSE)*VLOOKUP($D132,素材!$1:$1016,COLUMN($E$1),FALSE)/(LEN(VLOOKUP($D132,素材!$1:$1016,COLUMN($F$1),FALSE))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X132">
        <f>IF(ISNUMBER(SEARCH(SUBSTITUTE(AX$1,RIGHT(AX$1,2),""),VLOOKUP($D132,素材!$1:$1016,COLUMN($F$1),FALSE))),VLOOKUP($C132,武器!$1:$998,COLUMN($O$1),FALSE)*VLOOKUP($D132,素材!$1:$1016,COLUMN($E$1),FALSE)/(LEN(VLOOKUP($D132,素材!$1:$1016,COLUMN($F$1),FALSE))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Y132">
        <f>IF(ISNUMBER(SEARCH(SUBSTITUTE(AY$1,RIGHT(AY$1,2),""),VLOOKUP($D132,素材!$1:$1016,COLUMN($F$1),FALSE))),VLOOKUP($C132,武器!$1:$998,COLUMN($O$1),FALSE)*VLOOKUP($D132,素材!$1:$1016,COLUMN($E$1),FALSE)/(LEN(VLOOKUP($D132,素材!$1:$1016,COLUMN($F$1),FALSE))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AZ132">
        <f>IF(ISNUMBER(SEARCH(SUBSTITUTE(AZ$1,RIGHT(AZ$1,2),""),VLOOKUP($D132,素材!$1:$1016,COLUMN($F$1),FALSE))),VLOOKUP($C132,武器!$1:$998,COLUMN($O$1),FALSE)*VLOOKUP($D132,素材!$1:$1016,COLUMN($E$1),FALSE)/(LEN(VLOOKUP($D132,素材!$1:$1016,COLUMN($F$1),FALSE))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BA132">
        <f>IF(ISNUMBER(SEARCH(SUBSTITUTE(BA$1,RIGHT(BA$1,2),""),VLOOKUP($D132,素材!$1:$1016,COLUMN($F$1),FALSE))),VLOOKUP($C132,武器!$1:$998,COLUMN($O$1),FALSE)*VLOOKUP($D132,素材!$1:$1016,COLUMN($E$1),FALSE)/(LEN(VLOOKUP($D132,素材!$1:$1016,COLUMN($F$1),FALSE))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BB132">
        <f>IF(ISNUMBER(SEARCH(SUBSTITUTE(BB$1,RIGHT(BB$1,2),""),VLOOKUP($D132,素材!$1:$1016,COLUMN($F$1),FALSE))),VLOOKUP($C132,武器!$1:$998,COLUMN($O$1),FALSE)*VLOOKUP($D132,素材!$1:$1016,COLUMN($E$1),FALSE)/(LEN(VLOOKUP($D132,素材!$1:$1016,COLUMN($F$1),FALSE))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BC132">
        <f>IF(ISNUMBER(SEARCH(SUBSTITUTE(BC$1,RIGHT(BC$1,2),""),VLOOKUP($D132,素材!$1:$1016,COLUMN($F$1),FALSE))),VLOOKUP($C132,武器!$1:$998,COLUMN($O$1),FALSE)*VLOOKUP($D132,素材!$1:$1016,COLUMN($E$1),FALSE)/(LEN(VLOOKUP($D132,素材!$1:$1016,COLUMN($F$1),FALSE))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BD132">
        <f>IF(ISNUMBER(SEARCH(SUBSTITUTE(BD$1,RIGHT(BD$1,2),""),VLOOKUP($D132,素材!$1:$1016,COLUMN($F$1),FALSE))),VLOOKUP($C132,武器!$1:$998,COLUMN($O$1),FALSE)*VLOOKUP($D132,素材!$1:$1016,COLUMN($E$1),FALSE)/(LEN(VLOOKUP($D132,素材!$1:$1016,COLUMN($F$1),FALSE))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4.5</v>
      </c>
      <c r="BE132">
        <f>IF(ISNUMBER(SEARCH(SUBSTITUTE(BE$1,RIGHT(BE$1,2),""),VLOOKUP($D132,素材!$1:$1016,COLUMN($F$1),FALSE))),VLOOKUP($C132,武器!$1:$998,COLUMN($O$1),FALSE)*VLOOKUP($D132,素材!$1:$1016,COLUMN($E$1),FALSE)/(LEN(VLOOKUP($D132,素材!$1:$1016,COLUMN($F$1),FALSE))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BF132">
        <f>IF(ISNUMBER(SEARCH(SUBSTITUTE(BF$1,RIGHT(BF$1,2),""),VLOOKUP($D132,素材!$1:$1016,COLUMN($F$1),FALSE))),VLOOKUP($C132,武器!$1:$998,COLUMN($O$1),FALSE)*VLOOKUP($D132,素材!$1:$1016,COLUMN($E$1),FALSE)/(LEN(VLOOKUP($D132,素材!$1:$1016,COLUMN($F$1),FALSE)) - LEN(SUBSTITUTE(VLOOKUP($D132,素材!$1:$1016,COLUMN($F$1),FALSE), "・", 0)) + 1), 0)</f>
        <v>0</v>
      </c>
      <c r="CM132">
        <f t="shared" ref="CM132:CM195" si="19">SUM(G132:I132)</f>
        <v>0</v>
      </c>
      <c r="CN132" s="22" t="str">
        <f>IF(E132="武器",IF(J132-1&gt;SUM(G132:I132),"盾",IF(MAX(G132:I132)=G132,"切断",IF(MAX(G132:I132)=H132,"貫通",IF(MAX(G132:I132)=I132,"打撃","射撃")))),E132)&amp;".webp"</f>
        <v>体.webp</v>
      </c>
      <c r="CO132">
        <f>IFERROR(VLOOKUP($C132,武器!$1:$998,COLUMN(V$1),FALSE)*VLOOKUP($D132,素材!$1:$1016,COLUMN(N$1),FALSE)+IF(CJ132="",0,VLOOKUP($CJ132,装強!$1:$1008,COLUMN($CL$1),FALSE)),"")</f>
        <v>3000</v>
      </c>
      <c r="CP132" t="str">
        <f>VLOOKUP(D132,素材!$A:$O,COLUMN(素材!O$1),FALSE)</f>
        <v>魔力を帯びた特殊な皮素材。魔法防御や属性耐性を強化する効果があり、高レベルの冒険者に重宝されます。</v>
      </c>
      <c r="CQ132" t="str">
        <f>VLOOKUP(C132,武器!$A:$W,COLUMN(武器!W$1),FALSE)</f>
        <v>HP 物理 魔法 体幹 出血 疲労 Cr</v>
      </c>
      <c r="CS132" t="str">
        <f t="shared" si="7"/>
        <v>e_132</v>
      </c>
      <c r="CT132">
        <f t="shared" si="9"/>
        <v>300000</v>
      </c>
    </row>
    <row r="133" spans="1:98" outlineLevel="1" x14ac:dyDescent="0.4">
      <c r="A133" t="str">
        <f t="shared" si="10"/>
        <v>魔獣皮の法衣</v>
      </c>
      <c r="B133" t="str">
        <f>IFERROR(VLOOKUP($D133,素材!$1:$1016,COLUMN($B$1),FALSE)&amp;"・"&amp;VLOOKUP($C133,武器!$1:$998,COLUMN(B$1),FALSE),"")</f>
        <v>マジックレザー・ローブ</v>
      </c>
      <c r="C133" t="s">
        <v>246</v>
      </c>
      <c r="D133" s="24" t="s">
        <v>202</v>
      </c>
      <c r="E133" t="str">
        <f>IFERROR(VLOOKUP(C133,武器!$1:$998,COLUMN(C$1),FALSE),"")</f>
        <v>体</v>
      </c>
      <c r="F133">
        <f>IFERROR(ROUNDDOWN((VLOOKUP($C133,武器!$1:$998,COLUMN(D$1),FALSE)+IFERROR(VLOOKUP($CJ133,装強!$1:$999,COLUMN(F$1),FALSE),0))*VLOOKUP($D133,素材!$1:$1016,COLUMN(D$1),FALSE),0),"")</f>
        <v>0</v>
      </c>
      <c r="G133">
        <f>IFERROR(ROUNDDOWN((VLOOKUP($C133,武器!$1:$998,COLUMN(E$1),FALSE)+IFERROR(VLOOKUP($CJ133,装強!$1:$999,COLUMN(G$1),FALSE),0))*VLOOKUP($D133,素材!$1:$1016,COLUMN($E$1),FALSE),0),"")</f>
        <v>0</v>
      </c>
      <c r="H133">
        <f>IFERROR(ROUNDDOWN((VLOOKUP($C133,武器!$1:$998,COLUMN(F$1),FALSE)+IFERROR(VLOOKUP($CJ133,装強!$1:$999,COLUMN(H$1),FALSE),0))*VLOOKUP($D133,素材!$1:$1016,COLUMN($E$1),FALSE),0),"")</f>
        <v>0</v>
      </c>
      <c r="I133">
        <f>IFERROR(ROUNDDOWN((VLOOKUP($C133,武器!$1:$998,COLUMN(G$1),FALSE)+IFERROR(VLOOKUP($CJ133,装強!$1:$999,COLUMN(I$1),FALSE),0))*VLOOKUP($D133,素材!$1:$1016,COLUMN($E$1),FALSE),0),"")</f>
        <v>0</v>
      </c>
      <c r="J133">
        <f>IFERROR(ROUNDDOWN((VLOOKUP($C133,武器!$1:$998,COLUMN(H$1),FALSE)+IFERROR(VLOOKUP($CJ133,装強!$1:$999,COLUMN(J$1),FALSE),0))*VLOOKUP($D133,素材!$1:$1016,COLUMN($E$1),FALSE),0),"")</f>
        <v>0</v>
      </c>
      <c r="K133">
        <f>IFERROR(ROUNDDOWN((VLOOKUP($C133,武器!$1:$998,COLUMN(I$1),FALSE)+IFERROR(VLOOKUP($CJ133,装強!$1:$999,COLUMN(K$1),FALSE),0))*VLOOKUP($D133,素材!$1:$1016,COLUMN($E$1),FALSE),0),"")</f>
        <v>0</v>
      </c>
      <c r="L133" t="str">
        <f>IFERROR(VLOOKUP($D133,素材!$1:$1016,COLUMN($F$1),FALSE),"")</f>
        <v>魔法</v>
      </c>
      <c r="M133" t="str">
        <f>IFERROR(VLOOKUP($C133,武器!$1:$998,COLUMN(AA$1),FALSE)*VLOOKUP($D133,素材!$1:$1016,COLUMN($G$1),FALSE),"")</f>
        <v/>
      </c>
      <c r="N133">
        <f>IFERROR(VLOOKUP($C133,武器!$1:$998,COLUMN(I$1),FALSE),"")</f>
        <v>0</v>
      </c>
      <c r="O133" s="23" t="str">
        <f>IFERROR((VLOOKUP($C133,武器!$1:$998,COLUMN(K$1),FALSE)+VLOOKUP($D133,素材!$1:$1016,COLUMN(H$1),FALSE))*100+IFERROR(VLOOKUP($CJ133,装強!$1:$999,COLUMN(O$1),FALSE),0),"")</f>
        <v/>
      </c>
      <c r="P133" s="23" t="str">
        <f>IFERROR((VLOOKUP($C133,武器!$1:$998,COLUMN(L$1),FALSE)+VLOOKUP($D133,素材!$1:$1016,COLUMN(I$1),FALSE))*100+IFERROR(VLOOKUP($CJ133,装強!$1:$999,COLUMN(P$1),FALSE),0),"")</f>
        <v/>
      </c>
      <c r="Q133">
        <f>IFERROR(ROUNDUP(VLOOKUP($C133,武器!$1:$998,COLUMN(M$1),FALSE)*(VLOOKUP($D133,素材!$1:$1002,COLUMN(D$1),FALSE)/100),1),"")</f>
        <v>0</v>
      </c>
      <c r="R133">
        <f>IFERROR(ROUNDUP(VLOOKUP($C133,武器!$1:$998,COLUMN(N$1),FALSE)*(VLOOKUP($D133,素材!$1:$1002,COLUMN(D$1),FALSE)/100),1),"")</f>
        <v>0</v>
      </c>
      <c r="S133">
        <f>IFERROR(VLOOKUP($C133,武器!$1:$998,COLUMN(P$1),FALSE),"")</f>
        <v>0</v>
      </c>
      <c r="T133">
        <f>IFERROR(VLOOKUP($C133,武器!$1:$998,COLUMN(Q$1),FALSE),"")</f>
        <v>0</v>
      </c>
      <c r="U133">
        <f>IFERROR(VLOOKUP($C133,武器!$1:$998,COLUMN(R$1),FALSE),"")</f>
        <v>0</v>
      </c>
      <c r="V133">
        <f>IFERROR(VLOOKUP($C133,武器!$1:$998,COLUMN(Q$1),FALSE),"")</f>
        <v>0</v>
      </c>
      <c r="W133">
        <f>IFERROR(VLOOKUP($C133,武器!$1:$998,COLUMN(T$1),FALSE),"")</f>
        <v>0</v>
      </c>
      <c r="Y133">
        <f>IFERROR(VLOOKUP($C133,武器!$1:$998,COLUMN(U$1),FALSE),"")</f>
        <v>0</v>
      </c>
      <c r="Z133">
        <f>IFERROR(ROUNDUP(VLOOKUP($C133,武器!$1:$998,COLUMN(O$1),FALSE)*VLOOKUP($D133,素材!$1:$1016,COLUMN(E$1),FALSE),1),"")</f>
        <v>3</v>
      </c>
      <c r="AA133">
        <f>IF(ISNUMBER(SEARCH(SUBSTITUTE(AA$1,RIGHT(AA$1,2),""),VLOOKUP($D133,素材!$1:$1016,COLUMN($F$1),FALSE))),VLOOKUP($C133,武器!$1:$998,COLUMN($O$1),FALSE)*VLOOKUP($D133,素材!$1:$1016,COLUMN($E$1),FALSE)/(LEN(VLOOKUP($D133,素材!$1:$1016,COLUMN($F$1),FALSE))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3</v>
      </c>
      <c r="AB133">
        <f>IF(ISNUMBER(SEARCH(SUBSTITUTE(AB$1,RIGHT(AB$1,2),""),VLOOKUP($D133,素材!$1:$1016,COLUMN($F$1),FALSE))),VLOOKUP($C133,武器!$1:$998,COLUMN($O$1),FALSE)*VLOOKUP($D133,素材!$1:$1016,COLUMN($E$1),FALSE)/(LEN(VLOOKUP($D133,素材!$1:$1016,COLUMN($F$1),FALSE))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C133">
        <f>IF(ISNUMBER(SEARCH(SUBSTITUTE(AC$1,RIGHT(AC$1,2),""),VLOOKUP($D133,素材!$1:$1016,COLUMN($F$1),FALSE))),VLOOKUP($C133,武器!$1:$998,COLUMN($O$1),FALSE)*VLOOKUP($D133,素材!$1:$1016,COLUMN($E$1),FALSE)/(LEN(VLOOKUP($D133,素材!$1:$1016,COLUMN($F$1),FALSE))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D133">
        <f>IF(ISNUMBER(SEARCH(SUBSTITUTE(AD$1,RIGHT(AD$1,2),""),VLOOKUP($D133,素材!$1:$1016,COLUMN($F$1),FALSE))),VLOOKUP($C133,武器!$1:$998,COLUMN($O$1),FALSE)*VLOOKUP($D133,素材!$1:$1016,COLUMN($E$1),FALSE)/(LEN(VLOOKUP($D133,素材!$1:$1016,COLUMN($F$1),FALSE))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E133">
        <f>IF(ISNUMBER(SEARCH(SUBSTITUTE(AE$1,RIGHT(AE$1,2),""),VLOOKUP($D133,素材!$1:$1016,COLUMN($F$1),FALSE))),VLOOKUP($C133,武器!$1:$998,COLUMN($O$1),FALSE)*VLOOKUP($D133,素材!$1:$1016,COLUMN($E$1),FALSE)/(LEN(VLOOKUP($D133,素材!$1:$1016,COLUMN($F$1),FALSE))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F133">
        <f>IF(ISNUMBER(SEARCH(SUBSTITUTE(AF$1,RIGHT(AF$1,2),""),VLOOKUP($D133,素材!$1:$1016,COLUMN($F$1),FALSE))),VLOOKUP($C133,武器!$1:$998,COLUMN($O$1),FALSE)*VLOOKUP($D133,素材!$1:$1016,COLUMN($E$1),FALSE)/(LEN(VLOOKUP($D133,素材!$1:$1016,COLUMN($F$1),FALSE))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G133">
        <f>IF(ISNUMBER(SEARCH(SUBSTITUTE(AG$1,RIGHT(AG$1,2),""),VLOOKUP($D133,素材!$1:$1016,COLUMN($F$1),FALSE))),VLOOKUP($C133,武器!$1:$998,COLUMN($O$1),FALSE)*VLOOKUP($D133,素材!$1:$1016,COLUMN($E$1),FALSE)/(LEN(VLOOKUP($D133,素材!$1:$1016,COLUMN($F$1),FALSE))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H133">
        <f>IF(ISNUMBER(SEARCH(SUBSTITUTE(AH$1,RIGHT(AH$1,2),""),VLOOKUP($D133,素材!$1:$1016,COLUMN($F$1),FALSE))),VLOOKUP($C133,武器!$1:$998,COLUMN($O$1),FALSE)*VLOOKUP($D133,素材!$1:$1016,COLUMN($E$1),FALSE)/(LEN(VLOOKUP($D133,素材!$1:$1016,COLUMN($F$1),FALSE))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I133">
        <f>IF(ISNUMBER(SEARCH(SUBSTITUTE(AI$1,RIGHT(AI$1,2),""),VLOOKUP($D133,素材!$1:$1016,COLUMN($F$1),FALSE))),VLOOKUP($C133,武器!$1:$998,COLUMN($O$1),FALSE)*VLOOKUP($D133,素材!$1:$1016,COLUMN($E$1),FALSE)/(LEN(VLOOKUP($D133,素材!$1:$1016,COLUMN($F$1),FALSE))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J133">
        <f>IF(ISNUMBER(SEARCH(SUBSTITUTE(AJ$1,RIGHT(AJ$1,2),""),VLOOKUP($D133,素材!$1:$1016,COLUMN($F$1),FALSE))),VLOOKUP($C133,武器!$1:$998,COLUMN($O$1),FALSE)*VLOOKUP($D133,素材!$1:$1016,COLUMN($E$1),FALSE)/(LEN(VLOOKUP($D133,素材!$1:$1016,COLUMN($F$1),FALSE))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K133">
        <f>IF(ISNUMBER(SEARCH(SUBSTITUTE(AK$1,RIGHT(AK$1,2),""),VLOOKUP($D133,素材!$1:$1016,COLUMN($F$1),FALSE))),VLOOKUP($C133,武器!$1:$998,COLUMN($O$1),FALSE)*VLOOKUP($D133,素材!$1:$1016,COLUMN($E$1),FALSE)/(LEN(VLOOKUP($D133,素材!$1:$1016,COLUMN($F$1),FALSE))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L133">
        <f>IF(ISNUMBER(SEARCH(SUBSTITUTE(AL$1,RIGHT(AL$1,2),""),VLOOKUP($D133,素材!$1:$1016,COLUMN($F$1),FALSE))),VLOOKUP($C133,武器!$1:$998,COLUMN($O$1),FALSE)*VLOOKUP($D133,素材!$1:$1016,COLUMN($E$1),FALSE)/(LEN(VLOOKUP($D133,素材!$1:$1016,COLUMN($F$1),FALSE))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M133">
        <f>IF(ISNUMBER(SEARCH(SUBSTITUTE(AM$1,RIGHT(AM$1,2),""),VLOOKUP($D133,素材!$1:$1016,COLUMN($F$1),FALSE))),VLOOKUP($C133,武器!$1:$998,COLUMN($O$1),FALSE)*VLOOKUP($D133,素材!$1:$1016,COLUMN($E$1),FALSE)/(LEN(VLOOKUP($D133,素材!$1:$1016,COLUMN($F$1),FALSE))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N133">
        <f>IF(ISNUMBER(SEARCH(SUBSTITUTE(AN$1,RIGHT(AN$1,2),""),VLOOKUP($D133,素材!$1:$1016,COLUMN($F$1),FALSE))),VLOOKUP($C133,武器!$1:$998,COLUMN($O$1),FALSE)*VLOOKUP($D133,素材!$1:$1016,COLUMN($E$1),FALSE)/(LEN(VLOOKUP($D133,素材!$1:$1016,COLUMN($F$1),FALSE))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O133">
        <f>IF(ISNUMBER(SEARCH(SUBSTITUTE(AO$1,RIGHT(AO$1,2),""),VLOOKUP($D133,素材!$1:$1016,COLUMN($F$1),FALSE))),VLOOKUP($C133,武器!$1:$998,COLUMN($O$1),FALSE)*VLOOKUP($D133,素材!$1:$1016,COLUMN($E$1),FALSE)/(LEN(VLOOKUP($D133,素材!$1:$1016,COLUMN($F$1),FALSE))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P133">
        <f>IF(ISNUMBER(SEARCH(SUBSTITUTE(AP$1,RIGHT(AP$1,2),""),VLOOKUP($D133,素材!$1:$1016,COLUMN($F$1),FALSE))),VLOOKUP($C133,武器!$1:$998,COLUMN($O$1),FALSE)*VLOOKUP($D133,素材!$1:$1016,COLUMN($E$1),FALSE)/(LEN(VLOOKUP($D133,素材!$1:$1016,COLUMN($F$1),FALSE))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Q133">
        <f>IF(ISNUMBER(SEARCH(SUBSTITUTE(AQ$1,RIGHT(AQ$1,2),""),VLOOKUP($D133,素材!$1:$1016,COLUMN($F$1),FALSE))),VLOOKUP($C133,武器!$1:$998,COLUMN($O$1),FALSE)*VLOOKUP($D133,素材!$1:$1016,COLUMN($E$1),FALSE)/(LEN(VLOOKUP($D133,素材!$1:$1016,COLUMN($F$1),FALSE))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R133">
        <f>IF(ISNUMBER(SEARCH(SUBSTITUTE(AR$1,RIGHT(AR$1,2),""),VLOOKUP($D133,素材!$1:$1016,COLUMN($F$1),FALSE))),VLOOKUP($C133,武器!$1:$998,COLUMN($O$1),FALSE)*VLOOKUP($D133,素材!$1:$1016,COLUMN($E$1),FALSE)/(LEN(VLOOKUP($D133,素材!$1:$1016,COLUMN($F$1),FALSE))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S133">
        <f>IF(ISNUMBER(SEARCH(SUBSTITUTE(AS$1,RIGHT(AS$1,2),""),VLOOKUP($D133,素材!$1:$1016,COLUMN($F$1),FALSE))),VLOOKUP($C133,武器!$1:$998,COLUMN($O$1),FALSE)*VLOOKUP($D133,素材!$1:$1016,COLUMN($E$1),FALSE)/(LEN(VLOOKUP($D133,素材!$1:$1016,COLUMN($F$1),FALSE))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T133">
        <f>IF(ISNUMBER(SEARCH(SUBSTITUTE(AT$1,RIGHT(AT$1,2),""),VLOOKUP($D133,素材!$1:$1016,COLUMN($F$1),FALSE))),VLOOKUP($C133,武器!$1:$998,COLUMN($O$1),FALSE)*VLOOKUP($D133,素材!$1:$1016,COLUMN($E$1),FALSE)/(LEN(VLOOKUP($D133,素材!$1:$1016,COLUMN($F$1),FALSE))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U133">
        <f>IF(ISNUMBER(SEARCH(SUBSTITUTE(AU$1,RIGHT(AU$1,2),""),VLOOKUP($D133,素材!$1:$1016,COLUMN($F$1),FALSE))),VLOOKUP($C133,武器!$1:$998,COLUMN($O$1),FALSE)*VLOOKUP($D133,素材!$1:$1016,COLUMN($E$1),FALSE)/(LEN(VLOOKUP($D133,素材!$1:$1016,COLUMN($F$1),FALSE))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V133">
        <f>IF(ISNUMBER(SEARCH(SUBSTITUTE(AV$1,RIGHT(AV$1,2),""),VLOOKUP($D133,素材!$1:$1016,COLUMN($F$1),FALSE))),VLOOKUP($C133,武器!$1:$998,COLUMN($O$1),FALSE)*VLOOKUP($D133,素材!$1:$1016,COLUMN($E$1),FALSE)/(LEN(VLOOKUP($D133,素材!$1:$1016,COLUMN($F$1),FALSE))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W133">
        <f>IF(ISNUMBER(SEARCH(SUBSTITUTE(AW$1,RIGHT(AW$1,2),""),VLOOKUP($D133,素材!$1:$1016,COLUMN($F$1),FALSE))),VLOOKUP($C133,武器!$1:$998,COLUMN($O$1),FALSE)*VLOOKUP($D133,素材!$1:$1016,COLUMN($E$1),FALSE)/(LEN(VLOOKUP($D133,素材!$1:$1016,COLUMN($F$1),FALSE))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X133">
        <f>IF(ISNUMBER(SEARCH(SUBSTITUTE(AX$1,RIGHT(AX$1,2),""),VLOOKUP($D133,素材!$1:$1016,COLUMN($F$1),FALSE))),VLOOKUP($C133,武器!$1:$998,COLUMN($O$1),FALSE)*VLOOKUP($D133,素材!$1:$1016,COLUMN($E$1),FALSE)/(LEN(VLOOKUP($D133,素材!$1:$1016,COLUMN($F$1),FALSE))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Y133">
        <f>IF(ISNUMBER(SEARCH(SUBSTITUTE(AY$1,RIGHT(AY$1,2),""),VLOOKUP($D133,素材!$1:$1016,COLUMN($F$1),FALSE))),VLOOKUP($C133,武器!$1:$998,COLUMN($O$1),FALSE)*VLOOKUP($D133,素材!$1:$1016,COLUMN($E$1),FALSE)/(LEN(VLOOKUP($D133,素材!$1:$1016,COLUMN($F$1),FALSE))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AZ133">
        <f>IF(ISNUMBER(SEARCH(SUBSTITUTE(AZ$1,RIGHT(AZ$1,2),""),VLOOKUP($D133,素材!$1:$1016,COLUMN($F$1),FALSE))),VLOOKUP($C133,武器!$1:$998,COLUMN($O$1),FALSE)*VLOOKUP($D133,素材!$1:$1016,COLUMN($E$1),FALSE)/(LEN(VLOOKUP($D133,素材!$1:$1016,COLUMN($F$1),FALSE))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BA133">
        <f>IF(ISNUMBER(SEARCH(SUBSTITUTE(BA$1,RIGHT(BA$1,2),""),VLOOKUP($D133,素材!$1:$1016,COLUMN($F$1),FALSE))),VLOOKUP($C133,武器!$1:$998,COLUMN($O$1),FALSE)*VLOOKUP($D133,素材!$1:$1016,COLUMN($E$1),FALSE)/(LEN(VLOOKUP($D133,素材!$1:$1016,COLUMN($F$1),FALSE))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BB133">
        <f>IF(ISNUMBER(SEARCH(SUBSTITUTE(BB$1,RIGHT(BB$1,2),""),VLOOKUP($D133,素材!$1:$1016,COLUMN($F$1),FALSE))),VLOOKUP($C133,武器!$1:$998,COLUMN($O$1),FALSE)*VLOOKUP($D133,素材!$1:$1016,COLUMN($E$1),FALSE)/(LEN(VLOOKUP($D133,素材!$1:$1016,COLUMN($F$1),FALSE))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BC133">
        <f>IF(ISNUMBER(SEARCH(SUBSTITUTE(BC$1,RIGHT(BC$1,2),""),VLOOKUP($D133,素材!$1:$1016,COLUMN($F$1),FALSE))),VLOOKUP($C133,武器!$1:$998,COLUMN($O$1),FALSE)*VLOOKUP($D133,素材!$1:$1016,COLUMN($E$1),FALSE)/(LEN(VLOOKUP($D133,素材!$1:$1016,COLUMN($F$1),FALSE))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BD133">
        <f>IF(ISNUMBER(SEARCH(SUBSTITUTE(BD$1,RIGHT(BD$1,2),""),VLOOKUP($D133,素材!$1:$1016,COLUMN($F$1),FALSE))),VLOOKUP($C133,武器!$1:$998,COLUMN($O$1),FALSE)*VLOOKUP($D133,素材!$1:$1016,COLUMN($E$1),FALSE)/(LEN(VLOOKUP($D133,素材!$1:$1016,COLUMN($F$1),FALSE))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3</v>
      </c>
      <c r="BE133">
        <f>IF(ISNUMBER(SEARCH(SUBSTITUTE(BE$1,RIGHT(BE$1,2),""),VLOOKUP($D133,素材!$1:$1016,COLUMN($F$1),FALSE))),VLOOKUP($C133,武器!$1:$998,COLUMN($O$1),FALSE)*VLOOKUP($D133,素材!$1:$1016,COLUMN($E$1),FALSE)/(LEN(VLOOKUP($D133,素材!$1:$1016,COLUMN($F$1),FALSE))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BF133">
        <f>IF(ISNUMBER(SEARCH(SUBSTITUTE(BF$1,RIGHT(BF$1,2),""),VLOOKUP($D133,素材!$1:$1016,COLUMN($F$1),FALSE))),VLOOKUP($C133,武器!$1:$998,COLUMN($O$1),FALSE)*VLOOKUP($D133,素材!$1:$1016,COLUMN($E$1),FALSE)/(LEN(VLOOKUP($D133,素材!$1:$1016,COLUMN($F$1),FALSE)) - LEN(SUBSTITUTE(VLOOKUP($D133,素材!$1:$1016,COLUMN($F$1),FALSE), "・", 0)) + 1), 0)</f>
        <v>0</v>
      </c>
      <c r="CM133">
        <f t="shared" si="19"/>
        <v>0</v>
      </c>
      <c r="CN133" s="22" t="str">
        <f>IF(E133="武器",IF(J133-1&gt;SUM(G133:I133),"盾",IF(MAX(G133:I133)=G133,"切断",IF(MAX(G133:I133)=H133,"貫通",IF(MAX(G133:I133)=I133,"打撃","射撃")))),E133)&amp;".webp"</f>
        <v>体.webp</v>
      </c>
      <c r="CO133">
        <f>IFERROR(VLOOKUP($C133,武器!$1:$998,COLUMN(V$1),FALSE)*VLOOKUP($D133,素材!$1:$1016,COLUMN(N$1),FALSE)+IF(CJ133="",0,VLOOKUP($CJ133,装強!$1:$1008,COLUMN($CL$1),FALSE)),"")</f>
        <v>3000</v>
      </c>
      <c r="CP133" t="str">
        <f>VLOOKUP(D133,素材!$A:$O,COLUMN(素材!O$1),FALSE)</f>
        <v>魔力を帯びた特殊な皮素材。魔法防御や属性耐性を強化する効果があり、高レベルの冒険者に重宝されます。</v>
      </c>
      <c r="CQ133" t="str">
        <f>VLOOKUP(C133,武器!$A:$W,COLUMN(武器!W$1),FALSE)</f>
        <v>HP 物理 魔法 体幹 出血 疲労 Cr</v>
      </c>
      <c r="CS133" t="str">
        <f t="shared" si="7"/>
        <v>e_133</v>
      </c>
      <c r="CT133">
        <f t="shared" si="9"/>
        <v>300000</v>
      </c>
    </row>
    <row r="134" spans="1:98" outlineLevel="1" x14ac:dyDescent="0.4">
      <c r="A134" t="str">
        <f t="shared" si="10"/>
        <v>魔獣皮の鎧</v>
      </c>
      <c r="B134" t="str">
        <f>IFERROR(VLOOKUP($D134,素材!$1:$1016,COLUMN($B$1),FALSE)&amp;"・"&amp;VLOOKUP($C134,武器!$1:$998,COLUMN(B$1),FALSE),"")</f>
        <v>マジックレザー・アーマー</v>
      </c>
      <c r="C134" t="s">
        <v>208</v>
      </c>
      <c r="D134" s="24" t="s">
        <v>202</v>
      </c>
      <c r="E134" t="str">
        <f>IFERROR(VLOOKUP(C134,武器!$1:$998,COLUMN(C$1),FALSE),"")</f>
        <v>体</v>
      </c>
      <c r="F134">
        <f>IFERROR(ROUNDDOWN((VLOOKUP($C134,武器!$1:$998,COLUMN(D$1),FALSE)+IFERROR(VLOOKUP($CJ134,装強!$1:$999,COLUMN(F$1),FALSE),0))*VLOOKUP($D134,素材!$1:$1016,COLUMN(D$1),FALSE),0),"")</f>
        <v>0</v>
      </c>
      <c r="G134">
        <f>IFERROR(ROUNDDOWN((VLOOKUP($C134,武器!$1:$998,COLUMN(E$1),FALSE)+IFERROR(VLOOKUP($CJ134,装強!$1:$999,COLUMN(G$1),FALSE),0))*VLOOKUP($D134,素材!$1:$1016,COLUMN($E$1),FALSE),0),"")</f>
        <v>0</v>
      </c>
      <c r="H134">
        <f>IFERROR(ROUNDDOWN((VLOOKUP($C134,武器!$1:$998,COLUMN(F$1),FALSE)+IFERROR(VLOOKUP($CJ134,装強!$1:$999,COLUMN(H$1),FALSE),0))*VLOOKUP($D134,素材!$1:$1016,COLUMN($E$1),FALSE),0),"")</f>
        <v>0</v>
      </c>
      <c r="I134">
        <f>IFERROR(ROUNDDOWN((VLOOKUP($C134,武器!$1:$998,COLUMN(G$1),FALSE)+IFERROR(VLOOKUP($CJ134,装強!$1:$999,COLUMN(I$1),FALSE),0))*VLOOKUP($D134,素材!$1:$1016,COLUMN($E$1),FALSE),0),"")</f>
        <v>0</v>
      </c>
      <c r="J134">
        <f>IFERROR(ROUNDDOWN((VLOOKUP($C134,武器!$1:$998,COLUMN(H$1),FALSE)+IFERROR(VLOOKUP($CJ134,装強!$1:$999,COLUMN(J$1),FALSE),0))*VLOOKUP($D134,素材!$1:$1016,COLUMN($E$1),FALSE),0),"")</f>
        <v>0</v>
      </c>
      <c r="K134">
        <f>IFERROR(ROUNDDOWN((VLOOKUP($C134,武器!$1:$998,COLUMN(I$1),FALSE)+IFERROR(VLOOKUP($CJ134,装強!$1:$999,COLUMN(K$1),FALSE),0))*VLOOKUP($D134,素材!$1:$1016,COLUMN($E$1),FALSE),0),"")</f>
        <v>0</v>
      </c>
      <c r="L134" t="str">
        <f>IFERROR(VLOOKUP($D134,素材!$1:$1016,COLUMN($F$1),FALSE),"")</f>
        <v>魔法</v>
      </c>
      <c r="M134" t="str">
        <f>IFERROR(VLOOKUP($C134,武器!$1:$998,COLUMN(AA$1),FALSE)*VLOOKUP($D134,素材!$1:$1016,COLUMN($G$1),FALSE),"")</f>
        <v/>
      </c>
      <c r="N134">
        <f>IFERROR(VLOOKUP($C134,武器!$1:$998,COLUMN(I$1),FALSE),"")</f>
        <v>0</v>
      </c>
      <c r="O134" s="23" t="str">
        <f>IFERROR((VLOOKUP($C134,武器!$1:$998,COLUMN(K$1),FALSE)+VLOOKUP($D134,素材!$1:$1016,COLUMN(H$1),FALSE))*100+IFERROR(VLOOKUP($CJ134,装強!$1:$999,COLUMN(O$1),FALSE),0),"")</f>
        <v/>
      </c>
      <c r="P134" s="23" t="str">
        <f>IFERROR((VLOOKUP($C134,武器!$1:$998,COLUMN(L$1),FALSE)+VLOOKUP($D134,素材!$1:$1016,COLUMN(I$1),FALSE))*100+IFERROR(VLOOKUP($CJ134,装強!$1:$999,COLUMN(P$1),FALSE),0),"")</f>
        <v/>
      </c>
      <c r="Q134">
        <f>IFERROR(ROUNDUP(VLOOKUP($C134,武器!$1:$998,COLUMN(M$1),FALSE)*(VLOOKUP($D134,素材!$1:$1002,COLUMN(D$1),FALSE)/100),1),"")</f>
        <v>-11.299999999999999</v>
      </c>
      <c r="R134">
        <f>IFERROR(ROUNDUP(VLOOKUP($C134,武器!$1:$998,COLUMN(N$1),FALSE)*(VLOOKUP($D134,素材!$1:$1002,COLUMN(D$1),FALSE)/100),1),"")</f>
        <v>0</v>
      </c>
      <c r="S134">
        <f>IFERROR(VLOOKUP($C134,武器!$1:$998,COLUMN(P$1),FALSE),"")</f>
        <v>0</v>
      </c>
      <c r="T134">
        <f>IFERROR(VLOOKUP($C134,武器!$1:$998,COLUMN(Q$1),FALSE),"")</f>
        <v>0</v>
      </c>
      <c r="U134">
        <f>IFERROR(VLOOKUP($C134,武器!$1:$998,COLUMN(R$1),FALSE),"")</f>
        <v>0</v>
      </c>
      <c r="V134">
        <f>IFERROR(VLOOKUP($C134,武器!$1:$998,COLUMN(Q$1),FALSE),"")</f>
        <v>0</v>
      </c>
      <c r="W134">
        <f>IFERROR(VLOOKUP($C134,武器!$1:$998,COLUMN(T$1),FALSE),"")</f>
        <v>0</v>
      </c>
      <c r="Y134">
        <f>IFERROR(VLOOKUP($C134,武器!$1:$998,COLUMN(U$1),FALSE),"")</f>
        <v>0</v>
      </c>
      <c r="Z134">
        <f>IFERROR(ROUNDUP(VLOOKUP($C134,武器!$1:$998,COLUMN(O$1),FALSE)*VLOOKUP($D134,素材!$1:$1016,COLUMN(E$1),FALSE),1),"")</f>
        <v>10.5</v>
      </c>
      <c r="AA134">
        <f>IF(ISNUMBER(SEARCH(SUBSTITUTE(AA$1,RIGHT(AA$1,2),""),VLOOKUP($D134,素材!$1:$1016,COLUMN($F$1),FALSE))),VLOOKUP($C134,武器!$1:$998,COLUMN($O$1),FALSE)*VLOOKUP($D134,素材!$1:$1016,COLUMN($E$1),FALSE)/(LEN(VLOOKUP($D134,素材!$1:$1016,COLUMN($F$1),FALSE))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10.5</v>
      </c>
      <c r="AB134">
        <f>IF(ISNUMBER(SEARCH(SUBSTITUTE(AB$1,RIGHT(AB$1,2),""),VLOOKUP($D134,素材!$1:$1016,COLUMN($F$1),FALSE))),VLOOKUP($C134,武器!$1:$998,COLUMN($O$1),FALSE)*VLOOKUP($D134,素材!$1:$1016,COLUMN($E$1),FALSE)/(LEN(VLOOKUP($D134,素材!$1:$1016,COLUMN($F$1),FALSE))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C134">
        <f>IF(ISNUMBER(SEARCH(SUBSTITUTE(AC$1,RIGHT(AC$1,2),""),VLOOKUP($D134,素材!$1:$1016,COLUMN($F$1),FALSE))),VLOOKUP($C134,武器!$1:$998,COLUMN($O$1),FALSE)*VLOOKUP($D134,素材!$1:$1016,COLUMN($E$1),FALSE)/(LEN(VLOOKUP($D134,素材!$1:$1016,COLUMN($F$1),FALSE))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D134">
        <f>IF(ISNUMBER(SEARCH(SUBSTITUTE(AD$1,RIGHT(AD$1,2),""),VLOOKUP($D134,素材!$1:$1016,COLUMN($F$1),FALSE))),VLOOKUP($C134,武器!$1:$998,COLUMN($O$1),FALSE)*VLOOKUP($D134,素材!$1:$1016,COLUMN($E$1),FALSE)/(LEN(VLOOKUP($D134,素材!$1:$1016,COLUMN($F$1),FALSE))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E134">
        <f>IF(ISNUMBER(SEARCH(SUBSTITUTE(AE$1,RIGHT(AE$1,2),""),VLOOKUP($D134,素材!$1:$1016,COLUMN($F$1),FALSE))),VLOOKUP($C134,武器!$1:$998,COLUMN($O$1),FALSE)*VLOOKUP($D134,素材!$1:$1016,COLUMN($E$1),FALSE)/(LEN(VLOOKUP($D134,素材!$1:$1016,COLUMN($F$1),FALSE))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F134">
        <f>IF(ISNUMBER(SEARCH(SUBSTITUTE(AF$1,RIGHT(AF$1,2),""),VLOOKUP($D134,素材!$1:$1016,COLUMN($F$1),FALSE))),VLOOKUP($C134,武器!$1:$998,COLUMN($O$1),FALSE)*VLOOKUP($D134,素材!$1:$1016,COLUMN($E$1),FALSE)/(LEN(VLOOKUP($D134,素材!$1:$1016,COLUMN($F$1),FALSE))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G134">
        <f>IF(ISNUMBER(SEARCH(SUBSTITUTE(AG$1,RIGHT(AG$1,2),""),VLOOKUP($D134,素材!$1:$1016,COLUMN($F$1),FALSE))),VLOOKUP($C134,武器!$1:$998,COLUMN($O$1),FALSE)*VLOOKUP($D134,素材!$1:$1016,COLUMN($E$1),FALSE)/(LEN(VLOOKUP($D134,素材!$1:$1016,COLUMN($F$1),FALSE))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H134">
        <f>IF(ISNUMBER(SEARCH(SUBSTITUTE(AH$1,RIGHT(AH$1,2),""),VLOOKUP($D134,素材!$1:$1016,COLUMN($F$1),FALSE))),VLOOKUP($C134,武器!$1:$998,COLUMN($O$1),FALSE)*VLOOKUP($D134,素材!$1:$1016,COLUMN($E$1),FALSE)/(LEN(VLOOKUP($D134,素材!$1:$1016,COLUMN($F$1),FALSE))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I134">
        <f>IF(ISNUMBER(SEARCH(SUBSTITUTE(AI$1,RIGHT(AI$1,2),""),VLOOKUP($D134,素材!$1:$1016,COLUMN($F$1),FALSE))),VLOOKUP($C134,武器!$1:$998,COLUMN($O$1),FALSE)*VLOOKUP($D134,素材!$1:$1016,COLUMN($E$1),FALSE)/(LEN(VLOOKUP($D134,素材!$1:$1016,COLUMN($F$1),FALSE))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J134">
        <f>IF(ISNUMBER(SEARCH(SUBSTITUTE(AJ$1,RIGHT(AJ$1,2),""),VLOOKUP($D134,素材!$1:$1016,COLUMN($F$1),FALSE))),VLOOKUP($C134,武器!$1:$998,COLUMN($O$1),FALSE)*VLOOKUP($D134,素材!$1:$1016,COLUMN($E$1),FALSE)/(LEN(VLOOKUP($D134,素材!$1:$1016,COLUMN($F$1),FALSE))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K134">
        <f>IF(ISNUMBER(SEARCH(SUBSTITUTE(AK$1,RIGHT(AK$1,2),""),VLOOKUP($D134,素材!$1:$1016,COLUMN($F$1),FALSE))),VLOOKUP($C134,武器!$1:$998,COLUMN($O$1),FALSE)*VLOOKUP($D134,素材!$1:$1016,COLUMN($E$1),FALSE)/(LEN(VLOOKUP($D134,素材!$1:$1016,COLUMN($F$1),FALSE))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L134">
        <f>IF(ISNUMBER(SEARCH(SUBSTITUTE(AL$1,RIGHT(AL$1,2),""),VLOOKUP($D134,素材!$1:$1016,COLUMN($F$1),FALSE))),VLOOKUP($C134,武器!$1:$998,COLUMN($O$1),FALSE)*VLOOKUP($D134,素材!$1:$1016,COLUMN($E$1),FALSE)/(LEN(VLOOKUP($D134,素材!$1:$1016,COLUMN($F$1),FALSE))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M134">
        <f>IF(ISNUMBER(SEARCH(SUBSTITUTE(AM$1,RIGHT(AM$1,2),""),VLOOKUP($D134,素材!$1:$1016,COLUMN($F$1),FALSE))),VLOOKUP($C134,武器!$1:$998,COLUMN($O$1),FALSE)*VLOOKUP($D134,素材!$1:$1016,COLUMN($E$1),FALSE)/(LEN(VLOOKUP($D134,素材!$1:$1016,COLUMN($F$1),FALSE))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N134">
        <f>IF(ISNUMBER(SEARCH(SUBSTITUTE(AN$1,RIGHT(AN$1,2),""),VLOOKUP($D134,素材!$1:$1016,COLUMN($F$1),FALSE))),VLOOKUP($C134,武器!$1:$998,COLUMN($O$1),FALSE)*VLOOKUP($D134,素材!$1:$1016,COLUMN($E$1),FALSE)/(LEN(VLOOKUP($D134,素材!$1:$1016,COLUMN($F$1),FALSE))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O134">
        <f>IF(ISNUMBER(SEARCH(SUBSTITUTE(AO$1,RIGHT(AO$1,2),""),VLOOKUP($D134,素材!$1:$1016,COLUMN($F$1),FALSE))),VLOOKUP($C134,武器!$1:$998,COLUMN($O$1),FALSE)*VLOOKUP($D134,素材!$1:$1016,COLUMN($E$1),FALSE)/(LEN(VLOOKUP($D134,素材!$1:$1016,COLUMN($F$1),FALSE))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P134">
        <f>IF(ISNUMBER(SEARCH(SUBSTITUTE(AP$1,RIGHT(AP$1,2),""),VLOOKUP($D134,素材!$1:$1016,COLUMN($F$1),FALSE))),VLOOKUP($C134,武器!$1:$998,COLUMN($O$1),FALSE)*VLOOKUP($D134,素材!$1:$1016,COLUMN($E$1),FALSE)/(LEN(VLOOKUP($D134,素材!$1:$1016,COLUMN($F$1),FALSE))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Q134">
        <f>IF(ISNUMBER(SEARCH(SUBSTITUTE(AQ$1,RIGHT(AQ$1,2),""),VLOOKUP($D134,素材!$1:$1016,COLUMN($F$1),FALSE))),VLOOKUP($C134,武器!$1:$998,COLUMN($O$1),FALSE)*VLOOKUP($D134,素材!$1:$1016,COLUMN($E$1),FALSE)/(LEN(VLOOKUP($D134,素材!$1:$1016,COLUMN($F$1),FALSE))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R134">
        <f>IF(ISNUMBER(SEARCH(SUBSTITUTE(AR$1,RIGHT(AR$1,2),""),VLOOKUP($D134,素材!$1:$1016,COLUMN($F$1),FALSE))),VLOOKUP($C134,武器!$1:$998,COLUMN($O$1),FALSE)*VLOOKUP($D134,素材!$1:$1016,COLUMN($E$1),FALSE)/(LEN(VLOOKUP($D134,素材!$1:$1016,COLUMN($F$1),FALSE))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S134">
        <f>IF(ISNUMBER(SEARCH(SUBSTITUTE(AS$1,RIGHT(AS$1,2),""),VLOOKUP($D134,素材!$1:$1016,COLUMN($F$1),FALSE))),VLOOKUP($C134,武器!$1:$998,COLUMN($O$1),FALSE)*VLOOKUP($D134,素材!$1:$1016,COLUMN($E$1),FALSE)/(LEN(VLOOKUP($D134,素材!$1:$1016,COLUMN($F$1),FALSE))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T134">
        <f>IF(ISNUMBER(SEARCH(SUBSTITUTE(AT$1,RIGHT(AT$1,2),""),VLOOKUP($D134,素材!$1:$1016,COLUMN($F$1),FALSE))),VLOOKUP($C134,武器!$1:$998,COLUMN($O$1),FALSE)*VLOOKUP($D134,素材!$1:$1016,COLUMN($E$1),FALSE)/(LEN(VLOOKUP($D134,素材!$1:$1016,COLUMN($F$1),FALSE))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U134">
        <f>IF(ISNUMBER(SEARCH(SUBSTITUTE(AU$1,RIGHT(AU$1,2),""),VLOOKUP($D134,素材!$1:$1016,COLUMN($F$1),FALSE))),VLOOKUP($C134,武器!$1:$998,COLUMN($O$1),FALSE)*VLOOKUP($D134,素材!$1:$1016,COLUMN($E$1),FALSE)/(LEN(VLOOKUP($D134,素材!$1:$1016,COLUMN($F$1),FALSE))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V134">
        <f>IF(ISNUMBER(SEARCH(SUBSTITUTE(AV$1,RIGHT(AV$1,2),""),VLOOKUP($D134,素材!$1:$1016,COLUMN($F$1),FALSE))),VLOOKUP($C134,武器!$1:$998,COLUMN($O$1),FALSE)*VLOOKUP($D134,素材!$1:$1016,COLUMN($E$1),FALSE)/(LEN(VLOOKUP($D134,素材!$1:$1016,COLUMN($F$1),FALSE))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W134">
        <f>IF(ISNUMBER(SEARCH(SUBSTITUTE(AW$1,RIGHT(AW$1,2),""),VLOOKUP($D134,素材!$1:$1016,COLUMN($F$1),FALSE))),VLOOKUP($C134,武器!$1:$998,COLUMN($O$1),FALSE)*VLOOKUP($D134,素材!$1:$1016,COLUMN($E$1),FALSE)/(LEN(VLOOKUP($D134,素材!$1:$1016,COLUMN($F$1),FALSE))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X134">
        <f>IF(ISNUMBER(SEARCH(SUBSTITUTE(AX$1,RIGHT(AX$1,2),""),VLOOKUP($D134,素材!$1:$1016,COLUMN($F$1),FALSE))),VLOOKUP($C134,武器!$1:$998,COLUMN($O$1),FALSE)*VLOOKUP($D134,素材!$1:$1016,COLUMN($E$1),FALSE)/(LEN(VLOOKUP($D134,素材!$1:$1016,COLUMN($F$1),FALSE))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Y134">
        <f>IF(ISNUMBER(SEARCH(SUBSTITUTE(AY$1,RIGHT(AY$1,2),""),VLOOKUP($D134,素材!$1:$1016,COLUMN($F$1),FALSE))),VLOOKUP($C134,武器!$1:$998,COLUMN($O$1),FALSE)*VLOOKUP($D134,素材!$1:$1016,COLUMN($E$1),FALSE)/(LEN(VLOOKUP($D134,素材!$1:$1016,COLUMN($F$1),FALSE))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AZ134">
        <f>IF(ISNUMBER(SEARCH(SUBSTITUTE(AZ$1,RIGHT(AZ$1,2),""),VLOOKUP($D134,素材!$1:$1016,COLUMN($F$1),FALSE))),VLOOKUP($C134,武器!$1:$998,COLUMN($O$1),FALSE)*VLOOKUP($D134,素材!$1:$1016,COLUMN($E$1),FALSE)/(LEN(VLOOKUP($D134,素材!$1:$1016,COLUMN($F$1),FALSE))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BA134">
        <f>IF(ISNUMBER(SEARCH(SUBSTITUTE(BA$1,RIGHT(BA$1,2),""),VLOOKUP($D134,素材!$1:$1016,COLUMN($F$1),FALSE))),VLOOKUP($C134,武器!$1:$998,COLUMN($O$1),FALSE)*VLOOKUP($D134,素材!$1:$1016,COLUMN($E$1),FALSE)/(LEN(VLOOKUP($D134,素材!$1:$1016,COLUMN($F$1),FALSE))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BB134">
        <f>IF(ISNUMBER(SEARCH(SUBSTITUTE(BB$1,RIGHT(BB$1,2),""),VLOOKUP($D134,素材!$1:$1016,COLUMN($F$1),FALSE))),VLOOKUP($C134,武器!$1:$998,COLUMN($O$1),FALSE)*VLOOKUP($D134,素材!$1:$1016,COLUMN($E$1),FALSE)/(LEN(VLOOKUP($D134,素材!$1:$1016,COLUMN($F$1),FALSE))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BC134">
        <f>IF(ISNUMBER(SEARCH(SUBSTITUTE(BC$1,RIGHT(BC$1,2),""),VLOOKUP($D134,素材!$1:$1016,COLUMN($F$1),FALSE))),VLOOKUP($C134,武器!$1:$998,COLUMN($O$1),FALSE)*VLOOKUP($D134,素材!$1:$1016,COLUMN($E$1),FALSE)/(LEN(VLOOKUP($D134,素材!$1:$1016,COLUMN($F$1),FALSE))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BD134">
        <f>IF(ISNUMBER(SEARCH(SUBSTITUTE(BD$1,RIGHT(BD$1,2),""),VLOOKUP($D134,素材!$1:$1016,COLUMN($F$1),FALSE))),VLOOKUP($C134,武器!$1:$998,COLUMN($O$1),FALSE)*VLOOKUP($D134,素材!$1:$1016,COLUMN($E$1),FALSE)/(LEN(VLOOKUP($D134,素材!$1:$1016,COLUMN($F$1),FALSE))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10.5</v>
      </c>
      <c r="BE134">
        <f>IF(ISNUMBER(SEARCH(SUBSTITUTE(BE$1,RIGHT(BE$1,2),""),VLOOKUP($D134,素材!$1:$1016,COLUMN($F$1),FALSE))),VLOOKUP($C134,武器!$1:$998,COLUMN($O$1),FALSE)*VLOOKUP($D134,素材!$1:$1016,COLUMN($E$1),FALSE)/(LEN(VLOOKUP($D134,素材!$1:$1016,COLUMN($F$1),FALSE))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BF134">
        <f>IF(ISNUMBER(SEARCH(SUBSTITUTE(BF$1,RIGHT(BF$1,2),""),VLOOKUP($D134,素材!$1:$1016,COLUMN($F$1),FALSE))),VLOOKUP($C134,武器!$1:$998,COLUMN($O$1),FALSE)*VLOOKUP($D134,素材!$1:$1016,COLUMN($E$1),FALSE)/(LEN(VLOOKUP($D134,素材!$1:$1016,COLUMN($F$1),FALSE)) - LEN(SUBSTITUTE(VLOOKUP($D134,素材!$1:$1016,COLUMN($F$1),FALSE), "・", 0)) + 1), 0)</f>
        <v>0</v>
      </c>
      <c r="CM134">
        <f t="shared" si="19"/>
        <v>0</v>
      </c>
      <c r="CN134" s="22" t="str">
        <f>IF(E134="武器",IF(J134-1&gt;SUM(G134:I134),"盾",IF(MAX(G134:I134)=G134,"切断",IF(MAX(G134:I134)=H134,"貫通",IF(MAX(G134:I134)=I134,"打撃","射撃")))),E134)&amp;".webp"</f>
        <v>体.webp</v>
      </c>
      <c r="CO134">
        <f>IFERROR(VLOOKUP($C134,武器!$1:$998,COLUMN(V$1),FALSE)*VLOOKUP($D134,素材!$1:$1016,COLUMN(N$1),FALSE)+IF(CJ134="",0,VLOOKUP($CJ134,装強!$1:$1008,COLUMN($CL$1),FALSE)),"")</f>
        <v>4500</v>
      </c>
      <c r="CP134" t="str">
        <f>VLOOKUP(D134,素材!$A:$O,COLUMN(素材!O$1),FALSE)</f>
        <v>魔力を帯びた特殊な皮素材。魔法防御や属性耐性を強化する効果があり、高レベルの冒険者に重宝されます。</v>
      </c>
      <c r="CQ134" t="str">
        <f>VLOOKUP(C134,武器!$A:$W,COLUMN(武器!W$1),FALSE)</f>
        <v>HP 物理 魔法 体幹 出血 疲労 Cr</v>
      </c>
      <c r="CS134" t="str">
        <f t="shared" si="7"/>
        <v>e_134</v>
      </c>
      <c r="CT134">
        <f t="shared" si="9"/>
        <v>450000</v>
      </c>
    </row>
    <row r="135" spans="1:98" outlineLevel="1" x14ac:dyDescent="0.4">
      <c r="A135" t="str">
        <f t="shared" ref="A135:A150" si="20">D135&amp;"の"&amp;C135</f>
        <v>魔獣皮の胴衣</v>
      </c>
      <c r="B135" t="str">
        <f>IFERROR(VLOOKUP($D135,素材!$1:$1016,COLUMN($B$1),FALSE)&amp;"・"&amp;VLOOKUP($C135,武器!$1:$998,COLUMN(B$1),FALSE),"")</f>
        <v>マジックレザー・ベスト</v>
      </c>
      <c r="C135" t="s">
        <v>207</v>
      </c>
      <c r="D135" s="24" t="s">
        <v>202</v>
      </c>
      <c r="E135" t="str">
        <f>IFERROR(VLOOKUP(C135,武器!$1:$998,COLUMN(C$1),FALSE),"")</f>
        <v>体</v>
      </c>
      <c r="F135">
        <f>IFERROR(ROUNDDOWN((VLOOKUP($C135,武器!$1:$998,COLUMN(D$1),FALSE)+IFERROR(VLOOKUP($CJ135,装強!$1:$999,COLUMN(F$1),FALSE),0))*VLOOKUP($D135,素材!$1:$1016,COLUMN(D$1),FALSE),0),"")</f>
        <v>0</v>
      </c>
      <c r="G135">
        <f>IFERROR(ROUNDDOWN((VLOOKUP($C135,武器!$1:$998,COLUMN(E$1),FALSE)+IFERROR(VLOOKUP($CJ135,装強!$1:$999,COLUMN(G$1),FALSE),0))*VLOOKUP($D135,素材!$1:$1016,COLUMN($E$1),FALSE),0),"")</f>
        <v>0</v>
      </c>
      <c r="H135">
        <f>IFERROR(ROUNDDOWN((VLOOKUP($C135,武器!$1:$998,COLUMN(F$1),FALSE)+IFERROR(VLOOKUP($CJ135,装強!$1:$999,COLUMN(H$1),FALSE),0))*VLOOKUP($D135,素材!$1:$1016,COLUMN($E$1),FALSE),0),"")</f>
        <v>0</v>
      </c>
      <c r="I135">
        <f>IFERROR(ROUNDDOWN((VLOOKUP($C135,武器!$1:$998,COLUMN(G$1),FALSE)+IFERROR(VLOOKUP($CJ135,装強!$1:$999,COLUMN(I$1),FALSE),0))*VLOOKUP($D135,素材!$1:$1016,COLUMN($E$1),FALSE),0),"")</f>
        <v>0</v>
      </c>
      <c r="J135">
        <f>IFERROR(ROUNDDOWN((VLOOKUP($C135,武器!$1:$998,COLUMN(H$1),FALSE)+IFERROR(VLOOKUP($CJ135,装強!$1:$999,COLUMN(J$1),FALSE),0))*VLOOKUP($D135,素材!$1:$1016,COLUMN($E$1),FALSE),0),"")</f>
        <v>0</v>
      </c>
      <c r="K135">
        <f>IFERROR(ROUNDDOWN((VLOOKUP($C135,武器!$1:$998,COLUMN(I$1),FALSE)+IFERROR(VLOOKUP($CJ135,装強!$1:$999,COLUMN(K$1),FALSE),0))*VLOOKUP($D135,素材!$1:$1016,COLUMN($E$1),FALSE),0),"")</f>
        <v>0</v>
      </c>
      <c r="L135" t="str">
        <f>IFERROR(VLOOKUP($D135,素材!$1:$1016,COLUMN($F$1),FALSE),"")</f>
        <v>魔法</v>
      </c>
      <c r="M135" t="str">
        <f>IFERROR(VLOOKUP($C135,武器!$1:$998,COLUMN(AA$1),FALSE)*VLOOKUP($D135,素材!$1:$1016,COLUMN($G$1),FALSE),"")</f>
        <v/>
      </c>
      <c r="N135">
        <f>IFERROR(VLOOKUP($C135,武器!$1:$998,COLUMN(I$1),FALSE),"")</f>
        <v>0</v>
      </c>
      <c r="O135" s="23" t="str">
        <f>IFERROR((VLOOKUP($C135,武器!$1:$998,COLUMN(K$1),FALSE)+VLOOKUP($D135,素材!$1:$1016,COLUMN(H$1),FALSE))*100+IFERROR(VLOOKUP($CJ135,装強!$1:$999,COLUMN(O$1),FALSE),0),"")</f>
        <v/>
      </c>
      <c r="P135" s="23" t="str">
        <f>IFERROR((VLOOKUP($C135,武器!$1:$998,COLUMN(L$1),FALSE)+VLOOKUP($D135,素材!$1:$1016,COLUMN(I$1),FALSE))*100+IFERROR(VLOOKUP($CJ135,装強!$1:$999,COLUMN(P$1),FALSE),0),"")</f>
        <v/>
      </c>
      <c r="Q135">
        <f>IFERROR(ROUNDUP(VLOOKUP($C135,武器!$1:$998,COLUMN(M$1),FALSE)*(VLOOKUP($D135,素材!$1:$1002,COLUMN(D$1),FALSE)/100),1),"")</f>
        <v>-5.6999999999999993</v>
      </c>
      <c r="R135">
        <f>IFERROR(ROUNDUP(VLOOKUP($C135,武器!$1:$998,COLUMN(N$1),FALSE)*(VLOOKUP($D135,素材!$1:$1002,COLUMN(D$1),FALSE)/100),1),"")</f>
        <v>0</v>
      </c>
      <c r="S135">
        <f>IFERROR(VLOOKUP($C135,武器!$1:$998,COLUMN(P$1),FALSE),"")</f>
        <v>0</v>
      </c>
      <c r="T135">
        <f>IFERROR(VLOOKUP($C135,武器!$1:$998,COLUMN(Q$1),FALSE),"")</f>
        <v>0</v>
      </c>
      <c r="U135">
        <f>IFERROR(VLOOKUP($C135,武器!$1:$998,COLUMN(R$1),FALSE),"")</f>
        <v>0</v>
      </c>
      <c r="V135">
        <f>IFERROR(VLOOKUP($C135,武器!$1:$998,COLUMN(Q$1),FALSE),"")</f>
        <v>0</v>
      </c>
      <c r="W135">
        <f>IFERROR(VLOOKUP($C135,武器!$1:$998,COLUMN(T$1),FALSE),"")</f>
        <v>0</v>
      </c>
      <c r="Y135">
        <f>IFERROR(VLOOKUP($C135,武器!$1:$998,COLUMN(U$1),FALSE),"")</f>
        <v>0</v>
      </c>
      <c r="Z135">
        <f>IFERROR(ROUNDUP(VLOOKUP($C135,武器!$1:$998,COLUMN(O$1),FALSE)*VLOOKUP($D135,素材!$1:$1016,COLUMN(E$1),FALSE),1),"")</f>
        <v>7.5</v>
      </c>
      <c r="AA135">
        <f>IF(ISNUMBER(SEARCH(SUBSTITUTE(AA$1,RIGHT(AA$1,2),""),VLOOKUP($D135,素材!$1:$1016,COLUMN($F$1),FALSE))),VLOOKUP($C135,武器!$1:$998,COLUMN($O$1),FALSE)*VLOOKUP($D135,素材!$1:$1016,COLUMN($E$1),FALSE)/(LEN(VLOOKUP($D135,素材!$1:$1016,COLUMN($F$1),FALSE))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7.5</v>
      </c>
      <c r="AB135">
        <f>IF(ISNUMBER(SEARCH(SUBSTITUTE(AB$1,RIGHT(AB$1,2),""),VLOOKUP($D135,素材!$1:$1016,COLUMN($F$1),FALSE))),VLOOKUP($C135,武器!$1:$998,COLUMN($O$1),FALSE)*VLOOKUP($D135,素材!$1:$1016,COLUMN($E$1),FALSE)/(LEN(VLOOKUP($D135,素材!$1:$1016,COLUMN($F$1),FALSE))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C135">
        <f>IF(ISNUMBER(SEARCH(SUBSTITUTE(AC$1,RIGHT(AC$1,2),""),VLOOKUP($D135,素材!$1:$1016,COLUMN($F$1),FALSE))),VLOOKUP($C135,武器!$1:$998,COLUMN($O$1),FALSE)*VLOOKUP($D135,素材!$1:$1016,COLUMN($E$1),FALSE)/(LEN(VLOOKUP($D135,素材!$1:$1016,COLUMN($F$1),FALSE))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D135">
        <f>IF(ISNUMBER(SEARCH(SUBSTITUTE(AD$1,RIGHT(AD$1,2),""),VLOOKUP($D135,素材!$1:$1016,COLUMN($F$1),FALSE))),VLOOKUP($C135,武器!$1:$998,COLUMN($O$1),FALSE)*VLOOKUP($D135,素材!$1:$1016,COLUMN($E$1),FALSE)/(LEN(VLOOKUP($D135,素材!$1:$1016,COLUMN($F$1),FALSE))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E135">
        <f>IF(ISNUMBER(SEARCH(SUBSTITUTE(AE$1,RIGHT(AE$1,2),""),VLOOKUP($D135,素材!$1:$1016,COLUMN($F$1),FALSE))),VLOOKUP($C135,武器!$1:$998,COLUMN($O$1),FALSE)*VLOOKUP($D135,素材!$1:$1016,COLUMN($E$1),FALSE)/(LEN(VLOOKUP($D135,素材!$1:$1016,COLUMN($F$1),FALSE))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F135">
        <f>IF(ISNUMBER(SEARCH(SUBSTITUTE(AF$1,RIGHT(AF$1,2),""),VLOOKUP($D135,素材!$1:$1016,COLUMN($F$1),FALSE))),VLOOKUP($C135,武器!$1:$998,COLUMN($O$1),FALSE)*VLOOKUP($D135,素材!$1:$1016,COLUMN($E$1),FALSE)/(LEN(VLOOKUP($D135,素材!$1:$1016,COLUMN($F$1),FALSE))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G135">
        <f>IF(ISNUMBER(SEARCH(SUBSTITUTE(AG$1,RIGHT(AG$1,2),""),VLOOKUP($D135,素材!$1:$1016,COLUMN($F$1),FALSE))),VLOOKUP($C135,武器!$1:$998,COLUMN($O$1),FALSE)*VLOOKUP($D135,素材!$1:$1016,COLUMN($E$1),FALSE)/(LEN(VLOOKUP($D135,素材!$1:$1016,COLUMN($F$1),FALSE))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H135">
        <f>IF(ISNUMBER(SEARCH(SUBSTITUTE(AH$1,RIGHT(AH$1,2),""),VLOOKUP($D135,素材!$1:$1016,COLUMN($F$1),FALSE))),VLOOKUP($C135,武器!$1:$998,COLUMN($O$1),FALSE)*VLOOKUP($D135,素材!$1:$1016,COLUMN($E$1),FALSE)/(LEN(VLOOKUP($D135,素材!$1:$1016,COLUMN($F$1),FALSE))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I135">
        <f>IF(ISNUMBER(SEARCH(SUBSTITUTE(AI$1,RIGHT(AI$1,2),""),VLOOKUP($D135,素材!$1:$1016,COLUMN($F$1),FALSE))),VLOOKUP($C135,武器!$1:$998,COLUMN($O$1),FALSE)*VLOOKUP($D135,素材!$1:$1016,COLUMN($E$1),FALSE)/(LEN(VLOOKUP($D135,素材!$1:$1016,COLUMN($F$1),FALSE))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J135">
        <f>IF(ISNUMBER(SEARCH(SUBSTITUTE(AJ$1,RIGHT(AJ$1,2),""),VLOOKUP($D135,素材!$1:$1016,COLUMN($F$1),FALSE))),VLOOKUP($C135,武器!$1:$998,COLUMN($O$1),FALSE)*VLOOKUP($D135,素材!$1:$1016,COLUMN($E$1),FALSE)/(LEN(VLOOKUP($D135,素材!$1:$1016,COLUMN($F$1),FALSE))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K135">
        <f>IF(ISNUMBER(SEARCH(SUBSTITUTE(AK$1,RIGHT(AK$1,2),""),VLOOKUP($D135,素材!$1:$1016,COLUMN($F$1),FALSE))),VLOOKUP($C135,武器!$1:$998,COLUMN($O$1),FALSE)*VLOOKUP($D135,素材!$1:$1016,COLUMN($E$1),FALSE)/(LEN(VLOOKUP($D135,素材!$1:$1016,COLUMN($F$1),FALSE))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L135">
        <f>IF(ISNUMBER(SEARCH(SUBSTITUTE(AL$1,RIGHT(AL$1,2),""),VLOOKUP($D135,素材!$1:$1016,COLUMN($F$1),FALSE))),VLOOKUP($C135,武器!$1:$998,COLUMN($O$1),FALSE)*VLOOKUP($D135,素材!$1:$1016,COLUMN($E$1),FALSE)/(LEN(VLOOKUP($D135,素材!$1:$1016,COLUMN($F$1),FALSE))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M135">
        <f>IF(ISNUMBER(SEARCH(SUBSTITUTE(AM$1,RIGHT(AM$1,2),""),VLOOKUP($D135,素材!$1:$1016,COLUMN($F$1),FALSE))),VLOOKUP($C135,武器!$1:$998,COLUMN($O$1),FALSE)*VLOOKUP($D135,素材!$1:$1016,COLUMN($E$1),FALSE)/(LEN(VLOOKUP($D135,素材!$1:$1016,COLUMN($F$1),FALSE))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N135">
        <f>IF(ISNUMBER(SEARCH(SUBSTITUTE(AN$1,RIGHT(AN$1,2),""),VLOOKUP($D135,素材!$1:$1016,COLUMN($F$1),FALSE))),VLOOKUP($C135,武器!$1:$998,COLUMN($O$1),FALSE)*VLOOKUP($D135,素材!$1:$1016,COLUMN($E$1),FALSE)/(LEN(VLOOKUP($D135,素材!$1:$1016,COLUMN($F$1),FALSE))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O135">
        <f>IF(ISNUMBER(SEARCH(SUBSTITUTE(AO$1,RIGHT(AO$1,2),""),VLOOKUP($D135,素材!$1:$1016,COLUMN($F$1),FALSE))),VLOOKUP($C135,武器!$1:$998,COLUMN($O$1),FALSE)*VLOOKUP($D135,素材!$1:$1016,COLUMN($E$1),FALSE)/(LEN(VLOOKUP($D135,素材!$1:$1016,COLUMN($F$1),FALSE))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P135">
        <f>IF(ISNUMBER(SEARCH(SUBSTITUTE(AP$1,RIGHT(AP$1,2),""),VLOOKUP($D135,素材!$1:$1016,COLUMN($F$1),FALSE))),VLOOKUP($C135,武器!$1:$998,COLUMN($O$1),FALSE)*VLOOKUP($D135,素材!$1:$1016,COLUMN($E$1),FALSE)/(LEN(VLOOKUP($D135,素材!$1:$1016,COLUMN($F$1),FALSE))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Q135">
        <f>IF(ISNUMBER(SEARCH(SUBSTITUTE(AQ$1,RIGHT(AQ$1,2),""),VLOOKUP($D135,素材!$1:$1016,COLUMN($F$1),FALSE))),VLOOKUP($C135,武器!$1:$998,COLUMN($O$1),FALSE)*VLOOKUP($D135,素材!$1:$1016,COLUMN($E$1),FALSE)/(LEN(VLOOKUP($D135,素材!$1:$1016,COLUMN($F$1),FALSE))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R135">
        <f>IF(ISNUMBER(SEARCH(SUBSTITUTE(AR$1,RIGHT(AR$1,2),""),VLOOKUP($D135,素材!$1:$1016,COLUMN($F$1),FALSE))),VLOOKUP($C135,武器!$1:$998,COLUMN($O$1),FALSE)*VLOOKUP($D135,素材!$1:$1016,COLUMN($E$1),FALSE)/(LEN(VLOOKUP($D135,素材!$1:$1016,COLUMN($F$1),FALSE))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S135">
        <f>IF(ISNUMBER(SEARCH(SUBSTITUTE(AS$1,RIGHT(AS$1,2),""),VLOOKUP($D135,素材!$1:$1016,COLUMN($F$1),FALSE))),VLOOKUP($C135,武器!$1:$998,COLUMN($O$1),FALSE)*VLOOKUP($D135,素材!$1:$1016,COLUMN($E$1),FALSE)/(LEN(VLOOKUP($D135,素材!$1:$1016,COLUMN($F$1),FALSE))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T135">
        <f>IF(ISNUMBER(SEARCH(SUBSTITUTE(AT$1,RIGHT(AT$1,2),""),VLOOKUP($D135,素材!$1:$1016,COLUMN($F$1),FALSE))),VLOOKUP($C135,武器!$1:$998,COLUMN($O$1),FALSE)*VLOOKUP($D135,素材!$1:$1016,COLUMN($E$1),FALSE)/(LEN(VLOOKUP($D135,素材!$1:$1016,COLUMN($F$1),FALSE))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U135">
        <f>IF(ISNUMBER(SEARCH(SUBSTITUTE(AU$1,RIGHT(AU$1,2),""),VLOOKUP($D135,素材!$1:$1016,COLUMN($F$1),FALSE))),VLOOKUP($C135,武器!$1:$998,COLUMN($O$1),FALSE)*VLOOKUP($D135,素材!$1:$1016,COLUMN($E$1),FALSE)/(LEN(VLOOKUP($D135,素材!$1:$1016,COLUMN($F$1),FALSE))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V135">
        <f>IF(ISNUMBER(SEARCH(SUBSTITUTE(AV$1,RIGHT(AV$1,2),""),VLOOKUP($D135,素材!$1:$1016,COLUMN($F$1),FALSE))),VLOOKUP($C135,武器!$1:$998,COLUMN($O$1),FALSE)*VLOOKUP($D135,素材!$1:$1016,COLUMN($E$1),FALSE)/(LEN(VLOOKUP($D135,素材!$1:$1016,COLUMN($F$1),FALSE))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W135">
        <f>IF(ISNUMBER(SEARCH(SUBSTITUTE(AW$1,RIGHT(AW$1,2),""),VLOOKUP($D135,素材!$1:$1016,COLUMN($F$1),FALSE))),VLOOKUP($C135,武器!$1:$998,COLUMN($O$1),FALSE)*VLOOKUP($D135,素材!$1:$1016,COLUMN($E$1),FALSE)/(LEN(VLOOKUP($D135,素材!$1:$1016,COLUMN($F$1),FALSE))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X135">
        <f>IF(ISNUMBER(SEARCH(SUBSTITUTE(AX$1,RIGHT(AX$1,2),""),VLOOKUP($D135,素材!$1:$1016,COLUMN($F$1),FALSE))),VLOOKUP($C135,武器!$1:$998,COLUMN($O$1),FALSE)*VLOOKUP($D135,素材!$1:$1016,COLUMN($E$1),FALSE)/(LEN(VLOOKUP($D135,素材!$1:$1016,COLUMN($F$1),FALSE))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Y135">
        <f>IF(ISNUMBER(SEARCH(SUBSTITUTE(AY$1,RIGHT(AY$1,2),""),VLOOKUP($D135,素材!$1:$1016,COLUMN($F$1),FALSE))),VLOOKUP($C135,武器!$1:$998,COLUMN($O$1),FALSE)*VLOOKUP($D135,素材!$1:$1016,COLUMN($E$1),FALSE)/(LEN(VLOOKUP($D135,素材!$1:$1016,COLUMN($F$1),FALSE))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AZ135">
        <f>IF(ISNUMBER(SEARCH(SUBSTITUTE(AZ$1,RIGHT(AZ$1,2),""),VLOOKUP($D135,素材!$1:$1016,COLUMN($F$1),FALSE))),VLOOKUP($C135,武器!$1:$998,COLUMN($O$1),FALSE)*VLOOKUP($D135,素材!$1:$1016,COLUMN($E$1),FALSE)/(LEN(VLOOKUP($D135,素材!$1:$1016,COLUMN($F$1),FALSE))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BA135">
        <f>IF(ISNUMBER(SEARCH(SUBSTITUTE(BA$1,RIGHT(BA$1,2),""),VLOOKUP($D135,素材!$1:$1016,COLUMN($F$1),FALSE))),VLOOKUP($C135,武器!$1:$998,COLUMN($O$1),FALSE)*VLOOKUP($D135,素材!$1:$1016,COLUMN($E$1),FALSE)/(LEN(VLOOKUP($D135,素材!$1:$1016,COLUMN($F$1),FALSE))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BB135">
        <f>IF(ISNUMBER(SEARCH(SUBSTITUTE(BB$1,RIGHT(BB$1,2),""),VLOOKUP($D135,素材!$1:$1016,COLUMN($F$1),FALSE))),VLOOKUP($C135,武器!$1:$998,COLUMN($O$1),FALSE)*VLOOKUP($D135,素材!$1:$1016,COLUMN($E$1),FALSE)/(LEN(VLOOKUP($D135,素材!$1:$1016,COLUMN($F$1),FALSE))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BC135">
        <f>IF(ISNUMBER(SEARCH(SUBSTITUTE(BC$1,RIGHT(BC$1,2),""),VLOOKUP($D135,素材!$1:$1016,COLUMN($F$1),FALSE))),VLOOKUP($C135,武器!$1:$998,COLUMN($O$1),FALSE)*VLOOKUP($D135,素材!$1:$1016,COLUMN($E$1),FALSE)/(LEN(VLOOKUP($D135,素材!$1:$1016,COLUMN($F$1),FALSE))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BD135">
        <f>IF(ISNUMBER(SEARCH(SUBSTITUTE(BD$1,RIGHT(BD$1,2),""),VLOOKUP($D135,素材!$1:$1016,COLUMN($F$1),FALSE))),VLOOKUP($C135,武器!$1:$998,COLUMN($O$1),FALSE)*VLOOKUP($D135,素材!$1:$1016,COLUMN($E$1),FALSE)/(LEN(VLOOKUP($D135,素材!$1:$1016,COLUMN($F$1),FALSE))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7.5</v>
      </c>
      <c r="BE135">
        <f>IF(ISNUMBER(SEARCH(SUBSTITUTE(BE$1,RIGHT(BE$1,2),""),VLOOKUP($D135,素材!$1:$1016,COLUMN($F$1),FALSE))),VLOOKUP($C135,武器!$1:$998,COLUMN($O$1),FALSE)*VLOOKUP($D135,素材!$1:$1016,COLUMN($E$1),FALSE)/(LEN(VLOOKUP($D135,素材!$1:$1016,COLUMN($F$1),FALSE))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BF135">
        <f>IF(ISNUMBER(SEARCH(SUBSTITUTE(BF$1,RIGHT(BF$1,2),""),VLOOKUP($D135,素材!$1:$1016,COLUMN($F$1),FALSE))),VLOOKUP($C135,武器!$1:$998,COLUMN($O$1),FALSE)*VLOOKUP($D135,素材!$1:$1016,COLUMN($E$1),FALSE)/(LEN(VLOOKUP($D135,素材!$1:$1016,COLUMN($F$1),FALSE)) - LEN(SUBSTITUTE(VLOOKUP($D135,素材!$1:$1016,COLUMN($F$1),FALSE), "・", 0)) + 1), 0)</f>
        <v>0</v>
      </c>
      <c r="CM135">
        <f t="shared" si="19"/>
        <v>0</v>
      </c>
      <c r="CN135" s="22" t="str">
        <f>IF(E135="武器",IF(J135-1&gt;SUM(G135:I135),"盾",IF(MAX(G135:I135)=G135,"切断",IF(MAX(G135:I135)=H135,"貫通",IF(MAX(G135:I135)=I135,"打撃","射撃")))),E135)&amp;".webp"</f>
        <v>体.webp</v>
      </c>
      <c r="CO135">
        <f>IFERROR(VLOOKUP($C135,武器!$1:$998,COLUMN(V$1),FALSE)*VLOOKUP($D135,素材!$1:$1016,COLUMN(N$1),FALSE)+IF(CJ135="",0,VLOOKUP($CJ135,装強!$1:$1008,COLUMN($CL$1),FALSE)),"")</f>
        <v>3750</v>
      </c>
      <c r="CP135" t="str">
        <f>VLOOKUP(D135,素材!$A:$O,COLUMN(素材!O$1),FALSE)</f>
        <v>魔力を帯びた特殊な皮素材。魔法防御や属性耐性を強化する効果があり、高レベルの冒険者に重宝されます。</v>
      </c>
      <c r="CQ135" t="str">
        <f>VLOOKUP(C135,武器!$A:$W,COLUMN(武器!W$1),FALSE)</f>
        <v>HP 物理 魔法 体幹 出血 疲労 Cr</v>
      </c>
      <c r="CS135" t="str">
        <f t="shared" ref="CS135:CS201" si="21">"e_"&amp;ROW(CS135)</f>
        <v>e_135</v>
      </c>
      <c r="CT135">
        <f t="shared" si="9"/>
        <v>375000</v>
      </c>
    </row>
    <row r="136" spans="1:98" outlineLevel="1" x14ac:dyDescent="0.4">
      <c r="A136" t="str">
        <f t="shared" ref="A136" si="22">D136&amp;"の"&amp;C136</f>
        <v>雷蜥蜴の鱗の帽子</v>
      </c>
      <c r="B136" t="str">
        <f>IFERROR(VLOOKUP($D136,素材!$1:$1016,COLUMN($B$1),FALSE)&amp;"・"&amp;VLOOKUP($C136,武器!$1:$998,COLUMN(B$1),FALSE),"")</f>
        <v>サンダードレイクスケール・ハット</v>
      </c>
      <c r="C136" t="s">
        <v>1196</v>
      </c>
      <c r="D136" s="24" t="s">
        <v>249</v>
      </c>
      <c r="E136" t="str">
        <f>IFERROR(VLOOKUP(C136,武器!$1:$998,COLUMN(C$1),FALSE),"")</f>
        <v>頭</v>
      </c>
      <c r="F136">
        <f>IFERROR(ROUNDDOWN((VLOOKUP($C136,武器!$1:$998,COLUMN(D$1),FALSE)+IFERROR(VLOOKUP($CJ136,装強!$1:$999,COLUMN(F$1),FALSE),0))*VLOOKUP($D136,素材!$1:$1016,COLUMN(D$1),FALSE),0),"")</f>
        <v>0</v>
      </c>
      <c r="G136">
        <f>IFERROR(ROUNDDOWN((VLOOKUP($C136,武器!$1:$998,COLUMN(E$1),FALSE)+IFERROR(VLOOKUP($CJ136,装強!$1:$999,COLUMN(G$1),FALSE),0))*VLOOKUP($D136,素材!$1:$1016,COLUMN($E$1),FALSE),0),"")</f>
        <v>0</v>
      </c>
      <c r="H136">
        <f>IFERROR(ROUNDDOWN((VLOOKUP($C136,武器!$1:$998,COLUMN(F$1),FALSE)+IFERROR(VLOOKUP($CJ136,装強!$1:$999,COLUMN(H$1),FALSE),0))*VLOOKUP($D136,素材!$1:$1016,COLUMN($E$1),FALSE),0),"")</f>
        <v>0</v>
      </c>
      <c r="I136">
        <f>IFERROR(ROUNDDOWN((VLOOKUP($C136,武器!$1:$998,COLUMN(G$1),FALSE)+IFERROR(VLOOKUP($CJ136,装強!$1:$999,COLUMN(I$1),FALSE),0))*VLOOKUP($D136,素材!$1:$1016,COLUMN($E$1),FALSE),0),"")</f>
        <v>0</v>
      </c>
      <c r="J136">
        <f>IFERROR(ROUNDDOWN((VLOOKUP($C136,武器!$1:$998,COLUMN(H$1),FALSE)+IFERROR(VLOOKUP($CJ136,装強!$1:$999,COLUMN(J$1),FALSE),0))*VLOOKUP($D136,素材!$1:$1016,COLUMN($E$1),FALSE),0),"")</f>
        <v>0</v>
      </c>
      <c r="K136">
        <f>IFERROR(ROUNDDOWN((VLOOKUP($C136,武器!$1:$998,COLUMN(I$1),FALSE)+IFERROR(VLOOKUP($CJ136,装強!$1:$999,COLUMN(K$1),FALSE),0))*VLOOKUP($D136,素材!$1:$1016,COLUMN($E$1),FALSE),0),"")</f>
        <v>0</v>
      </c>
      <c r="L136" t="str">
        <f>IFERROR(VLOOKUP($D136,素材!$1:$1016,COLUMN($F$1),FALSE),"")</f>
        <v>雷</v>
      </c>
      <c r="M136">
        <f>IFERROR(VLOOKUP($C136,武器!$1:$998,COLUMN(AA$1),FALSE)*VLOOKUP($D136,素材!$1:$1016,COLUMN($G$1),FALSE),"")</f>
        <v>0</v>
      </c>
      <c r="N136">
        <f>IFERROR(VLOOKUP($C136,武器!$1:$998,COLUMN(I$1),FALSE),"")</f>
        <v>0</v>
      </c>
      <c r="O136" s="23" t="str">
        <f>IFERROR((VLOOKUP($C136,武器!$1:$998,COLUMN(K$1),FALSE)+VLOOKUP($D136,素材!$1:$1016,COLUMN(H$1),FALSE))*100+IFERROR(VLOOKUP($CJ136,装強!$1:$999,COLUMN(O$1),FALSE),0),"")</f>
        <v/>
      </c>
      <c r="P136" s="23" t="str">
        <f>IFERROR((VLOOKUP($C136,武器!$1:$998,COLUMN(L$1),FALSE)+VLOOKUP($D136,素材!$1:$1016,COLUMN(I$1),FALSE))*100+IFERROR(VLOOKUP($CJ136,装強!$1:$999,COLUMN(P$1),FALSE),0),"")</f>
        <v/>
      </c>
      <c r="Q136">
        <f>IFERROR(ROUNDUP(VLOOKUP($C136,武器!$1:$998,COLUMN(M$1),FALSE)*(VLOOKUP($D136,素材!$1:$1002,COLUMN(D$1),FALSE)/100),1),"")</f>
        <v>0</v>
      </c>
      <c r="R136">
        <f>IFERROR(ROUNDUP(VLOOKUP($C136,武器!$1:$998,COLUMN(N$1),FALSE)*(VLOOKUP($D136,素材!$1:$1002,COLUMN(D$1),FALSE)/100),1),"")</f>
        <v>0</v>
      </c>
      <c r="S136">
        <f>IFERROR(VLOOKUP($C136,武器!$1:$998,COLUMN(P$1),FALSE),"")</f>
        <v>0</v>
      </c>
      <c r="T136">
        <f>IFERROR(VLOOKUP($C136,武器!$1:$998,COLUMN(Q$1),FALSE),"")</f>
        <v>0</v>
      </c>
      <c r="U136">
        <f>IFERROR(VLOOKUP($C136,武器!$1:$998,COLUMN(R$1),FALSE),"")</f>
        <v>0</v>
      </c>
      <c r="V136">
        <f>IFERROR(VLOOKUP($C136,武器!$1:$998,COLUMN(Q$1),FALSE),"")</f>
        <v>0</v>
      </c>
      <c r="W136">
        <f>IFERROR(VLOOKUP($C136,武器!$1:$998,COLUMN(T$1),FALSE),"")</f>
        <v>0</v>
      </c>
      <c r="Y136">
        <f>IFERROR(VLOOKUP($C136,武器!$1:$998,COLUMN(U$1),FALSE),"")</f>
        <v>0</v>
      </c>
      <c r="Z136">
        <f>IFERROR(ROUNDUP(VLOOKUP($C136,武器!$1:$998,COLUMN(O$1),FALSE)*VLOOKUP($D136,素材!$1:$1016,COLUMN(E$1),FALSE),1),"")</f>
        <v>2.5</v>
      </c>
      <c r="AA136">
        <f>IF(ISNUMBER(SEARCH(SUBSTITUTE(AA$1,RIGHT(AA$1,2),""),VLOOKUP($D136,素材!$1:$1016,COLUMN($F$1),FALSE))),VLOOKUP($C136,武器!$1:$998,COLUMN($O$1),FALSE)*VLOOKUP($D136,素材!$1:$1016,COLUMN($E$1),FALSE)/(LEN(VLOOKUP($D136,素材!$1:$1016,COLUMN($F$1),FALSE))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B136">
        <f>IF(ISNUMBER(SEARCH(SUBSTITUTE(AB$1,RIGHT(AB$1,2),""),VLOOKUP($D136,素材!$1:$1016,COLUMN($F$1),FALSE))),VLOOKUP($C136,武器!$1:$998,COLUMN($O$1),FALSE)*VLOOKUP($D136,素材!$1:$1016,COLUMN($E$1),FALSE)/(LEN(VLOOKUP($D136,素材!$1:$1016,COLUMN($F$1),FALSE))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C136">
        <f>IF(ISNUMBER(SEARCH(SUBSTITUTE(AC$1,RIGHT(AC$1,2),""),VLOOKUP($D136,素材!$1:$1016,COLUMN($F$1),FALSE))),VLOOKUP($C136,武器!$1:$998,COLUMN($O$1),FALSE)*VLOOKUP($D136,素材!$1:$1016,COLUMN($E$1),FALSE)/(LEN(VLOOKUP($D136,素材!$1:$1016,COLUMN($F$1),FALSE))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D136">
        <f>IF(ISNUMBER(SEARCH(SUBSTITUTE(AD$1,RIGHT(AD$1,2),""),VLOOKUP($D136,素材!$1:$1016,COLUMN($F$1),FALSE))),VLOOKUP($C136,武器!$1:$998,COLUMN($O$1),FALSE)*VLOOKUP($D136,素材!$1:$1016,COLUMN($E$1),FALSE)/(LEN(VLOOKUP($D136,素材!$1:$1016,COLUMN($F$1),FALSE))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E136">
        <f>IF(ISNUMBER(SEARCH(SUBSTITUTE(AE$1,RIGHT(AE$1,2),""),VLOOKUP($D136,素材!$1:$1016,COLUMN($F$1),FALSE))),VLOOKUP($C136,武器!$1:$998,COLUMN($O$1),FALSE)*VLOOKUP($D136,素材!$1:$1016,COLUMN($E$1),FALSE)/(LEN(VLOOKUP($D136,素材!$1:$1016,COLUMN($F$1),FALSE))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F136">
        <f>IF(ISNUMBER(SEARCH(SUBSTITUTE(AF$1,RIGHT(AF$1,2),""),VLOOKUP($D136,素材!$1:$1016,COLUMN($F$1),FALSE))),VLOOKUP($C136,武器!$1:$998,COLUMN($O$1),FALSE)*VLOOKUP($D136,素材!$1:$1016,COLUMN($E$1),FALSE)/(LEN(VLOOKUP($D136,素材!$1:$1016,COLUMN($F$1),FALSE))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G136">
        <f>IF(ISNUMBER(SEARCH(SUBSTITUTE(AG$1,RIGHT(AG$1,2),""),VLOOKUP($D136,素材!$1:$1016,COLUMN($F$1),FALSE))),VLOOKUP($C136,武器!$1:$998,COLUMN($O$1),FALSE)*VLOOKUP($D136,素材!$1:$1016,COLUMN($E$1),FALSE)/(LEN(VLOOKUP($D136,素材!$1:$1016,COLUMN($F$1),FALSE))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2.5</v>
      </c>
      <c r="AH136">
        <f>IF(ISNUMBER(SEARCH(SUBSTITUTE(AH$1,RIGHT(AH$1,2),""),VLOOKUP($D136,素材!$1:$1016,COLUMN($F$1),FALSE))),VLOOKUP($C136,武器!$1:$998,COLUMN($O$1),FALSE)*VLOOKUP($D136,素材!$1:$1016,COLUMN($E$1),FALSE)/(LEN(VLOOKUP($D136,素材!$1:$1016,COLUMN($F$1),FALSE))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I136">
        <f>IF(ISNUMBER(SEARCH(SUBSTITUTE(AI$1,RIGHT(AI$1,2),""),VLOOKUP($D136,素材!$1:$1016,COLUMN($F$1),FALSE))),VLOOKUP($C136,武器!$1:$998,COLUMN($O$1),FALSE)*VLOOKUP($D136,素材!$1:$1016,COLUMN($E$1),FALSE)/(LEN(VLOOKUP($D136,素材!$1:$1016,COLUMN($F$1),FALSE))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J136">
        <f>IF(ISNUMBER(SEARCH(SUBSTITUTE(AJ$1,RIGHT(AJ$1,2),""),VLOOKUP($D136,素材!$1:$1016,COLUMN($F$1),FALSE))),VLOOKUP($C136,武器!$1:$998,COLUMN($O$1),FALSE)*VLOOKUP($D136,素材!$1:$1016,COLUMN($E$1),FALSE)/(LEN(VLOOKUP($D136,素材!$1:$1016,COLUMN($F$1),FALSE))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K136">
        <f>IF(ISNUMBER(SEARCH(SUBSTITUTE(AK$1,RIGHT(AK$1,2),""),VLOOKUP($D136,素材!$1:$1016,COLUMN($F$1),FALSE))),VLOOKUP($C136,武器!$1:$998,COLUMN($O$1),FALSE)*VLOOKUP($D136,素材!$1:$1016,COLUMN($E$1),FALSE)/(LEN(VLOOKUP($D136,素材!$1:$1016,COLUMN($F$1),FALSE))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L136">
        <f>IF(ISNUMBER(SEARCH(SUBSTITUTE(AL$1,RIGHT(AL$1,2),""),VLOOKUP($D136,素材!$1:$1016,COLUMN($F$1),FALSE))),VLOOKUP($C136,武器!$1:$998,COLUMN($O$1),FALSE)*VLOOKUP($D136,素材!$1:$1016,COLUMN($E$1),FALSE)/(LEN(VLOOKUP($D136,素材!$1:$1016,COLUMN($F$1),FALSE))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M136">
        <f>IF(ISNUMBER(SEARCH(SUBSTITUTE(AM$1,RIGHT(AM$1,2),""),VLOOKUP($D136,素材!$1:$1016,COLUMN($F$1),FALSE))),VLOOKUP($C136,武器!$1:$998,COLUMN($O$1),FALSE)*VLOOKUP($D136,素材!$1:$1016,COLUMN($E$1),FALSE)/(LEN(VLOOKUP($D136,素材!$1:$1016,COLUMN($F$1),FALSE))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N136">
        <f>IF(ISNUMBER(SEARCH(SUBSTITUTE(AN$1,RIGHT(AN$1,2),""),VLOOKUP($D136,素材!$1:$1016,COLUMN($F$1),FALSE))),VLOOKUP($C136,武器!$1:$998,COLUMN($O$1),FALSE)*VLOOKUP($D136,素材!$1:$1016,COLUMN($E$1),FALSE)/(LEN(VLOOKUP($D136,素材!$1:$1016,COLUMN($F$1),FALSE))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O136">
        <f>IF(ISNUMBER(SEARCH(SUBSTITUTE(AO$1,RIGHT(AO$1,2),""),VLOOKUP($D136,素材!$1:$1016,COLUMN($F$1),FALSE))),VLOOKUP($C136,武器!$1:$998,COLUMN($O$1),FALSE)*VLOOKUP($D136,素材!$1:$1016,COLUMN($E$1),FALSE)/(LEN(VLOOKUP($D136,素材!$1:$1016,COLUMN($F$1),FALSE))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P136">
        <f>IF(ISNUMBER(SEARCH(SUBSTITUTE(AP$1,RIGHT(AP$1,2),""),VLOOKUP($D136,素材!$1:$1016,COLUMN($F$1),FALSE))),VLOOKUP($C136,武器!$1:$998,COLUMN($O$1),FALSE)*VLOOKUP($D136,素材!$1:$1016,COLUMN($E$1),FALSE)/(LEN(VLOOKUP($D136,素材!$1:$1016,COLUMN($F$1),FALSE))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Q136">
        <f>IF(ISNUMBER(SEARCH(SUBSTITUTE(AQ$1,RIGHT(AQ$1,2),""),VLOOKUP($D136,素材!$1:$1016,COLUMN($F$1),FALSE))),VLOOKUP($C136,武器!$1:$998,COLUMN($O$1),FALSE)*VLOOKUP($D136,素材!$1:$1016,COLUMN($E$1),FALSE)/(LEN(VLOOKUP($D136,素材!$1:$1016,COLUMN($F$1),FALSE))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R136">
        <f>IF(ISNUMBER(SEARCH(SUBSTITUTE(AR$1,RIGHT(AR$1,2),""),VLOOKUP($D136,素材!$1:$1016,COLUMN($F$1),FALSE))),VLOOKUP($C136,武器!$1:$998,COLUMN($O$1),FALSE)*VLOOKUP($D136,素材!$1:$1016,COLUMN($E$1),FALSE)/(LEN(VLOOKUP($D136,素材!$1:$1016,COLUMN($F$1),FALSE))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S136">
        <f>IF(ISNUMBER(SEARCH(SUBSTITUTE(AS$1,RIGHT(AS$1,2),""),VLOOKUP($D136,素材!$1:$1016,COLUMN($F$1),FALSE))),VLOOKUP($C136,武器!$1:$998,COLUMN($O$1),FALSE)*VLOOKUP($D136,素材!$1:$1016,COLUMN($E$1),FALSE)/(LEN(VLOOKUP($D136,素材!$1:$1016,COLUMN($F$1),FALSE))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T136">
        <f>IF(ISNUMBER(SEARCH(SUBSTITUTE(AT$1,RIGHT(AT$1,2),""),VLOOKUP($D136,素材!$1:$1016,COLUMN($F$1),FALSE))),VLOOKUP($C136,武器!$1:$998,COLUMN($O$1),FALSE)*VLOOKUP($D136,素材!$1:$1016,COLUMN($E$1),FALSE)/(LEN(VLOOKUP($D136,素材!$1:$1016,COLUMN($F$1),FALSE))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U136">
        <f>IF(ISNUMBER(SEARCH(SUBSTITUTE(AU$1,RIGHT(AU$1,2),""),VLOOKUP($D136,素材!$1:$1016,COLUMN($F$1),FALSE))),VLOOKUP($C136,武器!$1:$998,COLUMN($O$1),FALSE)*VLOOKUP($D136,素材!$1:$1016,COLUMN($E$1),FALSE)/(LEN(VLOOKUP($D136,素材!$1:$1016,COLUMN($F$1),FALSE))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V136">
        <f>IF(ISNUMBER(SEARCH(SUBSTITUTE(AV$1,RIGHT(AV$1,2),""),VLOOKUP($D136,素材!$1:$1016,COLUMN($F$1),FALSE))),VLOOKUP($C136,武器!$1:$998,COLUMN($O$1),FALSE)*VLOOKUP($D136,素材!$1:$1016,COLUMN($E$1),FALSE)/(LEN(VLOOKUP($D136,素材!$1:$1016,COLUMN($F$1),FALSE))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W136">
        <f>IF(ISNUMBER(SEARCH(SUBSTITUTE(AW$1,RIGHT(AW$1,2),""),VLOOKUP($D136,素材!$1:$1016,COLUMN($F$1),FALSE))),VLOOKUP($C136,武器!$1:$998,COLUMN($O$1),FALSE)*VLOOKUP($D136,素材!$1:$1016,COLUMN($E$1),FALSE)/(LEN(VLOOKUP($D136,素材!$1:$1016,COLUMN($F$1),FALSE))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X136">
        <f>IF(ISNUMBER(SEARCH(SUBSTITUTE(AX$1,RIGHT(AX$1,2),""),VLOOKUP($D136,素材!$1:$1016,COLUMN($F$1),FALSE))),VLOOKUP($C136,武器!$1:$998,COLUMN($O$1),FALSE)*VLOOKUP($D136,素材!$1:$1016,COLUMN($E$1),FALSE)/(LEN(VLOOKUP($D136,素材!$1:$1016,COLUMN($F$1),FALSE))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Y136">
        <f>IF(ISNUMBER(SEARCH(SUBSTITUTE(AY$1,RIGHT(AY$1,2),""),VLOOKUP($D136,素材!$1:$1016,COLUMN($F$1),FALSE))),VLOOKUP($C136,武器!$1:$998,COLUMN($O$1),FALSE)*VLOOKUP($D136,素材!$1:$1016,COLUMN($E$1),FALSE)/(LEN(VLOOKUP($D136,素材!$1:$1016,COLUMN($F$1),FALSE))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AZ136">
        <f>IF(ISNUMBER(SEARCH(SUBSTITUTE(AZ$1,RIGHT(AZ$1,2),""),VLOOKUP($D136,素材!$1:$1016,COLUMN($F$1),FALSE))),VLOOKUP($C136,武器!$1:$998,COLUMN($O$1),FALSE)*VLOOKUP($D136,素材!$1:$1016,COLUMN($E$1),FALSE)/(LEN(VLOOKUP($D136,素材!$1:$1016,COLUMN($F$1),FALSE))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BA136">
        <f>IF(ISNUMBER(SEARCH(SUBSTITUTE(BA$1,RIGHT(BA$1,2),""),VLOOKUP($D136,素材!$1:$1016,COLUMN($F$1),FALSE))),VLOOKUP($C136,武器!$1:$998,COLUMN($O$1),FALSE)*VLOOKUP($D136,素材!$1:$1016,COLUMN($E$1),FALSE)/(LEN(VLOOKUP($D136,素材!$1:$1016,COLUMN($F$1),FALSE))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BB136">
        <f>IF(ISNUMBER(SEARCH(SUBSTITUTE(BB$1,RIGHT(BB$1,2),""),VLOOKUP($D136,素材!$1:$1016,COLUMN($F$1),FALSE))),VLOOKUP($C136,武器!$1:$998,COLUMN($O$1),FALSE)*VLOOKUP($D136,素材!$1:$1016,COLUMN($E$1),FALSE)/(LEN(VLOOKUP($D136,素材!$1:$1016,COLUMN($F$1),FALSE))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BC136">
        <f>IF(ISNUMBER(SEARCH(SUBSTITUTE(BC$1,RIGHT(BC$1,2),""),VLOOKUP($D136,素材!$1:$1016,COLUMN($F$1),FALSE))),VLOOKUP($C136,武器!$1:$998,COLUMN($O$1),FALSE)*VLOOKUP($D136,素材!$1:$1016,COLUMN($E$1),FALSE)/(LEN(VLOOKUP($D136,素材!$1:$1016,COLUMN($F$1),FALSE))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BD136">
        <f>IF(ISNUMBER(SEARCH(SUBSTITUTE(BD$1,RIGHT(BD$1,2),""),VLOOKUP($D136,素材!$1:$1016,COLUMN($F$1),FALSE))),VLOOKUP($C136,武器!$1:$998,COLUMN($O$1),FALSE)*VLOOKUP($D136,素材!$1:$1016,COLUMN($E$1),FALSE)/(LEN(VLOOKUP($D136,素材!$1:$1016,COLUMN($F$1),FALSE))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BE136">
        <f>IF(ISNUMBER(SEARCH(SUBSTITUTE(BE$1,RIGHT(BE$1,2),""),VLOOKUP($D136,素材!$1:$1016,COLUMN($F$1),FALSE))),VLOOKUP($C136,武器!$1:$998,COLUMN($O$1),FALSE)*VLOOKUP($D136,素材!$1:$1016,COLUMN($E$1),FALSE)/(LEN(VLOOKUP($D136,素材!$1:$1016,COLUMN($F$1),FALSE))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BF136">
        <f>IF(ISNUMBER(SEARCH(SUBSTITUTE(BF$1,RIGHT(BF$1,2),""),VLOOKUP($D136,素材!$1:$1016,COLUMN($F$1),FALSE))),VLOOKUP($C136,武器!$1:$998,COLUMN($O$1),FALSE)*VLOOKUP($D136,素材!$1:$1016,COLUMN($E$1),FALSE)/(LEN(VLOOKUP($D136,素材!$1:$1016,COLUMN($F$1),FALSE)) - LEN(SUBSTITUTE(VLOOKUP($D136,素材!$1:$1016,COLUMN($F$1),FALSE), "・", 0)) + 1), 0)</f>
        <v>0</v>
      </c>
      <c r="CM136">
        <f t="shared" si="19"/>
        <v>0</v>
      </c>
      <c r="CN136" s="22" t="str">
        <f>IF(E136="武器",IF(J136-1&gt;SUM(G136:I136),"盾",IF(MAX(G136:I136)=G136,"切断",IF(MAX(G136:I136)=H136,"貫通",IF(MAX(G136:I136)=I136,"打撃","射撃")))),E136)&amp;".webp"</f>
        <v>頭.webp</v>
      </c>
      <c r="CO136">
        <f>IFERROR(VLOOKUP($C136,武器!$1:$998,COLUMN(V$1),FALSE)*VLOOKUP($D136,素材!$1:$1016,COLUMN(N$1),FALSE)+IF(CJ136="",0,VLOOKUP($CJ136,装強!$1:$1008,COLUMN($CL$1),FALSE)),"")</f>
        <v>5500</v>
      </c>
      <c r="CP136" t="str">
        <f>VLOOKUP(D136,素材!$A:$O,COLUMN(素材!O$1),FALSE)</f>
        <v>雷属性を持つドラゴン型生物から採取される鱗素材。雷属性攻撃への耐性を強化し、武器の電撃効果を高めることも可能です。</v>
      </c>
      <c r="CQ136" t="str">
        <f>VLOOKUP(C136,武器!$A:$W,COLUMN(武器!W$1),FALSE)</f>
        <v>命中 魔防 Cr</v>
      </c>
      <c r="CS136" t="str">
        <f t="shared" si="21"/>
        <v>e_136</v>
      </c>
      <c r="CT136">
        <f t="shared" ref="CT136" si="23">CO136*100</f>
        <v>550000</v>
      </c>
    </row>
    <row r="137" spans="1:98" outlineLevel="1" x14ac:dyDescent="0.4">
      <c r="A137" t="str">
        <f t="shared" si="20"/>
        <v>雷蜥蜴の鱗の衣布</v>
      </c>
      <c r="B137" t="str">
        <f>IFERROR(VLOOKUP($D137,素材!$1:$1016,COLUMN($B$1),FALSE)&amp;"・"&amp;VLOOKUP($C137,武器!$1:$998,COLUMN(B$1),FALSE),"")</f>
        <v>サンダードレイクスケール・クロース</v>
      </c>
      <c r="C137" t="s">
        <v>247</v>
      </c>
      <c r="D137" s="24" t="s">
        <v>249</v>
      </c>
      <c r="E137" t="str">
        <f>IFERROR(VLOOKUP(C137,武器!$1:$998,COLUMN(C$1),FALSE),"")</f>
        <v>体</v>
      </c>
      <c r="F137">
        <f>IFERROR(ROUNDDOWN((VLOOKUP($C137,武器!$1:$998,COLUMN(D$1),FALSE)+IFERROR(VLOOKUP($CJ137,装強!$1:$999,COLUMN(F$1),FALSE),0))*VLOOKUP($D137,素材!$1:$1016,COLUMN(D$1),FALSE),0),"")</f>
        <v>0</v>
      </c>
      <c r="G137">
        <f>IFERROR(ROUNDDOWN((VLOOKUP($C137,武器!$1:$998,COLUMN(E$1),FALSE)+IFERROR(VLOOKUP($CJ137,装強!$1:$999,COLUMN(G$1),FALSE),0))*VLOOKUP($D137,素材!$1:$1016,COLUMN($E$1),FALSE),0),"")</f>
        <v>0</v>
      </c>
      <c r="H137">
        <f>IFERROR(ROUNDDOWN((VLOOKUP($C137,武器!$1:$998,COLUMN(F$1),FALSE)+IFERROR(VLOOKUP($CJ137,装強!$1:$999,COLUMN(H$1),FALSE),0))*VLOOKUP($D137,素材!$1:$1016,COLUMN($E$1),FALSE),0),"")</f>
        <v>0</v>
      </c>
      <c r="I137">
        <f>IFERROR(ROUNDDOWN((VLOOKUP($C137,武器!$1:$998,COLUMN(G$1),FALSE)+IFERROR(VLOOKUP($CJ137,装強!$1:$999,COLUMN(I$1),FALSE),0))*VLOOKUP($D137,素材!$1:$1016,COLUMN($E$1),FALSE),0),"")</f>
        <v>0</v>
      </c>
      <c r="J137">
        <f>IFERROR(ROUNDDOWN((VLOOKUP($C137,武器!$1:$998,COLUMN(H$1),FALSE)+IFERROR(VLOOKUP($CJ137,装強!$1:$999,COLUMN(J$1),FALSE),0))*VLOOKUP($D137,素材!$1:$1016,COLUMN($E$1),FALSE),0),"")</f>
        <v>0</v>
      </c>
      <c r="K137">
        <f>IFERROR(ROUNDDOWN((VLOOKUP($C137,武器!$1:$998,COLUMN(I$1),FALSE)+IFERROR(VLOOKUP($CJ137,装強!$1:$999,COLUMN(K$1),FALSE),0))*VLOOKUP($D137,素材!$1:$1016,COLUMN($E$1),FALSE),0),"")</f>
        <v>0</v>
      </c>
      <c r="L137" t="str">
        <f>IFERROR(VLOOKUP($D137,素材!$1:$1016,COLUMN($F$1),FALSE),"")</f>
        <v>雷</v>
      </c>
      <c r="M137">
        <f>IFERROR(VLOOKUP($C137,武器!$1:$998,COLUMN(AA$1),FALSE)*VLOOKUP($D137,素材!$1:$1016,COLUMN($G$1),FALSE),"")</f>
        <v>0</v>
      </c>
      <c r="N137">
        <f>IFERROR(VLOOKUP($C137,武器!$1:$998,COLUMN(I$1),FALSE),"")</f>
        <v>0</v>
      </c>
      <c r="O137" s="23" t="str">
        <f>IFERROR((VLOOKUP($C137,武器!$1:$998,COLUMN(K$1),FALSE)+VLOOKUP($D137,素材!$1:$1016,COLUMN(H$1),FALSE))*100+IFERROR(VLOOKUP($CJ137,装強!$1:$999,COLUMN(O$1),FALSE),0),"")</f>
        <v/>
      </c>
      <c r="P137" s="23" t="str">
        <f>IFERROR((VLOOKUP($C137,武器!$1:$998,COLUMN(L$1),FALSE)+VLOOKUP($D137,素材!$1:$1016,COLUMN(I$1),FALSE))*100+IFERROR(VLOOKUP($CJ137,装強!$1:$999,COLUMN(P$1),FALSE),0),"")</f>
        <v/>
      </c>
      <c r="Q137">
        <f>IFERROR(ROUNDUP(VLOOKUP($C137,武器!$1:$998,COLUMN(M$1),FALSE)*(VLOOKUP($D137,素材!$1:$1002,COLUMN(D$1),FALSE)/100),1),"")</f>
        <v>0</v>
      </c>
      <c r="R137">
        <f>IFERROR(ROUNDUP(VLOOKUP($C137,武器!$1:$998,COLUMN(N$1),FALSE)*(VLOOKUP($D137,素材!$1:$1002,COLUMN(D$1),FALSE)/100),1),"")</f>
        <v>0</v>
      </c>
      <c r="S137">
        <f>IFERROR(VLOOKUP($C137,武器!$1:$998,COLUMN(P$1),FALSE),"")</f>
        <v>0</v>
      </c>
      <c r="T137">
        <f>IFERROR(VLOOKUP($C137,武器!$1:$998,COLUMN(Q$1),FALSE),"")</f>
        <v>0</v>
      </c>
      <c r="U137">
        <f>IFERROR(VLOOKUP($C137,武器!$1:$998,COLUMN(R$1),FALSE),"")</f>
        <v>0</v>
      </c>
      <c r="V137">
        <f>IFERROR(VLOOKUP($C137,武器!$1:$998,COLUMN(Q$1),FALSE),"")</f>
        <v>0</v>
      </c>
      <c r="W137">
        <f>IFERROR(VLOOKUP($C137,武器!$1:$998,COLUMN(T$1),FALSE),"")</f>
        <v>0</v>
      </c>
      <c r="Y137">
        <f>IFERROR(VLOOKUP($C137,武器!$1:$998,COLUMN(U$1),FALSE),"")</f>
        <v>0</v>
      </c>
      <c r="Z137">
        <f>IFERROR(ROUNDUP(VLOOKUP($C137,武器!$1:$998,COLUMN(O$1),FALSE)*VLOOKUP($D137,素材!$1:$1016,COLUMN(E$1),FALSE),1),"")</f>
        <v>7.5</v>
      </c>
      <c r="AA137">
        <f>IF(ISNUMBER(SEARCH(SUBSTITUTE(AA$1,RIGHT(AA$1,2),""),VLOOKUP($D137,素材!$1:$1016,COLUMN($F$1),FALSE))),VLOOKUP($C137,武器!$1:$998,COLUMN($O$1),FALSE)*VLOOKUP($D137,素材!$1:$1016,COLUMN($E$1),FALSE)/(LEN(VLOOKUP($D137,素材!$1:$1016,COLUMN($F$1),FALSE))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B137">
        <f>IF(ISNUMBER(SEARCH(SUBSTITUTE(AB$1,RIGHT(AB$1,2),""),VLOOKUP($D137,素材!$1:$1016,COLUMN($F$1),FALSE))),VLOOKUP($C137,武器!$1:$998,COLUMN($O$1),FALSE)*VLOOKUP($D137,素材!$1:$1016,COLUMN($E$1),FALSE)/(LEN(VLOOKUP($D137,素材!$1:$1016,COLUMN($F$1),FALSE))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C137">
        <f>IF(ISNUMBER(SEARCH(SUBSTITUTE(AC$1,RIGHT(AC$1,2),""),VLOOKUP($D137,素材!$1:$1016,COLUMN($F$1),FALSE))),VLOOKUP($C137,武器!$1:$998,COLUMN($O$1),FALSE)*VLOOKUP($D137,素材!$1:$1016,COLUMN($E$1),FALSE)/(LEN(VLOOKUP($D137,素材!$1:$1016,COLUMN($F$1),FALSE))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D137">
        <f>IF(ISNUMBER(SEARCH(SUBSTITUTE(AD$1,RIGHT(AD$1,2),""),VLOOKUP($D137,素材!$1:$1016,COLUMN($F$1),FALSE))),VLOOKUP($C137,武器!$1:$998,COLUMN($O$1),FALSE)*VLOOKUP($D137,素材!$1:$1016,COLUMN($E$1),FALSE)/(LEN(VLOOKUP($D137,素材!$1:$1016,COLUMN($F$1),FALSE))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E137">
        <f>IF(ISNUMBER(SEARCH(SUBSTITUTE(AE$1,RIGHT(AE$1,2),""),VLOOKUP($D137,素材!$1:$1016,COLUMN($F$1),FALSE))),VLOOKUP($C137,武器!$1:$998,COLUMN($O$1),FALSE)*VLOOKUP($D137,素材!$1:$1016,COLUMN($E$1),FALSE)/(LEN(VLOOKUP($D137,素材!$1:$1016,COLUMN($F$1),FALSE))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F137">
        <f>IF(ISNUMBER(SEARCH(SUBSTITUTE(AF$1,RIGHT(AF$1,2),""),VLOOKUP($D137,素材!$1:$1016,COLUMN($F$1),FALSE))),VLOOKUP($C137,武器!$1:$998,COLUMN($O$1),FALSE)*VLOOKUP($D137,素材!$1:$1016,COLUMN($E$1),FALSE)/(LEN(VLOOKUP($D137,素材!$1:$1016,COLUMN($F$1),FALSE))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G137">
        <f>IF(ISNUMBER(SEARCH(SUBSTITUTE(AG$1,RIGHT(AG$1,2),""),VLOOKUP($D137,素材!$1:$1016,COLUMN($F$1),FALSE))),VLOOKUP($C137,武器!$1:$998,COLUMN($O$1),FALSE)*VLOOKUP($D137,素材!$1:$1016,COLUMN($E$1),FALSE)/(LEN(VLOOKUP($D137,素材!$1:$1016,COLUMN($F$1),FALSE))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7.5</v>
      </c>
      <c r="AH137">
        <f>IF(ISNUMBER(SEARCH(SUBSTITUTE(AH$1,RIGHT(AH$1,2),""),VLOOKUP($D137,素材!$1:$1016,COLUMN($F$1),FALSE))),VLOOKUP($C137,武器!$1:$998,COLUMN($O$1),FALSE)*VLOOKUP($D137,素材!$1:$1016,COLUMN($E$1),FALSE)/(LEN(VLOOKUP($D137,素材!$1:$1016,COLUMN($F$1),FALSE))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I137">
        <f>IF(ISNUMBER(SEARCH(SUBSTITUTE(AI$1,RIGHT(AI$1,2),""),VLOOKUP($D137,素材!$1:$1016,COLUMN($F$1),FALSE))),VLOOKUP($C137,武器!$1:$998,COLUMN($O$1),FALSE)*VLOOKUP($D137,素材!$1:$1016,COLUMN($E$1),FALSE)/(LEN(VLOOKUP($D137,素材!$1:$1016,COLUMN($F$1),FALSE))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J137">
        <f>IF(ISNUMBER(SEARCH(SUBSTITUTE(AJ$1,RIGHT(AJ$1,2),""),VLOOKUP($D137,素材!$1:$1016,COLUMN($F$1),FALSE))),VLOOKUP($C137,武器!$1:$998,COLUMN($O$1),FALSE)*VLOOKUP($D137,素材!$1:$1016,COLUMN($E$1),FALSE)/(LEN(VLOOKUP($D137,素材!$1:$1016,COLUMN($F$1),FALSE))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K137">
        <f>IF(ISNUMBER(SEARCH(SUBSTITUTE(AK$1,RIGHT(AK$1,2),""),VLOOKUP($D137,素材!$1:$1016,COLUMN($F$1),FALSE))),VLOOKUP($C137,武器!$1:$998,COLUMN($O$1),FALSE)*VLOOKUP($D137,素材!$1:$1016,COLUMN($E$1),FALSE)/(LEN(VLOOKUP($D137,素材!$1:$1016,COLUMN($F$1),FALSE))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L137">
        <f>IF(ISNUMBER(SEARCH(SUBSTITUTE(AL$1,RIGHT(AL$1,2),""),VLOOKUP($D137,素材!$1:$1016,COLUMN($F$1),FALSE))),VLOOKUP($C137,武器!$1:$998,COLUMN($O$1),FALSE)*VLOOKUP($D137,素材!$1:$1016,COLUMN($E$1),FALSE)/(LEN(VLOOKUP($D137,素材!$1:$1016,COLUMN($F$1),FALSE))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M137">
        <f>IF(ISNUMBER(SEARCH(SUBSTITUTE(AM$1,RIGHT(AM$1,2),""),VLOOKUP($D137,素材!$1:$1016,COLUMN($F$1),FALSE))),VLOOKUP($C137,武器!$1:$998,COLUMN($O$1),FALSE)*VLOOKUP($D137,素材!$1:$1016,COLUMN($E$1),FALSE)/(LEN(VLOOKUP($D137,素材!$1:$1016,COLUMN($F$1),FALSE))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N137">
        <f>IF(ISNUMBER(SEARCH(SUBSTITUTE(AN$1,RIGHT(AN$1,2),""),VLOOKUP($D137,素材!$1:$1016,COLUMN($F$1),FALSE))),VLOOKUP($C137,武器!$1:$998,COLUMN($O$1),FALSE)*VLOOKUP($D137,素材!$1:$1016,COLUMN($E$1),FALSE)/(LEN(VLOOKUP($D137,素材!$1:$1016,COLUMN($F$1),FALSE))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O137">
        <f>IF(ISNUMBER(SEARCH(SUBSTITUTE(AO$1,RIGHT(AO$1,2),""),VLOOKUP($D137,素材!$1:$1016,COLUMN($F$1),FALSE))),VLOOKUP($C137,武器!$1:$998,COLUMN($O$1),FALSE)*VLOOKUP($D137,素材!$1:$1016,COLUMN($E$1),FALSE)/(LEN(VLOOKUP($D137,素材!$1:$1016,COLUMN($F$1),FALSE))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P137">
        <f>IF(ISNUMBER(SEARCH(SUBSTITUTE(AP$1,RIGHT(AP$1,2),""),VLOOKUP($D137,素材!$1:$1016,COLUMN($F$1),FALSE))),VLOOKUP($C137,武器!$1:$998,COLUMN($O$1),FALSE)*VLOOKUP($D137,素材!$1:$1016,COLUMN($E$1),FALSE)/(LEN(VLOOKUP($D137,素材!$1:$1016,COLUMN($F$1),FALSE))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Q137">
        <f>IF(ISNUMBER(SEARCH(SUBSTITUTE(AQ$1,RIGHT(AQ$1,2),""),VLOOKUP($D137,素材!$1:$1016,COLUMN($F$1),FALSE))),VLOOKUP($C137,武器!$1:$998,COLUMN($O$1),FALSE)*VLOOKUP($D137,素材!$1:$1016,COLUMN($E$1),FALSE)/(LEN(VLOOKUP($D137,素材!$1:$1016,COLUMN($F$1),FALSE))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R137">
        <f>IF(ISNUMBER(SEARCH(SUBSTITUTE(AR$1,RIGHT(AR$1,2),""),VLOOKUP($D137,素材!$1:$1016,COLUMN($F$1),FALSE))),VLOOKUP($C137,武器!$1:$998,COLUMN($O$1),FALSE)*VLOOKUP($D137,素材!$1:$1016,COLUMN($E$1),FALSE)/(LEN(VLOOKUP($D137,素材!$1:$1016,COLUMN($F$1),FALSE))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S137">
        <f>IF(ISNUMBER(SEARCH(SUBSTITUTE(AS$1,RIGHT(AS$1,2),""),VLOOKUP($D137,素材!$1:$1016,COLUMN($F$1),FALSE))),VLOOKUP($C137,武器!$1:$998,COLUMN($O$1),FALSE)*VLOOKUP($D137,素材!$1:$1016,COLUMN($E$1),FALSE)/(LEN(VLOOKUP($D137,素材!$1:$1016,COLUMN($F$1),FALSE))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T137">
        <f>IF(ISNUMBER(SEARCH(SUBSTITUTE(AT$1,RIGHT(AT$1,2),""),VLOOKUP($D137,素材!$1:$1016,COLUMN($F$1),FALSE))),VLOOKUP($C137,武器!$1:$998,COLUMN($O$1),FALSE)*VLOOKUP($D137,素材!$1:$1016,COLUMN($E$1),FALSE)/(LEN(VLOOKUP($D137,素材!$1:$1016,COLUMN($F$1),FALSE))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U137">
        <f>IF(ISNUMBER(SEARCH(SUBSTITUTE(AU$1,RIGHT(AU$1,2),""),VLOOKUP($D137,素材!$1:$1016,COLUMN($F$1),FALSE))),VLOOKUP($C137,武器!$1:$998,COLUMN($O$1),FALSE)*VLOOKUP($D137,素材!$1:$1016,COLUMN($E$1),FALSE)/(LEN(VLOOKUP($D137,素材!$1:$1016,COLUMN($F$1),FALSE))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V137">
        <f>IF(ISNUMBER(SEARCH(SUBSTITUTE(AV$1,RIGHT(AV$1,2),""),VLOOKUP($D137,素材!$1:$1016,COLUMN($F$1),FALSE))),VLOOKUP($C137,武器!$1:$998,COLUMN($O$1),FALSE)*VLOOKUP($D137,素材!$1:$1016,COLUMN($E$1),FALSE)/(LEN(VLOOKUP($D137,素材!$1:$1016,COLUMN($F$1),FALSE))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W137">
        <f>IF(ISNUMBER(SEARCH(SUBSTITUTE(AW$1,RIGHT(AW$1,2),""),VLOOKUP($D137,素材!$1:$1016,COLUMN($F$1),FALSE))),VLOOKUP($C137,武器!$1:$998,COLUMN($O$1),FALSE)*VLOOKUP($D137,素材!$1:$1016,COLUMN($E$1),FALSE)/(LEN(VLOOKUP($D137,素材!$1:$1016,COLUMN($F$1),FALSE))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X137">
        <f>IF(ISNUMBER(SEARCH(SUBSTITUTE(AX$1,RIGHT(AX$1,2),""),VLOOKUP($D137,素材!$1:$1016,COLUMN($F$1),FALSE))),VLOOKUP($C137,武器!$1:$998,COLUMN($O$1),FALSE)*VLOOKUP($D137,素材!$1:$1016,COLUMN($E$1),FALSE)/(LEN(VLOOKUP($D137,素材!$1:$1016,COLUMN($F$1),FALSE))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Y137">
        <f>IF(ISNUMBER(SEARCH(SUBSTITUTE(AY$1,RIGHT(AY$1,2),""),VLOOKUP($D137,素材!$1:$1016,COLUMN($F$1),FALSE))),VLOOKUP($C137,武器!$1:$998,COLUMN($O$1),FALSE)*VLOOKUP($D137,素材!$1:$1016,COLUMN($E$1),FALSE)/(LEN(VLOOKUP($D137,素材!$1:$1016,COLUMN($F$1),FALSE))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AZ137">
        <f>IF(ISNUMBER(SEARCH(SUBSTITUTE(AZ$1,RIGHT(AZ$1,2),""),VLOOKUP($D137,素材!$1:$1016,COLUMN($F$1),FALSE))),VLOOKUP($C137,武器!$1:$998,COLUMN($O$1),FALSE)*VLOOKUP($D137,素材!$1:$1016,COLUMN($E$1),FALSE)/(LEN(VLOOKUP($D137,素材!$1:$1016,COLUMN($F$1),FALSE))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BA137">
        <f>IF(ISNUMBER(SEARCH(SUBSTITUTE(BA$1,RIGHT(BA$1,2),""),VLOOKUP($D137,素材!$1:$1016,COLUMN($F$1),FALSE))),VLOOKUP($C137,武器!$1:$998,COLUMN($O$1),FALSE)*VLOOKUP($D137,素材!$1:$1016,COLUMN($E$1),FALSE)/(LEN(VLOOKUP($D137,素材!$1:$1016,COLUMN($F$1),FALSE))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BB137">
        <f>IF(ISNUMBER(SEARCH(SUBSTITUTE(BB$1,RIGHT(BB$1,2),""),VLOOKUP($D137,素材!$1:$1016,COLUMN($F$1),FALSE))),VLOOKUP($C137,武器!$1:$998,COLUMN($O$1),FALSE)*VLOOKUP($D137,素材!$1:$1016,COLUMN($E$1),FALSE)/(LEN(VLOOKUP($D137,素材!$1:$1016,COLUMN($F$1),FALSE))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BC137">
        <f>IF(ISNUMBER(SEARCH(SUBSTITUTE(BC$1,RIGHT(BC$1,2),""),VLOOKUP($D137,素材!$1:$1016,COLUMN($F$1),FALSE))),VLOOKUP($C137,武器!$1:$998,COLUMN($O$1),FALSE)*VLOOKUP($D137,素材!$1:$1016,COLUMN($E$1),FALSE)/(LEN(VLOOKUP($D137,素材!$1:$1016,COLUMN($F$1),FALSE))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BD137">
        <f>IF(ISNUMBER(SEARCH(SUBSTITUTE(BD$1,RIGHT(BD$1,2),""),VLOOKUP($D137,素材!$1:$1016,COLUMN($F$1),FALSE))),VLOOKUP($C137,武器!$1:$998,COLUMN($O$1),FALSE)*VLOOKUP($D137,素材!$1:$1016,COLUMN($E$1),FALSE)/(LEN(VLOOKUP($D137,素材!$1:$1016,COLUMN($F$1),FALSE))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BE137">
        <f>IF(ISNUMBER(SEARCH(SUBSTITUTE(BE$1,RIGHT(BE$1,2),""),VLOOKUP($D137,素材!$1:$1016,COLUMN($F$1),FALSE))),VLOOKUP($C137,武器!$1:$998,COLUMN($O$1),FALSE)*VLOOKUP($D137,素材!$1:$1016,COLUMN($E$1),FALSE)/(LEN(VLOOKUP($D137,素材!$1:$1016,COLUMN($F$1),FALSE))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BF137">
        <f>IF(ISNUMBER(SEARCH(SUBSTITUTE(BF$1,RIGHT(BF$1,2),""),VLOOKUP($D137,素材!$1:$1016,COLUMN($F$1),FALSE))),VLOOKUP($C137,武器!$1:$998,COLUMN($O$1),FALSE)*VLOOKUP($D137,素材!$1:$1016,COLUMN($E$1),FALSE)/(LEN(VLOOKUP($D137,素材!$1:$1016,COLUMN($F$1),FALSE)) - LEN(SUBSTITUTE(VLOOKUP($D137,素材!$1:$1016,COLUMN($F$1),FALSE), "・", 0)) + 1), 0)</f>
        <v>0</v>
      </c>
      <c r="CM137">
        <f t="shared" si="19"/>
        <v>0</v>
      </c>
      <c r="CN137" s="22" t="str">
        <f>IF(E137="武器",IF(J137-1&gt;SUM(G137:I137),"盾",IF(MAX(G137:I137)=G137,"切断",IF(MAX(G137:I137)=H137,"貫通",IF(MAX(G137:I137)=I137,"打撃","射撃")))),E137)&amp;".webp"</f>
        <v>体.webp</v>
      </c>
      <c r="CO137">
        <f>IFERROR(VLOOKUP($C137,武器!$1:$998,COLUMN(V$1),FALSE)*VLOOKUP($D137,素材!$1:$1016,COLUMN(N$1),FALSE)+IF(CJ137="",0,VLOOKUP($CJ137,装強!$1:$1008,COLUMN($CL$1),FALSE)),"")</f>
        <v>11000</v>
      </c>
      <c r="CP137" t="str">
        <f>VLOOKUP(D137,素材!$A:$O,COLUMN(素材!O$1),FALSE)</f>
        <v>雷属性を持つドラゴン型生物から採取される鱗素材。雷属性攻撃への耐性を強化し、武器の電撃効果を高めることも可能です。</v>
      </c>
      <c r="CQ137" t="str">
        <f>VLOOKUP(C137,武器!$A:$W,COLUMN(武器!W$1),FALSE)</f>
        <v>HP 物理 魔法 体幹 出血 疲労 Cr</v>
      </c>
      <c r="CS137" t="str">
        <f t="shared" si="21"/>
        <v>e_137</v>
      </c>
      <c r="CT137">
        <f t="shared" ref="CT137:CT202" si="24">CO137*100</f>
        <v>1100000</v>
      </c>
    </row>
    <row r="138" spans="1:98" outlineLevel="1" x14ac:dyDescent="0.4">
      <c r="A138" t="str">
        <f t="shared" si="20"/>
        <v>雷蜥蜴の鱗の法衣</v>
      </c>
      <c r="B138" t="str">
        <f>IFERROR(VLOOKUP($D138,素材!$1:$1016,COLUMN($B$1),FALSE)&amp;"・"&amp;VLOOKUP($C138,武器!$1:$998,COLUMN(B$1),FALSE),"")</f>
        <v>サンダードレイクスケール・ローブ</v>
      </c>
      <c r="C138" t="s">
        <v>246</v>
      </c>
      <c r="D138" s="24" t="s">
        <v>249</v>
      </c>
      <c r="E138" t="str">
        <f>IFERROR(VLOOKUP(C138,武器!$1:$998,COLUMN(C$1),FALSE),"")</f>
        <v>体</v>
      </c>
      <c r="F138">
        <f>IFERROR(ROUNDDOWN((VLOOKUP($C138,武器!$1:$998,COLUMN(D$1),FALSE)+IFERROR(VLOOKUP($CJ138,装強!$1:$999,COLUMN(F$1),FALSE),0))*VLOOKUP($D138,素材!$1:$1016,COLUMN(D$1),FALSE),0),"")</f>
        <v>0</v>
      </c>
      <c r="G138">
        <f>IFERROR(ROUNDDOWN((VLOOKUP($C138,武器!$1:$998,COLUMN(E$1),FALSE)+IFERROR(VLOOKUP($CJ138,装強!$1:$999,COLUMN(G$1),FALSE),0))*VLOOKUP($D138,素材!$1:$1016,COLUMN($E$1),FALSE),0),"")</f>
        <v>0</v>
      </c>
      <c r="H138">
        <f>IFERROR(ROUNDDOWN((VLOOKUP($C138,武器!$1:$998,COLUMN(F$1),FALSE)+IFERROR(VLOOKUP($CJ138,装強!$1:$999,COLUMN(H$1),FALSE),0))*VLOOKUP($D138,素材!$1:$1016,COLUMN($E$1),FALSE),0),"")</f>
        <v>0</v>
      </c>
      <c r="I138">
        <f>IFERROR(ROUNDDOWN((VLOOKUP($C138,武器!$1:$998,COLUMN(G$1),FALSE)+IFERROR(VLOOKUP($CJ138,装強!$1:$999,COLUMN(I$1),FALSE),0))*VLOOKUP($D138,素材!$1:$1016,COLUMN($E$1),FALSE),0),"")</f>
        <v>0</v>
      </c>
      <c r="J138">
        <f>IFERROR(ROUNDDOWN((VLOOKUP($C138,武器!$1:$998,COLUMN(H$1),FALSE)+IFERROR(VLOOKUP($CJ138,装強!$1:$999,COLUMN(J$1),FALSE),0))*VLOOKUP($D138,素材!$1:$1016,COLUMN($E$1),FALSE),0),"")</f>
        <v>0</v>
      </c>
      <c r="K138">
        <f>IFERROR(ROUNDDOWN((VLOOKUP($C138,武器!$1:$998,COLUMN(I$1),FALSE)+IFERROR(VLOOKUP($CJ138,装強!$1:$999,COLUMN(K$1),FALSE),0))*VLOOKUP($D138,素材!$1:$1016,COLUMN($E$1),FALSE),0),"")</f>
        <v>0</v>
      </c>
      <c r="L138" t="str">
        <f>IFERROR(VLOOKUP($D138,素材!$1:$1016,COLUMN($F$1),FALSE),"")</f>
        <v>雷</v>
      </c>
      <c r="M138">
        <f>IFERROR(VLOOKUP($C138,武器!$1:$998,COLUMN(AA$1),FALSE)*VLOOKUP($D138,素材!$1:$1016,COLUMN($G$1),FALSE),"")</f>
        <v>0</v>
      </c>
      <c r="N138">
        <f>IFERROR(VLOOKUP($C138,武器!$1:$998,COLUMN(I$1),FALSE),"")</f>
        <v>0</v>
      </c>
      <c r="O138" s="23" t="str">
        <f>IFERROR((VLOOKUP($C138,武器!$1:$998,COLUMN(K$1),FALSE)+VLOOKUP($D138,素材!$1:$1016,COLUMN(H$1),FALSE))*100+IFERROR(VLOOKUP($CJ138,装強!$1:$999,COLUMN(O$1),FALSE),0),"")</f>
        <v/>
      </c>
      <c r="P138" s="23" t="str">
        <f>IFERROR((VLOOKUP($C138,武器!$1:$998,COLUMN(L$1),FALSE)+VLOOKUP($D138,素材!$1:$1016,COLUMN(I$1),FALSE))*100+IFERROR(VLOOKUP($CJ138,装強!$1:$999,COLUMN(P$1),FALSE),0),"")</f>
        <v/>
      </c>
      <c r="Q138">
        <f>IFERROR(ROUNDUP(VLOOKUP($C138,武器!$1:$998,COLUMN(M$1),FALSE)*(VLOOKUP($D138,素材!$1:$1002,COLUMN(D$1),FALSE)/100),1),"")</f>
        <v>0</v>
      </c>
      <c r="R138">
        <f>IFERROR(ROUNDUP(VLOOKUP($C138,武器!$1:$998,COLUMN(N$1),FALSE)*(VLOOKUP($D138,素材!$1:$1002,COLUMN(D$1),FALSE)/100),1),"")</f>
        <v>0</v>
      </c>
      <c r="S138">
        <f>IFERROR(VLOOKUP($C138,武器!$1:$998,COLUMN(P$1),FALSE),"")</f>
        <v>0</v>
      </c>
      <c r="T138">
        <f>IFERROR(VLOOKUP($C138,武器!$1:$998,COLUMN(Q$1),FALSE),"")</f>
        <v>0</v>
      </c>
      <c r="U138">
        <f>IFERROR(VLOOKUP($C138,武器!$1:$998,COLUMN(R$1),FALSE),"")</f>
        <v>0</v>
      </c>
      <c r="V138">
        <f>IFERROR(VLOOKUP($C138,武器!$1:$998,COLUMN(Q$1),FALSE),"")</f>
        <v>0</v>
      </c>
      <c r="W138">
        <f>IFERROR(VLOOKUP($C138,武器!$1:$998,COLUMN(T$1),FALSE),"")</f>
        <v>0</v>
      </c>
      <c r="Y138">
        <f>IFERROR(VLOOKUP($C138,武器!$1:$998,COLUMN(U$1),FALSE),"")</f>
        <v>0</v>
      </c>
      <c r="Z138">
        <f>IFERROR(ROUNDUP(VLOOKUP($C138,武器!$1:$998,COLUMN(O$1),FALSE)*VLOOKUP($D138,素材!$1:$1016,COLUMN(E$1),FALSE),1),"")</f>
        <v>5</v>
      </c>
      <c r="AA138">
        <f>IF(ISNUMBER(SEARCH(SUBSTITUTE(AA$1,RIGHT(AA$1,2),""),VLOOKUP($D138,素材!$1:$1016,COLUMN($F$1),FALSE))),VLOOKUP($C138,武器!$1:$998,COLUMN($O$1),FALSE)*VLOOKUP($D138,素材!$1:$1016,COLUMN($E$1),FALSE)/(LEN(VLOOKUP($D138,素材!$1:$1016,COLUMN($F$1),FALSE))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B138">
        <f>IF(ISNUMBER(SEARCH(SUBSTITUTE(AB$1,RIGHT(AB$1,2),""),VLOOKUP($D138,素材!$1:$1016,COLUMN($F$1),FALSE))),VLOOKUP($C138,武器!$1:$998,COLUMN($O$1),FALSE)*VLOOKUP($D138,素材!$1:$1016,COLUMN($E$1),FALSE)/(LEN(VLOOKUP($D138,素材!$1:$1016,COLUMN($F$1),FALSE))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C138">
        <f>IF(ISNUMBER(SEARCH(SUBSTITUTE(AC$1,RIGHT(AC$1,2),""),VLOOKUP($D138,素材!$1:$1016,COLUMN($F$1),FALSE))),VLOOKUP($C138,武器!$1:$998,COLUMN($O$1),FALSE)*VLOOKUP($D138,素材!$1:$1016,COLUMN($E$1),FALSE)/(LEN(VLOOKUP($D138,素材!$1:$1016,COLUMN($F$1),FALSE))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D138">
        <f>IF(ISNUMBER(SEARCH(SUBSTITUTE(AD$1,RIGHT(AD$1,2),""),VLOOKUP($D138,素材!$1:$1016,COLUMN($F$1),FALSE))),VLOOKUP($C138,武器!$1:$998,COLUMN($O$1),FALSE)*VLOOKUP($D138,素材!$1:$1016,COLUMN($E$1),FALSE)/(LEN(VLOOKUP($D138,素材!$1:$1016,COLUMN($F$1),FALSE))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E138">
        <f>IF(ISNUMBER(SEARCH(SUBSTITUTE(AE$1,RIGHT(AE$1,2),""),VLOOKUP($D138,素材!$1:$1016,COLUMN($F$1),FALSE))),VLOOKUP($C138,武器!$1:$998,COLUMN($O$1),FALSE)*VLOOKUP($D138,素材!$1:$1016,COLUMN($E$1),FALSE)/(LEN(VLOOKUP($D138,素材!$1:$1016,COLUMN($F$1),FALSE))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F138">
        <f>IF(ISNUMBER(SEARCH(SUBSTITUTE(AF$1,RIGHT(AF$1,2),""),VLOOKUP($D138,素材!$1:$1016,COLUMN($F$1),FALSE))),VLOOKUP($C138,武器!$1:$998,COLUMN($O$1),FALSE)*VLOOKUP($D138,素材!$1:$1016,COLUMN($E$1),FALSE)/(LEN(VLOOKUP($D138,素材!$1:$1016,COLUMN($F$1),FALSE))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G138">
        <f>IF(ISNUMBER(SEARCH(SUBSTITUTE(AG$1,RIGHT(AG$1,2),""),VLOOKUP($D138,素材!$1:$1016,COLUMN($F$1),FALSE))),VLOOKUP($C138,武器!$1:$998,COLUMN($O$1),FALSE)*VLOOKUP($D138,素材!$1:$1016,COLUMN($E$1),FALSE)/(LEN(VLOOKUP($D138,素材!$1:$1016,COLUMN($F$1),FALSE))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5</v>
      </c>
      <c r="AH138">
        <f>IF(ISNUMBER(SEARCH(SUBSTITUTE(AH$1,RIGHT(AH$1,2),""),VLOOKUP($D138,素材!$1:$1016,COLUMN($F$1),FALSE))),VLOOKUP($C138,武器!$1:$998,COLUMN($O$1),FALSE)*VLOOKUP($D138,素材!$1:$1016,COLUMN($E$1),FALSE)/(LEN(VLOOKUP($D138,素材!$1:$1016,COLUMN($F$1),FALSE))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I138">
        <f>IF(ISNUMBER(SEARCH(SUBSTITUTE(AI$1,RIGHT(AI$1,2),""),VLOOKUP($D138,素材!$1:$1016,COLUMN($F$1),FALSE))),VLOOKUP($C138,武器!$1:$998,COLUMN($O$1),FALSE)*VLOOKUP($D138,素材!$1:$1016,COLUMN($E$1),FALSE)/(LEN(VLOOKUP($D138,素材!$1:$1016,COLUMN($F$1),FALSE))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J138">
        <f>IF(ISNUMBER(SEARCH(SUBSTITUTE(AJ$1,RIGHT(AJ$1,2),""),VLOOKUP($D138,素材!$1:$1016,COLUMN($F$1),FALSE))),VLOOKUP($C138,武器!$1:$998,COLUMN($O$1),FALSE)*VLOOKUP($D138,素材!$1:$1016,COLUMN($E$1),FALSE)/(LEN(VLOOKUP($D138,素材!$1:$1016,COLUMN($F$1),FALSE))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K138">
        <f>IF(ISNUMBER(SEARCH(SUBSTITUTE(AK$1,RIGHT(AK$1,2),""),VLOOKUP($D138,素材!$1:$1016,COLUMN($F$1),FALSE))),VLOOKUP($C138,武器!$1:$998,COLUMN($O$1),FALSE)*VLOOKUP($D138,素材!$1:$1016,COLUMN($E$1),FALSE)/(LEN(VLOOKUP($D138,素材!$1:$1016,COLUMN($F$1),FALSE))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L138">
        <f>IF(ISNUMBER(SEARCH(SUBSTITUTE(AL$1,RIGHT(AL$1,2),""),VLOOKUP($D138,素材!$1:$1016,COLUMN($F$1),FALSE))),VLOOKUP($C138,武器!$1:$998,COLUMN($O$1),FALSE)*VLOOKUP($D138,素材!$1:$1016,COLUMN($E$1),FALSE)/(LEN(VLOOKUP($D138,素材!$1:$1016,COLUMN($F$1),FALSE))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M138">
        <f>IF(ISNUMBER(SEARCH(SUBSTITUTE(AM$1,RIGHT(AM$1,2),""),VLOOKUP($D138,素材!$1:$1016,COLUMN($F$1),FALSE))),VLOOKUP($C138,武器!$1:$998,COLUMN($O$1),FALSE)*VLOOKUP($D138,素材!$1:$1016,COLUMN($E$1),FALSE)/(LEN(VLOOKUP($D138,素材!$1:$1016,COLUMN($F$1),FALSE))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N138">
        <f>IF(ISNUMBER(SEARCH(SUBSTITUTE(AN$1,RIGHT(AN$1,2),""),VLOOKUP($D138,素材!$1:$1016,COLUMN($F$1),FALSE))),VLOOKUP($C138,武器!$1:$998,COLUMN($O$1),FALSE)*VLOOKUP($D138,素材!$1:$1016,COLUMN($E$1),FALSE)/(LEN(VLOOKUP($D138,素材!$1:$1016,COLUMN($F$1),FALSE))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O138">
        <f>IF(ISNUMBER(SEARCH(SUBSTITUTE(AO$1,RIGHT(AO$1,2),""),VLOOKUP($D138,素材!$1:$1016,COLUMN($F$1),FALSE))),VLOOKUP($C138,武器!$1:$998,COLUMN($O$1),FALSE)*VLOOKUP($D138,素材!$1:$1016,COLUMN($E$1),FALSE)/(LEN(VLOOKUP($D138,素材!$1:$1016,COLUMN($F$1),FALSE))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P138">
        <f>IF(ISNUMBER(SEARCH(SUBSTITUTE(AP$1,RIGHT(AP$1,2),""),VLOOKUP($D138,素材!$1:$1016,COLUMN($F$1),FALSE))),VLOOKUP($C138,武器!$1:$998,COLUMN($O$1),FALSE)*VLOOKUP($D138,素材!$1:$1016,COLUMN($E$1),FALSE)/(LEN(VLOOKUP($D138,素材!$1:$1016,COLUMN($F$1),FALSE))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Q138">
        <f>IF(ISNUMBER(SEARCH(SUBSTITUTE(AQ$1,RIGHT(AQ$1,2),""),VLOOKUP($D138,素材!$1:$1016,COLUMN($F$1),FALSE))),VLOOKUP($C138,武器!$1:$998,COLUMN($O$1),FALSE)*VLOOKUP($D138,素材!$1:$1016,COLUMN($E$1),FALSE)/(LEN(VLOOKUP($D138,素材!$1:$1016,COLUMN($F$1),FALSE))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R138">
        <f>IF(ISNUMBER(SEARCH(SUBSTITUTE(AR$1,RIGHT(AR$1,2),""),VLOOKUP($D138,素材!$1:$1016,COLUMN($F$1),FALSE))),VLOOKUP($C138,武器!$1:$998,COLUMN($O$1),FALSE)*VLOOKUP($D138,素材!$1:$1016,COLUMN($E$1),FALSE)/(LEN(VLOOKUP($D138,素材!$1:$1016,COLUMN($F$1),FALSE))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S138">
        <f>IF(ISNUMBER(SEARCH(SUBSTITUTE(AS$1,RIGHT(AS$1,2),""),VLOOKUP($D138,素材!$1:$1016,COLUMN($F$1),FALSE))),VLOOKUP($C138,武器!$1:$998,COLUMN($O$1),FALSE)*VLOOKUP($D138,素材!$1:$1016,COLUMN($E$1),FALSE)/(LEN(VLOOKUP($D138,素材!$1:$1016,COLUMN($F$1),FALSE))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T138">
        <f>IF(ISNUMBER(SEARCH(SUBSTITUTE(AT$1,RIGHT(AT$1,2),""),VLOOKUP($D138,素材!$1:$1016,COLUMN($F$1),FALSE))),VLOOKUP($C138,武器!$1:$998,COLUMN($O$1),FALSE)*VLOOKUP($D138,素材!$1:$1016,COLUMN($E$1),FALSE)/(LEN(VLOOKUP($D138,素材!$1:$1016,COLUMN($F$1),FALSE))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U138">
        <f>IF(ISNUMBER(SEARCH(SUBSTITUTE(AU$1,RIGHT(AU$1,2),""),VLOOKUP($D138,素材!$1:$1016,COLUMN($F$1),FALSE))),VLOOKUP($C138,武器!$1:$998,COLUMN($O$1),FALSE)*VLOOKUP($D138,素材!$1:$1016,COLUMN($E$1),FALSE)/(LEN(VLOOKUP($D138,素材!$1:$1016,COLUMN($F$1),FALSE))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V138">
        <f>IF(ISNUMBER(SEARCH(SUBSTITUTE(AV$1,RIGHT(AV$1,2),""),VLOOKUP($D138,素材!$1:$1016,COLUMN($F$1),FALSE))),VLOOKUP($C138,武器!$1:$998,COLUMN($O$1),FALSE)*VLOOKUP($D138,素材!$1:$1016,COLUMN($E$1),FALSE)/(LEN(VLOOKUP($D138,素材!$1:$1016,COLUMN($F$1),FALSE))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W138">
        <f>IF(ISNUMBER(SEARCH(SUBSTITUTE(AW$1,RIGHT(AW$1,2),""),VLOOKUP($D138,素材!$1:$1016,COLUMN($F$1),FALSE))),VLOOKUP($C138,武器!$1:$998,COLUMN($O$1),FALSE)*VLOOKUP($D138,素材!$1:$1016,COLUMN($E$1),FALSE)/(LEN(VLOOKUP($D138,素材!$1:$1016,COLUMN($F$1),FALSE))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X138">
        <f>IF(ISNUMBER(SEARCH(SUBSTITUTE(AX$1,RIGHT(AX$1,2),""),VLOOKUP($D138,素材!$1:$1016,COLUMN($F$1),FALSE))),VLOOKUP($C138,武器!$1:$998,COLUMN($O$1),FALSE)*VLOOKUP($D138,素材!$1:$1016,COLUMN($E$1),FALSE)/(LEN(VLOOKUP($D138,素材!$1:$1016,COLUMN($F$1),FALSE))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Y138">
        <f>IF(ISNUMBER(SEARCH(SUBSTITUTE(AY$1,RIGHT(AY$1,2),""),VLOOKUP($D138,素材!$1:$1016,COLUMN($F$1),FALSE))),VLOOKUP($C138,武器!$1:$998,COLUMN($O$1),FALSE)*VLOOKUP($D138,素材!$1:$1016,COLUMN($E$1),FALSE)/(LEN(VLOOKUP($D138,素材!$1:$1016,COLUMN($F$1),FALSE))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AZ138">
        <f>IF(ISNUMBER(SEARCH(SUBSTITUTE(AZ$1,RIGHT(AZ$1,2),""),VLOOKUP($D138,素材!$1:$1016,COLUMN($F$1),FALSE))),VLOOKUP($C138,武器!$1:$998,COLUMN($O$1),FALSE)*VLOOKUP($D138,素材!$1:$1016,COLUMN($E$1),FALSE)/(LEN(VLOOKUP($D138,素材!$1:$1016,COLUMN($F$1),FALSE))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BA138">
        <f>IF(ISNUMBER(SEARCH(SUBSTITUTE(BA$1,RIGHT(BA$1,2),""),VLOOKUP($D138,素材!$1:$1016,COLUMN($F$1),FALSE))),VLOOKUP($C138,武器!$1:$998,COLUMN($O$1),FALSE)*VLOOKUP($D138,素材!$1:$1016,COLUMN($E$1),FALSE)/(LEN(VLOOKUP($D138,素材!$1:$1016,COLUMN($F$1),FALSE))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BB138">
        <f>IF(ISNUMBER(SEARCH(SUBSTITUTE(BB$1,RIGHT(BB$1,2),""),VLOOKUP($D138,素材!$1:$1016,COLUMN($F$1),FALSE))),VLOOKUP($C138,武器!$1:$998,COLUMN($O$1),FALSE)*VLOOKUP($D138,素材!$1:$1016,COLUMN($E$1),FALSE)/(LEN(VLOOKUP($D138,素材!$1:$1016,COLUMN($F$1),FALSE))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BC138">
        <f>IF(ISNUMBER(SEARCH(SUBSTITUTE(BC$1,RIGHT(BC$1,2),""),VLOOKUP($D138,素材!$1:$1016,COLUMN($F$1),FALSE))),VLOOKUP($C138,武器!$1:$998,COLUMN($O$1),FALSE)*VLOOKUP($D138,素材!$1:$1016,COLUMN($E$1),FALSE)/(LEN(VLOOKUP($D138,素材!$1:$1016,COLUMN($F$1),FALSE))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BD138">
        <f>IF(ISNUMBER(SEARCH(SUBSTITUTE(BD$1,RIGHT(BD$1,2),""),VLOOKUP($D138,素材!$1:$1016,COLUMN($F$1),FALSE))),VLOOKUP($C138,武器!$1:$998,COLUMN($O$1),FALSE)*VLOOKUP($D138,素材!$1:$1016,COLUMN($E$1),FALSE)/(LEN(VLOOKUP($D138,素材!$1:$1016,COLUMN($F$1),FALSE))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BE138">
        <f>IF(ISNUMBER(SEARCH(SUBSTITUTE(BE$1,RIGHT(BE$1,2),""),VLOOKUP($D138,素材!$1:$1016,COLUMN($F$1),FALSE))),VLOOKUP($C138,武器!$1:$998,COLUMN($O$1),FALSE)*VLOOKUP($D138,素材!$1:$1016,COLUMN($E$1),FALSE)/(LEN(VLOOKUP($D138,素材!$1:$1016,COLUMN($F$1),FALSE))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BF138">
        <f>IF(ISNUMBER(SEARCH(SUBSTITUTE(BF$1,RIGHT(BF$1,2),""),VLOOKUP($D138,素材!$1:$1016,COLUMN($F$1),FALSE))),VLOOKUP($C138,武器!$1:$998,COLUMN($O$1),FALSE)*VLOOKUP($D138,素材!$1:$1016,COLUMN($E$1),FALSE)/(LEN(VLOOKUP($D138,素材!$1:$1016,COLUMN($F$1),FALSE)) - LEN(SUBSTITUTE(VLOOKUP($D138,素材!$1:$1016,COLUMN($F$1),FALSE), "・", 0)) + 1), 0)</f>
        <v>0</v>
      </c>
      <c r="CM138">
        <f t="shared" si="19"/>
        <v>0</v>
      </c>
      <c r="CN138" s="22" t="str">
        <f>IF(E138="武器",IF(J138-1&gt;SUM(G138:I138),"盾",IF(MAX(G138:I138)=G138,"切断",IF(MAX(G138:I138)=H138,"貫通",IF(MAX(G138:I138)=I138,"打撃","射撃")))),E138)&amp;".webp"</f>
        <v>体.webp</v>
      </c>
      <c r="CO138">
        <f>IFERROR(VLOOKUP($C138,武器!$1:$998,COLUMN(V$1),FALSE)*VLOOKUP($D138,素材!$1:$1016,COLUMN(N$1),FALSE)+IF(CJ138="",0,VLOOKUP($CJ138,装強!$1:$1008,COLUMN($CL$1),FALSE)),"")</f>
        <v>11000</v>
      </c>
      <c r="CP138" t="str">
        <f>VLOOKUP(D138,素材!$A:$O,COLUMN(素材!O$1),FALSE)</f>
        <v>雷属性を持つドラゴン型生物から採取される鱗素材。雷属性攻撃への耐性を強化し、武器の電撃効果を高めることも可能です。</v>
      </c>
      <c r="CQ138" t="str">
        <f>VLOOKUP(C138,武器!$A:$W,COLUMN(武器!W$1),FALSE)</f>
        <v>HP 物理 魔法 体幹 出血 疲労 Cr</v>
      </c>
      <c r="CS138" t="str">
        <f t="shared" si="21"/>
        <v>e_138</v>
      </c>
      <c r="CT138">
        <f t="shared" si="24"/>
        <v>1100000</v>
      </c>
    </row>
    <row r="139" spans="1:98" outlineLevel="1" x14ac:dyDescent="0.4">
      <c r="A139" t="str">
        <f t="shared" si="20"/>
        <v>雷蜥蜴の鱗の鎧</v>
      </c>
      <c r="B139" t="str">
        <f>IFERROR(VLOOKUP($D139,素材!$1:$1016,COLUMN($B$1),FALSE)&amp;"・"&amp;VLOOKUP($C139,武器!$1:$998,COLUMN(B$1),FALSE),"")</f>
        <v>サンダードレイクスケール・アーマー</v>
      </c>
      <c r="C139" t="s">
        <v>208</v>
      </c>
      <c r="D139" s="24" t="s">
        <v>249</v>
      </c>
      <c r="E139" t="str">
        <f>IFERROR(VLOOKUP(C139,武器!$1:$998,COLUMN(C$1),FALSE),"")</f>
        <v>体</v>
      </c>
      <c r="F139">
        <f>IFERROR(ROUNDDOWN((VLOOKUP($C139,武器!$1:$998,COLUMN(D$1),FALSE)+IFERROR(VLOOKUP($CJ139,装強!$1:$999,COLUMN(F$1),FALSE),0))*VLOOKUP($D139,素材!$1:$1016,COLUMN(D$1),FALSE),0),"")</f>
        <v>0</v>
      </c>
      <c r="G139">
        <f>IFERROR(ROUNDDOWN((VLOOKUP($C139,武器!$1:$998,COLUMN(E$1),FALSE)+IFERROR(VLOOKUP($CJ139,装強!$1:$999,COLUMN(G$1),FALSE),0))*VLOOKUP($D139,素材!$1:$1016,COLUMN($E$1),FALSE),0),"")</f>
        <v>0</v>
      </c>
      <c r="H139">
        <f>IFERROR(ROUNDDOWN((VLOOKUP($C139,武器!$1:$998,COLUMN(F$1),FALSE)+IFERROR(VLOOKUP($CJ139,装強!$1:$999,COLUMN(H$1),FALSE),0))*VLOOKUP($D139,素材!$1:$1016,COLUMN($E$1),FALSE),0),"")</f>
        <v>0</v>
      </c>
      <c r="I139">
        <f>IFERROR(ROUNDDOWN((VLOOKUP($C139,武器!$1:$998,COLUMN(G$1),FALSE)+IFERROR(VLOOKUP($CJ139,装強!$1:$999,COLUMN(I$1),FALSE),0))*VLOOKUP($D139,素材!$1:$1016,COLUMN($E$1),FALSE),0),"")</f>
        <v>0</v>
      </c>
      <c r="J139">
        <f>IFERROR(ROUNDDOWN((VLOOKUP($C139,武器!$1:$998,COLUMN(H$1),FALSE)+IFERROR(VLOOKUP($CJ139,装強!$1:$999,COLUMN(J$1),FALSE),0))*VLOOKUP($D139,素材!$1:$1016,COLUMN($E$1),FALSE),0),"")</f>
        <v>0</v>
      </c>
      <c r="K139">
        <f>IFERROR(ROUNDDOWN((VLOOKUP($C139,武器!$1:$998,COLUMN(I$1),FALSE)+IFERROR(VLOOKUP($CJ139,装強!$1:$999,COLUMN(K$1),FALSE),0))*VLOOKUP($D139,素材!$1:$1016,COLUMN($E$1),FALSE),0),"")</f>
        <v>0</v>
      </c>
      <c r="L139" t="str">
        <f>IFERROR(VLOOKUP($D139,素材!$1:$1016,COLUMN($F$1),FALSE),"")</f>
        <v>雷</v>
      </c>
      <c r="M139">
        <f>IFERROR(VLOOKUP($C139,武器!$1:$998,COLUMN(AA$1),FALSE)*VLOOKUP($D139,素材!$1:$1016,COLUMN($G$1),FALSE),"")</f>
        <v>0</v>
      </c>
      <c r="N139">
        <f>IFERROR(VLOOKUP($C139,武器!$1:$998,COLUMN(I$1),FALSE),"")</f>
        <v>0</v>
      </c>
      <c r="O139" s="23" t="str">
        <f>IFERROR((VLOOKUP($C139,武器!$1:$998,COLUMN(K$1),FALSE)+VLOOKUP($D139,素材!$1:$1016,COLUMN(H$1),FALSE))*100+IFERROR(VLOOKUP($CJ139,装強!$1:$999,COLUMN(O$1),FALSE),0),"")</f>
        <v/>
      </c>
      <c r="P139" s="23" t="str">
        <f>IFERROR((VLOOKUP($C139,武器!$1:$998,COLUMN(L$1),FALSE)+VLOOKUP($D139,素材!$1:$1016,COLUMN(I$1),FALSE))*100+IFERROR(VLOOKUP($CJ139,装強!$1:$999,COLUMN(P$1),FALSE),0),"")</f>
        <v/>
      </c>
      <c r="Q139">
        <f>IFERROR(ROUNDUP(VLOOKUP($C139,武器!$1:$998,COLUMN(M$1),FALSE)*(VLOOKUP($D139,素材!$1:$1002,COLUMN(D$1),FALSE)/100),1),"")</f>
        <v>-12</v>
      </c>
      <c r="R139">
        <f>IFERROR(ROUNDUP(VLOOKUP($C139,武器!$1:$998,COLUMN(N$1),FALSE)*(VLOOKUP($D139,素材!$1:$1002,COLUMN(D$1),FALSE)/100),1),"")</f>
        <v>0</v>
      </c>
      <c r="S139">
        <f>IFERROR(VLOOKUP($C139,武器!$1:$998,COLUMN(P$1),FALSE),"")</f>
        <v>0</v>
      </c>
      <c r="T139">
        <f>IFERROR(VLOOKUP($C139,武器!$1:$998,COLUMN(Q$1),FALSE),"")</f>
        <v>0</v>
      </c>
      <c r="U139">
        <f>IFERROR(VLOOKUP($C139,武器!$1:$998,COLUMN(R$1),FALSE),"")</f>
        <v>0</v>
      </c>
      <c r="V139">
        <f>IFERROR(VLOOKUP($C139,武器!$1:$998,COLUMN(Q$1),FALSE),"")</f>
        <v>0</v>
      </c>
      <c r="W139">
        <f>IFERROR(VLOOKUP($C139,武器!$1:$998,COLUMN(T$1),FALSE),"")</f>
        <v>0</v>
      </c>
      <c r="Y139">
        <f>IFERROR(VLOOKUP($C139,武器!$1:$998,COLUMN(U$1),FALSE),"")</f>
        <v>0</v>
      </c>
      <c r="Z139">
        <f>IFERROR(ROUNDUP(VLOOKUP($C139,武器!$1:$998,COLUMN(O$1),FALSE)*VLOOKUP($D139,素材!$1:$1016,COLUMN(E$1),FALSE),1),"")</f>
        <v>17.5</v>
      </c>
      <c r="AA139">
        <f>IF(ISNUMBER(SEARCH(SUBSTITUTE(AA$1,RIGHT(AA$1,2),""),VLOOKUP($D139,素材!$1:$1016,COLUMN($F$1),FALSE))),VLOOKUP($C139,武器!$1:$998,COLUMN($O$1),FALSE)*VLOOKUP($D139,素材!$1:$1016,COLUMN($E$1),FALSE)/(LEN(VLOOKUP($D139,素材!$1:$1016,COLUMN($F$1),FALSE))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B139">
        <f>IF(ISNUMBER(SEARCH(SUBSTITUTE(AB$1,RIGHT(AB$1,2),""),VLOOKUP($D139,素材!$1:$1016,COLUMN($F$1),FALSE))),VLOOKUP($C139,武器!$1:$998,COLUMN($O$1),FALSE)*VLOOKUP($D139,素材!$1:$1016,COLUMN($E$1),FALSE)/(LEN(VLOOKUP($D139,素材!$1:$1016,COLUMN($F$1),FALSE))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C139">
        <f>IF(ISNUMBER(SEARCH(SUBSTITUTE(AC$1,RIGHT(AC$1,2),""),VLOOKUP($D139,素材!$1:$1016,COLUMN($F$1),FALSE))),VLOOKUP($C139,武器!$1:$998,COLUMN($O$1),FALSE)*VLOOKUP($D139,素材!$1:$1016,COLUMN($E$1),FALSE)/(LEN(VLOOKUP($D139,素材!$1:$1016,COLUMN($F$1),FALSE))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D139">
        <f>IF(ISNUMBER(SEARCH(SUBSTITUTE(AD$1,RIGHT(AD$1,2),""),VLOOKUP($D139,素材!$1:$1016,COLUMN($F$1),FALSE))),VLOOKUP($C139,武器!$1:$998,COLUMN($O$1),FALSE)*VLOOKUP($D139,素材!$1:$1016,COLUMN($E$1),FALSE)/(LEN(VLOOKUP($D139,素材!$1:$1016,COLUMN($F$1),FALSE))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E139">
        <f>IF(ISNUMBER(SEARCH(SUBSTITUTE(AE$1,RIGHT(AE$1,2),""),VLOOKUP($D139,素材!$1:$1016,COLUMN($F$1),FALSE))),VLOOKUP($C139,武器!$1:$998,COLUMN($O$1),FALSE)*VLOOKUP($D139,素材!$1:$1016,COLUMN($E$1),FALSE)/(LEN(VLOOKUP($D139,素材!$1:$1016,COLUMN($F$1),FALSE))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F139">
        <f>IF(ISNUMBER(SEARCH(SUBSTITUTE(AF$1,RIGHT(AF$1,2),""),VLOOKUP($D139,素材!$1:$1016,COLUMN($F$1),FALSE))),VLOOKUP($C139,武器!$1:$998,COLUMN($O$1),FALSE)*VLOOKUP($D139,素材!$1:$1016,COLUMN($E$1),FALSE)/(LEN(VLOOKUP($D139,素材!$1:$1016,COLUMN($F$1),FALSE))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G139">
        <f>IF(ISNUMBER(SEARCH(SUBSTITUTE(AG$1,RIGHT(AG$1,2),""),VLOOKUP($D139,素材!$1:$1016,COLUMN($F$1),FALSE))),VLOOKUP($C139,武器!$1:$998,COLUMN($O$1),FALSE)*VLOOKUP($D139,素材!$1:$1016,COLUMN($E$1),FALSE)/(LEN(VLOOKUP($D139,素材!$1:$1016,COLUMN($F$1),FALSE))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17.5</v>
      </c>
      <c r="AH139">
        <f>IF(ISNUMBER(SEARCH(SUBSTITUTE(AH$1,RIGHT(AH$1,2),""),VLOOKUP($D139,素材!$1:$1016,COLUMN($F$1),FALSE))),VLOOKUP($C139,武器!$1:$998,COLUMN($O$1),FALSE)*VLOOKUP($D139,素材!$1:$1016,COLUMN($E$1),FALSE)/(LEN(VLOOKUP($D139,素材!$1:$1016,COLUMN($F$1),FALSE))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I139">
        <f>IF(ISNUMBER(SEARCH(SUBSTITUTE(AI$1,RIGHT(AI$1,2),""),VLOOKUP($D139,素材!$1:$1016,COLUMN($F$1),FALSE))),VLOOKUP($C139,武器!$1:$998,COLUMN($O$1),FALSE)*VLOOKUP($D139,素材!$1:$1016,COLUMN($E$1),FALSE)/(LEN(VLOOKUP($D139,素材!$1:$1016,COLUMN($F$1),FALSE))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J139">
        <f>IF(ISNUMBER(SEARCH(SUBSTITUTE(AJ$1,RIGHT(AJ$1,2),""),VLOOKUP($D139,素材!$1:$1016,COLUMN($F$1),FALSE))),VLOOKUP($C139,武器!$1:$998,COLUMN($O$1),FALSE)*VLOOKUP($D139,素材!$1:$1016,COLUMN($E$1),FALSE)/(LEN(VLOOKUP($D139,素材!$1:$1016,COLUMN($F$1),FALSE))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K139">
        <f>IF(ISNUMBER(SEARCH(SUBSTITUTE(AK$1,RIGHT(AK$1,2),""),VLOOKUP($D139,素材!$1:$1016,COLUMN($F$1),FALSE))),VLOOKUP($C139,武器!$1:$998,COLUMN($O$1),FALSE)*VLOOKUP($D139,素材!$1:$1016,COLUMN($E$1),FALSE)/(LEN(VLOOKUP($D139,素材!$1:$1016,COLUMN($F$1),FALSE))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L139">
        <f>IF(ISNUMBER(SEARCH(SUBSTITUTE(AL$1,RIGHT(AL$1,2),""),VLOOKUP($D139,素材!$1:$1016,COLUMN($F$1),FALSE))),VLOOKUP($C139,武器!$1:$998,COLUMN($O$1),FALSE)*VLOOKUP($D139,素材!$1:$1016,COLUMN($E$1),FALSE)/(LEN(VLOOKUP($D139,素材!$1:$1016,COLUMN($F$1),FALSE))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M139">
        <f>IF(ISNUMBER(SEARCH(SUBSTITUTE(AM$1,RIGHT(AM$1,2),""),VLOOKUP($D139,素材!$1:$1016,COLUMN($F$1),FALSE))),VLOOKUP($C139,武器!$1:$998,COLUMN($O$1),FALSE)*VLOOKUP($D139,素材!$1:$1016,COLUMN($E$1),FALSE)/(LEN(VLOOKUP($D139,素材!$1:$1016,COLUMN($F$1),FALSE))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N139">
        <f>IF(ISNUMBER(SEARCH(SUBSTITUTE(AN$1,RIGHT(AN$1,2),""),VLOOKUP($D139,素材!$1:$1016,COLUMN($F$1),FALSE))),VLOOKUP($C139,武器!$1:$998,COLUMN($O$1),FALSE)*VLOOKUP($D139,素材!$1:$1016,COLUMN($E$1),FALSE)/(LEN(VLOOKUP($D139,素材!$1:$1016,COLUMN($F$1),FALSE))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O139">
        <f>IF(ISNUMBER(SEARCH(SUBSTITUTE(AO$1,RIGHT(AO$1,2),""),VLOOKUP($D139,素材!$1:$1016,COLUMN($F$1),FALSE))),VLOOKUP($C139,武器!$1:$998,COLUMN($O$1),FALSE)*VLOOKUP($D139,素材!$1:$1016,COLUMN($E$1),FALSE)/(LEN(VLOOKUP($D139,素材!$1:$1016,COLUMN($F$1),FALSE))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P139">
        <f>IF(ISNUMBER(SEARCH(SUBSTITUTE(AP$1,RIGHT(AP$1,2),""),VLOOKUP($D139,素材!$1:$1016,COLUMN($F$1),FALSE))),VLOOKUP($C139,武器!$1:$998,COLUMN($O$1),FALSE)*VLOOKUP($D139,素材!$1:$1016,COLUMN($E$1),FALSE)/(LEN(VLOOKUP($D139,素材!$1:$1016,COLUMN($F$1),FALSE))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Q139">
        <f>IF(ISNUMBER(SEARCH(SUBSTITUTE(AQ$1,RIGHT(AQ$1,2),""),VLOOKUP($D139,素材!$1:$1016,COLUMN($F$1),FALSE))),VLOOKUP($C139,武器!$1:$998,COLUMN($O$1),FALSE)*VLOOKUP($D139,素材!$1:$1016,COLUMN($E$1),FALSE)/(LEN(VLOOKUP($D139,素材!$1:$1016,COLUMN($F$1),FALSE))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R139">
        <f>IF(ISNUMBER(SEARCH(SUBSTITUTE(AR$1,RIGHT(AR$1,2),""),VLOOKUP($D139,素材!$1:$1016,COLUMN($F$1),FALSE))),VLOOKUP($C139,武器!$1:$998,COLUMN($O$1),FALSE)*VLOOKUP($D139,素材!$1:$1016,COLUMN($E$1),FALSE)/(LEN(VLOOKUP($D139,素材!$1:$1016,COLUMN($F$1),FALSE))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S139">
        <f>IF(ISNUMBER(SEARCH(SUBSTITUTE(AS$1,RIGHT(AS$1,2),""),VLOOKUP($D139,素材!$1:$1016,COLUMN($F$1),FALSE))),VLOOKUP($C139,武器!$1:$998,COLUMN($O$1),FALSE)*VLOOKUP($D139,素材!$1:$1016,COLUMN($E$1),FALSE)/(LEN(VLOOKUP($D139,素材!$1:$1016,COLUMN($F$1),FALSE))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T139">
        <f>IF(ISNUMBER(SEARCH(SUBSTITUTE(AT$1,RIGHT(AT$1,2),""),VLOOKUP($D139,素材!$1:$1016,COLUMN($F$1),FALSE))),VLOOKUP($C139,武器!$1:$998,COLUMN($O$1),FALSE)*VLOOKUP($D139,素材!$1:$1016,COLUMN($E$1),FALSE)/(LEN(VLOOKUP($D139,素材!$1:$1016,COLUMN($F$1),FALSE))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U139">
        <f>IF(ISNUMBER(SEARCH(SUBSTITUTE(AU$1,RIGHT(AU$1,2),""),VLOOKUP($D139,素材!$1:$1016,COLUMN($F$1),FALSE))),VLOOKUP($C139,武器!$1:$998,COLUMN($O$1),FALSE)*VLOOKUP($D139,素材!$1:$1016,COLUMN($E$1),FALSE)/(LEN(VLOOKUP($D139,素材!$1:$1016,COLUMN($F$1),FALSE))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V139">
        <f>IF(ISNUMBER(SEARCH(SUBSTITUTE(AV$1,RIGHT(AV$1,2),""),VLOOKUP($D139,素材!$1:$1016,COLUMN($F$1),FALSE))),VLOOKUP($C139,武器!$1:$998,COLUMN($O$1),FALSE)*VLOOKUP($D139,素材!$1:$1016,COLUMN($E$1),FALSE)/(LEN(VLOOKUP($D139,素材!$1:$1016,COLUMN($F$1),FALSE))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W139">
        <f>IF(ISNUMBER(SEARCH(SUBSTITUTE(AW$1,RIGHT(AW$1,2),""),VLOOKUP($D139,素材!$1:$1016,COLUMN($F$1),FALSE))),VLOOKUP($C139,武器!$1:$998,COLUMN($O$1),FALSE)*VLOOKUP($D139,素材!$1:$1016,COLUMN($E$1),FALSE)/(LEN(VLOOKUP($D139,素材!$1:$1016,COLUMN($F$1),FALSE))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X139">
        <f>IF(ISNUMBER(SEARCH(SUBSTITUTE(AX$1,RIGHT(AX$1,2),""),VLOOKUP($D139,素材!$1:$1016,COLUMN($F$1),FALSE))),VLOOKUP($C139,武器!$1:$998,COLUMN($O$1),FALSE)*VLOOKUP($D139,素材!$1:$1016,COLUMN($E$1),FALSE)/(LEN(VLOOKUP($D139,素材!$1:$1016,COLUMN($F$1),FALSE))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Y139">
        <f>IF(ISNUMBER(SEARCH(SUBSTITUTE(AY$1,RIGHT(AY$1,2),""),VLOOKUP($D139,素材!$1:$1016,COLUMN($F$1),FALSE))),VLOOKUP($C139,武器!$1:$998,COLUMN($O$1),FALSE)*VLOOKUP($D139,素材!$1:$1016,COLUMN($E$1),FALSE)/(LEN(VLOOKUP($D139,素材!$1:$1016,COLUMN($F$1),FALSE))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AZ139">
        <f>IF(ISNUMBER(SEARCH(SUBSTITUTE(AZ$1,RIGHT(AZ$1,2),""),VLOOKUP($D139,素材!$1:$1016,COLUMN($F$1),FALSE))),VLOOKUP($C139,武器!$1:$998,COLUMN($O$1),FALSE)*VLOOKUP($D139,素材!$1:$1016,COLUMN($E$1),FALSE)/(LEN(VLOOKUP($D139,素材!$1:$1016,COLUMN($F$1),FALSE))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BA139">
        <f>IF(ISNUMBER(SEARCH(SUBSTITUTE(BA$1,RIGHT(BA$1,2),""),VLOOKUP($D139,素材!$1:$1016,COLUMN($F$1),FALSE))),VLOOKUP($C139,武器!$1:$998,COLUMN($O$1),FALSE)*VLOOKUP($D139,素材!$1:$1016,COLUMN($E$1),FALSE)/(LEN(VLOOKUP($D139,素材!$1:$1016,COLUMN($F$1),FALSE))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BB139">
        <f>IF(ISNUMBER(SEARCH(SUBSTITUTE(BB$1,RIGHT(BB$1,2),""),VLOOKUP($D139,素材!$1:$1016,COLUMN($F$1),FALSE))),VLOOKUP($C139,武器!$1:$998,COLUMN($O$1),FALSE)*VLOOKUP($D139,素材!$1:$1016,COLUMN($E$1),FALSE)/(LEN(VLOOKUP($D139,素材!$1:$1016,COLUMN($F$1),FALSE))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BC139">
        <f>IF(ISNUMBER(SEARCH(SUBSTITUTE(BC$1,RIGHT(BC$1,2),""),VLOOKUP($D139,素材!$1:$1016,COLUMN($F$1),FALSE))),VLOOKUP($C139,武器!$1:$998,COLUMN($O$1),FALSE)*VLOOKUP($D139,素材!$1:$1016,COLUMN($E$1),FALSE)/(LEN(VLOOKUP($D139,素材!$1:$1016,COLUMN($F$1),FALSE))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BD139">
        <f>IF(ISNUMBER(SEARCH(SUBSTITUTE(BD$1,RIGHT(BD$1,2),""),VLOOKUP($D139,素材!$1:$1016,COLUMN($F$1),FALSE))),VLOOKUP($C139,武器!$1:$998,COLUMN($O$1),FALSE)*VLOOKUP($D139,素材!$1:$1016,COLUMN($E$1),FALSE)/(LEN(VLOOKUP($D139,素材!$1:$1016,COLUMN($F$1),FALSE))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BE139">
        <f>IF(ISNUMBER(SEARCH(SUBSTITUTE(BE$1,RIGHT(BE$1,2),""),VLOOKUP($D139,素材!$1:$1016,COLUMN($F$1),FALSE))),VLOOKUP($C139,武器!$1:$998,COLUMN($O$1),FALSE)*VLOOKUP($D139,素材!$1:$1016,COLUMN($E$1),FALSE)/(LEN(VLOOKUP($D139,素材!$1:$1016,COLUMN($F$1),FALSE))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BF139">
        <f>IF(ISNUMBER(SEARCH(SUBSTITUTE(BF$1,RIGHT(BF$1,2),""),VLOOKUP($D139,素材!$1:$1016,COLUMN($F$1),FALSE))),VLOOKUP($C139,武器!$1:$998,COLUMN($O$1),FALSE)*VLOOKUP($D139,素材!$1:$1016,COLUMN($E$1),FALSE)/(LEN(VLOOKUP($D139,素材!$1:$1016,COLUMN($F$1),FALSE)) - LEN(SUBSTITUTE(VLOOKUP($D139,素材!$1:$1016,COLUMN($F$1),FALSE), "・", 0)) + 1), 0)</f>
        <v>0</v>
      </c>
      <c r="CM139">
        <f t="shared" si="19"/>
        <v>0</v>
      </c>
      <c r="CN139" s="22" t="str">
        <f>IF(E139="武器",IF(J139-1&gt;SUM(G139:I139),"盾",IF(MAX(G139:I139)=G139,"切断",IF(MAX(G139:I139)=H139,"貫通",IF(MAX(G139:I139)=I139,"打撃","射撃")))),E139)&amp;".webp"</f>
        <v>体.webp</v>
      </c>
      <c r="CO139">
        <f>IFERROR(VLOOKUP($C139,武器!$1:$998,COLUMN(V$1),FALSE)*VLOOKUP($D139,素材!$1:$1016,COLUMN(N$1),FALSE)+IF(CJ139="",0,VLOOKUP($CJ139,装強!$1:$1008,COLUMN($CL$1),FALSE)),"")</f>
        <v>16500</v>
      </c>
      <c r="CP139" t="str">
        <f>VLOOKUP(D139,素材!$A:$O,COLUMN(素材!O$1),FALSE)</f>
        <v>雷属性を持つドラゴン型生物から採取される鱗素材。雷属性攻撃への耐性を強化し、武器の電撃効果を高めることも可能です。</v>
      </c>
      <c r="CQ139" t="str">
        <f>VLOOKUP(C139,武器!$A:$W,COLUMN(武器!W$1),FALSE)</f>
        <v>HP 物理 魔法 体幹 出血 疲労 Cr</v>
      </c>
      <c r="CS139" t="str">
        <f t="shared" si="21"/>
        <v>e_139</v>
      </c>
      <c r="CT139">
        <f t="shared" si="24"/>
        <v>1650000</v>
      </c>
    </row>
    <row r="140" spans="1:98" outlineLevel="1" x14ac:dyDescent="0.4">
      <c r="A140" t="str">
        <f t="shared" si="20"/>
        <v>雷蜥蜴の鱗の胴衣</v>
      </c>
      <c r="B140" t="str">
        <f>IFERROR(VLOOKUP($D140,素材!$1:$1016,COLUMN($B$1),FALSE)&amp;"・"&amp;VLOOKUP($C140,武器!$1:$998,COLUMN(B$1),FALSE),"")</f>
        <v>サンダードレイクスケール・ベスト</v>
      </c>
      <c r="C140" t="s">
        <v>207</v>
      </c>
      <c r="D140" s="24" t="s">
        <v>249</v>
      </c>
      <c r="E140" t="str">
        <f>IFERROR(VLOOKUP(C140,武器!$1:$998,COLUMN(C$1),FALSE),"")</f>
        <v>体</v>
      </c>
      <c r="F140">
        <f>IFERROR(ROUNDDOWN((VLOOKUP($C140,武器!$1:$998,COLUMN(D$1),FALSE)+IFERROR(VLOOKUP($CJ140,装強!$1:$999,COLUMN(F$1),FALSE),0))*VLOOKUP($D140,素材!$1:$1016,COLUMN(D$1),FALSE),0),"")</f>
        <v>0</v>
      </c>
      <c r="G140">
        <f>IFERROR(ROUNDDOWN((VLOOKUP($C140,武器!$1:$998,COLUMN(E$1),FALSE)+IFERROR(VLOOKUP($CJ140,装強!$1:$999,COLUMN(G$1),FALSE),0))*VLOOKUP($D140,素材!$1:$1016,COLUMN($E$1),FALSE),0),"")</f>
        <v>0</v>
      </c>
      <c r="H140">
        <f>IFERROR(ROUNDDOWN((VLOOKUP($C140,武器!$1:$998,COLUMN(F$1),FALSE)+IFERROR(VLOOKUP($CJ140,装強!$1:$999,COLUMN(H$1),FALSE),0))*VLOOKUP($D140,素材!$1:$1016,COLUMN($E$1),FALSE),0),"")</f>
        <v>0</v>
      </c>
      <c r="I140">
        <f>IFERROR(ROUNDDOWN((VLOOKUP($C140,武器!$1:$998,COLUMN(G$1),FALSE)+IFERROR(VLOOKUP($CJ140,装強!$1:$999,COLUMN(I$1),FALSE),0))*VLOOKUP($D140,素材!$1:$1016,COLUMN($E$1),FALSE),0),"")</f>
        <v>0</v>
      </c>
      <c r="J140">
        <f>IFERROR(ROUNDDOWN((VLOOKUP($C140,武器!$1:$998,COLUMN(H$1),FALSE)+IFERROR(VLOOKUP($CJ140,装強!$1:$999,COLUMN(J$1),FALSE),0))*VLOOKUP($D140,素材!$1:$1016,COLUMN($E$1),FALSE),0),"")</f>
        <v>0</v>
      </c>
      <c r="K140">
        <f>IFERROR(ROUNDDOWN((VLOOKUP($C140,武器!$1:$998,COLUMN(I$1),FALSE)+IFERROR(VLOOKUP($CJ140,装強!$1:$999,COLUMN(K$1),FALSE),0))*VLOOKUP($D140,素材!$1:$1016,COLUMN($E$1),FALSE),0),"")</f>
        <v>0</v>
      </c>
      <c r="L140" t="str">
        <f>IFERROR(VLOOKUP($D140,素材!$1:$1016,COLUMN($F$1),FALSE),"")</f>
        <v>雷</v>
      </c>
      <c r="M140">
        <f>IFERROR(VLOOKUP($C140,武器!$1:$998,COLUMN(AA$1),FALSE)*VLOOKUP($D140,素材!$1:$1016,COLUMN($G$1),FALSE),"")</f>
        <v>0</v>
      </c>
      <c r="N140">
        <f>IFERROR(VLOOKUP($C140,武器!$1:$998,COLUMN(I$1),FALSE),"")</f>
        <v>0</v>
      </c>
      <c r="O140" s="23" t="str">
        <f>IFERROR((VLOOKUP($C140,武器!$1:$998,COLUMN(K$1),FALSE)+VLOOKUP($D140,素材!$1:$1016,COLUMN(H$1),FALSE))*100+IFERROR(VLOOKUP($CJ140,装強!$1:$999,COLUMN(O$1),FALSE),0),"")</f>
        <v/>
      </c>
      <c r="P140" s="23" t="str">
        <f>IFERROR((VLOOKUP($C140,武器!$1:$998,COLUMN(L$1),FALSE)+VLOOKUP($D140,素材!$1:$1016,COLUMN(I$1),FALSE))*100+IFERROR(VLOOKUP($CJ140,装強!$1:$999,COLUMN(P$1),FALSE),0),"")</f>
        <v/>
      </c>
      <c r="Q140">
        <f>IFERROR(ROUNDUP(VLOOKUP($C140,武器!$1:$998,COLUMN(M$1),FALSE)*(VLOOKUP($D140,素材!$1:$1002,COLUMN(D$1),FALSE)/100),1),"")</f>
        <v>-6</v>
      </c>
      <c r="R140">
        <f>IFERROR(ROUNDUP(VLOOKUP($C140,武器!$1:$998,COLUMN(N$1),FALSE)*(VLOOKUP($D140,素材!$1:$1002,COLUMN(D$1),FALSE)/100),1),"")</f>
        <v>0</v>
      </c>
      <c r="S140">
        <f>IFERROR(VLOOKUP($C140,武器!$1:$998,COLUMN(P$1),FALSE),"")</f>
        <v>0</v>
      </c>
      <c r="T140">
        <f>IFERROR(VLOOKUP($C140,武器!$1:$998,COLUMN(Q$1),FALSE),"")</f>
        <v>0</v>
      </c>
      <c r="U140">
        <f>IFERROR(VLOOKUP($C140,武器!$1:$998,COLUMN(R$1),FALSE),"")</f>
        <v>0</v>
      </c>
      <c r="V140">
        <f>IFERROR(VLOOKUP($C140,武器!$1:$998,COLUMN(Q$1),FALSE),"")</f>
        <v>0</v>
      </c>
      <c r="W140">
        <f>IFERROR(VLOOKUP($C140,武器!$1:$998,COLUMN(T$1),FALSE),"")</f>
        <v>0</v>
      </c>
      <c r="Y140">
        <f>IFERROR(VLOOKUP($C140,武器!$1:$998,COLUMN(U$1),FALSE),"")</f>
        <v>0</v>
      </c>
      <c r="Z140">
        <f>IFERROR(ROUNDUP(VLOOKUP($C140,武器!$1:$998,COLUMN(O$1),FALSE)*VLOOKUP($D140,素材!$1:$1016,COLUMN(E$1),FALSE),1),"")</f>
        <v>12.5</v>
      </c>
      <c r="AA140">
        <f>IF(ISNUMBER(SEARCH(SUBSTITUTE(AA$1,RIGHT(AA$1,2),""),VLOOKUP($D140,素材!$1:$1016,COLUMN($F$1),FALSE))),VLOOKUP($C140,武器!$1:$998,COLUMN($O$1),FALSE)*VLOOKUP($D140,素材!$1:$1016,COLUMN($E$1),FALSE)/(LEN(VLOOKUP($D140,素材!$1:$1016,COLUMN($F$1),FALSE))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B140">
        <f>IF(ISNUMBER(SEARCH(SUBSTITUTE(AB$1,RIGHT(AB$1,2),""),VLOOKUP($D140,素材!$1:$1016,COLUMN($F$1),FALSE))),VLOOKUP($C140,武器!$1:$998,COLUMN($O$1),FALSE)*VLOOKUP($D140,素材!$1:$1016,COLUMN($E$1),FALSE)/(LEN(VLOOKUP($D140,素材!$1:$1016,COLUMN($F$1),FALSE))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C140">
        <f>IF(ISNUMBER(SEARCH(SUBSTITUTE(AC$1,RIGHT(AC$1,2),""),VLOOKUP($D140,素材!$1:$1016,COLUMN($F$1),FALSE))),VLOOKUP($C140,武器!$1:$998,COLUMN($O$1),FALSE)*VLOOKUP($D140,素材!$1:$1016,COLUMN($E$1),FALSE)/(LEN(VLOOKUP($D140,素材!$1:$1016,COLUMN($F$1),FALSE))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D140">
        <f>IF(ISNUMBER(SEARCH(SUBSTITUTE(AD$1,RIGHT(AD$1,2),""),VLOOKUP($D140,素材!$1:$1016,COLUMN($F$1),FALSE))),VLOOKUP($C140,武器!$1:$998,COLUMN($O$1),FALSE)*VLOOKUP($D140,素材!$1:$1016,COLUMN($E$1),FALSE)/(LEN(VLOOKUP($D140,素材!$1:$1016,COLUMN($F$1),FALSE))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E140">
        <f>IF(ISNUMBER(SEARCH(SUBSTITUTE(AE$1,RIGHT(AE$1,2),""),VLOOKUP($D140,素材!$1:$1016,COLUMN($F$1),FALSE))),VLOOKUP($C140,武器!$1:$998,COLUMN($O$1),FALSE)*VLOOKUP($D140,素材!$1:$1016,COLUMN($E$1),FALSE)/(LEN(VLOOKUP($D140,素材!$1:$1016,COLUMN($F$1),FALSE))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F140">
        <f>IF(ISNUMBER(SEARCH(SUBSTITUTE(AF$1,RIGHT(AF$1,2),""),VLOOKUP($D140,素材!$1:$1016,COLUMN($F$1),FALSE))),VLOOKUP($C140,武器!$1:$998,COLUMN($O$1),FALSE)*VLOOKUP($D140,素材!$1:$1016,COLUMN($E$1),FALSE)/(LEN(VLOOKUP($D140,素材!$1:$1016,COLUMN($F$1),FALSE))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G140">
        <f>IF(ISNUMBER(SEARCH(SUBSTITUTE(AG$1,RIGHT(AG$1,2),""),VLOOKUP($D140,素材!$1:$1016,COLUMN($F$1),FALSE))),VLOOKUP($C140,武器!$1:$998,COLUMN($O$1),FALSE)*VLOOKUP($D140,素材!$1:$1016,COLUMN($E$1),FALSE)/(LEN(VLOOKUP($D140,素材!$1:$1016,COLUMN($F$1),FALSE))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12.5</v>
      </c>
      <c r="AH140">
        <f>IF(ISNUMBER(SEARCH(SUBSTITUTE(AH$1,RIGHT(AH$1,2),""),VLOOKUP($D140,素材!$1:$1016,COLUMN($F$1),FALSE))),VLOOKUP($C140,武器!$1:$998,COLUMN($O$1),FALSE)*VLOOKUP($D140,素材!$1:$1016,COLUMN($E$1),FALSE)/(LEN(VLOOKUP($D140,素材!$1:$1016,COLUMN($F$1),FALSE))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I140">
        <f>IF(ISNUMBER(SEARCH(SUBSTITUTE(AI$1,RIGHT(AI$1,2),""),VLOOKUP($D140,素材!$1:$1016,COLUMN($F$1),FALSE))),VLOOKUP($C140,武器!$1:$998,COLUMN($O$1),FALSE)*VLOOKUP($D140,素材!$1:$1016,COLUMN($E$1),FALSE)/(LEN(VLOOKUP($D140,素材!$1:$1016,COLUMN($F$1),FALSE))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J140">
        <f>IF(ISNUMBER(SEARCH(SUBSTITUTE(AJ$1,RIGHT(AJ$1,2),""),VLOOKUP($D140,素材!$1:$1016,COLUMN($F$1),FALSE))),VLOOKUP($C140,武器!$1:$998,COLUMN($O$1),FALSE)*VLOOKUP($D140,素材!$1:$1016,COLUMN($E$1),FALSE)/(LEN(VLOOKUP($D140,素材!$1:$1016,COLUMN($F$1),FALSE))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K140">
        <f>IF(ISNUMBER(SEARCH(SUBSTITUTE(AK$1,RIGHT(AK$1,2),""),VLOOKUP($D140,素材!$1:$1016,COLUMN($F$1),FALSE))),VLOOKUP($C140,武器!$1:$998,COLUMN($O$1),FALSE)*VLOOKUP($D140,素材!$1:$1016,COLUMN($E$1),FALSE)/(LEN(VLOOKUP($D140,素材!$1:$1016,COLUMN($F$1),FALSE))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L140">
        <f>IF(ISNUMBER(SEARCH(SUBSTITUTE(AL$1,RIGHT(AL$1,2),""),VLOOKUP($D140,素材!$1:$1016,COLUMN($F$1),FALSE))),VLOOKUP($C140,武器!$1:$998,COLUMN($O$1),FALSE)*VLOOKUP($D140,素材!$1:$1016,COLUMN($E$1),FALSE)/(LEN(VLOOKUP($D140,素材!$1:$1016,COLUMN($F$1),FALSE))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M140">
        <f>IF(ISNUMBER(SEARCH(SUBSTITUTE(AM$1,RIGHT(AM$1,2),""),VLOOKUP($D140,素材!$1:$1016,COLUMN($F$1),FALSE))),VLOOKUP($C140,武器!$1:$998,COLUMN($O$1),FALSE)*VLOOKUP($D140,素材!$1:$1016,COLUMN($E$1),FALSE)/(LEN(VLOOKUP($D140,素材!$1:$1016,COLUMN($F$1),FALSE))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N140">
        <f>IF(ISNUMBER(SEARCH(SUBSTITUTE(AN$1,RIGHT(AN$1,2),""),VLOOKUP($D140,素材!$1:$1016,COLUMN($F$1),FALSE))),VLOOKUP($C140,武器!$1:$998,COLUMN($O$1),FALSE)*VLOOKUP($D140,素材!$1:$1016,COLUMN($E$1),FALSE)/(LEN(VLOOKUP($D140,素材!$1:$1016,COLUMN($F$1),FALSE))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O140">
        <f>IF(ISNUMBER(SEARCH(SUBSTITUTE(AO$1,RIGHT(AO$1,2),""),VLOOKUP($D140,素材!$1:$1016,COLUMN($F$1),FALSE))),VLOOKUP($C140,武器!$1:$998,COLUMN($O$1),FALSE)*VLOOKUP($D140,素材!$1:$1016,COLUMN($E$1),FALSE)/(LEN(VLOOKUP($D140,素材!$1:$1016,COLUMN($F$1),FALSE))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P140">
        <f>IF(ISNUMBER(SEARCH(SUBSTITUTE(AP$1,RIGHT(AP$1,2),""),VLOOKUP($D140,素材!$1:$1016,COLUMN($F$1),FALSE))),VLOOKUP($C140,武器!$1:$998,COLUMN($O$1),FALSE)*VLOOKUP($D140,素材!$1:$1016,COLUMN($E$1),FALSE)/(LEN(VLOOKUP($D140,素材!$1:$1016,COLUMN($F$1),FALSE))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Q140">
        <f>IF(ISNUMBER(SEARCH(SUBSTITUTE(AQ$1,RIGHT(AQ$1,2),""),VLOOKUP($D140,素材!$1:$1016,COLUMN($F$1),FALSE))),VLOOKUP($C140,武器!$1:$998,COLUMN($O$1),FALSE)*VLOOKUP($D140,素材!$1:$1016,COLUMN($E$1),FALSE)/(LEN(VLOOKUP($D140,素材!$1:$1016,COLUMN($F$1),FALSE))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R140">
        <f>IF(ISNUMBER(SEARCH(SUBSTITUTE(AR$1,RIGHT(AR$1,2),""),VLOOKUP($D140,素材!$1:$1016,COLUMN($F$1),FALSE))),VLOOKUP($C140,武器!$1:$998,COLUMN($O$1),FALSE)*VLOOKUP($D140,素材!$1:$1016,COLUMN($E$1),FALSE)/(LEN(VLOOKUP($D140,素材!$1:$1016,COLUMN($F$1),FALSE))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S140">
        <f>IF(ISNUMBER(SEARCH(SUBSTITUTE(AS$1,RIGHT(AS$1,2),""),VLOOKUP($D140,素材!$1:$1016,COLUMN($F$1),FALSE))),VLOOKUP($C140,武器!$1:$998,COLUMN($O$1),FALSE)*VLOOKUP($D140,素材!$1:$1016,COLUMN($E$1),FALSE)/(LEN(VLOOKUP($D140,素材!$1:$1016,COLUMN($F$1),FALSE))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T140">
        <f>IF(ISNUMBER(SEARCH(SUBSTITUTE(AT$1,RIGHT(AT$1,2),""),VLOOKUP($D140,素材!$1:$1016,COLUMN($F$1),FALSE))),VLOOKUP($C140,武器!$1:$998,COLUMN($O$1),FALSE)*VLOOKUP($D140,素材!$1:$1016,COLUMN($E$1),FALSE)/(LEN(VLOOKUP($D140,素材!$1:$1016,COLUMN($F$1),FALSE))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U140">
        <f>IF(ISNUMBER(SEARCH(SUBSTITUTE(AU$1,RIGHT(AU$1,2),""),VLOOKUP($D140,素材!$1:$1016,COLUMN($F$1),FALSE))),VLOOKUP($C140,武器!$1:$998,COLUMN($O$1),FALSE)*VLOOKUP($D140,素材!$1:$1016,COLUMN($E$1),FALSE)/(LEN(VLOOKUP($D140,素材!$1:$1016,COLUMN($F$1),FALSE))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V140">
        <f>IF(ISNUMBER(SEARCH(SUBSTITUTE(AV$1,RIGHT(AV$1,2),""),VLOOKUP($D140,素材!$1:$1016,COLUMN($F$1),FALSE))),VLOOKUP($C140,武器!$1:$998,COLUMN($O$1),FALSE)*VLOOKUP($D140,素材!$1:$1016,COLUMN($E$1),FALSE)/(LEN(VLOOKUP($D140,素材!$1:$1016,COLUMN($F$1),FALSE))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W140">
        <f>IF(ISNUMBER(SEARCH(SUBSTITUTE(AW$1,RIGHT(AW$1,2),""),VLOOKUP($D140,素材!$1:$1016,COLUMN($F$1),FALSE))),VLOOKUP($C140,武器!$1:$998,COLUMN($O$1),FALSE)*VLOOKUP($D140,素材!$1:$1016,COLUMN($E$1),FALSE)/(LEN(VLOOKUP($D140,素材!$1:$1016,COLUMN($F$1),FALSE))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X140">
        <f>IF(ISNUMBER(SEARCH(SUBSTITUTE(AX$1,RIGHT(AX$1,2),""),VLOOKUP($D140,素材!$1:$1016,COLUMN($F$1),FALSE))),VLOOKUP($C140,武器!$1:$998,COLUMN($O$1),FALSE)*VLOOKUP($D140,素材!$1:$1016,COLUMN($E$1),FALSE)/(LEN(VLOOKUP($D140,素材!$1:$1016,COLUMN($F$1),FALSE))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Y140">
        <f>IF(ISNUMBER(SEARCH(SUBSTITUTE(AY$1,RIGHT(AY$1,2),""),VLOOKUP($D140,素材!$1:$1016,COLUMN($F$1),FALSE))),VLOOKUP($C140,武器!$1:$998,COLUMN($O$1),FALSE)*VLOOKUP($D140,素材!$1:$1016,COLUMN($E$1),FALSE)/(LEN(VLOOKUP($D140,素材!$1:$1016,COLUMN($F$1),FALSE))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AZ140">
        <f>IF(ISNUMBER(SEARCH(SUBSTITUTE(AZ$1,RIGHT(AZ$1,2),""),VLOOKUP($D140,素材!$1:$1016,COLUMN($F$1),FALSE))),VLOOKUP($C140,武器!$1:$998,COLUMN($O$1),FALSE)*VLOOKUP($D140,素材!$1:$1016,COLUMN($E$1),FALSE)/(LEN(VLOOKUP($D140,素材!$1:$1016,COLUMN($F$1),FALSE))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BA140">
        <f>IF(ISNUMBER(SEARCH(SUBSTITUTE(BA$1,RIGHT(BA$1,2),""),VLOOKUP($D140,素材!$1:$1016,COLUMN($F$1),FALSE))),VLOOKUP($C140,武器!$1:$998,COLUMN($O$1),FALSE)*VLOOKUP($D140,素材!$1:$1016,COLUMN($E$1),FALSE)/(LEN(VLOOKUP($D140,素材!$1:$1016,COLUMN($F$1),FALSE))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BB140">
        <f>IF(ISNUMBER(SEARCH(SUBSTITUTE(BB$1,RIGHT(BB$1,2),""),VLOOKUP($D140,素材!$1:$1016,COLUMN($F$1),FALSE))),VLOOKUP($C140,武器!$1:$998,COLUMN($O$1),FALSE)*VLOOKUP($D140,素材!$1:$1016,COLUMN($E$1),FALSE)/(LEN(VLOOKUP($D140,素材!$1:$1016,COLUMN($F$1),FALSE))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BC140">
        <f>IF(ISNUMBER(SEARCH(SUBSTITUTE(BC$1,RIGHT(BC$1,2),""),VLOOKUP($D140,素材!$1:$1016,COLUMN($F$1),FALSE))),VLOOKUP($C140,武器!$1:$998,COLUMN($O$1),FALSE)*VLOOKUP($D140,素材!$1:$1016,COLUMN($E$1),FALSE)/(LEN(VLOOKUP($D140,素材!$1:$1016,COLUMN($F$1),FALSE))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BD140">
        <f>IF(ISNUMBER(SEARCH(SUBSTITUTE(BD$1,RIGHT(BD$1,2),""),VLOOKUP($D140,素材!$1:$1016,COLUMN($F$1),FALSE))),VLOOKUP($C140,武器!$1:$998,COLUMN($O$1),FALSE)*VLOOKUP($D140,素材!$1:$1016,COLUMN($E$1),FALSE)/(LEN(VLOOKUP($D140,素材!$1:$1016,COLUMN($F$1),FALSE))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BE140">
        <f>IF(ISNUMBER(SEARCH(SUBSTITUTE(BE$1,RIGHT(BE$1,2),""),VLOOKUP($D140,素材!$1:$1016,COLUMN($F$1),FALSE))),VLOOKUP($C140,武器!$1:$998,COLUMN($O$1),FALSE)*VLOOKUP($D140,素材!$1:$1016,COLUMN($E$1),FALSE)/(LEN(VLOOKUP($D140,素材!$1:$1016,COLUMN($F$1),FALSE))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BF140">
        <f>IF(ISNUMBER(SEARCH(SUBSTITUTE(BF$1,RIGHT(BF$1,2),""),VLOOKUP($D140,素材!$1:$1016,COLUMN($F$1),FALSE))),VLOOKUP($C140,武器!$1:$998,COLUMN($O$1),FALSE)*VLOOKUP($D140,素材!$1:$1016,COLUMN($E$1),FALSE)/(LEN(VLOOKUP($D140,素材!$1:$1016,COLUMN($F$1),FALSE)) - LEN(SUBSTITUTE(VLOOKUP($D140,素材!$1:$1016,COLUMN($F$1),FALSE), "・", 0)) + 1), 0)</f>
        <v>0</v>
      </c>
      <c r="CM140">
        <f t="shared" si="19"/>
        <v>0</v>
      </c>
      <c r="CN140" s="22" t="str">
        <f>IF(E140="武器",IF(J140-1&gt;SUM(G140:I140),"盾",IF(MAX(G140:I140)=G140,"切断",IF(MAX(G140:I140)=H140,"貫通",IF(MAX(G140:I140)=I140,"打撃","射撃")))),E140)&amp;".webp"</f>
        <v>体.webp</v>
      </c>
      <c r="CO140">
        <f>IFERROR(VLOOKUP($C140,武器!$1:$998,COLUMN(V$1),FALSE)*VLOOKUP($D140,素材!$1:$1016,COLUMN(N$1),FALSE)+IF(CJ140="",0,VLOOKUP($CJ140,装強!$1:$1008,COLUMN($CL$1),FALSE)),"")</f>
        <v>13750</v>
      </c>
      <c r="CP140" t="str">
        <f>VLOOKUP(D140,素材!$A:$O,COLUMN(素材!O$1),FALSE)</f>
        <v>雷属性を持つドラゴン型生物から採取される鱗素材。雷属性攻撃への耐性を強化し、武器の電撃効果を高めることも可能です。</v>
      </c>
      <c r="CQ140" t="str">
        <f>VLOOKUP(C140,武器!$A:$W,COLUMN(武器!W$1),FALSE)</f>
        <v>HP 物理 魔法 体幹 出血 疲労 Cr</v>
      </c>
      <c r="CS140" t="str">
        <f t="shared" si="21"/>
        <v>e_140</v>
      </c>
      <c r="CT140">
        <f t="shared" si="24"/>
        <v>1375000</v>
      </c>
    </row>
    <row r="141" spans="1:98" outlineLevel="1" x14ac:dyDescent="0.4">
      <c r="A141" t="str">
        <f t="shared" ref="A141" si="25">D141&amp;"の"&amp;C141</f>
        <v>氷蜥蜴の鱗の帽子</v>
      </c>
      <c r="B141" t="str">
        <f>IFERROR(VLOOKUP($D141,素材!$1:$1016,COLUMN($B$1),FALSE)&amp;"・"&amp;VLOOKUP($C141,武器!$1:$998,COLUMN(B$1),FALSE),"")</f>
        <v>アイスドレイクスケール・ハット</v>
      </c>
      <c r="C141" t="s">
        <v>1196</v>
      </c>
      <c r="D141" s="24" t="s">
        <v>248</v>
      </c>
      <c r="E141" t="str">
        <f>IFERROR(VLOOKUP(C141,武器!$1:$998,COLUMN(C$1),FALSE),"")</f>
        <v>頭</v>
      </c>
      <c r="F141">
        <f>IFERROR(ROUNDDOWN((VLOOKUP($C141,武器!$1:$998,COLUMN(D$1),FALSE)+IFERROR(VLOOKUP($CJ141,装強!$1:$999,COLUMN(F$1),FALSE),0))*VLOOKUP($D141,素材!$1:$1016,COLUMN(D$1),FALSE),0),"")</f>
        <v>0</v>
      </c>
      <c r="G141">
        <f>IFERROR(ROUNDDOWN((VLOOKUP($C141,武器!$1:$998,COLUMN(E$1),FALSE)+IFERROR(VLOOKUP($CJ141,装強!$1:$999,COLUMN(G$1),FALSE),0))*VLOOKUP($D141,素材!$1:$1016,COLUMN($E$1),FALSE),0),"")</f>
        <v>0</v>
      </c>
      <c r="H141">
        <f>IFERROR(ROUNDDOWN((VLOOKUP($C141,武器!$1:$998,COLUMN(F$1),FALSE)+IFERROR(VLOOKUP($CJ141,装強!$1:$999,COLUMN(H$1),FALSE),0))*VLOOKUP($D141,素材!$1:$1016,COLUMN($E$1),FALSE),0),"")</f>
        <v>0</v>
      </c>
      <c r="I141">
        <f>IFERROR(ROUNDDOWN((VLOOKUP($C141,武器!$1:$998,COLUMN(G$1),FALSE)+IFERROR(VLOOKUP($CJ141,装強!$1:$999,COLUMN(I$1),FALSE),0))*VLOOKUP($D141,素材!$1:$1016,COLUMN($E$1),FALSE),0),"")</f>
        <v>0</v>
      </c>
      <c r="J141">
        <f>IFERROR(ROUNDDOWN((VLOOKUP($C141,武器!$1:$998,COLUMN(H$1),FALSE)+IFERROR(VLOOKUP($CJ141,装強!$1:$999,COLUMN(J$1),FALSE),0))*VLOOKUP($D141,素材!$1:$1016,COLUMN($E$1),FALSE),0),"")</f>
        <v>0</v>
      </c>
      <c r="K141">
        <f>IFERROR(ROUNDDOWN((VLOOKUP($C141,武器!$1:$998,COLUMN(I$1),FALSE)+IFERROR(VLOOKUP($CJ141,装強!$1:$999,COLUMN(K$1),FALSE),0))*VLOOKUP($D141,素材!$1:$1016,COLUMN($E$1),FALSE),0),"")</f>
        <v>0</v>
      </c>
      <c r="L141" t="str">
        <f>IFERROR(VLOOKUP($D141,素材!$1:$1016,COLUMN($F$1),FALSE),"")</f>
        <v>氷</v>
      </c>
      <c r="M141">
        <f>IFERROR(VLOOKUP($C141,武器!$1:$998,COLUMN(AA$1),FALSE)*VLOOKUP($D141,素材!$1:$1016,COLUMN($G$1),FALSE),"")</f>
        <v>0</v>
      </c>
      <c r="N141">
        <f>IFERROR(VLOOKUP($C141,武器!$1:$998,COLUMN(I$1),FALSE),"")</f>
        <v>0</v>
      </c>
      <c r="O141" s="23" t="str">
        <f>IFERROR((VLOOKUP($C141,武器!$1:$998,COLUMN(K$1),FALSE)+VLOOKUP($D141,素材!$1:$1016,COLUMN(H$1),FALSE))*100+IFERROR(VLOOKUP($CJ141,装強!$1:$999,COLUMN(O$1),FALSE),0),"")</f>
        <v/>
      </c>
      <c r="P141" s="23" t="str">
        <f>IFERROR((VLOOKUP($C141,武器!$1:$998,COLUMN(L$1),FALSE)+VLOOKUP($D141,素材!$1:$1016,COLUMN(I$1),FALSE))*100+IFERROR(VLOOKUP($CJ141,装強!$1:$999,COLUMN(P$1),FALSE),0),"")</f>
        <v/>
      </c>
      <c r="Q141">
        <f>IFERROR(ROUNDUP(VLOOKUP($C141,武器!$1:$998,COLUMN(M$1),FALSE)*(VLOOKUP($D141,素材!$1:$1002,COLUMN(D$1),FALSE)/100),1),"")</f>
        <v>0</v>
      </c>
      <c r="R141">
        <f>IFERROR(ROUNDUP(VLOOKUP($C141,武器!$1:$998,COLUMN(N$1),FALSE)*(VLOOKUP($D141,素材!$1:$1002,COLUMN(D$1),FALSE)/100),1),"")</f>
        <v>0</v>
      </c>
      <c r="S141">
        <f>IFERROR(VLOOKUP($C141,武器!$1:$998,COLUMN(P$1),FALSE),"")</f>
        <v>0</v>
      </c>
      <c r="T141">
        <f>IFERROR(VLOOKUP($C141,武器!$1:$998,COLUMN(Q$1),FALSE),"")</f>
        <v>0</v>
      </c>
      <c r="U141">
        <f>IFERROR(VLOOKUP($C141,武器!$1:$998,COLUMN(R$1),FALSE),"")</f>
        <v>0</v>
      </c>
      <c r="V141">
        <f>IFERROR(VLOOKUP($C141,武器!$1:$998,COLUMN(Q$1),FALSE),"")</f>
        <v>0</v>
      </c>
      <c r="W141">
        <f>IFERROR(VLOOKUP($C141,武器!$1:$998,COLUMN(T$1),FALSE),"")</f>
        <v>0</v>
      </c>
      <c r="Y141">
        <f>IFERROR(VLOOKUP($C141,武器!$1:$998,COLUMN(U$1),FALSE),"")</f>
        <v>0</v>
      </c>
      <c r="Z141">
        <f>IFERROR(ROUNDUP(VLOOKUP($C141,武器!$1:$998,COLUMN(O$1),FALSE)*VLOOKUP($D141,素材!$1:$1016,COLUMN(E$1),FALSE),1),"")</f>
        <v>2.5</v>
      </c>
      <c r="AA141">
        <f>IF(ISNUMBER(SEARCH(SUBSTITUTE(AA$1,RIGHT(AA$1,2),""),VLOOKUP($D141,素材!$1:$1016,COLUMN($F$1),FALSE))),VLOOKUP($C141,武器!$1:$998,COLUMN($O$1),FALSE)*VLOOKUP($D141,素材!$1:$1016,COLUMN($E$1),FALSE)/(LEN(VLOOKUP($D141,素材!$1:$1016,COLUMN($F$1),FALSE))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B141">
        <f>IF(ISNUMBER(SEARCH(SUBSTITUTE(AB$1,RIGHT(AB$1,2),""),VLOOKUP($D141,素材!$1:$1016,COLUMN($F$1),FALSE))),VLOOKUP($C141,武器!$1:$998,COLUMN($O$1),FALSE)*VLOOKUP($D141,素材!$1:$1016,COLUMN($E$1),FALSE)/(LEN(VLOOKUP($D141,素材!$1:$1016,COLUMN($F$1),FALSE))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C141">
        <f>IF(ISNUMBER(SEARCH(SUBSTITUTE(AC$1,RIGHT(AC$1,2),""),VLOOKUP($D141,素材!$1:$1016,COLUMN($F$1),FALSE))),VLOOKUP($C141,武器!$1:$998,COLUMN($O$1),FALSE)*VLOOKUP($D141,素材!$1:$1016,COLUMN($E$1),FALSE)/(LEN(VLOOKUP($D141,素材!$1:$1016,COLUMN($F$1),FALSE))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D141">
        <f>IF(ISNUMBER(SEARCH(SUBSTITUTE(AD$1,RIGHT(AD$1,2),""),VLOOKUP($D141,素材!$1:$1016,COLUMN($F$1),FALSE))),VLOOKUP($C141,武器!$1:$998,COLUMN($O$1),FALSE)*VLOOKUP($D141,素材!$1:$1016,COLUMN($E$1),FALSE)/(LEN(VLOOKUP($D141,素材!$1:$1016,COLUMN($F$1),FALSE))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E141">
        <f>IF(ISNUMBER(SEARCH(SUBSTITUTE(AE$1,RIGHT(AE$1,2),""),VLOOKUP($D141,素材!$1:$1016,COLUMN($F$1),FALSE))),VLOOKUP($C141,武器!$1:$998,COLUMN($O$1),FALSE)*VLOOKUP($D141,素材!$1:$1016,COLUMN($E$1),FALSE)/(LEN(VLOOKUP($D141,素材!$1:$1016,COLUMN($F$1),FALSE))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F141">
        <f>IF(ISNUMBER(SEARCH(SUBSTITUTE(AF$1,RIGHT(AF$1,2),""),VLOOKUP($D141,素材!$1:$1016,COLUMN($F$1),FALSE))),VLOOKUP($C141,武器!$1:$998,COLUMN($O$1),FALSE)*VLOOKUP($D141,素材!$1:$1016,COLUMN($E$1),FALSE)/(LEN(VLOOKUP($D141,素材!$1:$1016,COLUMN($F$1),FALSE))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2.5</v>
      </c>
      <c r="AG141">
        <f>IF(ISNUMBER(SEARCH(SUBSTITUTE(AG$1,RIGHT(AG$1,2),""),VLOOKUP($D141,素材!$1:$1016,COLUMN($F$1),FALSE))),VLOOKUP($C141,武器!$1:$998,COLUMN($O$1),FALSE)*VLOOKUP($D141,素材!$1:$1016,COLUMN($E$1),FALSE)/(LEN(VLOOKUP($D141,素材!$1:$1016,COLUMN($F$1),FALSE))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H141">
        <f>IF(ISNUMBER(SEARCH(SUBSTITUTE(AH$1,RIGHT(AH$1,2),""),VLOOKUP($D141,素材!$1:$1016,COLUMN($F$1),FALSE))),VLOOKUP($C141,武器!$1:$998,COLUMN($O$1),FALSE)*VLOOKUP($D141,素材!$1:$1016,COLUMN($E$1),FALSE)/(LEN(VLOOKUP($D141,素材!$1:$1016,COLUMN($F$1),FALSE))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I141">
        <f>IF(ISNUMBER(SEARCH(SUBSTITUTE(AI$1,RIGHT(AI$1,2),""),VLOOKUP($D141,素材!$1:$1016,COLUMN($F$1),FALSE))),VLOOKUP($C141,武器!$1:$998,COLUMN($O$1),FALSE)*VLOOKUP($D141,素材!$1:$1016,COLUMN($E$1),FALSE)/(LEN(VLOOKUP($D141,素材!$1:$1016,COLUMN($F$1),FALSE))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J141">
        <f>IF(ISNUMBER(SEARCH(SUBSTITUTE(AJ$1,RIGHT(AJ$1,2),""),VLOOKUP($D141,素材!$1:$1016,COLUMN($F$1),FALSE))),VLOOKUP($C141,武器!$1:$998,COLUMN($O$1),FALSE)*VLOOKUP($D141,素材!$1:$1016,COLUMN($E$1),FALSE)/(LEN(VLOOKUP($D141,素材!$1:$1016,COLUMN($F$1),FALSE))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K141">
        <f>IF(ISNUMBER(SEARCH(SUBSTITUTE(AK$1,RIGHT(AK$1,2),""),VLOOKUP($D141,素材!$1:$1016,COLUMN($F$1),FALSE))),VLOOKUP($C141,武器!$1:$998,COLUMN($O$1),FALSE)*VLOOKUP($D141,素材!$1:$1016,COLUMN($E$1),FALSE)/(LEN(VLOOKUP($D141,素材!$1:$1016,COLUMN($F$1),FALSE))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L141">
        <f>IF(ISNUMBER(SEARCH(SUBSTITUTE(AL$1,RIGHT(AL$1,2),""),VLOOKUP($D141,素材!$1:$1016,COLUMN($F$1),FALSE))),VLOOKUP($C141,武器!$1:$998,COLUMN($O$1),FALSE)*VLOOKUP($D141,素材!$1:$1016,COLUMN($E$1),FALSE)/(LEN(VLOOKUP($D141,素材!$1:$1016,COLUMN($F$1),FALSE))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M141">
        <f>IF(ISNUMBER(SEARCH(SUBSTITUTE(AM$1,RIGHT(AM$1,2),""),VLOOKUP($D141,素材!$1:$1016,COLUMN($F$1),FALSE))),VLOOKUP($C141,武器!$1:$998,COLUMN($O$1),FALSE)*VLOOKUP($D141,素材!$1:$1016,COLUMN($E$1),FALSE)/(LEN(VLOOKUP($D141,素材!$1:$1016,COLUMN($F$1),FALSE))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N141">
        <f>IF(ISNUMBER(SEARCH(SUBSTITUTE(AN$1,RIGHT(AN$1,2),""),VLOOKUP($D141,素材!$1:$1016,COLUMN($F$1),FALSE))),VLOOKUP($C141,武器!$1:$998,COLUMN($O$1),FALSE)*VLOOKUP($D141,素材!$1:$1016,COLUMN($E$1),FALSE)/(LEN(VLOOKUP($D141,素材!$1:$1016,COLUMN($F$1),FALSE))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O141">
        <f>IF(ISNUMBER(SEARCH(SUBSTITUTE(AO$1,RIGHT(AO$1,2),""),VLOOKUP($D141,素材!$1:$1016,COLUMN($F$1),FALSE))),VLOOKUP($C141,武器!$1:$998,COLUMN($O$1),FALSE)*VLOOKUP($D141,素材!$1:$1016,COLUMN($E$1),FALSE)/(LEN(VLOOKUP($D141,素材!$1:$1016,COLUMN($F$1),FALSE))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P141">
        <f>IF(ISNUMBER(SEARCH(SUBSTITUTE(AP$1,RIGHT(AP$1,2),""),VLOOKUP($D141,素材!$1:$1016,COLUMN($F$1),FALSE))),VLOOKUP($C141,武器!$1:$998,COLUMN($O$1),FALSE)*VLOOKUP($D141,素材!$1:$1016,COLUMN($E$1),FALSE)/(LEN(VLOOKUP($D141,素材!$1:$1016,COLUMN($F$1),FALSE))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Q141">
        <f>IF(ISNUMBER(SEARCH(SUBSTITUTE(AQ$1,RIGHT(AQ$1,2),""),VLOOKUP($D141,素材!$1:$1016,COLUMN($F$1),FALSE))),VLOOKUP($C141,武器!$1:$998,COLUMN($O$1),FALSE)*VLOOKUP($D141,素材!$1:$1016,COLUMN($E$1),FALSE)/(LEN(VLOOKUP($D141,素材!$1:$1016,COLUMN($F$1),FALSE))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R141">
        <f>IF(ISNUMBER(SEARCH(SUBSTITUTE(AR$1,RIGHT(AR$1,2),""),VLOOKUP($D141,素材!$1:$1016,COLUMN($F$1),FALSE))),VLOOKUP($C141,武器!$1:$998,COLUMN($O$1),FALSE)*VLOOKUP($D141,素材!$1:$1016,COLUMN($E$1),FALSE)/(LEN(VLOOKUP($D141,素材!$1:$1016,COLUMN($F$1),FALSE))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S141">
        <f>IF(ISNUMBER(SEARCH(SUBSTITUTE(AS$1,RIGHT(AS$1,2),""),VLOOKUP($D141,素材!$1:$1016,COLUMN($F$1),FALSE))),VLOOKUP($C141,武器!$1:$998,COLUMN($O$1),FALSE)*VLOOKUP($D141,素材!$1:$1016,COLUMN($E$1),FALSE)/(LEN(VLOOKUP($D141,素材!$1:$1016,COLUMN($F$1),FALSE))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T141">
        <f>IF(ISNUMBER(SEARCH(SUBSTITUTE(AT$1,RIGHT(AT$1,2),""),VLOOKUP($D141,素材!$1:$1016,COLUMN($F$1),FALSE))),VLOOKUP($C141,武器!$1:$998,COLUMN($O$1),FALSE)*VLOOKUP($D141,素材!$1:$1016,COLUMN($E$1),FALSE)/(LEN(VLOOKUP($D141,素材!$1:$1016,COLUMN($F$1),FALSE))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U141">
        <f>IF(ISNUMBER(SEARCH(SUBSTITUTE(AU$1,RIGHT(AU$1,2),""),VLOOKUP($D141,素材!$1:$1016,COLUMN($F$1),FALSE))),VLOOKUP($C141,武器!$1:$998,COLUMN($O$1),FALSE)*VLOOKUP($D141,素材!$1:$1016,COLUMN($E$1),FALSE)/(LEN(VLOOKUP($D141,素材!$1:$1016,COLUMN($F$1),FALSE))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V141">
        <f>IF(ISNUMBER(SEARCH(SUBSTITUTE(AV$1,RIGHT(AV$1,2),""),VLOOKUP($D141,素材!$1:$1016,COLUMN($F$1),FALSE))),VLOOKUP($C141,武器!$1:$998,COLUMN($O$1),FALSE)*VLOOKUP($D141,素材!$1:$1016,COLUMN($E$1),FALSE)/(LEN(VLOOKUP($D141,素材!$1:$1016,COLUMN($F$1),FALSE))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W141">
        <f>IF(ISNUMBER(SEARCH(SUBSTITUTE(AW$1,RIGHT(AW$1,2),""),VLOOKUP($D141,素材!$1:$1016,COLUMN($F$1),FALSE))),VLOOKUP($C141,武器!$1:$998,COLUMN($O$1),FALSE)*VLOOKUP($D141,素材!$1:$1016,COLUMN($E$1),FALSE)/(LEN(VLOOKUP($D141,素材!$1:$1016,COLUMN($F$1),FALSE))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X141">
        <f>IF(ISNUMBER(SEARCH(SUBSTITUTE(AX$1,RIGHT(AX$1,2),""),VLOOKUP($D141,素材!$1:$1016,COLUMN($F$1),FALSE))),VLOOKUP($C141,武器!$1:$998,COLUMN($O$1),FALSE)*VLOOKUP($D141,素材!$1:$1016,COLUMN($E$1),FALSE)/(LEN(VLOOKUP($D141,素材!$1:$1016,COLUMN($F$1),FALSE))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Y141">
        <f>IF(ISNUMBER(SEARCH(SUBSTITUTE(AY$1,RIGHT(AY$1,2),""),VLOOKUP($D141,素材!$1:$1016,COLUMN($F$1),FALSE))),VLOOKUP($C141,武器!$1:$998,COLUMN($O$1),FALSE)*VLOOKUP($D141,素材!$1:$1016,COLUMN($E$1),FALSE)/(LEN(VLOOKUP($D141,素材!$1:$1016,COLUMN($F$1),FALSE))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AZ141">
        <f>IF(ISNUMBER(SEARCH(SUBSTITUTE(AZ$1,RIGHT(AZ$1,2),""),VLOOKUP($D141,素材!$1:$1016,COLUMN($F$1),FALSE))),VLOOKUP($C141,武器!$1:$998,COLUMN($O$1),FALSE)*VLOOKUP($D141,素材!$1:$1016,COLUMN($E$1),FALSE)/(LEN(VLOOKUP($D141,素材!$1:$1016,COLUMN($F$1),FALSE))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BA141">
        <f>IF(ISNUMBER(SEARCH(SUBSTITUTE(BA$1,RIGHT(BA$1,2),""),VLOOKUP($D141,素材!$1:$1016,COLUMN($F$1),FALSE))),VLOOKUP($C141,武器!$1:$998,COLUMN($O$1),FALSE)*VLOOKUP($D141,素材!$1:$1016,COLUMN($E$1),FALSE)/(LEN(VLOOKUP($D141,素材!$1:$1016,COLUMN($F$1),FALSE))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BB141">
        <f>IF(ISNUMBER(SEARCH(SUBSTITUTE(BB$1,RIGHT(BB$1,2),""),VLOOKUP($D141,素材!$1:$1016,COLUMN($F$1),FALSE))),VLOOKUP($C141,武器!$1:$998,COLUMN($O$1),FALSE)*VLOOKUP($D141,素材!$1:$1016,COLUMN($E$1),FALSE)/(LEN(VLOOKUP($D141,素材!$1:$1016,COLUMN($F$1),FALSE))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BC141">
        <f>IF(ISNUMBER(SEARCH(SUBSTITUTE(BC$1,RIGHT(BC$1,2),""),VLOOKUP($D141,素材!$1:$1016,COLUMN($F$1),FALSE))),VLOOKUP($C141,武器!$1:$998,COLUMN($O$1),FALSE)*VLOOKUP($D141,素材!$1:$1016,COLUMN($E$1),FALSE)/(LEN(VLOOKUP($D141,素材!$1:$1016,COLUMN($F$1),FALSE))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BD141">
        <f>IF(ISNUMBER(SEARCH(SUBSTITUTE(BD$1,RIGHT(BD$1,2),""),VLOOKUP($D141,素材!$1:$1016,COLUMN($F$1),FALSE))),VLOOKUP($C141,武器!$1:$998,COLUMN($O$1),FALSE)*VLOOKUP($D141,素材!$1:$1016,COLUMN($E$1),FALSE)/(LEN(VLOOKUP($D141,素材!$1:$1016,COLUMN($F$1),FALSE))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BE141">
        <f>IF(ISNUMBER(SEARCH(SUBSTITUTE(BE$1,RIGHT(BE$1,2),""),VLOOKUP($D141,素材!$1:$1016,COLUMN($F$1),FALSE))),VLOOKUP($C141,武器!$1:$998,COLUMN($O$1),FALSE)*VLOOKUP($D141,素材!$1:$1016,COLUMN($E$1),FALSE)/(LEN(VLOOKUP($D141,素材!$1:$1016,COLUMN($F$1),FALSE))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BF141">
        <f>IF(ISNUMBER(SEARCH(SUBSTITUTE(BF$1,RIGHT(BF$1,2),""),VLOOKUP($D141,素材!$1:$1016,COLUMN($F$1),FALSE))),VLOOKUP($C141,武器!$1:$998,COLUMN($O$1),FALSE)*VLOOKUP($D141,素材!$1:$1016,COLUMN($E$1),FALSE)/(LEN(VLOOKUP($D141,素材!$1:$1016,COLUMN($F$1),FALSE)) - LEN(SUBSTITUTE(VLOOKUP($D141,素材!$1:$1016,COLUMN($F$1),FALSE), "・", 0)) + 1), 0)</f>
        <v>0</v>
      </c>
      <c r="CM141">
        <f t="shared" si="19"/>
        <v>0</v>
      </c>
      <c r="CN141" s="22" t="str">
        <f>IF(E141="武器",IF(J141-1&gt;SUM(G141:I141),"盾",IF(MAX(G141:I141)=G141,"切断",IF(MAX(G141:I141)=H141,"貫通",IF(MAX(G141:I141)=I141,"打撃","射撃")))),E141)&amp;".webp"</f>
        <v>頭.webp</v>
      </c>
      <c r="CO141">
        <f>IFERROR(VLOOKUP($C141,武器!$1:$998,COLUMN(V$1),FALSE)*VLOOKUP($D141,素材!$1:$1016,COLUMN(N$1),FALSE)+IF(CJ141="",0,VLOOKUP($CJ141,装強!$1:$1008,COLUMN($CL$1),FALSE)),"")</f>
        <v>5500</v>
      </c>
      <c r="CP141" t="str">
        <f>VLOOKUP(D141,素材!$A:$O,COLUMN(素材!O$1),FALSE)</f>
        <v>氷属性を持つドラゴン型生物から採取される鱗素材。極寒の環境や冷気攻撃への対策として優れた性能を発揮します。</v>
      </c>
      <c r="CQ141" t="str">
        <f>VLOOKUP(C141,武器!$A:$W,COLUMN(武器!W$1),FALSE)</f>
        <v>命中 魔防 Cr</v>
      </c>
      <c r="CS141" t="str">
        <f t="shared" si="21"/>
        <v>e_141</v>
      </c>
      <c r="CT141">
        <f t="shared" ref="CT141" si="26">CO141*100</f>
        <v>550000</v>
      </c>
    </row>
    <row r="142" spans="1:98" outlineLevel="1" x14ac:dyDescent="0.4">
      <c r="A142" t="str">
        <f t="shared" si="20"/>
        <v>氷蜥蜴の鱗の衣布</v>
      </c>
      <c r="B142" t="str">
        <f>IFERROR(VLOOKUP($D142,素材!$1:$1016,COLUMN($B$1),FALSE)&amp;"・"&amp;VLOOKUP($C142,武器!$1:$998,COLUMN(B$1),FALSE),"")</f>
        <v>アイスドレイクスケール・クロース</v>
      </c>
      <c r="C142" t="s">
        <v>247</v>
      </c>
      <c r="D142" s="24" t="s">
        <v>248</v>
      </c>
      <c r="E142" t="str">
        <f>IFERROR(VLOOKUP(C142,武器!$1:$998,COLUMN(C$1),FALSE),"")</f>
        <v>体</v>
      </c>
      <c r="F142">
        <f>IFERROR(ROUNDDOWN((VLOOKUP($C142,武器!$1:$998,COLUMN(D$1),FALSE)+IFERROR(VLOOKUP($CJ142,装強!$1:$999,COLUMN(F$1),FALSE),0))*VLOOKUP($D142,素材!$1:$1016,COLUMN(D$1),FALSE),0),"")</f>
        <v>0</v>
      </c>
      <c r="G142">
        <f>IFERROR(ROUNDDOWN((VLOOKUP($C142,武器!$1:$998,COLUMN(E$1),FALSE)+IFERROR(VLOOKUP($CJ142,装強!$1:$999,COLUMN(G$1),FALSE),0))*VLOOKUP($D142,素材!$1:$1016,COLUMN($E$1),FALSE),0),"")</f>
        <v>0</v>
      </c>
      <c r="H142">
        <f>IFERROR(ROUNDDOWN((VLOOKUP($C142,武器!$1:$998,COLUMN(F$1),FALSE)+IFERROR(VLOOKUP($CJ142,装強!$1:$999,COLUMN(H$1),FALSE),0))*VLOOKUP($D142,素材!$1:$1016,COLUMN($E$1),FALSE),0),"")</f>
        <v>0</v>
      </c>
      <c r="I142">
        <f>IFERROR(ROUNDDOWN((VLOOKUP($C142,武器!$1:$998,COLUMN(G$1),FALSE)+IFERROR(VLOOKUP($CJ142,装強!$1:$999,COLUMN(I$1),FALSE),0))*VLOOKUP($D142,素材!$1:$1016,COLUMN($E$1),FALSE),0),"")</f>
        <v>0</v>
      </c>
      <c r="J142">
        <f>IFERROR(ROUNDDOWN((VLOOKUP($C142,武器!$1:$998,COLUMN(H$1),FALSE)+IFERROR(VLOOKUP($CJ142,装強!$1:$999,COLUMN(J$1),FALSE),0))*VLOOKUP($D142,素材!$1:$1016,COLUMN($E$1),FALSE),0),"")</f>
        <v>0</v>
      </c>
      <c r="K142">
        <f>IFERROR(ROUNDDOWN((VLOOKUP($C142,武器!$1:$998,COLUMN(I$1),FALSE)+IFERROR(VLOOKUP($CJ142,装強!$1:$999,COLUMN(K$1),FALSE),0))*VLOOKUP($D142,素材!$1:$1016,COLUMN($E$1),FALSE),0),"")</f>
        <v>0</v>
      </c>
      <c r="L142" t="str">
        <f>IFERROR(VLOOKUP($D142,素材!$1:$1016,COLUMN($F$1),FALSE),"")</f>
        <v>氷</v>
      </c>
      <c r="M142">
        <f>IFERROR(VLOOKUP($C142,武器!$1:$998,COLUMN(AA$1),FALSE)*VLOOKUP($D142,素材!$1:$1016,COLUMN($G$1),FALSE),"")</f>
        <v>0</v>
      </c>
      <c r="N142">
        <f>IFERROR(VLOOKUP($C142,武器!$1:$998,COLUMN(I$1),FALSE),"")</f>
        <v>0</v>
      </c>
      <c r="O142" s="23" t="str">
        <f>IFERROR((VLOOKUP($C142,武器!$1:$998,COLUMN(K$1),FALSE)+VLOOKUP($D142,素材!$1:$1016,COLUMN(H$1),FALSE))*100+IFERROR(VLOOKUP($CJ142,装強!$1:$999,COLUMN(O$1),FALSE),0),"")</f>
        <v/>
      </c>
      <c r="P142" s="23" t="str">
        <f>IFERROR((VLOOKUP($C142,武器!$1:$998,COLUMN(L$1),FALSE)+VLOOKUP($D142,素材!$1:$1016,COLUMN(I$1),FALSE))*100+IFERROR(VLOOKUP($CJ142,装強!$1:$999,COLUMN(P$1),FALSE),0),"")</f>
        <v/>
      </c>
      <c r="Q142">
        <f>IFERROR(ROUNDUP(VLOOKUP($C142,武器!$1:$998,COLUMN(M$1),FALSE)*(VLOOKUP($D142,素材!$1:$1002,COLUMN(D$1),FALSE)/100),1),"")</f>
        <v>0</v>
      </c>
      <c r="R142">
        <f>IFERROR(ROUNDUP(VLOOKUP($C142,武器!$1:$998,COLUMN(N$1),FALSE)*(VLOOKUP($D142,素材!$1:$1002,COLUMN(D$1),FALSE)/100),1),"")</f>
        <v>0</v>
      </c>
      <c r="S142">
        <f>IFERROR(VLOOKUP($C142,武器!$1:$998,COLUMN(P$1),FALSE),"")</f>
        <v>0</v>
      </c>
      <c r="T142">
        <f>IFERROR(VLOOKUP($C142,武器!$1:$998,COLUMN(Q$1),FALSE),"")</f>
        <v>0</v>
      </c>
      <c r="U142">
        <f>IFERROR(VLOOKUP($C142,武器!$1:$998,COLUMN(R$1),FALSE),"")</f>
        <v>0</v>
      </c>
      <c r="V142">
        <f>IFERROR(VLOOKUP($C142,武器!$1:$998,COLUMN(Q$1),FALSE),"")</f>
        <v>0</v>
      </c>
      <c r="W142">
        <f>IFERROR(VLOOKUP($C142,武器!$1:$998,COLUMN(T$1),FALSE),"")</f>
        <v>0</v>
      </c>
      <c r="Y142">
        <f>IFERROR(VLOOKUP($C142,武器!$1:$998,COLUMN(U$1),FALSE),"")</f>
        <v>0</v>
      </c>
      <c r="Z142">
        <f>IFERROR(ROUNDUP(VLOOKUP($C142,武器!$1:$998,COLUMN(O$1),FALSE)*VLOOKUP($D142,素材!$1:$1016,COLUMN(E$1),FALSE),1),"")</f>
        <v>7.5</v>
      </c>
      <c r="AA142">
        <f>IF(ISNUMBER(SEARCH(SUBSTITUTE(AA$1,RIGHT(AA$1,2),""),VLOOKUP($D142,素材!$1:$1016,COLUMN($F$1),FALSE))),VLOOKUP($C142,武器!$1:$998,COLUMN($O$1),FALSE)*VLOOKUP($D142,素材!$1:$1016,COLUMN($E$1),FALSE)/(LEN(VLOOKUP($D142,素材!$1:$1016,COLUMN($F$1),FALSE))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B142">
        <f>IF(ISNUMBER(SEARCH(SUBSTITUTE(AB$1,RIGHT(AB$1,2),""),VLOOKUP($D142,素材!$1:$1016,COLUMN($F$1),FALSE))),VLOOKUP($C142,武器!$1:$998,COLUMN($O$1),FALSE)*VLOOKUP($D142,素材!$1:$1016,COLUMN($E$1),FALSE)/(LEN(VLOOKUP($D142,素材!$1:$1016,COLUMN($F$1),FALSE))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C142">
        <f>IF(ISNUMBER(SEARCH(SUBSTITUTE(AC$1,RIGHT(AC$1,2),""),VLOOKUP($D142,素材!$1:$1016,COLUMN($F$1),FALSE))),VLOOKUP($C142,武器!$1:$998,COLUMN($O$1),FALSE)*VLOOKUP($D142,素材!$1:$1016,COLUMN($E$1),FALSE)/(LEN(VLOOKUP($D142,素材!$1:$1016,COLUMN($F$1),FALSE))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D142">
        <f>IF(ISNUMBER(SEARCH(SUBSTITUTE(AD$1,RIGHT(AD$1,2),""),VLOOKUP($D142,素材!$1:$1016,COLUMN($F$1),FALSE))),VLOOKUP($C142,武器!$1:$998,COLUMN($O$1),FALSE)*VLOOKUP($D142,素材!$1:$1016,COLUMN($E$1),FALSE)/(LEN(VLOOKUP($D142,素材!$1:$1016,COLUMN($F$1),FALSE))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E142">
        <f>IF(ISNUMBER(SEARCH(SUBSTITUTE(AE$1,RIGHT(AE$1,2),""),VLOOKUP($D142,素材!$1:$1016,COLUMN($F$1),FALSE))),VLOOKUP($C142,武器!$1:$998,COLUMN($O$1),FALSE)*VLOOKUP($D142,素材!$1:$1016,COLUMN($E$1),FALSE)/(LEN(VLOOKUP($D142,素材!$1:$1016,COLUMN($F$1),FALSE))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F142">
        <f>IF(ISNUMBER(SEARCH(SUBSTITUTE(AF$1,RIGHT(AF$1,2),""),VLOOKUP($D142,素材!$1:$1016,COLUMN($F$1),FALSE))),VLOOKUP($C142,武器!$1:$998,COLUMN($O$1),FALSE)*VLOOKUP($D142,素材!$1:$1016,COLUMN($E$1),FALSE)/(LEN(VLOOKUP($D142,素材!$1:$1016,COLUMN($F$1),FALSE))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7.5</v>
      </c>
      <c r="AG142">
        <f>IF(ISNUMBER(SEARCH(SUBSTITUTE(AG$1,RIGHT(AG$1,2),""),VLOOKUP($D142,素材!$1:$1016,COLUMN($F$1),FALSE))),VLOOKUP($C142,武器!$1:$998,COLUMN($O$1),FALSE)*VLOOKUP($D142,素材!$1:$1016,COLUMN($E$1),FALSE)/(LEN(VLOOKUP($D142,素材!$1:$1016,COLUMN($F$1),FALSE))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H142">
        <f>IF(ISNUMBER(SEARCH(SUBSTITUTE(AH$1,RIGHT(AH$1,2),""),VLOOKUP($D142,素材!$1:$1016,COLUMN($F$1),FALSE))),VLOOKUP($C142,武器!$1:$998,COLUMN($O$1),FALSE)*VLOOKUP($D142,素材!$1:$1016,COLUMN($E$1),FALSE)/(LEN(VLOOKUP($D142,素材!$1:$1016,COLUMN($F$1),FALSE))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I142">
        <f>IF(ISNUMBER(SEARCH(SUBSTITUTE(AI$1,RIGHT(AI$1,2),""),VLOOKUP($D142,素材!$1:$1016,COLUMN($F$1),FALSE))),VLOOKUP($C142,武器!$1:$998,COLUMN($O$1),FALSE)*VLOOKUP($D142,素材!$1:$1016,COLUMN($E$1),FALSE)/(LEN(VLOOKUP($D142,素材!$1:$1016,COLUMN($F$1),FALSE))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J142">
        <f>IF(ISNUMBER(SEARCH(SUBSTITUTE(AJ$1,RIGHT(AJ$1,2),""),VLOOKUP($D142,素材!$1:$1016,COLUMN($F$1),FALSE))),VLOOKUP($C142,武器!$1:$998,COLUMN($O$1),FALSE)*VLOOKUP($D142,素材!$1:$1016,COLUMN($E$1),FALSE)/(LEN(VLOOKUP($D142,素材!$1:$1016,COLUMN($F$1),FALSE))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K142">
        <f>IF(ISNUMBER(SEARCH(SUBSTITUTE(AK$1,RIGHT(AK$1,2),""),VLOOKUP($D142,素材!$1:$1016,COLUMN($F$1),FALSE))),VLOOKUP($C142,武器!$1:$998,COLUMN($O$1),FALSE)*VLOOKUP($D142,素材!$1:$1016,COLUMN($E$1),FALSE)/(LEN(VLOOKUP($D142,素材!$1:$1016,COLUMN($F$1),FALSE))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L142">
        <f>IF(ISNUMBER(SEARCH(SUBSTITUTE(AL$1,RIGHT(AL$1,2),""),VLOOKUP($D142,素材!$1:$1016,COLUMN($F$1),FALSE))),VLOOKUP($C142,武器!$1:$998,COLUMN($O$1),FALSE)*VLOOKUP($D142,素材!$1:$1016,COLUMN($E$1),FALSE)/(LEN(VLOOKUP($D142,素材!$1:$1016,COLUMN($F$1),FALSE))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M142">
        <f>IF(ISNUMBER(SEARCH(SUBSTITUTE(AM$1,RIGHT(AM$1,2),""),VLOOKUP($D142,素材!$1:$1016,COLUMN($F$1),FALSE))),VLOOKUP($C142,武器!$1:$998,COLUMN($O$1),FALSE)*VLOOKUP($D142,素材!$1:$1016,COLUMN($E$1),FALSE)/(LEN(VLOOKUP($D142,素材!$1:$1016,COLUMN($F$1),FALSE))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N142">
        <f>IF(ISNUMBER(SEARCH(SUBSTITUTE(AN$1,RIGHT(AN$1,2),""),VLOOKUP($D142,素材!$1:$1016,COLUMN($F$1),FALSE))),VLOOKUP($C142,武器!$1:$998,COLUMN($O$1),FALSE)*VLOOKUP($D142,素材!$1:$1016,COLUMN($E$1),FALSE)/(LEN(VLOOKUP($D142,素材!$1:$1016,COLUMN($F$1),FALSE))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O142">
        <f>IF(ISNUMBER(SEARCH(SUBSTITUTE(AO$1,RIGHT(AO$1,2),""),VLOOKUP($D142,素材!$1:$1016,COLUMN($F$1),FALSE))),VLOOKUP($C142,武器!$1:$998,COLUMN($O$1),FALSE)*VLOOKUP($D142,素材!$1:$1016,COLUMN($E$1),FALSE)/(LEN(VLOOKUP($D142,素材!$1:$1016,COLUMN($F$1),FALSE))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P142">
        <f>IF(ISNUMBER(SEARCH(SUBSTITUTE(AP$1,RIGHT(AP$1,2),""),VLOOKUP($D142,素材!$1:$1016,COLUMN($F$1),FALSE))),VLOOKUP($C142,武器!$1:$998,COLUMN($O$1),FALSE)*VLOOKUP($D142,素材!$1:$1016,COLUMN($E$1),FALSE)/(LEN(VLOOKUP($D142,素材!$1:$1016,COLUMN($F$1),FALSE))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Q142">
        <f>IF(ISNUMBER(SEARCH(SUBSTITUTE(AQ$1,RIGHT(AQ$1,2),""),VLOOKUP($D142,素材!$1:$1016,COLUMN($F$1),FALSE))),VLOOKUP($C142,武器!$1:$998,COLUMN($O$1),FALSE)*VLOOKUP($D142,素材!$1:$1016,COLUMN($E$1),FALSE)/(LEN(VLOOKUP($D142,素材!$1:$1016,COLUMN($F$1),FALSE))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R142">
        <f>IF(ISNUMBER(SEARCH(SUBSTITUTE(AR$1,RIGHT(AR$1,2),""),VLOOKUP($D142,素材!$1:$1016,COLUMN($F$1),FALSE))),VLOOKUP($C142,武器!$1:$998,COLUMN($O$1),FALSE)*VLOOKUP($D142,素材!$1:$1016,COLUMN($E$1),FALSE)/(LEN(VLOOKUP($D142,素材!$1:$1016,COLUMN($F$1),FALSE))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S142">
        <f>IF(ISNUMBER(SEARCH(SUBSTITUTE(AS$1,RIGHT(AS$1,2),""),VLOOKUP($D142,素材!$1:$1016,COLUMN($F$1),FALSE))),VLOOKUP($C142,武器!$1:$998,COLUMN($O$1),FALSE)*VLOOKUP($D142,素材!$1:$1016,COLUMN($E$1),FALSE)/(LEN(VLOOKUP($D142,素材!$1:$1016,COLUMN($F$1),FALSE))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T142">
        <f>IF(ISNUMBER(SEARCH(SUBSTITUTE(AT$1,RIGHT(AT$1,2),""),VLOOKUP($D142,素材!$1:$1016,COLUMN($F$1),FALSE))),VLOOKUP($C142,武器!$1:$998,COLUMN($O$1),FALSE)*VLOOKUP($D142,素材!$1:$1016,COLUMN($E$1),FALSE)/(LEN(VLOOKUP($D142,素材!$1:$1016,COLUMN($F$1),FALSE))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U142">
        <f>IF(ISNUMBER(SEARCH(SUBSTITUTE(AU$1,RIGHT(AU$1,2),""),VLOOKUP($D142,素材!$1:$1016,COLUMN($F$1),FALSE))),VLOOKUP($C142,武器!$1:$998,COLUMN($O$1),FALSE)*VLOOKUP($D142,素材!$1:$1016,COLUMN($E$1),FALSE)/(LEN(VLOOKUP($D142,素材!$1:$1016,COLUMN($F$1),FALSE))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V142">
        <f>IF(ISNUMBER(SEARCH(SUBSTITUTE(AV$1,RIGHT(AV$1,2),""),VLOOKUP($D142,素材!$1:$1016,COLUMN($F$1),FALSE))),VLOOKUP($C142,武器!$1:$998,COLUMN($O$1),FALSE)*VLOOKUP($D142,素材!$1:$1016,COLUMN($E$1),FALSE)/(LEN(VLOOKUP($D142,素材!$1:$1016,COLUMN($F$1),FALSE))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W142">
        <f>IF(ISNUMBER(SEARCH(SUBSTITUTE(AW$1,RIGHT(AW$1,2),""),VLOOKUP($D142,素材!$1:$1016,COLUMN($F$1),FALSE))),VLOOKUP($C142,武器!$1:$998,COLUMN($O$1),FALSE)*VLOOKUP($D142,素材!$1:$1016,COLUMN($E$1),FALSE)/(LEN(VLOOKUP($D142,素材!$1:$1016,COLUMN($F$1),FALSE))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X142">
        <f>IF(ISNUMBER(SEARCH(SUBSTITUTE(AX$1,RIGHT(AX$1,2),""),VLOOKUP($D142,素材!$1:$1016,COLUMN($F$1),FALSE))),VLOOKUP($C142,武器!$1:$998,COLUMN($O$1),FALSE)*VLOOKUP($D142,素材!$1:$1016,COLUMN($E$1),FALSE)/(LEN(VLOOKUP($D142,素材!$1:$1016,COLUMN($F$1),FALSE))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Y142">
        <f>IF(ISNUMBER(SEARCH(SUBSTITUTE(AY$1,RIGHT(AY$1,2),""),VLOOKUP($D142,素材!$1:$1016,COLUMN($F$1),FALSE))),VLOOKUP($C142,武器!$1:$998,COLUMN($O$1),FALSE)*VLOOKUP($D142,素材!$1:$1016,COLUMN($E$1),FALSE)/(LEN(VLOOKUP($D142,素材!$1:$1016,COLUMN($F$1),FALSE))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AZ142">
        <f>IF(ISNUMBER(SEARCH(SUBSTITUTE(AZ$1,RIGHT(AZ$1,2),""),VLOOKUP($D142,素材!$1:$1016,COLUMN($F$1),FALSE))),VLOOKUP($C142,武器!$1:$998,COLUMN($O$1),FALSE)*VLOOKUP($D142,素材!$1:$1016,COLUMN($E$1),FALSE)/(LEN(VLOOKUP($D142,素材!$1:$1016,COLUMN($F$1),FALSE))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BA142">
        <f>IF(ISNUMBER(SEARCH(SUBSTITUTE(BA$1,RIGHT(BA$1,2),""),VLOOKUP($D142,素材!$1:$1016,COLUMN($F$1),FALSE))),VLOOKUP($C142,武器!$1:$998,COLUMN($O$1),FALSE)*VLOOKUP($D142,素材!$1:$1016,COLUMN($E$1),FALSE)/(LEN(VLOOKUP($D142,素材!$1:$1016,COLUMN($F$1),FALSE))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BB142">
        <f>IF(ISNUMBER(SEARCH(SUBSTITUTE(BB$1,RIGHT(BB$1,2),""),VLOOKUP($D142,素材!$1:$1016,COLUMN($F$1),FALSE))),VLOOKUP($C142,武器!$1:$998,COLUMN($O$1),FALSE)*VLOOKUP($D142,素材!$1:$1016,COLUMN($E$1),FALSE)/(LEN(VLOOKUP($D142,素材!$1:$1016,COLUMN($F$1),FALSE))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BC142">
        <f>IF(ISNUMBER(SEARCH(SUBSTITUTE(BC$1,RIGHT(BC$1,2),""),VLOOKUP($D142,素材!$1:$1016,COLUMN($F$1),FALSE))),VLOOKUP($C142,武器!$1:$998,COLUMN($O$1),FALSE)*VLOOKUP($D142,素材!$1:$1016,COLUMN($E$1),FALSE)/(LEN(VLOOKUP($D142,素材!$1:$1016,COLUMN($F$1),FALSE))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BD142">
        <f>IF(ISNUMBER(SEARCH(SUBSTITUTE(BD$1,RIGHT(BD$1,2),""),VLOOKUP($D142,素材!$1:$1016,COLUMN($F$1),FALSE))),VLOOKUP($C142,武器!$1:$998,COLUMN($O$1),FALSE)*VLOOKUP($D142,素材!$1:$1016,COLUMN($E$1),FALSE)/(LEN(VLOOKUP($D142,素材!$1:$1016,COLUMN($F$1),FALSE))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BE142">
        <f>IF(ISNUMBER(SEARCH(SUBSTITUTE(BE$1,RIGHT(BE$1,2),""),VLOOKUP($D142,素材!$1:$1016,COLUMN($F$1),FALSE))),VLOOKUP($C142,武器!$1:$998,COLUMN($O$1),FALSE)*VLOOKUP($D142,素材!$1:$1016,COLUMN($E$1),FALSE)/(LEN(VLOOKUP($D142,素材!$1:$1016,COLUMN($F$1),FALSE))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BF142">
        <f>IF(ISNUMBER(SEARCH(SUBSTITUTE(BF$1,RIGHT(BF$1,2),""),VLOOKUP($D142,素材!$1:$1016,COLUMN($F$1),FALSE))),VLOOKUP($C142,武器!$1:$998,COLUMN($O$1),FALSE)*VLOOKUP($D142,素材!$1:$1016,COLUMN($E$1),FALSE)/(LEN(VLOOKUP($D142,素材!$1:$1016,COLUMN($F$1),FALSE)) - LEN(SUBSTITUTE(VLOOKUP($D142,素材!$1:$1016,COLUMN($F$1),FALSE), "・", 0)) + 1), 0)</f>
        <v>0</v>
      </c>
      <c r="CM142">
        <f t="shared" si="19"/>
        <v>0</v>
      </c>
      <c r="CN142" s="22" t="str">
        <f>IF(E142="武器",IF(J142-1&gt;SUM(G142:I142),"盾",IF(MAX(G142:I142)=G142,"切断",IF(MAX(G142:I142)=H142,"貫通",IF(MAX(G142:I142)=I142,"打撃","射撃")))),E142)&amp;".webp"</f>
        <v>体.webp</v>
      </c>
      <c r="CO142">
        <f>IFERROR(VLOOKUP($C142,武器!$1:$998,COLUMN(V$1),FALSE)*VLOOKUP($D142,素材!$1:$1016,COLUMN(N$1),FALSE)+IF(CJ142="",0,VLOOKUP($CJ142,装強!$1:$1008,COLUMN($CL$1),FALSE)),"")</f>
        <v>11000</v>
      </c>
      <c r="CP142" t="str">
        <f>VLOOKUP(D142,素材!$A:$O,COLUMN(素材!O$1),FALSE)</f>
        <v>氷属性を持つドラゴン型生物から採取される鱗素材。極寒の環境や冷気攻撃への対策として優れた性能を発揮します。</v>
      </c>
      <c r="CQ142" t="str">
        <f>VLOOKUP(C142,武器!$A:$W,COLUMN(武器!W$1),FALSE)</f>
        <v>HP 物理 魔法 体幹 出血 疲労 Cr</v>
      </c>
      <c r="CS142" t="str">
        <f t="shared" si="21"/>
        <v>e_142</v>
      </c>
      <c r="CT142">
        <f t="shared" si="24"/>
        <v>1100000</v>
      </c>
    </row>
    <row r="143" spans="1:98" outlineLevel="1" x14ac:dyDescent="0.4">
      <c r="A143" t="str">
        <f t="shared" si="20"/>
        <v>氷蜥蜴の鱗の法衣</v>
      </c>
      <c r="B143" t="str">
        <f>IFERROR(VLOOKUP($D143,素材!$1:$1016,COLUMN($B$1),FALSE)&amp;"・"&amp;VLOOKUP($C143,武器!$1:$998,COLUMN(B$1),FALSE),"")</f>
        <v>アイスドレイクスケール・ローブ</v>
      </c>
      <c r="C143" t="s">
        <v>246</v>
      </c>
      <c r="D143" s="24" t="s">
        <v>248</v>
      </c>
      <c r="E143" t="str">
        <f>IFERROR(VLOOKUP(C143,武器!$1:$998,COLUMN(C$1),FALSE),"")</f>
        <v>体</v>
      </c>
      <c r="F143">
        <f>IFERROR(ROUNDDOWN((VLOOKUP($C143,武器!$1:$998,COLUMN(D$1),FALSE)+IFERROR(VLOOKUP($CJ143,装強!$1:$999,COLUMN(F$1),FALSE),0))*VLOOKUP($D143,素材!$1:$1016,COLUMN(D$1),FALSE),0),"")</f>
        <v>0</v>
      </c>
      <c r="G143">
        <f>IFERROR(ROUNDDOWN((VLOOKUP($C143,武器!$1:$998,COLUMN(E$1),FALSE)+IFERROR(VLOOKUP($CJ143,装強!$1:$999,COLUMN(G$1),FALSE),0))*VLOOKUP($D143,素材!$1:$1016,COLUMN($E$1),FALSE),0),"")</f>
        <v>0</v>
      </c>
      <c r="H143">
        <f>IFERROR(ROUNDDOWN((VLOOKUP($C143,武器!$1:$998,COLUMN(F$1),FALSE)+IFERROR(VLOOKUP($CJ143,装強!$1:$999,COLUMN(H$1),FALSE),0))*VLOOKUP($D143,素材!$1:$1016,COLUMN($E$1),FALSE),0),"")</f>
        <v>0</v>
      </c>
      <c r="I143">
        <f>IFERROR(ROUNDDOWN((VLOOKUP($C143,武器!$1:$998,COLUMN(G$1),FALSE)+IFERROR(VLOOKUP($CJ143,装強!$1:$999,COLUMN(I$1),FALSE),0))*VLOOKUP($D143,素材!$1:$1016,COLUMN($E$1),FALSE),0),"")</f>
        <v>0</v>
      </c>
      <c r="J143">
        <f>IFERROR(ROUNDDOWN((VLOOKUP($C143,武器!$1:$998,COLUMN(H$1),FALSE)+IFERROR(VLOOKUP($CJ143,装強!$1:$999,COLUMN(J$1),FALSE),0))*VLOOKUP($D143,素材!$1:$1016,COLUMN($E$1),FALSE),0),"")</f>
        <v>0</v>
      </c>
      <c r="K143">
        <f>IFERROR(ROUNDDOWN((VLOOKUP($C143,武器!$1:$998,COLUMN(I$1),FALSE)+IFERROR(VLOOKUP($CJ143,装強!$1:$999,COLUMN(K$1),FALSE),0))*VLOOKUP($D143,素材!$1:$1016,COLUMN($E$1),FALSE),0),"")</f>
        <v>0</v>
      </c>
      <c r="L143" t="str">
        <f>IFERROR(VLOOKUP($D143,素材!$1:$1016,COLUMN($F$1),FALSE),"")</f>
        <v>氷</v>
      </c>
      <c r="M143">
        <f>IFERROR(VLOOKUP($C143,武器!$1:$998,COLUMN(AA$1),FALSE)*VLOOKUP($D143,素材!$1:$1016,COLUMN($G$1),FALSE),"")</f>
        <v>0</v>
      </c>
      <c r="N143">
        <f>IFERROR(VLOOKUP($C143,武器!$1:$998,COLUMN(I$1),FALSE),"")</f>
        <v>0</v>
      </c>
      <c r="O143" s="23" t="str">
        <f>IFERROR((VLOOKUP($C143,武器!$1:$998,COLUMN(K$1),FALSE)+VLOOKUP($D143,素材!$1:$1016,COLUMN(H$1),FALSE))*100+IFERROR(VLOOKUP($CJ143,装強!$1:$999,COLUMN(O$1),FALSE),0),"")</f>
        <v/>
      </c>
      <c r="P143" s="23" t="str">
        <f>IFERROR((VLOOKUP($C143,武器!$1:$998,COLUMN(L$1),FALSE)+VLOOKUP($D143,素材!$1:$1016,COLUMN(I$1),FALSE))*100+IFERROR(VLOOKUP($CJ143,装強!$1:$999,COLUMN(P$1),FALSE),0),"")</f>
        <v/>
      </c>
      <c r="Q143">
        <f>IFERROR(ROUNDUP(VLOOKUP($C143,武器!$1:$998,COLUMN(M$1),FALSE)*(VLOOKUP($D143,素材!$1:$1002,COLUMN(D$1),FALSE)/100),1),"")</f>
        <v>0</v>
      </c>
      <c r="R143">
        <f>IFERROR(ROUNDUP(VLOOKUP($C143,武器!$1:$998,COLUMN(N$1),FALSE)*(VLOOKUP($D143,素材!$1:$1002,COLUMN(D$1),FALSE)/100),1),"")</f>
        <v>0</v>
      </c>
      <c r="S143">
        <f>IFERROR(VLOOKUP($C143,武器!$1:$998,COLUMN(P$1),FALSE),"")</f>
        <v>0</v>
      </c>
      <c r="T143">
        <f>IFERROR(VLOOKUP($C143,武器!$1:$998,COLUMN(Q$1),FALSE),"")</f>
        <v>0</v>
      </c>
      <c r="U143">
        <f>IFERROR(VLOOKUP($C143,武器!$1:$998,COLUMN(R$1),FALSE),"")</f>
        <v>0</v>
      </c>
      <c r="V143">
        <f>IFERROR(VLOOKUP($C143,武器!$1:$998,COLUMN(Q$1),FALSE),"")</f>
        <v>0</v>
      </c>
      <c r="W143">
        <f>IFERROR(VLOOKUP($C143,武器!$1:$998,COLUMN(T$1),FALSE),"")</f>
        <v>0</v>
      </c>
      <c r="Y143">
        <f>IFERROR(VLOOKUP($C143,武器!$1:$998,COLUMN(U$1),FALSE),"")</f>
        <v>0</v>
      </c>
      <c r="Z143">
        <f>IFERROR(ROUNDUP(VLOOKUP($C143,武器!$1:$998,COLUMN(O$1),FALSE)*VLOOKUP($D143,素材!$1:$1016,COLUMN(E$1),FALSE),1),"")</f>
        <v>5</v>
      </c>
      <c r="AA143">
        <f>IF(ISNUMBER(SEARCH(SUBSTITUTE(AA$1,RIGHT(AA$1,2),""),VLOOKUP($D143,素材!$1:$1016,COLUMN($F$1),FALSE))),VLOOKUP($C143,武器!$1:$998,COLUMN($O$1),FALSE)*VLOOKUP($D143,素材!$1:$1016,COLUMN($E$1),FALSE)/(LEN(VLOOKUP($D143,素材!$1:$1016,COLUMN($F$1),FALSE))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B143">
        <f>IF(ISNUMBER(SEARCH(SUBSTITUTE(AB$1,RIGHT(AB$1,2),""),VLOOKUP($D143,素材!$1:$1016,COLUMN($F$1),FALSE))),VLOOKUP($C143,武器!$1:$998,COLUMN($O$1),FALSE)*VLOOKUP($D143,素材!$1:$1016,COLUMN($E$1),FALSE)/(LEN(VLOOKUP($D143,素材!$1:$1016,COLUMN($F$1),FALSE))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C143">
        <f>IF(ISNUMBER(SEARCH(SUBSTITUTE(AC$1,RIGHT(AC$1,2),""),VLOOKUP($D143,素材!$1:$1016,COLUMN($F$1),FALSE))),VLOOKUP($C143,武器!$1:$998,COLUMN($O$1),FALSE)*VLOOKUP($D143,素材!$1:$1016,COLUMN($E$1),FALSE)/(LEN(VLOOKUP($D143,素材!$1:$1016,COLUMN($F$1),FALSE))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D143">
        <f>IF(ISNUMBER(SEARCH(SUBSTITUTE(AD$1,RIGHT(AD$1,2),""),VLOOKUP($D143,素材!$1:$1016,COLUMN($F$1),FALSE))),VLOOKUP($C143,武器!$1:$998,COLUMN($O$1),FALSE)*VLOOKUP($D143,素材!$1:$1016,COLUMN($E$1),FALSE)/(LEN(VLOOKUP($D143,素材!$1:$1016,COLUMN($F$1),FALSE))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E143">
        <f>IF(ISNUMBER(SEARCH(SUBSTITUTE(AE$1,RIGHT(AE$1,2),""),VLOOKUP($D143,素材!$1:$1016,COLUMN($F$1),FALSE))),VLOOKUP($C143,武器!$1:$998,COLUMN($O$1),FALSE)*VLOOKUP($D143,素材!$1:$1016,COLUMN($E$1),FALSE)/(LEN(VLOOKUP($D143,素材!$1:$1016,COLUMN($F$1),FALSE))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F143">
        <f>IF(ISNUMBER(SEARCH(SUBSTITUTE(AF$1,RIGHT(AF$1,2),""),VLOOKUP($D143,素材!$1:$1016,COLUMN($F$1),FALSE))),VLOOKUP($C143,武器!$1:$998,COLUMN($O$1),FALSE)*VLOOKUP($D143,素材!$1:$1016,COLUMN($E$1),FALSE)/(LEN(VLOOKUP($D143,素材!$1:$1016,COLUMN($F$1),FALSE))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5</v>
      </c>
      <c r="AG143">
        <f>IF(ISNUMBER(SEARCH(SUBSTITUTE(AG$1,RIGHT(AG$1,2),""),VLOOKUP($D143,素材!$1:$1016,COLUMN($F$1),FALSE))),VLOOKUP($C143,武器!$1:$998,COLUMN($O$1),FALSE)*VLOOKUP($D143,素材!$1:$1016,COLUMN($E$1),FALSE)/(LEN(VLOOKUP($D143,素材!$1:$1016,COLUMN($F$1),FALSE))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H143">
        <f>IF(ISNUMBER(SEARCH(SUBSTITUTE(AH$1,RIGHT(AH$1,2),""),VLOOKUP($D143,素材!$1:$1016,COLUMN($F$1),FALSE))),VLOOKUP($C143,武器!$1:$998,COLUMN($O$1),FALSE)*VLOOKUP($D143,素材!$1:$1016,COLUMN($E$1),FALSE)/(LEN(VLOOKUP($D143,素材!$1:$1016,COLUMN($F$1),FALSE))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I143">
        <f>IF(ISNUMBER(SEARCH(SUBSTITUTE(AI$1,RIGHT(AI$1,2),""),VLOOKUP($D143,素材!$1:$1016,COLUMN($F$1),FALSE))),VLOOKUP($C143,武器!$1:$998,COLUMN($O$1),FALSE)*VLOOKUP($D143,素材!$1:$1016,COLUMN($E$1),FALSE)/(LEN(VLOOKUP($D143,素材!$1:$1016,COLUMN($F$1),FALSE))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J143">
        <f>IF(ISNUMBER(SEARCH(SUBSTITUTE(AJ$1,RIGHT(AJ$1,2),""),VLOOKUP($D143,素材!$1:$1016,COLUMN($F$1),FALSE))),VLOOKUP($C143,武器!$1:$998,COLUMN($O$1),FALSE)*VLOOKUP($D143,素材!$1:$1016,COLUMN($E$1),FALSE)/(LEN(VLOOKUP($D143,素材!$1:$1016,COLUMN($F$1),FALSE))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K143">
        <f>IF(ISNUMBER(SEARCH(SUBSTITUTE(AK$1,RIGHT(AK$1,2),""),VLOOKUP($D143,素材!$1:$1016,COLUMN($F$1),FALSE))),VLOOKUP($C143,武器!$1:$998,COLUMN($O$1),FALSE)*VLOOKUP($D143,素材!$1:$1016,COLUMN($E$1),FALSE)/(LEN(VLOOKUP($D143,素材!$1:$1016,COLUMN($F$1),FALSE))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L143">
        <f>IF(ISNUMBER(SEARCH(SUBSTITUTE(AL$1,RIGHT(AL$1,2),""),VLOOKUP($D143,素材!$1:$1016,COLUMN($F$1),FALSE))),VLOOKUP($C143,武器!$1:$998,COLUMN($O$1),FALSE)*VLOOKUP($D143,素材!$1:$1016,COLUMN($E$1),FALSE)/(LEN(VLOOKUP($D143,素材!$1:$1016,COLUMN($F$1),FALSE))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M143">
        <f>IF(ISNUMBER(SEARCH(SUBSTITUTE(AM$1,RIGHT(AM$1,2),""),VLOOKUP($D143,素材!$1:$1016,COLUMN($F$1),FALSE))),VLOOKUP($C143,武器!$1:$998,COLUMN($O$1),FALSE)*VLOOKUP($D143,素材!$1:$1016,COLUMN($E$1),FALSE)/(LEN(VLOOKUP($D143,素材!$1:$1016,COLUMN($F$1),FALSE))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N143">
        <f>IF(ISNUMBER(SEARCH(SUBSTITUTE(AN$1,RIGHT(AN$1,2),""),VLOOKUP($D143,素材!$1:$1016,COLUMN($F$1),FALSE))),VLOOKUP($C143,武器!$1:$998,COLUMN($O$1),FALSE)*VLOOKUP($D143,素材!$1:$1016,COLUMN($E$1),FALSE)/(LEN(VLOOKUP($D143,素材!$1:$1016,COLUMN($F$1),FALSE))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O143">
        <f>IF(ISNUMBER(SEARCH(SUBSTITUTE(AO$1,RIGHT(AO$1,2),""),VLOOKUP($D143,素材!$1:$1016,COLUMN($F$1),FALSE))),VLOOKUP($C143,武器!$1:$998,COLUMN($O$1),FALSE)*VLOOKUP($D143,素材!$1:$1016,COLUMN($E$1),FALSE)/(LEN(VLOOKUP($D143,素材!$1:$1016,COLUMN($F$1),FALSE))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P143">
        <f>IF(ISNUMBER(SEARCH(SUBSTITUTE(AP$1,RIGHT(AP$1,2),""),VLOOKUP($D143,素材!$1:$1016,COLUMN($F$1),FALSE))),VLOOKUP($C143,武器!$1:$998,COLUMN($O$1),FALSE)*VLOOKUP($D143,素材!$1:$1016,COLUMN($E$1),FALSE)/(LEN(VLOOKUP($D143,素材!$1:$1016,COLUMN($F$1),FALSE))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Q143">
        <f>IF(ISNUMBER(SEARCH(SUBSTITUTE(AQ$1,RIGHT(AQ$1,2),""),VLOOKUP($D143,素材!$1:$1016,COLUMN($F$1),FALSE))),VLOOKUP($C143,武器!$1:$998,COLUMN($O$1),FALSE)*VLOOKUP($D143,素材!$1:$1016,COLUMN($E$1),FALSE)/(LEN(VLOOKUP($D143,素材!$1:$1016,COLUMN($F$1),FALSE))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R143">
        <f>IF(ISNUMBER(SEARCH(SUBSTITUTE(AR$1,RIGHT(AR$1,2),""),VLOOKUP($D143,素材!$1:$1016,COLUMN($F$1),FALSE))),VLOOKUP($C143,武器!$1:$998,COLUMN($O$1),FALSE)*VLOOKUP($D143,素材!$1:$1016,COLUMN($E$1),FALSE)/(LEN(VLOOKUP($D143,素材!$1:$1016,COLUMN($F$1),FALSE))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S143">
        <f>IF(ISNUMBER(SEARCH(SUBSTITUTE(AS$1,RIGHT(AS$1,2),""),VLOOKUP($D143,素材!$1:$1016,COLUMN($F$1),FALSE))),VLOOKUP($C143,武器!$1:$998,COLUMN($O$1),FALSE)*VLOOKUP($D143,素材!$1:$1016,COLUMN($E$1),FALSE)/(LEN(VLOOKUP($D143,素材!$1:$1016,COLUMN($F$1),FALSE))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T143">
        <f>IF(ISNUMBER(SEARCH(SUBSTITUTE(AT$1,RIGHT(AT$1,2),""),VLOOKUP($D143,素材!$1:$1016,COLUMN($F$1),FALSE))),VLOOKUP($C143,武器!$1:$998,COLUMN($O$1),FALSE)*VLOOKUP($D143,素材!$1:$1016,COLUMN($E$1),FALSE)/(LEN(VLOOKUP($D143,素材!$1:$1016,COLUMN($F$1),FALSE))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U143">
        <f>IF(ISNUMBER(SEARCH(SUBSTITUTE(AU$1,RIGHT(AU$1,2),""),VLOOKUP($D143,素材!$1:$1016,COLUMN($F$1),FALSE))),VLOOKUP($C143,武器!$1:$998,COLUMN($O$1),FALSE)*VLOOKUP($D143,素材!$1:$1016,COLUMN($E$1),FALSE)/(LEN(VLOOKUP($D143,素材!$1:$1016,COLUMN($F$1),FALSE))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V143">
        <f>IF(ISNUMBER(SEARCH(SUBSTITUTE(AV$1,RIGHT(AV$1,2),""),VLOOKUP($D143,素材!$1:$1016,COLUMN($F$1),FALSE))),VLOOKUP($C143,武器!$1:$998,COLUMN($O$1),FALSE)*VLOOKUP($D143,素材!$1:$1016,COLUMN($E$1),FALSE)/(LEN(VLOOKUP($D143,素材!$1:$1016,COLUMN($F$1),FALSE))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W143">
        <f>IF(ISNUMBER(SEARCH(SUBSTITUTE(AW$1,RIGHT(AW$1,2),""),VLOOKUP($D143,素材!$1:$1016,COLUMN($F$1),FALSE))),VLOOKUP($C143,武器!$1:$998,COLUMN($O$1),FALSE)*VLOOKUP($D143,素材!$1:$1016,COLUMN($E$1),FALSE)/(LEN(VLOOKUP($D143,素材!$1:$1016,COLUMN($F$1),FALSE))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X143">
        <f>IF(ISNUMBER(SEARCH(SUBSTITUTE(AX$1,RIGHT(AX$1,2),""),VLOOKUP($D143,素材!$1:$1016,COLUMN($F$1),FALSE))),VLOOKUP($C143,武器!$1:$998,COLUMN($O$1),FALSE)*VLOOKUP($D143,素材!$1:$1016,COLUMN($E$1),FALSE)/(LEN(VLOOKUP($D143,素材!$1:$1016,COLUMN($F$1),FALSE))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Y143">
        <f>IF(ISNUMBER(SEARCH(SUBSTITUTE(AY$1,RIGHT(AY$1,2),""),VLOOKUP($D143,素材!$1:$1016,COLUMN($F$1),FALSE))),VLOOKUP($C143,武器!$1:$998,COLUMN($O$1),FALSE)*VLOOKUP($D143,素材!$1:$1016,COLUMN($E$1),FALSE)/(LEN(VLOOKUP($D143,素材!$1:$1016,COLUMN($F$1),FALSE))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AZ143">
        <f>IF(ISNUMBER(SEARCH(SUBSTITUTE(AZ$1,RIGHT(AZ$1,2),""),VLOOKUP($D143,素材!$1:$1016,COLUMN($F$1),FALSE))),VLOOKUP($C143,武器!$1:$998,COLUMN($O$1),FALSE)*VLOOKUP($D143,素材!$1:$1016,COLUMN($E$1),FALSE)/(LEN(VLOOKUP($D143,素材!$1:$1016,COLUMN($F$1),FALSE))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BA143">
        <f>IF(ISNUMBER(SEARCH(SUBSTITUTE(BA$1,RIGHT(BA$1,2),""),VLOOKUP($D143,素材!$1:$1016,COLUMN($F$1),FALSE))),VLOOKUP($C143,武器!$1:$998,COLUMN($O$1),FALSE)*VLOOKUP($D143,素材!$1:$1016,COLUMN($E$1),FALSE)/(LEN(VLOOKUP($D143,素材!$1:$1016,COLUMN($F$1),FALSE))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BB143">
        <f>IF(ISNUMBER(SEARCH(SUBSTITUTE(BB$1,RIGHT(BB$1,2),""),VLOOKUP($D143,素材!$1:$1016,COLUMN($F$1),FALSE))),VLOOKUP($C143,武器!$1:$998,COLUMN($O$1),FALSE)*VLOOKUP($D143,素材!$1:$1016,COLUMN($E$1),FALSE)/(LEN(VLOOKUP($D143,素材!$1:$1016,COLUMN($F$1),FALSE))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BC143">
        <f>IF(ISNUMBER(SEARCH(SUBSTITUTE(BC$1,RIGHT(BC$1,2),""),VLOOKUP($D143,素材!$1:$1016,COLUMN($F$1),FALSE))),VLOOKUP($C143,武器!$1:$998,COLUMN($O$1),FALSE)*VLOOKUP($D143,素材!$1:$1016,COLUMN($E$1),FALSE)/(LEN(VLOOKUP($D143,素材!$1:$1016,COLUMN($F$1),FALSE))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BD143">
        <f>IF(ISNUMBER(SEARCH(SUBSTITUTE(BD$1,RIGHT(BD$1,2),""),VLOOKUP($D143,素材!$1:$1016,COLUMN($F$1),FALSE))),VLOOKUP($C143,武器!$1:$998,COLUMN($O$1),FALSE)*VLOOKUP($D143,素材!$1:$1016,COLUMN($E$1),FALSE)/(LEN(VLOOKUP($D143,素材!$1:$1016,COLUMN($F$1),FALSE))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BE143">
        <f>IF(ISNUMBER(SEARCH(SUBSTITUTE(BE$1,RIGHT(BE$1,2),""),VLOOKUP($D143,素材!$1:$1016,COLUMN($F$1),FALSE))),VLOOKUP($C143,武器!$1:$998,COLUMN($O$1),FALSE)*VLOOKUP($D143,素材!$1:$1016,COLUMN($E$1),FALSE)/(LEN(VLOOKUP($D143,素材!$1:$1016,COLUMN($F$1),FALSE))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BF143">
        <f>IF(ISNUMBER(SEARCH(SUBSTITUTE(BF$1,RIGHT(BF$1,2),""),VLOOKUP($D143,素材!$1:$1016,COLUMN($F$1),FALSE))),VLOOKUP($C143,武器!$1:$998,COLUMN($O$1),FALSE)*VLOOKUP($D143,素材!$1:$1016,COLUMN($E$1),FALSE)/(LEN(VLOOKUP($D143,素材!$1:$1016,COLUMN($F$1),FALSE)) - LEN(SUBSTITUTE(VLOOKUP($D143,素材!$1:$1016,COLUMN($F$1),FALSE), "・", 0)) + 1), 0)</f>
        <v>0</v>
      </c>
      <c r="CM143">
        <f t="shared" si="19"/>
        <v>0</v>
      </c>
      <c r="CN143" s="22" t="str">
        <f>IF(E143="武器",IF(J143-1&gt;SUM(G143:I143),"盾",IF(MAX(G143:I143)=G143,"切断",IF(MAX(G143:I143)=H143,"貫通",IF(MAX(G143:I143)=I143,"打撃","射撃")))),E143)&amp;".webp"</f>
        <v>体.webp</v>
      </c>
      <c r="CO143">
        <f>IFERROR(VLOOKUP($C143,武器!$1:$998,COLUMN(V$1),FALSE)*VLOOKUP($D143,素材!$1:$1016,COLUMN(N$1),FALSE)+IF(CJ143="",0,VLOOKUP($CJ143,装強!$1:$1008,COLUMN($CL$1),FALSE)),"")</f>
        <v>11000</v>
      </c>
      <c r="CP143" t="str">
        <f>VLOOKUP(D143,素材!$A:$O,COLUMN(素材!O$1),FALSE)</f>
        <v>氷属性を持つドラゴン型生物から採取される鱗素材。極寒の環境や冷気攻撃への対策として優れた性能を発揮します。</v>
      </c>
      <c r="CQ143" t="str">
        <f>VLOOKUP(C143,武器!$A:$W,COLUMN(武器!W$1),FALSE)</f>
        <v>HP 物理 魔法 体幹 出血 疲労 Cr</v>
      </c>
      <c r="CS143" t="str">
        <f t="shared" si="21"/>
        <v>e_143</v>
      </c>
      <c r="CT143">
        <f t="shared" si="24"/>
        <v>1100000</v>
      </c>
    </row>
    <row r="144" spans="1:98" outlineLevel="1" x14ac:dyDescent="0.4">
      <c r="A144" t="str">
        <f t="shared" si="20"/>
        <v>氷蜥蜴の鱗の鎧</v>
      </c>
      <c r="B144" t="str">
        <f>IFERROR(VLOOKUP($D144,素材!$1:$1016,COLUMN($B$1),FALSE)&amp;"・"&amp;VLOOKUP($C144,武器!$1:$998,COLUMN(B$1),FALSE),"")</f>
        <v>アイスドレイクスケール・アーマー</v>
      </c>
      <c r="C144" t="s">
        <v>208</v>
      </c>
      <c r="D144" s="24" t="s">
        <v>248</v>
      </c>
      <c r="E144" t="str">
        <f>IFERROR(VLOOKUP(C144,武器!$1:$998,COLUMN(C$1),FALSE),"")</f>
        <v>体</v>
      </c>
      <c r="F144">
        <f>IFERROR(ROUNDDOWN((VLOOKUP($C144,武器!$1:$998,COLUMN(D$1),FALSE)+IFERROR(VLOOKUP($CJ144,装強!$1:$999,COLUMN(F$1),FALSE),0))*VLOOKUP($D144,素材!$1:$1016,COLUMN(D$1),FALSE),0),"")</f>
        <v>0</v>
      </c>
      <c r="G144">
        <f>IFERROR(ROUNDDOWN((VLOOKUP($C144,武器!$1:$998,COLUMN(E$1),FALSE)+IFERROR(VLOOKUP($CJ144,装強!$1:$999,COLUMN(G$1),FALSE),0))*VLOOKUP($D144,素材!$1:$1016,COLUMN($E$1),FALSE),0),"")</f>
        <v>0</v>
      </c>
      <c r="H144">
        <f>IFERROR(ROUNDDOWN((VLOOKUP($C144,武器!$1:$998,COLUMN(F$1),FALSE)+IFERROR(VLOOKUP($CJ144,装強!$1:$999,COLUMN(H$1),FALSE),0))*VLOOKUP($D144,素材!$1:$1016,COLUMN($E$1),FALSE),0),"")</f>
        <v>0</v>
      </c>
      <c r="I144">
        <f>IFERROR(ROUNDDOWN((VLOOKUP($C144,武器!$1:$998,COLUMN(G$1),FALSE)+IFERROR(VLOOKUP($CJ144,装強!$1:$999,COLUMN(I$1),FALSE),0))*VLOOKUP($D144,素材!$1:$1016,COLUMN($E$1),FALSE),0),"")</f>
        <v>0</v>
      </c>
      <c r="J144">
        <f>IFERROR(ROUNDDOWN((VLOOKUP($C144,武器!$1:$998,COLUMN(H$1),FALSE)+IFERROR(VLOOKUP($CJ144,装強!$1:$999,COLUMN(J$1),FALSE),0))*VLOOKUP($D144,素材!$1:$1016,COLUMN($E$1),FALSE),0),"")</f>
        <v>0</v>
      </c>
      <c r="K144">
        <f>IFERROR(ROUNDDOWN((VLOOKUP($C144,武器!$1:$998,COLUMN(I$1),FALSE)+IFERROR(VLOOKUP($CJ144,装強!$1:$999,COLUMN(K$1),FALSE),0))*VLOOKUP($D144,素材!$1:$1016,COLUMN($E$1),FALSE),0),"")</f>
        <v>0</v>
      </c>
      <c r="L144" t="str">
        <f>IFERROR(VLOOKUP($D144,素材!$1:$1016,COLUMN($F$1),FALSE),"")</f>
        <v>氷</v>
      </c>
      <c r="M144">
        <f>IFERROR(VLOOKUP($C144,武器!$1:$998,COLUMN(AA$1),FALSE)*VLOOKUP($D144,素材!$1:$1016,COLUMN($G$1),FALSE),"")</f>
        <v>0</v>
      </c>
      <c r="N144">
        <f>IFERROR(VLOOKUP($C144,武器!$1:$998,COLUMN(I$1),FALSE),"")</f>
        <v>0</v>
      </c>
      <c r="O144" s="23" t="str">
        <f>IFERROR((VLOOKUP($C144,武器!$1:$998,COLUMN(K$1),FALSE)+VLOOKUP($D144,素材!$1:$1016,COLUMN(H$1),FALSE))*100+IFERROR(VLOOKUP($CJ144,装強!$1:$999,COLUMN(O$1),FALSE),0),"")</f>
        <v/>
      </c>
      <c r="P144" s="23" t="str">
        <f>IFERROR((VLOOKUP($C144,武器!$1:$998,COLUMN(L$1),FALSE)+VLOOKUP($D144,素材!$1:$1016,COLUMN(I$1),FALSE))*100+IFERROR(VLOOKUP($CJ144,装強!$1:$999,COLUMN(P$1),FALSE),0),"")</f>
        <v/>
      </c>
      <c r="Q144">
        <f>IFERROR(ROUNDUP(VLOOKUP($C144,武器!$1:$998,COLUMN(M$1),FALSE)*(VLOOKUP($D144,素材!$1:$1002,COLUMN(D$1),FALSE)/100),1),"")</f>
        <v>-12</v>
      </c>
      <c r="R144">
        <f>IFERROR(ROUNDUP(VLOOKUP($C144,武器!$1:$998,COLUMN(N$1),FALSE)*(VLOOKUP($D144,素材!$1:$1002,COLUMN(D$1),FALSE)/100),1),"")</f>
        <v>0</v>
      </c>
      <c r="S144">
        <f>IFERROR(VLOOKUP($C144,武器!$1:$998,COLUMN(P$1),FALSE),"")</f>
        <v>0</v>
      </c>
      <c r="T144">
        <f>IFERROR(VLOOKUP($C144,武器!$1:$998,COLUMN(Q$1),FALSE),"")</f>
        <v>0</v>
      </c>
      <c r="U144">
        <f>IFERROR(VLOOKUP($C144,武器!$1:$998,COLUMN(R$1),FALSE),"")</f>
        <v>0</v>
      </c>
      <c r="V144">
        <f>IFERROR(VLOOKUP($C144,武器!$1:$998,COLUMN(Q$1),FALSE),"")</f>
        <v>0</v>
      </c>
      <c r="W144">
        <f>IFERROR(VLOOKUP($C144,武器!$1:$998,COLUMN(T$1),FALSE),"")</f>
        <v>0</v>
      </c>
      <c r="Y144">
        <f>IFERROR(VLOOKUP($C144,武器!$1:$998,COLUMN(U$1),FALSE),"")</f>
        <v>0</v>
      </c>
      <c r="Z144">
        <f>IFERROR(ROUNDUP(VLOOKUP($C144,武器!$1:$998,COLUMN(O$1),FALSE)*VLOOKUP($D144,素材!$1:$1016,COLUMN(E$1),FALSE),1),"")</f>
        <v>17.5</v>
      </c>
      <c r="AA144">
        <f>IF(ISNUMBER(SEARCH(SUBSTITUTE(AA$1,RIGHT(AA$1,2),""),VLOOKUP($D144,素材!$1:$1016,COLUMN($F$1),FALSE))),VLOOKUP($C144,武器!$1:$998,COLUMN($O$1),FALSE)*VLOOKUP($D144,素材!$1:$1016,COLUMN($E$1),FALSE)/(LEN(VLOOKUP($D144,素材!$1:$1016,COLUMN($F$1),FALSE))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B144">
        <f>IF(ISNUMBER(SEARCH(SUBSTITUTE(AB$1,RIGHT(AB$1,2),""),VLOOKUP($D144,素材!$1:$1016,COLUMN($F$1),FALSE))),VLOOKUP($C144,武器!$1:$998,COLUMN($O$1),FALSE)*VLOOKUP($D144,素材!$1:$1016,COLUMN($E$1),FALSE)/(LEN(VLOOKUP($D144,素材!$1:$1016,COLUMN($F$1),FALSE))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C144">
        <f>IF(ISNUMBER(SEARCH(SUBSTITUTE(AC$1,RIGHT(AC$1,2),""),VLOOKUP($D144,素材!$1:$1016,COLUMN($F$1),FALSE))),VLOOKUP($C144,武器!$1:$998,COLUMN($O$1),FALSE)*VLOOKUP($D144,素材!$1:$1016,COLUMN($E$1),FALSE)/(LEN(VLOOKUP($D144,素材!$1:$1016,COLUMN($F$1),FALSE))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D144">
        <f>IF(ISNUMBER(SEARCH(SUBSTITUTE(AD$1,RIGHT(AD$1,2),""),VLOOKUP($D144,素材!$1:$1016,COLUMN($F$1),FALSE))),VLOOKUP($C144,武器!$1:$998,COLUMN($O$1),FALSE)*VLOOKUP($D144,素材!$1:$1016,COLUMN($E$1),FALSE)/(LEN(VLOOKUP($D144,素材!$1:$1016,COLUMN($F$1),FALSE))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E144">
        <f>IF(ISNUMBER(SEARCH(SUBSTITUTE(AE$1,RIGHT(AE$1,2),""),VLOOKUP($D144,素材!$1:$1016,COLUMN($F$1),FALSE))),VLOOKUP($C144,武器!$1:$998,COLUMN($O$1),FALSE)*VLOOKUP($D144,素材!$1:$1016,COLUMN($E$1),FALSE)/(LEN(VLOOKUP($D144,素材!$1:$1016,COLUMN($F$1),FALSE))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F144">
        <f>IF(ISNUMBER(SEARCH(SUBSTITUTE(AF$1,RIGHT(AF$1,2),""),VLOOKUP($D144,素材!$1:$1016,COLUMN($F$1),FALSE))),VLOOKUP($C144,武器!$1:$998,COLUMN($O$1),FALSE)*VLOOKUP($D144,素材!$1:$1016,COLUMN($E$1),FALSE)/(LEN(VLOOKUP($D144,素材!$1:$1016,COLUMN($F$1),FALSE))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17.5</v>
      </c>
      <c r="AG144">
        <f>IF(ISNUMBER(SEARCH(SUBSTITUTE(AG$1,RIGHT(AG$1,2),""),VLOOKUP($D144,素材!$1:$1016,COLUMN($F$1),FALSE))),VLOOKUP($C144,武器!$1:$998,COLUMN($O$1),FALSE)*VLOOKUP($D144,素材!$1:$1016,COLUMN($E$1),FALSE)/(LEN(VLOOKUP($D144,素材!$1:$1016,COLUMN($F$1),FALSE))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H144">
        <f>IF(ISNUMBER(SEARCH(SUBSTITUTE(AH$1,RIGHT(AH$1,2),""),VLOOKUP($D144,素材!$1:$1016,COLUMN($F$1),FALSE))),VLOOKUP($C144,武器!$1:$998,COLUMN($O$1),FALSE)*VLOOKUP($D144,素材!$1:$1016,COLUMN($E$1),FALSE)/(LEN(VLOOKUP($D144,素材!$1:$1016,COLUMN($F$1),FALSE))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I144">
        <f>IF(ISNUMBER(SEARCH(SUBSTITUTE(AI$1,RIGHT(AI$1,2),""),VLOOKUP($D144,素材!$1:$1016,COLUMN($F$1),FALSE))),VLOOKUP($C144,武器!$1:$998,COLUMN($O$1),FALSE)*VLOOKUP($D144,素材!$1:$1016,COLUMN($E$1),FALSE)/(LEN(VLOOKUP($D144,素材!$1:$1016,COLUMN($F$1),FALSE))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J144">
        <f>IF(ISNUMBER(SEARCH(SUBSTITUTE(AJ$1,RIGHT(AJ$1,2),""),VLOOKUP($D144,素材!$1:$1016,COLUMN($F$1),FALSE))),VLOOKUP($C144,武器!$1:$998,COLUMN($O$1),FALSE)*VLOOKUP($D144,素材!$1:$1016,COLUMN($E$1),FALSE)/(LEN(VLOOKUP($D144,素材!$1:$1016,COLUMN($F$1),FALSE))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K144">
        <f>IF(ISNUMBER(SEARCH(SUBSTITUTE(AK$1,RIGHT(AK$1,2),""),VLOOKUP($D144,素材!$1:$1016,COLUMN($F$1),FALSE))),VLOOKUP($C144,武器!$1:$998,COLUMN($O$1),FALSE)*VLOOKUP($D144,素材!$1:$1016,COLUMN($E$1),FALSE)/(LEN(VLOOKUP($D144,素材!$1:$1016,COLUMN($F$1),FALSE))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L144">
        <f>IF(ISNUMBER(SEARCH(SUBSTITUTE(AL$1,RIGHT(AL$1,2),""),VLOOKUP($D144,素材!$1:$1016,COLUMN($F$1),FALSE))),VLOOKUP($C144,武器!$1:$998,COLUMN($O$1),FALSE)*VLOOKUP($D144,素材!$1:$1016,COLUMN($E$1),FALSE)/(LEN(VLOOKUP($D144,素材!$1:$1016,COLUMN($F$1),FALSE))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M144">
        <f>IF(ISNUMBER(SEARCH(SUBSTITUTE(AM$1,RIGHT(AM$1,2),""),VLOOKUP($D144,素材!$1:$1016,COLUMN($F$1),FALSE))),VLOOKUP($C144,武器!$1:$998,COLUMN($O$1),FALSE)*VLOOKUP($D144,素材!$1:$1016,COLUMN($E$1),FALSE)/(LEN(VLOOKUP($D144,素材!$1:$1016,COLUMN($F$1),FALSE))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N144">
        <f>IF(ISNUMBER(SEARCH(SUBSTITUTE(AN$1,RIGHT(AN$1,2),""),VLOOKUP($D144,素材!$1:$1016,COLUMN($F$1),FALSE))),VLOOKUP($C144,武器!$1:$998,COLUMN($O$1),FALSE)*VLOOKUP($D144,素材!$1:$1016,COLUMN($E$1),FALSE)/(LEN(VLOOKUP($D144,素材!$1:$1016,COLUMN($F$1),FALSE))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O144">
        <f>IF(ISNUMBER(SEARCH(SUBSTITUTE(AO$1,RIGHT(AO$1,2),""),VLOOKUP($D144,素材!$1:$1016,COLUMN($F$1),FALSE))),VLOOKUP($C144,武器!$1:$998,COLUMN($O$1),FALSE)*VLOOKUP($D144,素材!$1:$1016,COLUMN($E$1),FALSE)/(LEN(VLOOKUP($D144,素材!$1:$1016,COLUMN($F$1),FALSE))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P144">
        <f>IF(ISNUMBER(SEARCH(SUBSTITUTE(AP$1,RIGHT(AP$1,2),""),VLOOKUP($D144,素材!$1:$1016,COLUMN($F$1),FALSE))),VLOOKUP($C144,武器!$1:$998,COLUMN($O$1),FALSE)*VLOOKUP($D144,素材!$1:$1016,COLUMN($E$1),FALSE)/(LEN(VLOOKUP($D144,素材!$1:$1016,COLUMN($F$1),FALSE))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Q144">
        <f>IF(ISNUMBER(SEARCH(SUBSTITUTE(AQ$1,RIGHT(AQ$1,2),""),VLOOKUP($D144,素材!$1:$1016,COLUMN($F$1),FALSE))),VLOOKUP($C144,武器!$1:$998,COLUMN($O$1),FALSE)*VLOOKUP($D144,素材!$1:$1016,COLUMN($E$1),FALSE)/(LEN(VLOOKUP($D144,素材!$1:$1016,COLUMN($F$1),FALSE))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R144">
        <f>IF(ISNUMBER(SEARCH(SUBSTITUTE(AR$1,RIGHT(AR$1,2),""),VLOOKUP($D144,素材!$1:$1016,COLUMN($F$1),FALSE))),VLOOKUP($C144,武器!$1:$998,COLUMN($O$1),FALSE)*VLOOKUP($D144,素材!$1:$1016,COLUMN($E$1),FALSE)/(LEN(VLOOKUP($D144,素材!$1:$1016,COLUMN($F$1),FALSE))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S144">
        <f>IF(ISNUMBER(SEARCH(SUBSTITUTE(AS$1,RIGHT(AS$1,2),""),VLOOKUP($D144,素材!$1:$1016,COLUMN($F$1),FALSE))),VLOOKUP($C144,武器!$1:$998,COLUMN($O$1),FALSE)*VLOOKUP($D144,素材!$1:$1016,COLUMN($E$1),FALSE)/(LEN(VLOOKUP($D144,素材!$1:$1016,COLUMN($F$1),FALSE))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T144">
        <f>IF(ISNUMBER(SEARCH(SUBSTITUTE(AT$1,RIGHT(AT$1,2),""),VLOOKUP($D144,素材!$1:$1016,COLUMN($F$1),FALSE))),VLOOKUP($C144,武器!$1:$998,COLUMN($O$1),FALSE)*VLOOKUP($D144,素材!$1:$1016,COLUMN($E$1),FALSE)/(LEN(VLOOKUP($D144,素材!$1:$1016,COLUMN($F$1),FALSE))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U144">
        <f>IF(ISNUMBER(SEARCH(SUBSTITUTE(AU$1,RIGHT(AU$1,2),""),VLOOKUP($D144,素材!$1:$1016,COLUMN($F$1),FALSE))),VLOOKUP($C144,武器!$1:$998,COLUMN($O$1),FALSE)*VLOOKUP($D144,素材!$1:$1016,COLUMN($E$1),FALSE)/(LEN(VLOOKUP($D144,素材!$1:$1016,COLUMN($F$1),FALSE))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V144">
        <f>IF(ISNUMBER(SEARCH(SUBSTITUTE(AV$1,RIGHT(AV$1,2),""),VLOOKUP($D144,素材!$1:$1016,COLUMN($F$1),FALSE))),VLOOKUP($C144,武器!$1:$998,COLUMN($O$1),FALSE)*VLOOKUP($D144,素材!$1:$1016,COLUMN($E$1),FALSE)/(LEN(VLOOKUP($D144,素材!$1:$1016,COLUMN($F$1),FALSE))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W144">
        <f>IF(ISNUMBER(SEARCH(SUBSTITUTE(AW$1,RIGHT(AW$1,2),""),VLOOKUP($D144,素材!$1:$1016,COLUMN($F$1),FALSE))),VLOOKUP($C144,武器!$1:$998,COLUMN($O$1),FALSE)*VLOOKUP($D144,素材!$1:$1016,COLUMN($E$1),FALSE)/(LEN(VLOOKUP($D144,素材!$1:$1016,COLUMN($F$1),FALSE))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X144">
        <f>IF(ISNUMBER(SEARCH(SUBSTITUTE(AX$1,RIGHT(AX$1,2),""),VLOOKUP($D144,素材!$1:$1016,COLUMN($F$1),FALSE))),VLOOKUP($C144,武器!$1:$998,COLUMN($O$1),FALSE)*VLOOKUP($D144,素材!$1:$1016,COLUMN($E$1),FALSE)/(LEN(VLOOKUP($D144,素材!$1:$1016,COLUMN($F$1),FALSE))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Y144">
        <f>IF(ISNUMBER(SEARCH(SUBSTITUTE(AY$1,RIGHT(AY$1,2),""),VLOOKUP($D144,素材!$1:$1016,COLUMN($F$1),FALSE))),VLOOKUP($C144,武器!$1:$998,COLUMN($O$1),FALSE)*VLOOKUP($D144,素材!$1:$1016,COLUMN($E$1),FALSE)/(LEN(VLOOKUP($D144,素材!$1:$1016,COLUMN($F$1),FALSE))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AZ144">
        <f>IF(ISNUMBER(SEARCH(SUBSTITUTE(AZ$1,RIGHT(AZ$1,2),""),VLOOKUP($D144,素材!$1:$1016,COLUMN($F$1),FALSE))),VLOOKUP($C144,武器!$1:$998,COLUMN($O$1),FALSE)*VLOOKUP($D144,素材!$1:$1016,COLUMN($E$1),FALSE)/(LEN(VLOOKUP($D144,素材!$1:$1016,COLUMN($F$1),FALSE))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BA144">
        <f>IF(ISNUMBER(SEARCH(SUBSTITUTE(BA$1,RIGHT(BA$1,2),""),VLOOKUP($D144,素材!$1:$1016,COLUMN($F$1),FALSE))),VLOOKUP($C144,武器!$1:$998,COLUMN($O$1),FALSE)*VLOOKUP($D144,素材!$1:$1016,COLUMN($E$1),FALSE)/(LEN(VLOOKUP($D144,素材!$1:$1016,COLUMN($F$1),FALSE))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BB144">
        <f>IF(ISNUMBER(SEARCH(SUBSTITUTE(BB$1,RIGHT(BB$1,2),""),VLOOKUP($D144,素材!$1:$1016,COLUMN($F$1),FALSE))),VLOOKUP($C144,武器!$1:$998,COLUMN($O$1),FALSE)*VLOOKUP($D144,素材!$1:$1016,COLUMN($E$1),FALSE)/(LEN(VLOOKUP($D144,素材!$1:$1016,COLUMN($F$1),FALSE))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BC144">
        <f>IF(ISNUMBER(SEARCH(SUBSTITUTE(BC$1,RIGHT(BC$1,2),""),VLOOKUP($D144,素材!$1:$1016,COLUMN($F$1),FALSE))),VLOOKUP($C144,武器!$1:$998,COLUMN($O$1),FALSE)*VLOOKUP($D144,素材!$1:$1016,COLUMN($E$1),FALSE)/(LEN(VLOOKUP($D144,素材!$1:$1016,COLUMN($F$1),FALSE))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BD144">
        <f>IF(ISNUMBER(SEARCH(SUBSTITUTE(BD$1,RIGHT(BD$1,2),""),VLOOKUP($D144,素材!$1:$1016,COLUMN($F$1),FALSE))),VLOOKUP($C144,武器!$1:$998,COLUMN($O$1),FALSE)*VLOOKUP($D144,素材!$1:$1016,COLUMN($E$1),FALSE)/(LEN(VLOOKUP($D144,素材!$1:$1016,COLUMN($F$1),FALSE))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BE144">
        <f>IF(ISNUMBER(SEARCH(SUBSTITUTE(BE$1,RIGHT(BE$1,2),""),VLOOKUP($D144,素材!$1:$1016,COLUMN($F$1),FALSE))),VLOOKUP($C144,武器!$1:$998,COLUMN($O$1),FALSE)*VLOOKUP($D144,素材!$1:$1016,COLUMN($E$1),FALSE)/(LEN(VLOOKUP($D144,素材!$1:$1016,COLUMN($F$1),FALSE))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BF144">
        <f>IF(ISNUMBER(SEARCH(SUBSTITUTE(BF$1,RIGHT(BF$1,2),""),VLOOKUP($D144,素材!$1:$1016,COLUMN($F$1),FALSE))),VLOOKUP($C144,武器!$1:$998,COLUMN($O$1),FALSE)*VLOOKUP($D144,素材!$1:$1016,COLUMN($E$1),FALSE)/(LEN(VLOOKUP($D144,素材!$1:$1016,COLUMN($F$1),FALSE)) - LEN(SUBSTITUTE(VLOOKUP($D144,素材!$1:$1016,COLUMN($F$1),FALSE), "・", 0)) + 1), 0)</f>
        <v>0</v>
      </c>
      <c r="CM144">
        <f t="shared" si="19"/>
        <v>0</v>
      </c>
      <c r="CN144" s="22" t="str">
        <f>IF(E144="武器",IF(J144-1&gt;SUM(G144:I144),"盾",IF(MAX(G144:I144)=G144,"切断",IF(MAX(G144:I144)=H144,"貫通",IF(MAX(G144:I144)=I144,"打撃","射撃")))),E144)&amp;".webp"</f>
        <v>体.webp</v>
      </c>
      <c r="CO144">
        <f>IFERROR(VLOOKUP($C144,武器!$1:$998,COLUMN(V$1),FALSE)*VLOOKUP($D144,素材!$1:$1016,COLUMN(N$1),FALSE)+IF(CJ144="",0,VLOOKUP($CJ144,装強!$1:$1008,COLUMN($CL$1),FALSE)),"")</f>
        <v>16500</v>
      </c>
      <c r="CP144" t="str">
        <f>VLOOKUP(D144,素材!$A:$O,COLUMN(素材!O$1),FALSE)</f>
        <v>氷属性を持つドラゴン型生物から採取される鱗素材。極寒の環境や冷気攻撃への対策として優れた性能を発揮します。</v>
      </c>
      <c r="CQ144" t="str">
        <f>VLOOKUP(C144,武器!$A:$W,COLUMN(武器!W$1),FALSE)</f>
        <v>HP 物理 魔法 体幹 出血 疲労 Cr</v>
      </c>
      <c r="CS144" t="str">
        <f t="shared" si="21"/>
        <v>e_144</v>
      </c>
      <c r="CT144">
        <f t="shared" si="24"/>
        <v>1650000</v>
      </c>
    </row>
    <row r="145" spans="1:98" outlineLevel="1" x14ac:dyDescent="0.4">
      <c r="A145" t="str">
        <f t="shared" si="20"/>
        <v>氷蜥蜴の鱗の胴衣</v>
      </c>
      <c r="B145" t="str">
        <f>IFERROR(VLOOKUP($D145,素材!$1:$1016,COLUMN($B$1),FALSE)&amp;"・"&amp;VLOOKUP($C145,武器!$1:$998,COLUMN(B$1),FALSE),"")</f>
        <v>アイスドレイクスケール・ベスト</v>
      </c>
      <c r="C145" t="s">
        <v>207</v>
      </c>
      <c r="D145" s="24" t="s">
        <v>248</v>
      </c>
      <c r="E145" t="str">
        <f>IFERROR(VLOOKUP(C145,武器!$1:$998,COLUMN(C$1),FALSE),"")</f>
        <v>体</v>
      </c>
      <c r="F145">
        <f>IFERROR(ROUNDDOWN((VLOOKUP($C145,武器!$1:$998,COLUMN(D$1),FALSE)+IFERROR(VLOOKUP($CJ145,装強!$1:$999,COLUMN(F$1),FALSE),0))*VLOOKUP($D145,素材!$1:$1016,COLUMN(D$1),FALSE),0),"")</f>
        <v>0</v>
      </c>
      <c r="G145">
        <f>IFERROR(ROUNDDOWN((VLOOKUP($C145,武器!$1:$998,COLUMN(E$1),FALSE)+IFERROR(VLOOKUP($CJ145,装強!$1:$999,COLUMN(G$1),FALSE),0))*VLOOKUP($D145,素材!$1:$1016,COLUMN($E$1),FALSE),0),"")</f>
        <v>0</v>
      </c>
      <c r="H145">
        <f>IFERROR(ROUNDDOWN((VLOOKUP($C145,武器!$1:$998,COLUMN(F$1),FALSE)+IFERROR(VLOOKUP($CJ145,装強!$1:$999,COLUMN(H$1),FALSE),0))*VLOOKUP($D145,素材!$1:$1016,COLUMN($E$1),FALSE),0),"")</f>
        <v>0</v>
      </c>
      <c r="I145">
        <f>IFERROR(ROUNDDOWN((VLOOKUP($C145,武器!$1:$998,COLUMN(G$1),FALSE)+IFERROR(VLOOKUP($CJ145,装強!$1:$999,COLUMN(I$1),FALSE),0))*VLOOKUP($D145,素材!$1:$1016,COLUMN($E$1),FALSE),0),"")</f>
        <v>0</v>
      </c>
      <c r="J145">
        <f>IFERROR(ROUNDDOWN((VLOOKUP($C145,武器!$1:$998,COLUMN(H$1),FALSE)+IFERROR(VLOOKUP($CJ145,装強!$1:$999,COLUMN(J$1),FALSE),0))*VLOOKUP($D145,素材!$1:$1016,COLUMN($E$1),FALSE),0),"")</f>
        <v>0</v>
      </c>
      <c r="K145">
        <f>IFERROR(ROUNDDOWN((VLOOKUP($C145,武器!$1:$998,COLUMN(I$1),FALSE)+IFERROR(VLOOKUP($CJ145,装強!$1:$999,COLUMN(K$1),FALSE),0))*VLOOKUP($D145,素材!$1:$1016,COLUMN($E$1),FALSE),0),"")</f>
        <v>0</v>
      </c>
      <c r="L145" t="str">
        <f>IFERROR(VLOOKUP($D145,素材!$1:$1016,COLUMN($F$1),FALSE),"")</f>
        <v>氷</v>
      </c>
      <c r="M145">
        <f>IFERROR(VLOOKUP($C145,武器!$1:$998,COLUMN(AA$1),FALSE)*VLOOKUP($D145,素材!$1:$1016,COLUMN($G$1),FALSE),"")</f>
        <v>0</v>
      </c>
      <c r="N145">
        <f>IFERROR(VLOOKUP($C145,武器!$1:$998,COLUMN(I$1),FALSE),"")</f>
        <v>0</v>
      </c>
      <c r="O145" s="23" t="str">
        <f>IFERROR((VLOOKUP($C145,武器!$1:$998,COLUMN(K$1),FALSE)+VLOOKUP($D145,素材!$1:$1016,COLUMN(H$1),FALSE))*100+IFERROR(VLOOKUP($CJ145,装強!$1:$999,COLUMN(O$1),FALSE),0),"")</f>
        <v/>
      </c>
      <c r="P145" s="23" t="str">
        <f>IFERROR((VLOOKUP($C145,武器!$1:$998,COLUMN(L$1),FALSE)+VLOOKUP($D145,素材!$1:$1016,COLUMN(I$1),FALSE))*100+IFERROR(VLOOKUP($CJ145,装強!$1:$999,COLUMN(P$1),FALSE),0),"")</f>
        <v/>
      </c>
      <c r="Q145">
        <f>IFERROR(ROUNDUP(VLOOKUP($C145,武器!$1:$998,COLUMN(M$1),FALSE)*(VLOOKUP($D145,素材!$1:$1002,COLUMN(D$1),FALSE)/100),1),"")</f>
        <v>-6</v>
      </c>
      <c r="R145">
        <f>IFERROR(ROUNDUP(VLOOKUP($C145,武器!$1:$998,COLUMN(N$1),FALSE)*(VLOOKUP($D145,素材!$1:$1002,COLUMN(D$1),FALSE)/100),1),"")</f>
        <v>0</v>
      </c>
      <c r="S145">
        <f>IFERROR(VLOOKUP($C145,武器!$1:$998,COLUMN(P$1),FALSE),"")</f>
        <v>0</v>
      </c>
      <c r="T145">
        <f>IFERROR(VLOOKUP($C145,武器!$1:$998,COLUMN(Q$1),FALSE),"")</f>
        <v>0</v>
      </c>
      <c r="U145">
        <f>IFERROR(VLOOKUP($C145,武器!$1:$998,COLUMN(R$1),FALSE),"")</f>
        <v>0</v>
      </c>
      <c r="V145">
        <f>IFERROR(VLOOKUP($C145,武器!$1:$998,COLUMN(Q$1),FALSE),"")</f>
        <v>0</v>
      </c>
      <c r="W145">
        <f>IFERROR(VLOOKUP($C145,武器!$1:$998,COLUMN(T$1),FALSE),"")</f>
        <v>0</v>
      </c>
      <c r="Y145">
        <f>IFERROR(VLOOKUP($C145,武器!$1:$998,COLUMN(U$1),FALSE),"")</f>
        <v>0</v>
      </c>
      <c r="Z145">
        <f>IFERROR(ROUNDUP(VLOOKUP($C145,武器!$1:$998,COLUMN(O$1),FALSE)*VLOOKUP($D145,素材!$1:$1016,COLUMN(E$1),FALSE),1),"")</f>
        <v>12.5</v>
      </c>
      <c r="AA145">
        <f>IF(ISNUMBER(SEARCH(SUBSTITUTE(AA$1,RIGHT(AA$1,2),""),VLOOKUP($D145,素材!$1:$1016,COLUMN($F$1),FALSE))),VLOOKUP($C145,武器!$1:$998,COLUMN($O$1),FALSE)*VLOOKUP($D145,素材!$1:$1016,COLUMN($E$1),FALSE)/(LEN(VLOOKUP($D145,素材!$1:$1016,COLUMN($F$1),FALSE))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B145">
        <f>IF(ISNUMBER(SEARCH(SUBSTITUTE(AB$1,RIGHT(AB$1,2),""),VLOOKUP($D145,素材!$1:$1016,COLUMN($F$1),FALSE))),VLOOKUP($C145,武器!$1:$998,COLUMN($O$1),FALSE)*VLOOKUP($D145,素材!$1:$1016,COLUMN($E$1),FALSE)/(LEN(VLOOKUP($D145,素材!$1:$1016,COLUMN($F$1),FALSE))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C145">
        <f>IF(ISNUMBER(SEARCH(SUBSTITUTE(AC$1,RIGHT(AC$1,2),""),VLOOKUP($D145,素材!$1:$1016,COLUMN($F$1),FALSE))),VLOOKUP($C145,武器!$1:$998,COLUMN($O$1),FALSE)*VLOOKUP($D145,素材!$1:$1016,COLUMN($E$1),FALSE)/(LEN(VLOOKUP($D145,素材!$1:$1016,COLUMN($F$1),FALSE))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D145">
        <f>IF(ISNUMBER(SEARCH(SUBSTITUTE(AD$1,RIGHT(AD$1,2),""),VLOOKUP($D145,素材!$1:$1016,COLUMN($F$1),FALSE))),VLOOKUP($C145,武器!$1:$998,COLUMN($O$1),FALSE)*VLOOKUP($D145,素材!$1:$1016,COLUMN($E$1),FALSE)/(LEN(VLOOKUP($D145,素材!$1:$1016,COLUMN($F$1),FALSE))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E145">
        <f>IF(ISNUMBER(SEARCH(SUBSTITUTE(AE$1,RIGHT(AE$1,2),""),VLOOKUP($D145,素材!$1:$1016,COLUMN($F$1),FALSE))),VLOOKUP($C145,武器!$1:$998,COLUMN($O$1),FALSE)*VLOOKUP($D145,素材!$1:$1016,COLUMN($E$1),FALSE)/(LEN(VLOOKUP($D145,素材!$1:$1016,COLUMN($F$1),FALSE))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F145">
        <f>IF(ISNUMBER(SEARCH(SUBSTITUTE(AF$1,RIGHT(AF$1,2),""),VLOOKUP($D145,素材!$1:$1016,COLUMN($F$1),FALSE))),VLOOKUP($C145,武器!$1:$998,COLUMN($O$1),FALSE)*VLOOKUP($D145,素材!$1:$1016,COLUMN($E$1),FALSE)/(LEN(VLOOKUP($D145,素材!$1:$1016,COLUMN($F$1),FALSE))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12.5</v>
      </c>
      <c r="AG145">
        <f>IF(ISNUMBER(SEARCH(SUBSTITUTE(AG$1,RIGHT(AG$1,2),""),VLOOKUP($D145,素材!$1:$1016,COLUMN($F$1),FALSE))),VLOOKUP($C145,武器!$1:$998,COLUMN($O$1),FALSE)*VLOOKUP($D145,素材!$1:$1016,COLUMN($E$1),FALSE)/(LEN(VLOOKUP($D145,素材!$1:$1016,COLUMN($F$1),FALSE))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H145">
        <f>IF(ISNUMBER(SEARCH(SUBSTITUTE(AH$1,RIGHT(AH$1,2),""),VLOOKUP($D145,素材!$1:$1016,COLUMN($F$1),FALSE))),VLOOKUP($C145,武器!$1:$998,COLUMN($O$1),FALSE)*VLOOKUP($D145,素材!$1:$1016,COLUMN($E$1),FALSE)/(LEN(VLOOKUP($D145,素材!$1:$1016,COLUMN($F$1),FALSE))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I145">
        <f>IF(ISNUMBER(SEARCH(SUBSTITUTE(AI$1,RIGHT(AI$1,2),""),VLOOKUP($D145,素材!$1:$1016,COLUMN($F$1),FALSE))),VLOOKUP($C145,武器!$1:$998,COLUMN($O$1),FALSE)*VLOOKUP($D145,素材!$1:$1016,COLUMN($E$1),FALSE)/(LEN(VLOOKUP($D145,素材!$1:$1016,COLUMN($F$1),FALSE))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J145">
        <f>IF(ISNUMBER(SEARCH(SUBSTITUTE(AJ$1,RIGHT(AJ$1,2),""),VLOOKUP($D145,素材!$1:$1016,COLUMN($F$1),FALSE))),VLOOKUP($C145,武器!$1:$998,COLUMN($O$1),FALSE)*VLOOKUP($D145,素材!$1:$1016,COLUMN($E$1),FALSE)/(LEN(VLOOKUP($D145,素材!$1:$1016,COLUMN($F$1),FALSE))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K145">
        <f>IF(ISNUMBER(SEARCH(SUBSTITUTE(AK$1,RIGHT(AK$1,2),""),VLOOKUP($D145,素材!$1:$1016,COLUMN($F$1),FALSE))),VLOOKUP($C145,武器!$1:$998,COLUMN($O$1),FALSE)*VLOOKUP($D145,素材!$1:$1016,COLUMN($E$1),FALSE)/(LEN(VLOOKUP($D145,素材!$1:$1016,COLUMN($F$1),FALSE))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L145">
        <f>IF(ISNUMBER(SEARCH(SUBSTITUTE(AL$1,RIGHT(AL$1,2),""),VLOOKUP($D145,素材!$1:$1016,COLUMN($F$1),FALSE))),VLOOKUP($C145,武器!$1:$998,COLUMN($O$1),FALSE)*VLOOKUP($D145,素材!$1:$1016,COLUMN($E$1),FALSE)/(LEN(VLOOKUP($D145,素材!$1:$1016,COLUMN($F$1),FALSE))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M145">
        <f>IF(ISNUMBER(SEARCH(SUBSTITUTE(AM$1,RIGHT(AM$1,2),""),VLOOKUP($D145,素材!$1:$1016,COLUMN($F$1),FALSE))),VLOOKUP($C145,武器!$1:$998,COLUMN($O$1),FALSE)*VLOOKUP($D145,素材!$1:$1016,COLUMN($E$1),FALSE)/(LEN(VLOOKUP($D145,素材!$1:$1016,COLUMN($F$1),FALSE))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N145">
        <f>IF(ISNUMBER(SEARCH(SUBSTITUTE(AN$1,RIGHT(AN$1,2),""),VLOOKUP($D145,素材!$1:$1016,COLUMN($F$1),FALSE))),VLOOKUP($C145,武器!$1:$998,COLUMN($O$1),FALSE)*VLOOKUP($D145,素材!$1:$1016,COLUMN($E$1),FALSE)/(LEN(VLOOKUP($D145,素材!$1:$1016,COLUMN($F$1),FALSE))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O145">
        <f>IF(ISNUMBER(SEARCH(SUBSTITUTE(AO$1,RIGHT(AO$1,2),""),VLOOKUP($D145,素材!$1:$1016,COLUMN($F$1),FALSE))),VLOOKUP($C145,武器!$1:$998,COLUMN($O$1),FALSE)*VLOOKUP($D145,素材!$1:$1016,COLUMN($E$1),FALSE)/(LEN(VLOOKUP($D145,素材!$1:$1016,COLUMN($F$1),FALSE))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P145">
        <f>IF(ISNUMBER(SEARCH(SUBSTITUTE(AP$1,RIGHT(AP$1,2),""),VLOOKUP($D145,素材!$1:$1016,COLUMN($F$1),FALSE))),VLOOKUP($C145,武器!$1:$998,COLUMN($O$1),FALSE)*VLOOKUP($D145,素材!$1:$1016,COLUMN($E$1),FALSE)/(LEN(VLOOKUP($D145,素材!$1:$1016,COLUMN($F$1),FALSE))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Q145">
        <f>IF(ISNUMBER(SEARCH(SUBSTITUTE(AQ$1,RIGHT(AQ$1,2),""),VLOOKUP($D145,素材!$1:$1016,COLUMN($F$1),FALSE))),VLOOKUP($C145,武器!$1:$998,COLUMN($O$1),FALSE)*VLOOKUP($D145,素材!$1:$1016,COLUMN($E$1),FALSE)/(LEN(VLOOKUP($D145,素材!$1:$1016,COLUMN($F$1),FALSE))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R145">
        <f>IF(ISNUMBER(SEARCH(SUBSTITUTE(AR$1,RIGHT(AR$1,2),""),VLOOKUP($D145,素材!$1:$1016,COLUMN($F$1),FALSE))),VLOOKUP($C145,武器!$1:$998,COLUMN($O$1),FALSE)*VLOOKUP($D145,素材!$1:$1016,COLUMN($E$1),FALSE)/(LEN(VLOOKUP($D145,素材!$1:$1016,COLUMN($F$1),FALSE))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S145">
        <f>IF(ISNUMBER(SEARCH(SUBSTITUTE(AS$1,RIGHT(AS$1,2),""),VLOOKUP($D145,素材!$1:$1016,COLUMN($F$1),FALSE))),VLOOKUP($C145,武器!$1:$998,COLUMN($O$1),FALSE)*VLOOKUP($D145,素材!$1:$1016,COLUMN($E$1),FALSE)/(LEN(VLOOKUP($D145,素材!$1:$1016,COLUMN($F$1),FALSE))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T145">
        <f>IF(ISNUMBER(SEARCH(SUBSTITUTE(AT$1,RIGHT(AT$1,2),""),VLOOKUP($D145,素材!$1:$1016,COLUMN($F$1),FALSE))),VLOOKUP($C145,武器!$1:$998,COLUMN($O$1),FALSE)*VLOOKUP($D145,素材!$1:$1016,COLUMN($E$1),FALSE)/(LEN(VLOOKUP($D145,素材!$1:$1016,COLUMN($F$1),FALSE))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U145">
        <f>IF(ISNUMBER(SEARCH(SUBSTITUTE(AU$1,RIGHT(AU$1,2),""),VLOOKUP($D145,素材!$1:$1016,COLUMN($F$1),FALSE))),VLOOKUP($C145,武器!$1:$998,COLUMN($O$1),FALSE)*VLOOKUP($D145,素材!$1:$1016,COLUMN($E$1),FALSE)/(LEN(VLOOKUP($D145,素材!$1:$1016,COLUMN($F$1),FALSE))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V145">
        <f>IF(ISNUMBER(SEARCH(SUBSTITUTE(AV$1,RIGHT(AV$1,2),""),VLOOKUP($D145,素材!$1:$1016,COLUMN($F$1),FALSE))),VLOOKUP($C145,武器!$1:$998,COLUMN($O$1),FALSE)*VLOOKUP($D145,素材!$1:$1016,COLUMN($E$1),FALSE)/(LEN(VLOOKUP($D145,素材!$1:$1016,COLUMN($F$1),FALSE))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W145">
        <f>IF(ISNUMBER(SEARCH(SUBSTITUTE(AW$1,RIGHT(AW$1,2),""),VLOOKUP($D145,素材!$1:$1016,COLUMN($F$1),FALSE))),VLOOKUP($C145,武器!$1:$998,COLUMN($O$1),FALSE)*VLOOKUP($D145,素材!$1:$1016,COLUMN($E$1),FALSE)/(LEN(VLOOKUP($D145,素材!$1:$1016,COLUMN($F$1),FALSE))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X145">
        <f>IF(ISNUMBER(SEARCH(SUBSTITUTE(AX$1,RIGHT(AX$1,2),""),VLOOKUP($D145,素材!$1:$1016,COLUMN($F$1),FALSE))),VLOOKUP($C145,武器!$1:$998,COLUMN($O$1),FALSE)*VLOOKUP($D145,素材!$1:$1016,COLUMN($E$1),FALSE)/(LEN(VLOOKUP($D145,素材!$1:$1016,COLUMN($F$1),FALSE))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Y145">
        <f>IF(ISNUMBER(SEARCH(SUBSTITUTE(AY$1,RIGHT(AY$1,2),""),VLOOKUP($D145,素材!$1:$1016,COLUMN($F$1),FALSE))),VLOOKUP($C145,武器!$1:$998,COLUMN($O$1),FALSE)*VLOOKUP($D145,素材!$1:$1016,COLUMN($E$1),FALSE)/(LEN(VLOOKUP($D145,素材!$1:$1016,COLUMN($F$1),FALSE))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AZ145">
        <f>IF(ISNUMBER(SEARCH(SUBSTITUTE(AZ$1,RIGHT(AZ$1,2),""),VLOOKUP($D145,素材!$1:$1016,COLUMN($F$1),FALSE))),VLOOKUP($C145,武器!$1:$998,COLUMN($O$1),FALSE)*VLOOKUP($D145,素材!$1:$1016,COLUMN($E$1),FALSE)/(LEN(VLOOKUP($D145,素材!$1:$1016,COLUMN($F$1),FALSE))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BA145">
        <f>IF(ISNUMBER(SEARCH(SUBSTITUTE(BA$1,RIGHT(BA$1,2),""),VLOOKUP($D145,素材!$1:$1016,COLUMN($F$1),FALSE))),VLOOKUP($C145,武器!$1:$998,COLUMN($O$1),FALSE)*VLOOKUP($D145,素材!$1:$1016,COLUMN($E$1),FALSE)/(LEN(VLOOKUP($D145,素材!$1:$1016,COLUMN($F$1),FALSE))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BB145">
        <f>IF(ISNUMBER(SEARCH(SUBSTITUTE(BB$1,RIGHT(BB$1,2),""),VLOOKUP($D145,素材!$1:$1016,COLUMN($F$1),FALSE))),VLOOKUP($C145,武器!$1:$998,COLUMN($O$1),FALSE)*VLOOKUP($D145,素材!$1:$1016,COLUMN($E$1),FALSE)/(LEN(VLOOKUP($D145,素材!$1:$1016,COLUMN($F$1),FALSE))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BC145">
        <f>IF(ISNUMBER(SEARCH(SUBSTITUTE(BC$1,RIGHT(BC$1,2),""),VLOOKUP($D145,素材!$1:$1016,COLUMN($F$1),FALSE))),VLOOKUP($C145,武器!$1:$998,COLUMN($O$1),FALSE)*VLOOKUP($D145,素材!$1:$1016,COLUMN($E$1),FALSE)/(LEN(VLOOKUP($D145,素材!$1:$1016,COLUMN($F$1),FALSE))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BD145">
        <f>IF(ISNUMBER(SEARCH(SUBSTITUTE(BD$1,RIGHT(BD$1,2),""),VLOOKUP($D145,素材!$1:$1016,COLUMN($F$1),FALSE))),VLOOKUP($C145,武器!$1:$998,COLUMN($O$1),FALSE)*VLOOKUP($D145,素材!$1:$1016,COLUMN($E$1),FALSE)/(LEN(VLOOKUP($D145,素材!$1:$1016,COLUMN($F$1),FALSE))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BE145">
        <f>IF(ISNUMBER(SEARCH(SUBSTITUTE(BE$1,RIGHT(BE$1,2),""),VLOOKUP($D145,素材!$1:$1016,COLUMN($F$1),FALSE))),VLOOKUP($C145,武器!$1:$998,COLUMN($O$1),FALSE)*VLOOKUP($D145,素材!$1:$1016,COLUMN($E$1),FALSE)/(LEN(VLOOKUP($D145,素材!$1:$1016,COLUMN($F$1),FALSE))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BF145">
        <f>IF(ISNUMBER(SEARCH(SUBSTITUTE(BF$1,RIGHT(BF$1,2),""),VLOOKUP($D145,素材!$1:$1016,COLUMN($F$1),FALSE))),VLOOKUP($C145,武器!$1:$998,COLUMN($O$1),FALSE)*VLOOKUP($D145,素材!$1:$1016,COLUMN($E$1),FALSE)/(LEN(VLOOKUP($D145,素材!$1:$1016,COLUMN($F$1),FALSE)) - LEN(SUBSTITUTE(VLOOKUP($D145,素材!$1:$1016,COLUMN($F$1),FALSE), "・", 0)) + 1), 0)</f>
        <v>0</v>
      </c>
      <c r="CM145">
        <f t="shared" si="19"/>
        <v>0</v>
      </c>
      <c r="CN145" s="22" t="str">
        <f>IF(E145="武器",IF(J145-1&gt;SUM(G145:I145),"盾",IF(MAX(G145:I145)=G145,"切断",IF(MAX(G145:I145)=H145,"貫通",IF(MAX(G145:I145)=I145,"打撃","射撃")))),E145)&amp;".webp"</f>
        <v>体.webp</v>
      </c>
      <c r="CO145">
        <f>IFERROR(VLOOKUP($C145,武器!$1:$998,COLUMN(V$1),FALSE)*VLOOKUP($D145,素材!$1:$1016,COLUMN(N$1),FALSE)+IF(CJ145="",0,VLOOKUP($CJ145,装強!$1:$1008,COLUMN($CL$1),FALSE)),"")</f>
        <v>13750</v>
      </c>
      <c r="CP145" t="str">
        <f>VLOOKUP(D145,素材!$A:$O,COLUMN(素材!O$1),FALSE)</f>
        <v>氷属性を持つドラゴン型生物から採取される鱗素材。極寒の環境や冷気攻撃への対策として優れた性能を発揮します。</v>
      </c>
      <c r="CQ145" t="str">
        <f>VLOOKUP(C145,武器!$A:$W,COLUMN(武器!W$1),FALSE)</f>
        <v>HP 物理 魔法 体幹 出血 疲労 Cr</v>
      </c>
      <c r="CS145" t="str">
        <f t="shared" si="21"/>
        <v>e_145</v>
      </c>
      <c r="CT145">
        <f t="shared" si="24"/>
        <v>1375000</v>
      </c>
    </row>
    <row r="146" spans="1:98" outlineLevel="1" x14ac:dyDescent="0.4">
      <c r="A146" t="str">
        <f t="shared" ref="A146" si="27">D146&amp;"の"&amp;C146</f>
        <v>炎蜥蜴の鱗の帽子</v>
      </c>
      <c r="B146" t="str">
        <f>IFERROR(VLOOKUP($D146,素材!$1:$1016,COLUMN($B$1),FALSE)&amp;"・"&amp;VLOOKUP($C146,武器!$1:$998,COLUMN(B$1),FALSE),"")</f>
        <v>ファイアドレイクスケール・ハット</v>
      </c>
      <c r="C146" t="s">
        <v>1196</v>
      </c>
      <c r="D146" s="24" t="s">
        <v>245</v>
      </c>
      <c r="E146" t="str">
        <f>IFERROR(VLOOKUP(C146,武器!$1:$998,COLUMN(C$1),FALSE),"")</f>
        <v>頭</v>
      </c>
      <c r="F146">
        <f>IFERROR(ROUNDDOWN((VLOOKUP($C146,武器!$1:$998,COLUMN(D$1),FALSE)+IFERROR(VLOOKUP($CJ146,装強!$1:$999,COLUMN(F$1),FALSE),0))*VLOOKUP($D146,素材!$1:$1016,COLUMN(D$1),FALSE),0),"")</f>
        <v>0</v>
      </c>
      <c r="G146">
        <f>IFERROR(ROUNDDOWN((VLOOKUP($C146,武器!$1:$998,COLUMN(E$1),FALSE)+IFERROR(VLOOKUP($CJ146,装強!$1:$999,COLUMN(G$1),FALSE),0))*VLOOKUP($D146,素材!$1:$1016,COLUMN($E$1),FALSE),0),"")</f>
        <v>0</v>
      </c>
      <c r="H146">
        <f>IFERROR(ROUNDDOWN((VLOOKUP($C146,武器!$1:$998,COLUMN(F$1),FALSE)+IFERROR(VLOOKUP($CJ146,装強!$1:$999,COLUMN(H$1),FALSE),0))*VLOOKUP($D146,素材!$1:$1016,COLUMN($E$1),FALSE),0),"")</f>
        <v>0</v>
      </c>
      <c r="I146">
        <f>IFERROR(ROUNDDOWN((VLOOKUP($C146,武器!$1:$998,COLUMN(G$1),FALSE)+IFERROR(VLOOKUP($CJ146,装強!$1:$999,COLUMN(I$1),FALSE),0))*VLOOKUP($D146,素材!$1:$1016,COLUMN($E$1),FALSE),0),"")</f>
        <v>0</v>
      </c>
      <c r="J146">
        <f>IFERROR(ROUNDDOWN((VLOOKUP($C146,武器!$1:$998,COLUMN(H$1),FALSE)+IFERROR(VLOOKUP($CJ146,装強!$1:$999,COLUMN(J$1),FALSE),0))*VLOOKUP($D146,素材!$1:$1016,COLUMN($E$1),FALSE),0),"")</f>
        <v>0</v>
      </c>
      <c r="K146">
        <f>IFERROR(ROUNDDOWN((VLOOKUP($C146,武器!$1:$998,COLUMN(I$1),FALSE)+IFERROR(VLOOKUP($CJ146,装強!$1:$999,COLUMN(K$1),FALSE),0))*VLOOKUP($D146,素材!$1:$1016,COLUMN($E$1),FALSE),0),"")</f>
        <v>0</v>
      </c>
      <c r="L146" t="str">
        <f>IFERROR(VLOOKUP($D146,素材!$1:$1016,COLUMN($F$1),FALSE),"")</f>
        <v>炎</v>
      </c>
      <c r="M146">
        <f>IFERROR(VLOOKUP($C146,武器!$1:$998,COLUMN(AA$1),FALSE)*VLOOKUP($D146,素材!$1:$1016,COLUMN($G$1),FALSE),"")</f>
        <v>0</v>
      </c>
      <c r="N146">
        <f>IFERROR(VLOOKUP($C146,武器!$1:$998,COLUMN(I$1),FALSE),"")</f>
        <v>0</v>
      </c>
      <c r="O146" s="23" t="str">
        <f>IFERROR((VLOOKUP($C146,武器!$1:$998,COLUMN(K$1),FALSE)+VLOOKUP($D146,素材!$1:$1016,COLUMN(H$1),FALSE))*100+IFERROR(VLOOKUP($CJ146,装強!$1:$999,COLUMN(O$1),FALSE),0),"")</f>
        <v/>
      </c>
      <c r="P146" s="23" t="str">
        <f>IFERROR((VLOOKUP($C146,武器!$1:$998,COLUMN(L$1),FALSE)+VLOOKUP($D146,素材!$1:$1016,COLUMN(I$1),FALSE))*100+IFERROR(VLOOKUP($CJ146,装強!$1:$999,COLUMN(P$1),FALSE),0),"")</f>
        <v/>
      </c>
      <c r="Q146">
        <f>IFERROR(ROUNDUP(VLOOKUP($C146,武器!$1:$998,COLUMN(M$1),FALSE)*(VLOOKUP($D146,素材!$1:$1002,COLUMN(D$1),FALSE)/100),1),"")</f>
        <v>0</v>
      </c>
      <c r="R146">
        <f>IFERROR(ROUNDUP(VLOOKUP($C146,武器!$1:$998,COLUMN(N$1),FALSE)*(VLOOKUP($D146,素材!$1:$1002,COLUMN(D$1),FALSE)/100),1),"")</f>
        <v>0</v>
      </c>
      <c r="S146">
        <f>IFERROR(VLOOKUP($C146,武器!$1:$998,COLUMN(P$1),FALSE),"")</f>
        <v>0</v>
      </c>
      <c r="T146">
        <f>IFERROR(VLOOKUP($C146,武器!$1:$998,COLUMN(Q$1),FALSE),"")</f>
        <v>0</v>
      </c>
      <c r="U146">
        <f>IFERROR(VLOOKUP($C146,武器!$1:$998,COLUMN(R$1),FALSE),"")</f>
        <v>0</v>
      </c>
      <c r="V146">
        <f>IFERROR(VLOOKUP($C146,武器!$1:$998,COLUMN(Q$1),FALSE),"")</f>
        <v>0</v>
      </c>
      <c r="W146">
        <f>IFERROR(VLOOKUP($C146,武器!$1:$998,COLUMN(T$1),FALSE),"")</f>
        <v>0</v>
      </c>
      <c r="Y146">
        <f>IFERROR(VLOOKUP($C146,武器!$1:$998,COLUMN(U$1),FALSE),"")</f>
        <v>0</v>
      </c>
      <c r="Z146">
        <f>IFERROR(ROUNDUP(VLOOKUP($C146,武器!$1:$998,COLUMN(O$1),FALSE)*VLOOKUP($D146,素材!$1:$1016,COLUMN(E$1),FALSE),1),"")</f>
        <v>2.5</v>
      </c>
      <c r="AA146">
        <f>IF(ISNUMBER(SEARCH(SUBSTITUTE(AA$1,RIGHT(AA$1,2),""),VLOOKUP($D146,素材!$1:$1016,COLUMN($F$1),FALSE))),VLOOKUP($C146,武器!$1:$998,COLUMN($O$1),FALSE)*VLOOKUP($D146,素材!$1:$1016,COLUMN($E$1),FALSE)/(LEN(VLOOKUP($D146,素材!$1:$1016,COLUMN($F$1),FALSE))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B146">
        <f>IF(ISNUMBER(SEARCH(SUBSTITUTE(AB$1,RIGHT(AB$1,2),""),VLOOKUP($D146,素材!$1:$1016,COLUMN($F$1),FALSE))),VLOOKUP($C146,武器!$1:$998,COLUMN($O$1),FALSE)*VLOOKUP($D146,素材!$1:$1016,COLUMN($E$1),FALSE)/(LEN(VLOOKUP($D146,素材!$1:$1016,COLUMN($F$1),FALSE))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C146">
        <f>IF(ISNUMBER(SEARCH(SUBSTITUTE(AC$1,RIGHT(AC$1,2),""),VLOOKUP($D146,素材!$1:$1016,COLUMN($F$1),FALSE))),VLOOKUP($C146,武器!$1:$998,COLUMN($O$1),FALSE)*VLOOKUP($D146,素材!$1:$1016,COLUMN($E$1),FALSE)/(LEN(VLOOKUP($D146,素材!$1:$1016,COLUMN($F$1),FALSE))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D146">
        <f>IF(ISNUMBER(SEARCH(SUBSTITUTE(AD$1,RIGHT(AD$1,2),""),VLOOKUP($D146,素材!$1:$1016,COLUMN($F$1),FALSE))),VLOOKUP($C146,武器!$1:$998,COLUMN($O$1),FALSE)*VLOOKUP($D146,素材!$1:$1016,COLUMN($E$1),FALSE)/(LEN(VLOOKUP($D146,素材!$1:$1016,COLUMN($F$1),FALSE))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E146">
        <f>IF(ISNUMBER(SEARCH(SUBSTITUTE(AE$1,RIGHT(AE$1,2),""),VLOOKUP($D146,素材!$1:$1016,COLUMN($F$1),FALSE))),VLOOKUP($C146,武器!$1:$998,COLUMN($O$1),FALSE)*VLOOKUP($D146,素材!$1:$1016,COLUMN($E$1),FALSE)/(LEN(VLOOKUP($D146,素材!$1:$1016,COLUMN($F$1),FALSE))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2.5</v>
      </c>
      <c r="AF146">
        <f>IF(ISNUMBER(SEARCH(SUBSTITUTE(AF$1,RIGHT(AF$1,2),""),VLOOKUP($D146,素材!$1:$1016,COLUMN($F$1),FALSE))),VLOOKUP($C146,武器!$1:$998,COLUMN($O$1),FALSE)*VLOOKUP($D146,素材!$1:$1016,COLUMN($E$1),FALSE)/(LEN(VLOOKUP($D146,素材!$1:$1016,COLUMN($F$1),FALSE))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G146">
        <f>IF(ISNUMBER(SEARCH(SUBSTITUTE(AG$1,RIGHT(AG$1,2),""),VLOOKUP($D146,素材!$1:$1016,COLUMN($F$1),FALSE))),VLOOKUP($C146,武器!$1:$998,COLUMN($O$1),FALSE)*VLOOKUP($D146,素材!$1:$1016,COLUMN($E$1),FALSE)/(LEN(VLOOKUP($D146,素材!$1:$1016,COLUMN($F$1),FALSE))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H146">
        <f>IF(ISNUMBER(SEARCH(SUBSTITUTE(AH$1,RIGHT(AH$1,2),""),VLOOKUP($D146,素材!$1:$1016,COLUMN($F$1),FALSE))),VLOOKUP($C146,武器!$1:$998,COLUMN($O$1),FALSE)*VLOOKUP($D146,素材!$1:$1016,COLUMN($E$1),FALSE)/(LEN(VLOOKUP($D146,素材!$1:$1016,COLUMN($F$1),FALSE))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I146">
        <f>IF(ISNUMBER(SEARCH(SUBSTITUTE(AI$1,RIGHT(AI$1,2),""),VLOOKUP($D146,素材!$1:$1016,COLUMN($F$1),FALSE))),VLOOKUP($C146,武器!$1:$998,COLUMN($O$1),FALSE)*VLOOKUP($D146,素材!$1:$1016,COLUMN($E$1),FALSE)/(LEN(VLOOKUP($D146,素材!$1:$1016,COLUMN($F$1),FALSE))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J146">
        <f>IF(ISNUMBER(SEARCH(SUBSTITUTE(AJ$1,RIGHT(AJ$1,2),""),VLOOKUP($D146,素材!$1:$1016,COLUMN($F$1),FALSE))),VLOOKUP($C146,武器!$1:$998,COLUMN($O$1),FALSE)*VLOOKUP($D146,素材!$1:$1016,COLUMN($E$1),FALSE)/(LEN(VLOOKUP($D146,素材!$1:$1016,COLUMN($F$1),FALSE))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K146">
        <f>IF(ISNUMBER(SEARCH(SUBSTITUTE(AK$1,RIGHT(AK$1,2),""),VLOOKUP($D146,素材!$1:$1016,COLUMN($F$1),FALSE))),VLOOKUP($C146,武器!$1:$998,COLUMN($O$1),FALSE)*VLOOKUP($D146,素材!$1:$1016,COLUMN($E$1),FALSE)/(LEN(VLOOKUP($D146,素材!$1:$1016,COLUMN($F$1),FALSE))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L146">
        <f>IF(ISNUMBER(SEARCH(SUBSTITUTE(AL$1,RIGHT(AL$1,2),""),VLOOKUP($D146,素材!$1:$1016,COLUMN($F$1),FALSE))),VLOOKUP($C146,武器!$1:$998,COLUMN($O$1),FALSE)*VLOOKUP($D146,素材!$1:$1016,COLUMN($E$1),FALSE)/(LEN(VLOOKUP($D146,素材!$1:$1016,COLUMN($F$1),FALSE))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M146">
        <f>IF(ISNUMBER(SEARCH(SUBSTITUTE(AM$1,RIGHT(AM$1,2),""),VLOOKUP($D146,素材!$1:$1016,COLUMN($F$1),FALSE))),VLOOKUP($C146,武器!$1:$998,COLUMN($O$1),FALSE)*VLOOKUP($D146,素材!$1:$1016,COLUMN($E$1),FALSE)/(LEN(VLOOKUP($D146,素材!$1:$1016,COLUMN($F$1),FALSE))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N146">
        <f>IF(ISNUMBER(SEARCH(SUBSTITUTE(AN$1,RIGHT(AN$1,2),""),VLOOKUP($D146,素材!$1:$1016,COLUMN($F$1),FALSE))),VLOOKUP($C146,武器!$1:$998,COLUMN($O$1),FALSE)*VLOOKUP($D146,素材!$1:$1016,COLUMN($E$1),FALSE)/(LEN(VLOOKUP($D146,素材!$1:$1016,COLUMN($F$1),FALSE))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O146">
        <f>IF(ISNUMBER(SEARCH(SUBSTITUTE(AO$1,RIGHT(AO$1,2),""),VLOOKUP($D146,素材!$1:$1016,COLUMN($F$1),FALSE))),VLOOKUP($C146,武器!$1:$998,COLUMN($O$1),FALSE)*VLOOKUP($D146,素材!$1:$1016,COLUMN($E$1),FALSE)/(LEN(VLOOKUP($D146,素材!$1:$1016,COLUMN($F$1),FALSE))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P146">
        <f>IF(ISNUMBER(SEARCH(SUBSTITUTE(AP$1,RIGHT(AP$1,2),""),VLOOKUP($D146,素材!$1:$1016,COLUMN($F$1),FALSE))),VLOOKUP($C146,武器!$1:$998,COLUMN($O$1),FALSE)*VLOOKUP($D146,素材!$1:$1016,COLUMN($E$1),FALSE)/(LEN(VLOOKUP($D146,素材!$1:$1016,COLUMN($F$1),FALSE))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Q146">
        <f>IF(ISNUMBER(SEARCH(SUBSTITUTE(AQ$1,RIGHT(AQ$1,2),""),VLOOKUP($D146,素材!$1:$1016,COLUMN($F$1),FALSE))),VLOOKUP($C146,武器!$1:$998,COLUMN($O$1),FALSE)*VLOOKUP($D146,素材!$1:$1016,COLUMN($E$1),FALSE)/(LEN(VLOOKUP($D146,素材!$1:$1016,COLUMN($F$1),FALSE))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R146">
        <f>IF(ISNUMBER(SEARCH(SUBSTITUTE(AR$1,RIGHT(AR$1,2),""),VLOOKUP($D146,素材!$1:$1016,COLUMN($F$1),FALSE))),VLOOKUP($C146,武器!$1:$998,COLUMN($O$1),FALSE)*VLOOKUP($D146,素材!$1:$1016,COLUMN($E$1),FALSE)/(LEN(VLOOKUP($D146,素材!$1:$1016,COLUMN($F$1),FALSE))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S146">
        <f>IF(ISNUMBER(SEARCH(SUBSTITUTE(AS$1,RIGHT(AS$1,2),""),VLOOKUP($D146,素材!$1:$1016,COLUMN($F$1),FALSE))),VLOOKUP($C146,武器!$1:$998,COLUMN($O$1),FALSE)*VLOOKUP($D146,素材!$1:$1016,COLUMN($E$1),FALSE)/(LEN(VLOOKUP($D146,素材!$1:$1016,COLUMN($F$1),FALSE))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T146">
        <f>IF(ISNUMBER(SEARCH(SUBSTITUTE(AT$1,RIGHT(AT$1,2),""),VLOOKUP($D146,素材!$1:$1016,COLUMN($F$1),FALSE))),VLOOKUP($C146,武器!$1:$998,COLUMN($O$1),FALSE)*VLOOKUP($D146,素材!$1:$1016,COLUMN($E$1),FALSE)/(LEN(VLOOKUP($D146,素材!$1:$1016,COLUMN($F$1),FALSE))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U146">
        <f>IF(ISNUMBER(SEARCH(SUBSTITUTE(AU$1,RIGHT(AU$1,2),""),VLOOKUP($D146,素材!$1:$1016,COLUMN($F$1),FALSE))),VLOOKUP($C146,武器!$1:$998,COLUMN($O$1),FALSE)*VLOOKUP($D146,素材!$1:$1016,COLUMN($E$1),FALSE)/(LEN(VLOOKUP($D146,素材!$1:$1016,COLUMN($F$1),FALSE))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V146">
        <f>IF(ISNUMBER(SEARCH(SUBSTITUTE(AV$1,RIGHT(AV$1,2),""),VLOOKUP($D146,素材!$1:$1016,COLUMN($F$1),FALSE))),VLOOKUP($C146,武器!$1:$998,COLUMN($O$1),FALSE)*VLOOKUP($D146,素材!$1:$1016,COLUMN($E$1),FALSE)/(LEN(VLOOKUP($D146,素材!$1:$1016,COLUMN($F$1),FALSE))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W146">
        <f>IF(ISNUMBER(SEARCH(SUBSTITUTE(AW$1,RIGHT(AW$1,2),""),VLOOKUP($D146,素材!$1:$1016,COLUMN($F$1),FALSE))),VLOOKUP($C146,武器!$1:$998,COLUMN($O$1),FALSE)*VLOOKUP($D146,素材!$1:$1016,COLUMN($E$1),FALSE)/(LEN(VLOOKUP($D146,素材!$1:$1016,COLUMN($F$1),FALSE))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X146">
        <f>IF(ISNUMBER(SEARCH(SUBSTITUTE(AX$1,RIGHT(AX$1,2),""),VLOOKUP($D146,素材!$1:$1016,COLUMN($F$1),FALSE))),VLOOKUP($C146,武器!$1:$998,COLUMN($O$1),FALSE)*VLOOKUP($D146,素材!$1:$1016,COLUMN($E$1),FALSE)/(LEN(VLOOKUP($D146,素材!$1:$1016,COLUMN($F$1),FALSE))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Y146">
        <f>IF(ISNUMBER(SEARCH(SUBSTITUTE(AY$1,RIGHT(AY$1,2),""),VLOOKUP($D146,素材!$1:$1016,COLUMN($F$1),FALSE))),VLOOKUP($C146,武器!$1:$998,COLUMN($O$1),FALSE)*VLOOKUP($D146,素材!$1:$1016,COLUMN($E$1),FALSE)/(LEN(VLOOKUP($D146,素材!$1:$1016,COLUMN($F$1),FALSE))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AZ146">
        <f>IF(ISNUMBER(SEARCH(SUBSTITUTE(AZ$1,RIGHT(AZ$1,2),""),VLOOKUP($D146,素材!$1:$1016,COLUMN($F$1),FALSE))),VLOOKUP($C146,武器!$1:$998,COLUMN($O$1),FALSE)*VLOOKUP($D146,素材!$1:$1016,COLUMN($E$1),FALSE)/(LEN(VLOOKUP($D146,素材!$1:$1016,COLUMN($F$1),FALSE))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BA146">
        <f>IF(ISNUMBER(SEARCH(SUBSTITUTE(BA$1,RIGHT(BA$1,2),""),VLOOKUP($D146,素材!$1:$1016,COLUMN($F$1),FALSE))),VLOOKUP($C146,武器!$1:$998,COLUMN($O$1),FALSE)*VLOOKUP($D146,素材!$1:$1016,COLUMN($E$1),FALSE)/(LEN(VLOOKUP($D146,素材!$1:$1016,COLUMN($F$1),FALSE))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BB146">
        <f>IF(ISNUMBER(SEARCH(SUBSTITUTE(BB$1,RIGHT(BB$1,2),""),VLOOKUP($D146,素材!$1:$1016,COLUMN($F$1),FALSE))),VLOOKUP($C146,武器!$1:$998,COLUMN($O$1),FALSE)*VLOOKUP($D146,素材!$1:$1016,COLUMN($E$1),FALSE)/(LEN(VLOOKUP($D146,素材!$1:$1016,COLUMN($F$1),FALSE))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BC146">
        <f>IF(ISNUMBER(SEARCH(SUBSTITUTE(BC$1,RIGHT(BC$1,2),""),VLOOKUP($D146,素材!$1:$1016,COLUMN($F$1),FALSE))),VLOOKUP($C146,武器!$1:$998,COLUMN($O$1),FALSE)*VLOOKUP($D146,素材!$1:$1016,COLUMN($E$1),FALSE)/(LEN(VLOOKUP($D146,素材!$1:$1016,COLUMN($F$1),FALSE))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BD146">
        <f>IF(ISNUMBER(SEARCH(SUBSTITUTE(BD$1,RIGHT(BD$1,2),""),VLOOKUP($D146,素材!$1:$1016,COLUMN($F$1),FALSE))),VLOOKUP($C146,武器!$1:$998,COLUMN($O$1),FALSE)*VLOOKUP($D146,素材!$1:$1016,COLUMN($E$1),FALSE)/(LEN(VLOOKUP($D146,素材!$1:$1016,COLUMN($F$1),FALSE))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BE146">
        <f>IF(ISNUMBER(SEARCH(SUBSTITUTE(BE$1,RIGHT(BE$1,2),""),VLOOKUP($D146,素材!$1:$1016,COLUMN($F$1),FALSE))),VLOOKUP($C146,武器!$1:$998,COLUMN($O$1),FALSE)*VLOOKUP($D146,素材!$1:$1016,COLUMN($E$1),FALSE)/(LEN(VLOOKUP($D146,素材!$1:$1016,COLUMN($F$1),FALSE))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BF146">
        <f>IF(ISNUMBER(SEARCH(SUBSTITUTE(BF$1,RIGHT(BF$1,2),""),VLOOKUP($D146,素材!$1:$1016,COLUMN($F$1),FALSE))),VLOOKUP($C146,武器!$1:$998,COLUMN($O$1),FALSE)*VLOOKUP($D146,素材!$1:$1016,COLUMN($E$1),FALSE)/(LEN(VLOOKUP($D146,素材!$1:$1016,COLUMN($F$1),FALSE)) - LEN(SUBSTITUTE(VLOOKUP($D146,素材!$1:$1016,COLUMN($F$1),FALSE), "・", 0)) + 1), 0)</f>
        <v>0</v>
      </c>
      <c r="CM146">
        <f t="shared" si="19"/>
        <v>0</v>
      </c>
      <c r="CN146" s="22" t="str">
        <f>IF(E146="武器",IF(J146-1&gt;SUM(G146:I146),"盾",IF(MAX(G146:I146)=G146,"切断",IF(MAX(G146:I146)=H146,"貫通",IF(MAX(G146:I146)=I146,"打撃","射撃")))),E146)&amp;".webp"</f>
        <v>頭.webp</v>
      </c>
      <c r="CO146">
        <f>IFERROR(VLOOKUP($C146,武器!$1:$998,COLUMN(V$1),FALSE)*VLOOKUP($D146,素材!$1:$1016,COLUMN(N$1),FALSE)+IF(CJ146="",0,VLOOKUP($CJ146,装強!$1:$1008,COLUMN($CL$1),FALSE)),"")</f>
        <v>5500</v>
      </c>
      <c r="CP146" t="str">
        <f>VLOOKUP(D146,素材!$A:$O,COLUMN(素材!O$1),FALSE)</f>
        <v>炎属性を持つドラゴン型生物から採取される鱗素材。強力な炎属性防御を備えており、耐熱性が求められる場面で特に有用です。</v>
      </c>
      <c r="CQ146" t="str">
        <f>VLOOKUP(C146,武器!$A:$W,COLUMN(武器!W$1),FALSE)</f>
        <v>命中 魔防 Cr</v>
      </c>
      <c r="CS146" t="str">
        <f t="shared" si="21"/>
        <v>e_146</v>
      </c>
      <c r="CT146">
        <f t="shared" ref="CT146" si="28">CO146*100</f>
        <v>550000</v>
      </c>
    </row>
    <row r="147" spans="1:98" outlineLevel="1" x14ac:dyDescent="0.4">
      <c r="A147" t="str">
        <f t="shared" si="20"/>
        <v>炎蜥蜴の鱗の衣布</v>
      </c>
      <c r="B147" t="str">
        <f>IFERROR(VLOOKUP($D147,素材!$1:$1016,COLUMN($B$1),FALSE)&amp;"・"&amp;VLOOKUP($C147,武器!$1:$998,COLUMN(B$1),FALSE),"")</f>
        <v>ファイアドレイクスケール・クロース</v>
      </c>
      <c r="C147" t="s">
        <v>247</v>
      </c>
      <c r="D147" s="24" t="s">
        <v>245</v>
      </c>
      <c r="E147" t="str">
        <f>IFERROR(VLOOKUP(C147,武器!$1:$998,COLUMN(C$1),FALSE),"")</f>
        <v>体</v>
      </c>
      <c r="F147">
        <f>IFERROR(ROUNDDOWN((VLOOKUP($C147,武器!$1:$998,COLUMN(D$1),FALSE)+IFERROR(VLOOKUP($CJ147,装強!$1:$999,COLUMN(F$1),FALSE),0))*VLOOKUP($D147,素材!$1:$1016,COLUMN(D$1),FALSE),0),"")</f>
        <v>0</v>
      </c>
      <c r="G147">
        <f>IFERROR(ROUNDDOWN((VLOOKUP($C147,武器!$1:$998,COLUMN(E$1),FALSE)+IFERROR(VLOOKUP($CJ147,装強!$1:$999,COLUMN(G$1),FALSE),0))*VLOOKUP($D147,素材!$1:$1016,COLUMN($E$1),FALSE),0),"")</f>
        <v>0</v>
      </c>
      <c r="H147">
        <f>IFERROR(ROUNDDOWN((VLOOKUP($C147,武器!$1:$998,COLUMN(F$1),FALSE)+IFERROR(VLOOKUP($CJ147,装強!$1:$999,COLUMN(H$1),FALSE),0))*VLOOKUP($D147,素材!$1:$1016,COLUMN($E$1),FALSE),0),"")</f>
        <v>0</v>
      </c>
      <c r="I147">
        <f>IFERROR(ROUNDDOWN((VLOOKUP($C147,武器!$1:$998,COLUMN(G$1),FALSE)+IFERROR(VLOOKUP($CJ147,装強!$1:$999,COLUMN(I$1),FALSE),0))*VLOOKUP($D147,素材!$1:$1016,COLUMN($E$1),FALSE),0),"")</f>
        <v>0</v>
      </c>
      <c r="J147">
        <f>IFERROR(ROUNDDOWN((VLOOKUP($C147,武器!$1:$998,COLUMN(H$1),FALSE)+IFERROR(VLOOKUP($CJ147,装強!$1:$999,COLUMN(J$1),FALSE),0))*VLOOKUP($D147,素材!$1:$1016,COLUMN($E$1),FALSE),0),"")</f>
        <v>0</v>
      </c>
      <c r="K147">
        <f>IFERROR(ROUNDDOWN((VLOOKUP($C147,武器!$1:$998,COLUMN(I$1),FALSE)+IFERROR(VLOOKUP($CJ147,装強!$1:$999,COLUMN(K$1),FALSE),0))*VLOOKUP($D147,素材!$1:$1016,COLUMN($E$1),FALSE),0),"")</f>
        <v>0</v>
      </c>
      <c r="L147" t="str">
        <f>IFERROR(VLOOKUP($D147,素材!$1:$1016,COLUMN($F$1),FALSE),"")</f>
        <v>炎</v>
      </c>
      <c r="M147">
        <f>IFERROR(VLOOKUP($C147,武器!$1:$998,COLUMN(AA$1),FALSE)*VLOOKUP($D147,素材!$1:$1016,COLUMN($G$1),FALSE),"")</f>
        <v>0</v>
      </c>
      <c r="N147">
        <f>IFERROR(VLOOKUP($C147,武器!$1:$998,COLUMN(I$1),FALSE),"")</f>
        <v>0</v>
      </c>
      <c r="O147" s="23" t="str">
        <f>IFERROR((VLOOKUP($C147,武器!$1:$998,COLUMN(K$1),FALSE)+VLOOKUP($D147,素材!$1:$1016,COLUMN(H$1),FALSE))*100+IFERROR(VLOOKUP($CJ147,装強!$1:$999,COLUMN(O$1),FALSE),0),"")</f>
        <v/>
      </c>
      <c r="P147" s="23" t="str">
        <f>IFERROR((VLOOKUP($C147,武器!$1:$998,COLUMN(L$1),FALSE)+VLOOKUP($D147,素材!$1:$1016,COLUMN(I$1),FALSE))*100+IFERROR(VLOOKUP($CJ147,装強!$1:$999,COLUMN(P$1),FALSE),0),"")</f>
        <v/>
      </c>
      <c r="Q147">
        <f>IFERROR(ROUNDUP(VLOOKUP($C147,武器!$1:$998,COLUMN(M$1),FALSE)*(VLOOKUP($D147,素材!$1:$1002,COLUMN(D$1),FALSE)/100),1),"")</f>
        <v>0</v>
      </c>
      <c r="R147">
        <f>IFERROR(ROUNDUP(VLOOKUP($C147,武器!$1:$998,COLUMN(N$1),FALSE)*(VLOOKUP($D147,素材!$1:$1002,COLUMN(D$1),FALSE)/100),1),"")</f>
        <v>0</v>
      </c>
      <c r="S147">
        <f>IFERROR(VLOOKUP($C147,武器!$1:$998,COLUMN(P$1),FALSE),"")</f>
        <v>0</v>
      </c>
      <c r="T147">
        <f>IFERROR(VLOOKUP($C147,武器!$1:$998,COLUMN(Q$1),FALSE),"")</f>
        <v>0</v>
      </c>
      <c r="U147">
        <f>IFERROR(VLOOKUP($C147,武器!$1:$998,COLUMN(R$1),FALSE),"")</f>
        <v>0</v>
      </c>
      <c r="V147">
        <f>IFERROR(VLOOKUP($C147,武器!$1:$998,COLUMN(Q$1),FALSE),"")</f>
        <v>0</v>
      </c>
      <c r="W147">
        <f>IFERROR(VLOOKUP($C147,武器!$1:$998,COLUMN(T$1),FALSE),"")</f>
        <v>0</v>
      </c>
      <c r="Y147">
        <f>IFERROR(VLOOKUP($C147,武器!$1:$998,COLUMN(U$1),FALSE),"")</f>
        <v>0</v>
      </c>
      <c r="Z147">
        <f>IFERROR(ROUNDUP(VLOOKUP($C147,武器!$1:$998,COLUMN(O$1),FALSE)*VLOOKUP($D147,素材!$1:$1016,COLUMN(E$1),FALSE),1),"")</f>
        <v>7.5</v>
      </c>
      <c r="AA147">
        <f>IF(ISNUMBER(SEARCH(SUBSTITUTE(AA$1,RIGHT(AA$1,2),""),VLOOKUP($D147,素材!$1:$1016,COLUMN($F$1),FALSE))),VLOOKUP($C147,武器!$1:$998,COLUMN($O$1),FALSE)*VLOOKUP($D147,素材!$1:$1016,COLUMN($E$1),FALSE)/(LEN(VLOOKUP($D147,素材!$1:$1016,COLUMN($F$1),FALSE))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B147">
        <f>IF(ISNUMBER(SEARCH(SUBSTITUTE(AB$1,RIGHT(AB$1,2),""),VLOOKUP($D147,素材!$1:$1016,COLUMN($F$1),FALSE))),VLOOKUP($C147,武器!$1:$998,COLUMN($O$1),FALSE)*VLOOKUP($D147,素材!$1:$1016,COLUMN($E$1),FALSE)/(LEN(VLOOKUP($D147,素材!$1:$1016,COLUMN($F$1),FALSE))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C147">
        <f>IF(ISNUMBER(SEARCH(SUBSTITUTE(AC$1,RIGHT(AC$1,2),""),VLOOKUP($D147,素材!$1:$1016,COLUMN($F$1),FALSE))),VLOOKUP($C147,武器!$1:$998,COLUMN($O$1),FALSE)*VLOOKUP($D147,素材!$1:$1016,COLUMN($E$1),FALSE)/(LEN(VLOOKUP($D147,素材!$1:$1016,COLUMN($F$1),FALSE))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D147">
        <f>IF(ISNUMBER(SEARCH(SUBSTITUTE(AD$1,RIGHT(AD$1,2),""),VLOOKUP($D147,素材!$1:$1016,COLUMN($F$1),FALSE))),VLOOKUP($C147,武器!$1:$998,COLUMN($O$1),FALSE)*VLOOKUP($D147,素材!$1:$1016,COLUMN($E$1),FALSE)/(LEN(VLOOKUP($D147,素材!$1:$1016,COLUMN($F$1),FALSE))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E147">
        <f>IF(ISNUMBER(SEARCH(SUBSTITUTE(AE$1,RIGHT(AE$1,2),""),VLOOKUP($D147,素材!$1:$1016,COLUMN($F$1),FALSE))),VLOOKUP($C147,武器!$1:$998,COLUMN($O$1),FALSE)*VLOOKUP($D147,素材!$1:$1016,COLUMN($E$1),FALSE)/(LEN(VLOOKUP($D147,素材!$1:$1016,COLUMN($F$1),FALSE))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7.5</v>
      </c>
      <c r="AF147">
        <f>IF(ISNUMBER(SEARCH(SUBSTITUTE(AF$1,RIGHT(AF$1,2),""),VLOOKUP($D147,素材!$1:$1016,COLUMN($F$1),FALSE))),VLOOKUP($C147,武器!$1:$998,COLUMN($O$1),FALSE)*VLOOKUP($D147,素材!$1:$1016,COLUMN($E$1),FALSE)/(LEN(VLOOKUP($D147,素材!$1:$1016,COLUMN($F$1),FALSE))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G147">
        <f>IF(ISNUMBER(SEARCH(SUBSTITUTE(AG$1,RIGHT(AG$1,2),""),VLOOKUP($D147,素材!$1:$1016,COLUMN($F$1),FALSE))),VLOOKUP($C147,武器!$1:$998,COLUMN($O$1),FALSE)*VLOOKUP($D147,素材!$1:$1016,COLUMN($E$1),FALSE)/(LEN(VLOOKUP($D147,素材!$1:$1016,COLUMN($F$1),FALSE))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H147">
        <f>IF(ISNUMBER(SEARCH(SUBSTITUTE(AH$1,RIGHT(AH$1,2),""),VLOOKUP($D147,素材!$1:$1016,COLUMN($F$1),FALSE))),VLOOKUP($C147,武器!$1:$998,COLUMN($O$1),FALSE)*VLOOKUP($D147,素材!$1:$1016,COLUMN($E$1),FALSE)/(LEN(VLOOKUP($D147,素材!$1:$1016,COLUMN($F$1),FALSE))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I147">
        <f>IF(ISNUMBER(SEARCH(SUBSTITUTE(AI$1,RIGHT(AI$1,2),""),VLOOKUP($D147,素材!$1:$1016,COLUMN($F$1),FALSE))),VLOOKUP($C147,武器!$1:$998,COLUMN($O$1),FALSE)*VLOOKUP($D147,素材!$1:$1016,COLUMN($E$1),FALSE)/(LEN(VLOOKUP($D147,素材!$1:$1016,COLUMN($F$1),FALSE))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J147">
        <f>IF(ISNUMBER(SEARCH(SUBSTITUTE(AJ$1,RIGHT(AJ$1,2),""),VLOOKUP($D147,素材!$1:$1016,COLUMN($F$1),FALSE))),VLOOKUP($C147,武器!$1:$998,COLUMN($O$1),FALSE)*VLOOKUP($D147,素材!$1:$1016,COLUMN($E$1),FALSE)/(LEN(VLOOKUP($D147,素材!$1:$1016,COLUMN($F$1),FALSE))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K147">
        <f>IF(ISNUMBER(SEARCH(SUBSTITUTE(AK$1,RIGHT(AK$1,2),""),VLOOKUP($D147,素材!$1:$1016,COLUMN($F$1),FALSE))),VLOOKUP($C147,武器!$1:$998,COLUMN($O$1),FALSE)*VLOOKUP($D147,素材!$1:$1016,COLUMN($E$1),FALSE)/(LEN(VLOOKUP($D147,素材!$1:$1016,COLUMN($F$1),FALSE))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L147">
        <f>IF(ISNUMBER(SEARCH(SUBSTITUTE(AL$1,RIGHT(AL$1,2),""),VLOOKUP($D147,素材!$1:$1016,COLUMN($F$1),FALSE))),VLOOKUP($C147,武器!$1:$998,COLUMN($O$1),FALSE)*VLOOKUP($D147,素材!$1:$1016,COLUMN($E$1),FALSE)/(LEN(VLOOKUP($D147,素材!$1:$1016,COLUMN($F$1),FALSE))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M147">
        <f>IF(ISNUMBER(SEARCH(SUBSTITUTE(AM$1,RIGHT(AM$1,2),""),VLOOKUP($D147,素材!$1:$1016,COLUMN($F$1),FALSE))),VLOOKUP($C147,武器!$1:$998,COLUMN($O$1),FALSE)*VLOOKUP($D147,素材!$1:$1016,COLUMN($E$1),FALSE)/(LEN(VLOOKUP($D147,素材!$1:$1016,COLUMN($F$1),FALSE))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N147">
        <f>IF(ISNUMBER(SEARCH(SUBSTITUTE(AN$1,RIGHT(AN$1,2),""),VLOOKUP($D147,素材!$1:$1016,COLUMN($F$1),FALSE))),VLOOKUP($C147,武器!$1:$998,COLUMN($O$1),FALSE)*VLOOKUP($D147,素材!$1:$1016,COLUMN($E$1),FALSE)/(LEN(VLOOKUP($D147,素材!$1:$1016,COLUMN($F$1),FALSE))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O147">
        <f>IF(ISNUMBER(SEARCH(SUBSTITUTE(AO$1,RIGHT(AO$1,2),""),VLOOKUP($D147,素材!$1:$1016,COLUMN($F$1),FALSE))),VLOOKUP($C147,武器!$1:$998,COLUMN($O$1),FALSE)*VLOOKUP($D147,素材!$1:$1016,COLUMN($E$1),FALSE)/(LEN(VLOOKUP($D147,素材!$1:$1016,COLUMN($F$1),FALSE))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P147">
        <f>IF(ISNUMBER(SEARCH(SUBSTITUTE(AP$1,RIGHT(AP$1,2),""),VLOOKUP($D147,素材!$1:$1016,COLUMN($F$1),FALSE))),VLOOKUP($C147,武器!$1:$998,COLUMN($O$1),FALSE)*VLOOKUP($D147,素材!$1:$1016,COLUMN($E$1),FALSE)/(LEN(VLOOKUP($D147,素材!$1:$1016,COLUMN($F$1),FALSE))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Q147">
        <f>IF(ISNUMBER(SEARCH(SUBSTITUTE(AQ$1,RIGHT(AQ$1,2),""),VLOOKUP($D147,素材!$1:$1016,COLUMN($F$1),FALSE))),VLOOKUP($C147,武器!$1:$998,COLUMN($O$1),FALSE)*VLOOKUP($D147,素材!$1:$1016,COLUMN($E$1),FALSE)/(LEN(VLOOKUP($D147,素材!$1:$1016,COLUMN($F$1),FALSE))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R147">
        <f>IF(ISNUMBER(SEARCH(SUBSTITUTE(AR$1,RIGHT(AR$1,2),""),VLOOKUP($D147,素材!$1:$1016,COLUMN($F$1),FALSE))),VLOOKUP($C147,武器!$1:$998,COLUMN($O$1),FALSE)*VLOOKUP($D147,素材!$1:$1016,COLUMN($E$1),FALSE)/(LEN(VLOOKUP($D147,素材!$1:$1016,COLUMN($F$1),FALSE))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S147">
        <f>IF(ISNUMBER(SEARCH(SUBSTITUTE(AS$1,RIGHT(AS$1,2),""),VLOOKUP($D147,素材!$1:$1016,COLUMN($F$1),FALSE))),VLOOKUP($C147,武器!$1:$998,COLUMN($O$1),FALSE)*VLOOKUP($D147,素材!$1:$1016,COLUMN($E$1),FALSE)/(LEN(VLOOKUP($D147,素材!$1:$1016,COLUMN($F$1),FALSE))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T147">
        <f>IF(ISNUMBER(SEARCH(SUBSTITUTE(AT$1,RIGHT(AT$1,2),""),VLOOKUP($D147,素材!$1:$1016,COLUMN($F$1),FALSE))),VLOOKUP($C147,武器!$1:$998,COLUMN($O$1),FALSE)*VLOOKUP($D147,素材!$1:$1016,COLUMN($E$1),FALSE)/(LEN(VLOOKUP($D147,素材!$1:$1016,COLUMN($F$1),FALSE))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U147">
        <f>IF(ISNUMBER(SEARCH(SUBSTITUTE(AU$1,RIGHT(AU$1,2),""),VLOOKUP($D147,素材!$1:$1016,COLUMN($F$1),FALSE))),VLOOKUP($C147,武器!$1:$998,COLUMN($O$1),FALSE)*VLOOKUP($D147,素材!$1:$1016,COLUMN($E$1),FALSE)/(LEN(VLOOKUP($D147,素材!$1:$1016,COLUMN($F$1),FALSE))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V147">
        <f>IF(ISNUMBER(SEARCH(SUBSTITUTE(AV$1,RIGHT(AV$1,2),""),VLOOKUP($D147,素材!$1:$1016,COLUMN($F$1),FALSE))),VLOOKUP($C147,武器!$1:$998,COLUMN($O$1),FALSE)*VLOOKUP($D147,素材!$1:$1016,COLUMN($E$1),FALSE)/(LEN(VLOOKUP($D147,素材!$1:$1016,COLUMN($F$1),FALSE))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W147">
        <f>IF(ISNUMBER(SEARCH(SUBSTITUTE(AW$1,RIGHT(AW$1,2),""),VLOOKUP($D147,素材!$1:$1016,COLUMN($F$1),FALSE))),VLOOKUP($C147,武器!$1:$998,COLUMN($O$1),FALSE)*VLOOKUP($D147,素材!$1:$1016,COLUMN($E$1),FALSE)/(LEN(VLOOKUP($D147,素材!$1:$1016,COLUMN($F$1),FALSE))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X147">
        <f>IF(ISNUMBER(SEARCH(SUBSTITUTE(AX$1,RIGHT(AX$1,2),""),VLOOKUP($D147,素材!$1:$1016,COLUMN($F$1),FALSE))),VLOOKUP($C147,武器!$1:$998,COLUMN($O$1),FALSE)*VLOOKUP($D147,素材!$1:$1016,COLUMN($E$1),FALSE)/(LEN(VLOOKUP($D147,素材!$1:$1016,COLUMN($F$1),FALSE))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Y147">
        <f>IF(ISNUMBER(SEARCH(SUBSTITUTE(AY$1,RIGHT(AY$1,2),""),VLOOKUP($D147,素材!$1:$1016,COLUMN($F$1),FALSE))),VLOOKUP($C147,武器!$1:$998,COLUMN($O$1),FALSE)*VLOOKUP($D147,素材!$1:$1016,COLUMN($E$1),FALSE)/(LEN(VLOOKUP($D147,素材!$1:$1016,COLUMN($F$1),FALSE))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AZ147">
        <f>IF(ISNUMBER(SEARCH(SUBSTITUTE(AZ$1,RIGHT(AZ$1,2),""),VLOOKUP($D147,素材!$1:$1016,COLUMN($F$1),FALSE))),VLOOKUP($C147,武器!$1:$998,COLUMN($O$1),FALSE)*VLOOKUP($D147,素材!$1:$1016,COLUMN($E$1),FALSE)/(LEN(VLOOKUP($D147,素材!$1:$1016,COLUMN($F$1),FALSE))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BA147">
        <f>IF(ISNUMBER(SEARCH(SUBSTITUTE(BA$1,RIGHT(BA$1,2),""),VLOOKUP($D147,素材!$1:$1016,COLUMN($F$1),FALSE))),VLOOKUP($C147,武器!$1:$998,COLUMN($O$1),FALSE)*VLOOKUP($D147,素材!$1:$1016,COLUMN($E$1),FALSE)/(LEN(VLOOKUP($D147,素材!$1:$1016,COLUMN($F$1),FALSE))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BB147">
        <f>IF(ISNUMBER(SEARCH(SUBSTITUTE(BB$1,RIGHT(BB$1,2),""),VLOOKUP($D147,素材!$1:$1016,COLUMN($F$1),FALSE))),VLOOKUP($C147,武器!$1:$998,COLUMN($O$1),FALSE)*VLOOKUP($D147,素材!$1:$1016,COLUMN($E$1),FALSE)/(LEN(VLOOKUP($D147,素材!$1:$1016,COLUMN($F$1),FALSE))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BC147">
        <f>IF(ISNUMBER(SEARCH(SUBSTITUTE(BC$1,RIGHT(BC$1,2),""),VLOOKUP($D147,素材!$1:$1016,COLUMN($F$1),FALSE))),VLOOKUP($C147,武器!$1:$998,COLUMN($O$1),FALSE)*VLOOKUP($D147,素材!$1:$1016,COLUMN($E$1),FALSE)/(LEN(VLOOKUP($D147,素材!$1:$1016,COLUMN($F$1),FALSE))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BD147">
        <f>IF(ISNUMBER(SEARCH(SUBSTITUTE(BD$1,RIGHT(BD$1,2),""),VLOOKUP($D147,素材!$1:$1016,COLUMN($F$1),FALSE))),VLOOKUP($C147,武器!$1:$998,COLUMN($O$1),FALSE)*VLOOKUP($D147,素材!$1:$1016,COLUMN($E$1),FALSE)/(LEN(VLOOKUP($D147,素材!$1:$1016,COLUMN($F$1),FALSE))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BE147">
        <f>IF(ISNUMBER(SEARCH(SUBSTITUTE(BE$1,RIGHT(BE$1,2),""),VLOOKUP($D147,素材!$1:$1016,COLUMN($F$1),FALSE))),VLOOKUP($C147,武器!$1:$998,COLUMN($O$1),FALSE)*VLOOKUP($D147,素材!$1:$1016,COLUMN($E$1),FALSE)/(LEN(VLOOKUP($D147,素材!$1:$1016,COLUMN($F$1),FALSE))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BF147">
        <f>IF(ISNUMBER(SEARCH(SUBSTITUTE(BF$1,RIGHT(BF$1,2),""),VLOOKUP($D147,素材!$1:$1016,COLUMN($F$1),FALSE))),VLOOKUP($C147,武器!$1:$998,COLUMN($O$1),FALSE)*VLOOKUP($D147,素材!$1:$1016,COLUMN($E$1),FALSE)/(LEN(VLOOKUP($D147,素材!$1:$1016,COLUMN($F$1),FALSE)) - LEN(SUBSTITUTE(VLOOKUP($D147,素材!$1:$1016,COLUMN($F$1),FALSE), "・", 0)) + 1), 0)</f>
        <v>0</v>
      </c>
      <c r="CM147">
        <f t="shared" si="19"/>
        <v>0</v>
      </c>
      <c r="CN147" s="22" t="str">
        <f>IF(E147="武器",IF(J147-1&gt;SUM(G147:I147),"盾",IF(MAX(G147:I147)=G147,"切断",IF(MAX(G147:I147)=H147,"貫通",IF(MAX(G147:I147)=I147,"打撃","射撃")))),E147)&amp;".webp"</f>
        <v>体.webp</v>
      </c>
      <c r="CO147">
        <f>IFERROR(VLOOKUP($C147,武器!$1:$998,COLUMN(V$1),FALSE)*VLOOKUP($D147,素材!$1:$1016,COLUMN(N$1),FALSE)+IF(CJ147="",0,VLOOKUP($CJ147,装強!$1:$1008,COLUMN($CL$1),FALSE)),"")</f>
        <v>11000</v>
      </c>
      <c r="CP147" t="str">
        <f>VLOOKUP(D147,素材!$A:$O,COLUMN(素材!O$1),FALSE)</f>
        <v>炎属性を持つドラゴン型生物から採取される鱗素材。強力な炎属性防御を備えており、耐熱性が求められる場面で特に有用です。</v>
      </c>
      <c r="CQ147" t="str">
        <f>VLOOKUP(C147,武器!$A:$W,COLUMN(武器!W$1),FALSE)</f>
        <v>HP 物理 魔法 体幹 出血 疲労 Cr</v>
      </c>
      <c r="CS147" t="str">
        <f t="shared" si="21"/>
        <v>e_147</v>
      </c>
      <c r="CT147">
        <f t="shared" si="24"/>
        <v>1100000</v>
      </c>
    </row>
    <row r="148" spans="1:98" outlineLevel="1" x14ac:dyDescent="0.4">
      <c r="A148" t="str">
        <f t="shared" si="20"/>
        <v>炎蜥蜴の鱗の法衣</v>
      </c>
      <c r="B148" t="str">
        <f>IFERROR(VLOOKUP($D148,素材!$1:$1016,COLUMN($B$1),FALSE)&amp;"・"&amp;VLOOKUP($C148,武器!$1:$998,COLUMN(B$1),FALSE),"")</f>
        <v>ファイアドレイクスケール・ローブ</v>
      </c>
      <c r="C148" t="s">
        <v>246</v>
      </c>
      <c r="D148" s="24" t="s">
        <v>245</v>
      </c>
      <c r="E148" t="str">
        <f>IFERROR(VLOOKUP(C148,武器!$1:$998,COLUMN(C$1),FALSE),"")</f>
        <v>体</v>
      </c>
      <c r="F148">
        <f>IFERROR(ROUNDDOWN((VLOOKUP($C148,武器!$1:$998,COLUMN(D$1),FALSE)+IFERROR(VLOOKUP($CJ148,装強!$1:$999,COLUMN(F$1),FALSE),0))*VLOOKUP($D148,素材!$1:$1016,COLUMN(D$1),FALSE),0),"")</f>
        <v>0</v>
      </c>
      <c r="G148">
        <f>IFERROR(ROUNDDOWN((VLOOKUP($C148,武器!$1:$998,COLUMN(E$1),FALSE)+IFERROR(VLOOKUP($CJ148,装強!$1:$999,COLUMN(G$1),FALSE),0))*VLOOKUP($D148,素材!$1:$1016,COLUMN($E$1),FALSE),0),"")</f>
        <v>0</v>
      </c>
      <c r="H148">
        <f>IFERROR(ROUNDDOWN((VLOOKUP($C148,武器!$1:$998,COLUMN(F$1),FALSE)+IFERROR(VLOOKUP($CJ148,装強!$1:$999,COLUMN(H$1),FALSE),0))*VLOOKUP($D148,素材!$1:$1016,COLUMN($E$1),FALSE),0),"")</f>
        <v>0</v>
      </c>
      <c r="I148">
        <f>IFERROR(ROUNDDOWN((VLOOKUP($C148,武器!$1:$998,COLUMN(G$1),FALSE)+IFERROR(VLOOKUP($CJ148,装強!$1:$999,COLUMN(I$1),FALSE),0))*VLOOKUP($D148,素材!$1:$1016,COLUMN($E$1),FALSE),0),"")</f>
        <v>0</v>
      </c>
      <c r="J148">
        <f>IFERROR(ROUNDDOWN((VLOOKUP($C148,武器!$1:$998,COLUMN(H$1),FALSE)+IFERROR(VLOOKUP($CJ148,装強!$1:$999,COLUMN(J$1),FALSE),0))*VLOOKUP($D148,素材!$1:$1016,COLUMN($E$1),FALSE),0),"")</f>
        <v>0</v>
      </c>
      <c r="K148">
        <f>IFERROR(ROUNDDOWN((VLOOKUP($C148,武器!$1:$998,COLUMN(I$1),FALSE)+IFERROR(VLOOKUP($CJ148,装強!$1:$999,COLUMN(K$1),FALSE),0))*VLOOKUP($D148,素材!$1:$1016,COLUMN($E$1),FALSE),0),"")</f>
        <v>0</v>
      </c>
      <c r="L148" t="str">
        <f>IFERROR(VLOOKUP($D148,素材!$1:$1016,COLUMN($F$1),FALSE),"")</f>
        <v>炎</v>
      </c>
      <c r="M148">
        <f>IFERROR(VLOOKUP($C148,武器!$1:$998,COLUMN(AA$1),FALSE)*VLOOKUP($D148,素材!$1:$1016,COLUMN($G$1),FALSE),"")</f>
        <v>0</v>
      </c>
      <c r="N148">
        <f>IFERROR(VLOOKUP($C148,武器!$1:$998,COLUMN(I$1),FALSE),"")</f>
        <v>0</v>
      </c>
      <c r="O148" s="23" t="str">
        <f>IFERROR((VLOOKUP($C148,武器!$1:$998,COLUMN(K$1),FALSE)+VLOOKUP($D148,素材!$1:$1016,COLUMN(H$1),FALSE))*100+IFERROR(VLOOKUP($CJ148,装強!$1:$999,COLUMN(O$1),FALSE),0),"")</f>
        <v/>
      </c>
      <c r="P148" s="23" t="str">
        <f>IFERROR((VLOOKUP($C148,武器!$1:$998,COLUMN(L$1),FALSE)+VLOOKUP($D148,素材!$1:$1016,COLUMN(I$1),FALSE))*100+IFERROR(VLOOKUP($CJ148,装強!$1:$999,COLUMN(P$1),FALSE),0),"")</f>
        <v/>
      </c>
      <c r="Q148">
        <f>IFERROR(ROUNDUP(VLOOKUP($C148,武器!$1:$998,COLUMN(M$1),FALSE)*(VLOOKUP($D148,素材!$1:$1002,COLUMN(D$1),FALSE)/100),1),"")</f>
        <v>0</v>
      </c>
      <c r="R148">
        <f>IFERROR(ROUNDUP(VLOOKUP($C148,武器!$1:$998,COLUMN(N$1),FALSE)*(VLOOKUP($D148,素材!$1:$1002,COLUMN(D$1),FALSE)/100),1),"")</f>
        <v>0</v>
      </c>
      <c r="S148">
        <f>IFERROR(VLOOKUP($C148,武器!$1:$998,COLUMN(P$1),FALSE),"")</f>
        <v>0</v>
      </c>
      <c r="T148">
        <f>IFERROR(VLOOKUP($C148,武器!$1:$998,COLUMN(Q$1),FALSE),"")</f>
        <v>0</v>
      </c>
      <c r="U148">
        <f>IFERROR(VLOOKUP($C148,武器!$1:$998,COLUMN(R$1),FALSE),"")</f>
        <v>0</v>
      </c>
      <c r="V148">
        <f>IFERROR(VLOOKUP($C148,武器!$1:$998,COLUMN(Q$1),FALSE),"")</f>
        <v>0</v>
      </c>
      <c r="W148">
        <f>IFERROR(VLOOKUP($C148,武器!$1:$998,COLUMN(T$1),FALSE),"")</f>
        <v>0</v>
      </c>
      <c r="Y148">
        <f>IFERROR(VLOOKUP($C148,武器!$1:$998,COLUMN(U$1),FALSE),"")</f>
        <v>0</v>
      </c>
      <c r="Z148">
        <f>IFERROR(ROUNDUP(VLOOKUP($C148,武器!$1:$998,COLUMN(O$1),FALSE)*VLOOKUP($D148,素材!$1:$1016,COLUMN(E$1),FALSE),1),"")</f>
        <v>5</v>
      </c>
      <c r="AA148">
        <f>IF(ISNUMBER(SEARCH(SUBSTITUTE(AA$1,RIGHT(AA$1,2),""),VLOOKUP($D148,素材!$1:$1016,COLUMN($F$1),FALSE))),VLOOKUP($C148,武器!$1:$998,COLUMN($O$1),FALSE)*VLOOKUP($D148,素材!$1:$1016,COLUMN($E$1),FALSE)/(LEN(VLOOKUP($D148,素材!$1:$1016,COLUMN($F$1),FALSE))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B148">
        <f>IF(ISNUMBER(SEARCH(SUBSTITUTE(AB$1,RIGHT(AB$1,2),""),VLOOKUP($D148,素材!$1:$1016,COLUMN($F$1),FALSE))),VLOOKUP($C148,武器!$1:$998,COLUMN($O$1),FALSE)*VLOOKUP($D148,素材!$1:$1016,COLUMN($E$1),FALSE)/(LEN(VLOOKUP($D148,素材!$1:$1016,COLUMN($F$1),FALSE))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C148">
        <f>IF(ISNUMBER(SEARCH(SUBSTITUTE(AC$1,RIGHT(AC$1,2),""),VLOOKUP($D148,素材!$1:$1016,COLUMN($F$1),FALSE))),VLOOKUP($C148,武器!$1:$998,COLUMN($O$1),FALSE)*VLOOKUP($D148,素材!$1:$1016,COLUMN($E$1),FALSE)/(LEN(VLOOKUP($D148,素材!$1:$1016,COLUMN($F$1),FALSE))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D148">
        <f>IF(ISNUMBER(SEARCH(SUBSTITUTE(AD$1,RIGHT(AD$1,2),""),VLOOKUP($D148,素材!$1:$1016,COLUMN($F$1),FALSE))),VLOOKUP($C148,武器!$1:$998,COLUMN($O$1),FALSE)*VLOOKUP($D148,素材!$1:$1016,COLUMN($E$1),FALSE)/(LEN(VLOOKUP($D148,素材!$1:$1016,COLUMN($F$1),FALSE))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E148">
        <f>IF(ISNUMBER(SEARCH(SUBSTITUTE(AE$1,RIGHT(AE$1,2),""),VLOOKUP($D148,素材!$1:$1016,COLUMN($F$1),FALSE))),VLOOKUP($C148,武器!$1:$998,COLUMN($O$1),FALSE)*VLOOKUP($D148,素材!$1:$1016,COLUMN($E$1),FALSE)/(LEN(VLOOKUP($D148,素材!$1:$1016,COLUMN($F$1),FALSE))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5</v>
      </c>
      <c r="AF148">
        <f>IF(ISNUMBER(SEARCH(SUBSTITUTE(AF$1,RIGHT(AF$1,2),""),VLOOKUP($D148,素材!$1:$1016,COLUMN($F$1),FALSE))),VLOOKUP($C148,武器!$1:$998,COLUMN($O$1),FALSE)*VLOOKUP($D148,素材!$1:$1016,COLUMN($E$1),FALSE)/(LEN(VLOOKUP($D148,素材!$1:$1016,COLUMN($F$1),FALSE))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G148">
        <f>IF(ISNUMBER(SEARCH(SUBSTITUTE(AG$1,RIGHT(AG$1,2),""),VLOOKUP($D148,素材!$1:$1016,COLUMN($F$1),FALSE))),VLOOKUP($C148,武器!$1:$998,COLUMN($O$1),FALSE)*VLOOKUP($D148,素材!$1:$1016,COLUMN($E$1),FALSE)/(LEN(VLOOKUP($D148,素材!$1:$1016,COLUMN($F$1),FALSE))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H148">
        <f>IF(ISNUMBER(SEARCH(SUBSTITUTE(AH$1,RIGHT(AH$1,2),""),VLOOKUP($D148,素材!$1:$1016,COLUMN($F$1),FALSE))),VLOOKUP($C148,武器!$1:$998,COLUMN($O$1),FALSE)*VLOOKUP($D148,素材!$1:$1016,COLUMN($E$1),FALSE)/(LEN(VLOOKUP($D148,素材!$1:$1016,COLUMN($F$1),FALSE))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I148">
        <f>IF(ISNUMBER(SEARCH(SUBSTITUTE(AI$1,RIGHT(AI$1,2),""),VLOOKUP($D148,素材!$1:$1016,COLUMN($F$1),FALSE))),VLOOKUP($C148,武器!$1:$998,COLUMN($O$1),FALSE)*VLOOKUP($D148,素材!$1:$1016,COLUMN($E$1),FALSE)/(LEN(VLOOKUP($D148,素材!$1:$1016,COLUMN($F$1),FALSE))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J148">
        <f>IF(ISNUMBER(SEARCH(SUBSTITUTE(AJ$1,RIGHT(AJ$1,2),""),VLOOKUP($D148,素材!$1:$1016,COLUMN($F$1),FALSE))),VLOOKUP($C148,武器!$1:$998,COLUMN($O$1),FALSE)*VLOOKUP($D148,素材!$1:$1016,COLUMN($E$1),FALSE)/(LEN(VLOOKUP($D148,素材!$1:$1016,COLUMN($F$1),FALSE))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K148">
        <f>IF(ISNUMBER(SEARCH(SUBSTITUTE(AK$1,RIGHT(AK$1,2),""),VLOOKUP($D148,素材!$1:$1016,COLUMN($F$1),FALSE))),VLOOKUP($C148,武器!$1:$998,COLUMN($O$1),FALSE)*VLOOKUP($D148,素材!$1:$1016,COLUMN($E$1),FALSE)/(LEN(VLOOKUP($D148,素材!$1:$1016,COLUMN($F$1),FALSE))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L148">
        <f>IF(ISNUMBER(SEARCH(SUBSTITUTE(AL$1,RIGHT(AL$1,2),""),VLOOKUP($D148,素材!$1:$1016,COLUMN($F$1),FALSE))),VLOOKUP($C148,武器!$1:$998,COLUMN($O$1),FALSE)*VLOOKUP($D148,素材!$1:$1016,COLUMN($E$1),FALSE)/(LEN(VLOOKUP($D148,素材!$1:$1016,COLUMN($F$1),FALSE))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M148">
        <f>IF(ISNUMBER(SEARCH(SUBSTITUTE(AM$1,RIGHT(AM$1,2),""),VLOOKUP($D148,素材!$1:$1016,COLUMN($F$1),FALSE))),VLOOKUP($C148,武器!$1:$998,COLUMN($O$1),FALSE)*VLOOKUP($D148,素材!$1:$1016,COLUMN($E$1),FALSE)/(LEN(VLOOKUP($D148,素材!$1:$1016,COLUMN($F$1),FALSE))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N148">
        <f>IF(ISNUMBER(SEARCH(SUBSTITUTE(AN$1,RIGHT(AN$1,2),""),VLOOKUP($D148,素材!$1:$1016,COLUMN($F$1),FALSE))),VLOOKUP($C148,武器!$1:$998,COLUMN($O$1),FALSE)*VLOOKUP($D148,素材!$1:$1016,COLUMN($E$1),FALSE)/(LEN(VLOOKUP($D148,素材!$1:$1016,COLUMN($F$1),FALSE))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O148">
        <f>IF(ISNUMBER(SEARCH(SUBSTITUTE(AO$1,RIGHT(AO$1,2),""),VLOOKUP($D148,素材!$1:$1016,COLUMN($F$1),FALSE))),VLOOKUP($C148,武器!$1:$998,COLUMN($O$1),FALSE)*VLOOKUP($D148,素材!$1:$1016,COLUMN($E$1),FALSE)/(LEN(VLOOKUP($D148,素材!$1:$1016,COLUMN($F$1),FALSE))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P148">
        <f>IF(ISNUMBER(SEARCH(SUBSTITUTE(AP$1,RIGHT(AP$1,2),""),VLOOKUP($D148,素材!$1:$1016,COLUMN($F$1),FALSE))),VLOOKUP($C148,武器!$1:$998,COLUMN($O$1),FALSE)*VLOOKUP($D148,素材!$1:$1016,COLUMN($E$1),FALSE)/(LEN(VLOOKUP($D148,素材!$1:$1016,COLUMN($F$1),FALSE))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Q148">
        <f>IF(ISNUMBER(SEARCH(SUBSTITUTE(AQ$1,RIGHT(AQ$1,2),""),VLOOKUP($D148,素材!$1:$1016,COLUMN($F$1),FALSE))),VLOOKUP($C148,武器!$1:$998,COLUMN($O$1),FALSE)*VLOOKUP($D148,素材!$1:$1016,COLUMN($E$1),FALSE)/(LEN(VLOOKUP($D148,素材!$1:$1016,COLUMN($F$1),FALSE))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R148">
        <f>IF(ISNUMBER(SEARCH(SUBSTITUTE(AR$1,RIGHT(AR$1,2),""),VLOOKUP($D148,素材!$1:$1016,COLUMN($F$1),FALSE))),VLOOKUP($C148,武器!$1:$998,COLUMN($O$1),FALSE)*VLOOKUP($D148,素材!$1:$1016,COLUMN($E$1),FALSE)/(LEN(VLOOKUP($D148,素材!$1:$1016,COLUMN($F$1),FALSE))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S148">
        <f>IF(ISNUMBER(SEARCH(SUBSTITUTE(AS$1,RIGHT(AS$1,2),""),VLOOKUP($D148,素材!$1:$1016,COLUMN($F$1),FALSE))),VLOOKUP($C148,武器!$1:$998,COLUMN($O$1),FALSE)*VLOOKUP($D148,素材!$1:$1016,COLUMN($E$1),FALSE)/(LEN(VLOOKUP($D148,素材!$1:$1016,COLUMN($F$1),FALSE))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T148">
        <f>IF(ISNUMBER(SEARCH(SUBSTITUTE(AT$1,RIGHT(AT$1,2),""),VLOOKUP($D148,素材!$1:$1016,COLUMN($F$1),FALSE))),VLOOKUP($C148,武器!$1:$998,COLUMN($O$1),FALSE)*VLOOKUP($D148,素材!$1:$1016,COLUMN($E$1),FALSE)/(LEN(VLOOKUP($D148,素材!$1:$1016,COLUMN($F$1),FALSE))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U148">
        <f>IF(ISNUMBER(SEARCH(SUBSTITUTE(AU$1,RIGHT(AU$1,2),""),VLOOKUP($D148,素材!$1:$1016,COLUMN($F$1),FALSE))),VLOOKUP($C148,武器!$1:$998,COLUMN($O$1),FALSE)*VLOOKUP($D148,素材!$1:$1016,COLUMN($E$1),FALSE)/(LEN(VLOOKUP($D148,素材!$1:$1016,COLUMN($F$1),FALSE))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V148">
        <f>IF(ISNUMBER(SEARCH(SUBSTITUTE(AV$1,RIGHT(AV$1,2),""),VLOOKUP($D148,素材!$1:$1016,COLUMN($F$1),FALSE))),VLOOKUP($C148,武器!$1:$998,COLUMN($O$1),FALSE)*VLOOKUP($D148,素材!$1:$1016,COLUMN($E$1),FALSE)/(LEN(VLOOKUP($D148,素材!$1:$1016,COLUMN($F$1),FALSE))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W148">
        <f>IF(ISNUMBER(SEARCH(SUBSTITUTE(AW$1,RIGHT(AW$1,2),""),VLOOKUP($D148,素材!$1:$1016,COLUMN($F$1),FALSE))),VLOOKUP($C148,武器!$1:$998,COLUMN($O$1),FALSE)*VLOOKUP($D148,素材!$1:$1016,COLUMN($E$1),FALSE)/(LEN(VLOOKUP($D148,素材!$1:$1016,COLUMN($F$1),FALSE))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X148">
        <f>IF(ISNUMBER(SEARCH(SUBSTITUTE(AX$1,RIGHT(AX$1,2),""),VLOOKUP($D148,素材!$1:$1016,COLUMN($F$1),FALSE))),VLOOKUP($C148,武器!$1:$998,COLUMN($O$1),FALSE)*VLOOKUP($D148,素材!$1:$1016,COLUMN($E$1),FALSE)/(LEN(VLOOKUP($D148,素材!$1:$1016,COLUMN($F$1),FALSE))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Y148">
        <f>IF(ISNUMBER(SEARCH(SUBSTITUTE(AY$1,RIGHT(AY$1,2),""),VLOOKUP($D148,素材!$1:$1016,COLUMN($F$1),FALSE))),VLOOKUP($C148,武器!$1:$998,COLUMN($O$1),FALSE)*VLOOKUP($D148,素材!$1:$1016,COLUMN($E$1),FALSE)/(LEN(VLOOKUP($D148,素材!$1:$1016,COLUMN($F$1),FALSE))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AZ148">
        <f>IF(ISNUMBER(SEARCH(SUBSTITUTE(AZ$1,RIGHT(AZ$1,2),""),VLOOKUP($D148,素材!$1:$1016,COLUMN($F$1),FALSE))),VLOOKUP($C148,武器!$1:$998,COLUMN($O$1),FALSE)*VLOOKUP($D148,素材!$1:$1016,COLUMN($E$1),FALSE)/(LEN(VLOOKUP($D148,素材!$1:$1016,COLUMN($F$1),FALSE))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BA148">
        <f>IF(ISNUMBER(SEARCH(SUBSTITUTE(BA$1,RIGHT(BA$1,2),""),VLOOKUP($D148,素材!$1:$1016,COLUMN($F$1),FALSE))),VLOOKUP($C148,武器!$1:$998,COLUMN($O$1),FALSE)*VLOOKUP($D148,素材!$1:$1016,COLUMN($E$1),FALSE)/(LEN(VLOOKUP($D148,素材!$1:$1016,COLUMN($F$1),FALSE))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BB148">
        <f>IF(ISNUMBER(SEARCH(SUBSTITUTE(BB$1,RIGHT(BB$1,2),""),VLOOKUP($D148,素材!$1:$1016,COLUMN($F$1),FALSE))),VLOOKUP($C148,武器!$1:$998,COLUMN($O$1),FALSE)*VLOOKUP($D148,素材!$1:$1016,COLUMN($E$1),FALSE)/(LEN(VLOOKUP($D148,素材!$1:$1016,COLUMN($F$1),FALSE))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BC148">
        <f>IF(ISNUMBER(SEARCH(SUBSTITUTE(BC$1,RIGHT(BC$1,2),""),VLOOKUP($D148,素材!$1:$1016,COLUMN($F$1),FALSE))),VLOOKUP($C148,武器!$1:$998,COLUMN($O$1),FALSE)*VLOOKUP($D148,素材!$1:$1016,COLUMN($E$1),FALSE)/(LEN(VLOOKUP($D148,素材!$1:$1016,COLUMN($F$1),FALSE))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BD148">
        <f>IF(ISNUMBER(SEARCH(SUBSTITUTE(BD$1,RIGHT(BD$1,2),""),VLOOKUP($D148,素材!$1:$1016,COLUMN($F$1),FALSE))),VLOOKUP($C148,武器!$1:$998,COLUMN($O$1),FALSE)*VLOOKUP($D148,素材!$1:$1016,COLUMN($E$1),FALSE)/(LEN(VLOOKUP($D148,素材!$1:$1016,COLUMN($F$1),FALSE))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BE148">
        <f>IF(ISNUMBER(SEARCH(SUBSTITUTE(BE$1,RIGHT(BE$1,2),""),VLOOKUP($D148,素材!$1:$1016,COLUMN($F$1),FALSE))),VLOOKUP($C148,武器!$1:$998,COLUMN($O$1),FALSE)*VLOOKUP($D148,素材!$1:$1016,COLUMN($E$1),FALSE)/(LEN(VLOOKUP($D148,素材!$1:$1016,COLUMN($F$1),FALSE))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BF148">
        <f>IF(ISNUMBER(SEARCH(SUBSTITUTE(BF$1,RIGHT(BF$1,2),""),VLOOKUP($D148,素材!$1:$1016,COLUMN($F$1),FALSE))),VLOOKUP($C148,武器!$1:$998,COLUMN($O$1),FALSE)*VLOOKUP($D148,素材!$1:$1016,COLUMN($E$1),FALSE)/(LEN(VLOOKUP($D148,素材!$1:$1016,COLUMN($F$1),FALSE)) - LEN(SUBSTITUTE(VLOOKUP($D148,素材!$1:$1016,COLUMN($F$1),FALSE), "・", 0)) + 1), 0)</f>
        <v>0</v>
      </c>
      <c r="CM148">
        <f t="shared" si="19"/>
        <v>0</v>
      </c>
      <c r="CN148" s="22" t="str">
        <f>IF(E148="武器",IF(J148-1&gt;SUM(G148:I148),"盾",IF(MAX(G148:I148)=G148,"切断",IF(MAX(G148:I148)=H148,"貫通",IF(MAX(G148:I148)=I148,"打撃","射撃")))),E148)&amp;".webp"</f>
        <v>体.webp</v>
      </c>
      <c r="CO148">
        <f>IFERROR(VLOOKUP($C148,武器!$1:$998,COLUMN(V$1),FALSE)*VLOOKUP($D148,素材!$1:$1016,COLUMN(N$1),FALSE)+IF(CJ148="",0,VLOOKUP($CJ148,装強!$1:$1008,COLUMN($CL$1),FALSE)),"")</f>
        <v>11000</v>
      </c>
      <c r="CP148" t="str">
        <f>VLOOKUP(D148,素材!$A:$O,COLUMN(素材!O$1),FALSE)</f>
        <v>炎属性を持つドラゴン型生物から採取される鱗素材。強力な炎属性防御を備えており、耐熱性が求められる場面で特に有用です。</v>
      </c>
      <c r="CQ148" t="str">
        <f>VLOOKUP(C148,武器!$A:$W,COLUMN(武器!W$1),FALSE)</f>
        <v>HP 物理 魔法 体幹 出血 疲労 Cr</v>
      </c>
      <c r="CS148" t="str">
        <f t="shared" si="21"/>
        <v>e_148</v>
      </c>
      <c r="CT148">
        <f t="shared" si="24"/>
        <v>1100000</v>
      </c>
    </row>
    <row r="149" spans="1:98" outlineLevel="1" x14ac:dyDescent="0.4">
      <c r="A149" t="str">
        <f t="shared" si="20"/>
        <v>炎蜥蜴の鱗の鎧</v>
      </c>
      <c r="B149" t="str">
        <f>IFERROR(VLOOKUP($D149,素材!$1:$1016,COLUMN($B$1),FALSE)&amp;"・"&amp;VLOOKUP($C149,武器!$1:$998,COLUMN(B$1),FALSE),"")</f>
        <v>ファイアドレイクスケール・アーマー</v>
      </c>
      <c r="C149" t="s">
        <v>208</v>
      </c>
      <c r="D149" s="24" t="s">
        <v>245</v>
      </c>
      <c r="E149" t="str">
        <f>IFERROR(VLOOKUP(C149,武器!$1:$998,COLUMN(C$1),FALSE),"")</f>
        <v>体</v>
      </c>
      <c r="F149">
        <f>IFERROR(ROUNDDOWN((VLOOKUP($C149,武器!$1:$998,COLUMN(D$1),FALSE)+IFERROR(VLOOKUP($CJ149,装強!$1:$999,COLUMN(F$1),FALSE),0))*VLOOKUP($D149,素材!$1:$1016,COLUMN(D$1),FALSE),0),"")</f>
        <v>0</v>
      </c>
      <c r="G149">
        <f>IFERROR(ROUNDDOWN((VLOOKUP($C149,武器!$1:$998,COLUMN(E$1),FALSE)+IFERROR(VLOOKUP($CJ149,装強!$1:$999,COLUMN(G$1),FALSE),0))*VLOOKUP($D149,素材!$1:$1016,COLUMN($E$1),FALSE),0),"")</f>
        <v>0</v>
      </c>
      <c r="H149">
        <f>IFERROR(ROUNDDOWN((VLOOKUP($C149,武器!$1:$998,COLUMN(F$1),FALSE)+IFERROR(VLOOKUP($CJ149,装強!$1:$999,COLUMN(H$1),FALSE),0))*VLOOKUP($D149,素材!$1:$1016,COLUMN($E$1),FALSE),0),"")</f>
        <v>0</v>
      </c>
      <c r="I149">
        <f>IFERROR(ROUNDDOWN((VLOOKUP($C149,武器!$1:$998,COLUMN(G$1),FALSE)+IFERROR(VLOOKUP($CJ149,装強!$1:$999,COLUMN(I$1),FALSE),0))*VLOOKUP($D149,素材!$1:$1016,COLUMN($E$1),FALSE),0),"")</f>
        <v>0</v>
      </c>
      <c r="J149">
        <f>IFERROR(ROUNDDOWN((VLOOKUP($C149,武器!$1:$998,COLUMN(H$1),FALSE)+IFERROR(VLOOKUP($CJ149,装強!$1:$999,COLUMN(J$1),FALSE),0))*VLOOKUP($D149,素材!$1:$1016,COLUMN($E$1),FALSE),0),"")</f>
        <v>0</v>
      </c>
      <c r="K149">
        <f>IFERROR(ROUNDDOWN((VLOOKUP($C149,武器!$1:$998,COLUMN(I$1),FALSE)+IFERROR(VLOOKUP($CJ149,装強!$1:$999,COLUMN(K$1),FALSE),0))*VLOOKUP($D149,素材!$1:$1016,COLUMN($E$1),FALSE),0),"")</f>
        <v>0</v>
      </c>
      <c r="L149" t="str">
        <f>IFERROR(VLOOKUP($D149,素材!$1:$1016,COLUMN($F$1),FALSE),"")</f>
        <v>炎</v>
      </c>
      <c r="M149">
        <f>IFERROR(VLOOKUP($C149,武器!$1:$998,COLUMN(AA$1),FALSE)*VLOOKUP($D149,素材!$1:$1016,COLUMN($G$1),FALSE),"")</f>
        <v>0</v>
      </c>
      <c r="N149">
        <f>IFERROR(VLOOKUP($C149,武器!$1:$998,COLUMN(I$1),FALSE),"")</f>
        <v>0</v>
      </c>
      <c r="O149" s="23" t="str">
        <f>IFERROR((VLOOKUP($C149,武器!$1:$998,COLUMN(K$1),FALSE)+VLOOKUP($D149,素材!$1:$1016,COLUMN(H$1),FALSE))*100+IFERROR(VLOOKUP($CJ149,装強!$1:$999,COLUMN(O$1),FALSE),0),"")</f>
        <v/>
      </c>
      <c r="P149" s="23" t="str">
        <f>IFERROR((VLOOKUP($C149,武器!$1:$998,COLUMN(L$1),FALSE)+VLOOKUP($D149,素材!$1:$1016,COLUMN(I$1),FALSE))*100+IFERROR(VLOOKUP($CJ149,装強!$1:$999,COLUMN(P$1),FALSE),0),"")</f>
        <v/>
      </c>
      <c r="Q149">
        <f>IFERROR(ROUNDUP(VLOOKUP($C149,武器!$1:$998,COLUMN(M$1),FALSE)*(VLOOKUP($D149,素材!$1:$1002,COLUMN(D$1),FALSE)/100),1),"")</f>
        <v>-12</v>
      </c>
      <c r="R149">
        <f>IFERROR(ROUNDUP(VLOOKUP($C149,武器!$1:$998,COLUMN(N$1),FALSE)*(VLOOKUP($D149,素材!$1:$1002,COLUMN(D$1),FALSE)/100),1),"")</f>
        <v>0</v>
      </c>
      <c r="S149">
        <f>IFERROR(VLOOKUP($C149,武器!$1:$998,COLUMN(P$1),FALSE),"")</f>
        <v>0</v>
      </c>
      <c r="T149">
        <f>IFERROR(VLOOKUP($C149,武器!$1:$998,COLUMN(Q$1),FALSE),"")</f>
        <v>0</v>
      </c>
      <c r="U149">
        <f>IFERROR(VLOOKUP($C149,武器!$1:$998,COLUMN(R$1),FALSE),"")</f>
        <v>0</v>
      </c>
      <c r="V149">
        <f>IFERROR(VLOOKUP($C149,武器!$1:$998,COLUMN(Q$1),FALSE),"")</f>
        <v>0</v>
      </c>
      <c r="W149">
        <f>IFERROR(VLOOKUP($C149,武器!$1:$998,COLUMN(T$1),FALSE),"")</f>
        <v>0</v>
      </c>
      <c r="Y149">
        <f>IFERROR(VLOOKUP($C149,武器!$1:$998,COLUMN(U$1),FALSE),"")</f>
        <v>0</v>
      </c>
      <c r="Z149">
        <f>IFERROR(ROUNDUP(VLOOKUP($C149,武器!$1:$998,COLUMN(O$1),FALSE)*VLOOKUP($D149,素材!$1:$1016,COLUMN(E$1),FALSE),1),"")</f>
        <v>17.5</v>
      </c>
      <c r="AA149">
        <f>IF(ISNUMBER(SEARCH(SUBSTITUTE(AA$1,RIGHT(AA$1,2),""),VLOOKUP($D149,素材!$1:$1016,COLUMN($F$1),FALSE))),VLOOKUP($C149,武器!$1:$998,COLUMN($O$1),FALSE)*VLOOKUP($D149,素材!$1:$1016,COLUMN($E$1),FALSE)/(LEN(VLOOKUP($D149,素材!$1:$1016,COLUMN($F$1),FALSE))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B149">
        <f>IF(ISNUMBER(SEARCH(SUBSTITUTE(AB$1,RIGHT(AB$1,2),""),VLOOKUP($D149,素材!$1:$1016,COLUMN($F$1),FALSE))),VLOOKUP($C149,武器!$1:$998,COLUMN($O$1),FALSE)*VLOOKUP($D149,素材!$1:$1016,COLUMN($E$1),FALSE)/(LEN(VLOOKUP($D149,素材!$1:$1016,COLUMN($F$1),FALSE))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C149">
        <f>IF(ISNUMBER(SEARCH(SUBSTITUTE(AC$1,RIGHT(AC$1,2),""),VLOOKUP($D149,素材!$1:$1016,COLUMN($F$1),FALSE))),VLOOKUP($C149,武器!$1:$998,COLUMN($O$1),FALSE)*VLOOKUP($D149,素材!$1:$1016,COLUMN($E$1),FALSE)/(LEN(VLOOKUP($D149,素材!$1:$1016,COLUMN($F$1),FALSE))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D149">
        <f>IF(ISNUMBER(SEARCH(SUBSTITUTE(AD$1,RIGHT(AD$1,2),""),VLOOKUP($D149,素材!$1:$1016,COLUMN($F$1),FALSE))),VLOOKUP($C149,武器!$1:$998,COLUMN($O$1),FALSE)*VLOOKUP($D149,素材!$1:$1016,COLUMN($E$1),FALSE)/(LEN(VLOOKUP($D149,素材!$1:$1016,COLUMN($F$1),FALSE))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E149">
        <f>IF(ISNUMBER(SEARCH(SUBSTITUTE(AE$1,RIGHT(AE$1,2),""),VLOOKUP($D149,素材!$1:$1016,COLUMN($F$1),FALSE))),VLOOKUP($C149,武器!$1:$998,COLUMN($O$1),FALSE)*VLOOKUP($D149,素材!$1:$1016,COLUMN($E$1),FALSE)/(LEN(VLOOKUP($D149,素材!$1:$1016,COLUMN($F$1),FALSE))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17.5</v>
      </c>
      <c r="AF149">
        <f>IF(ISNUMBER(SEARCH(SUBSTITUTE(AF$1,RIGHT(AF$1,2),""),VLOOKUP($D149,素材!$1:$1016,COLUMN($F$1),FALSE))),VLOOKUP($C149,武器!$1:$998,COLUMN($O$1),FALSE)*VLOOKUP($D149,素材!$1:$1016,COLUMN($E$1),FALSE)/(LEN(VLOOKUP($D149,素材!$1:$1016,COLUMN($F$1),FALSE))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G149">
        <f>IF(ISNUMBER(SEARCH(SUBSTITUTE(AG$1,RIGHT(AG$1,2),""),VLOOKUP($D149,素材!$1:$1016,COLUMN($F$1),FALSE))),VLOOKUP($C149,武器!$1:$998,COLUMN($O$1),FALSE)*VLOOKUP($D149,素材!$1:$1016,COLUMN($E$1),FALSE)/(LEN(VLOOKUP($D149,素材!$1:$1016,COLUMN($F$1),FALSE))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H149">
        <f>IF(ISNUMBER(SEARCH(SUBSTITUTE(AH$1,RIGHT(AH$1,2),""),VLOOKUP($D149,素材!$1:$1016,COLUMN($F$1),FALSE))),VLOOKUP($C149,武器!$1:$998,COLUMN($O$1),FALSE)*VLOOKUP($D149,素材!$1:$1016,COLUMN($E$1),FALSE)/(LEN(VLOOKUP($D149,素材!$1:$1016,COLUMN($F$1),FALSE))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I149">
        <f>IF(ISNUMBER(SEARCH(SUBSTITUTE(AI$1,RIGHT(AI$1,2),""),VLOOKUP($D149,素材!$1:$1016,COLUMN($F$1),FALSE))),VLOOKUP($C149,武器!$1:$998,COLUMN($O$1),FALSE)*VLOOKUP($D149,素材!$1:$1016,COLUMN($E$1),FALSE)/(LEN(VLOOKUP($D149,素材!$1:$1016,COLUMN($F$1),FALSE))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J149">
        <f>IF(ISNUMBER(SEARCH(SUBSTITUTE(AJ$1,RIGHT(AJ$1,2),""),VLOOKUP($D149,素材!$1:$1016,COLUMN($F$1),FALSE))),VLOOKUP($C149,武器!$1:$998,COLUMN($O$1),FALSE)*VLOOKUP($D149,素材!$1:$1016,COLUMN($E$1),FALSE)/(LEN(VLOOKUP($D149,素材!$1:$1016,COLUMN($F$1),FALSE))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K149">
        <f>IF(ISNUMBER(SEARCH(SUBSTITUTE(AK$1,RIGHT(AK$1,2),""),VLOOKUP($D149,素材!$1:$1016,COLUMN($F$1),FALSE))),VLOOKUP($C149,武器!$1:$998,COLUMN($O$1),FALSE)*VLOOKUP($D149,素材!$1:$1016,COLUMN($E$1),FALSE)/(LEN(VLOOKUP($D149,素材!$1:$1016,COLUMN($F$1),FALSE))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L149">
        <f>IF(ISNUMBER(SEARCH(SUBSTITUTE(AL$1,RIGHT(AL$1,2),""),VLOOKUP($D149,素材!$1:$1016,COLUMN($F$1),FALSE))),VLOOKUP($C149,武器!$1:$998,COLUMN($O$1),FALSE)*VLOOKUP($D149,素材!$1:$1016,COLUMN($E$1),FALSE)/(LEN(VLOOKUP($D149,素材!$1:$1016,COLUMN($F$1),FALSE))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M149">
        <f>IF(ISNUMBER(SEARCH(SUBSTITUTE(AM$1,RIGHT(AM$1,2),""),VLOOKUP($D149,素材!$1:$1016,COLUMN($F$1),FALSE))),VLOOKUP($C149,武器!$1:$998,COLUMN($O$1),FALSE)*VLOOKUP($D149,素材!$1:$1016,COLUMN($E$1),FALSE)/(LEN(VLOOKUP($D149,素材!$1:$1016,COLUMN($F$1),FALSE))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N149">
        <f>IF(ISNUMBER(SEARCH(SUBSTITUTE(AN$1,RIGHT(AN$1,2),""),VLOOKUP($D149,素材!$1:$1016,COLUMN($F$1),FALSE))),VLOOKUP($C149,武器!$1:$998,COLUMN($O$1),FALSE)*VLOOKUP($D149,素材!$1:$1016,COLUMN($E$1),FALSE)/(LEN(VLOOKUP($D149,素材!$1:$1016,COLUMN($F$1),FALSE))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O149">
        <f>IF(ISNUMBER(SEARCH(SUBSTITUTE(AO$1,RIGHT(AO$1,2),""),VLOOKUP($D149,素材!$1:$1016,COLUMN($F$1),FALSE))),VLOOKUP($C149,武器!$1:$998,COLUMN($O$1),FALSE)*VLOOKUP($D149,素材!$1:$1016,COLUMN($E$1),FALSE)/(LEN(VLOOKUP($D149,素材!$1:$1016,COLUMN($F$1),FALSE))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P149">
        <f>IF(ISNUMBER(SEARCH(SUBSTITUTE(AP$1,RIGHT(AP$1,2),""),VLOOKUP($D149,素材!$1:$1016,COLUMN($F$1),FALSE))),VLOOKUP($C149,武器!$1:$998,COLUMN($O$1),FALSE)*VLOOKUP($D149,素材!$1:$1016,COLUMN($E$1),FALSE)/(LEN(VLOOKUP($D149,素材!$1:$1016,COLUMN($F$1),FALSE))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Q149">
        <f>IF(ISNUMBER(SEARCH(SUBSTITUTE(AQ$1,RIGHT(AQ$1,2),""),VLOOKUP($D149,素材!$1:$1016,COLUMN($F$1),FALSE))),VLOOKUP($C149,武器!$1:$998,COLUMN($O$1),FALSE)*VLOOKUP($D149,素材!$1:$1016,COLUMN($E$1),FALSE)/(LEN(VLOOKUP($D149,素材!$1:$1016,COLUMN($F$1),FALSE))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R149">
        <f>IF(ISNUMBER(SEARCH(SUBSTITUTE(AR$1,RIGHT(AR$1,2),""),VLOOKUP($D149,素材!$1:$1016,COLUMN($F$1),FALSE))),VLOOKUP($C149,武器!$1:$998,COLUMN($O$1),FALSE)*VLOOKUP($D149,素材!$1:$1016,COLUMN($E$1),FALSE)/(LEN(VLOOKUP($D149,素材!$1:$1016,COLUMN($F$1),FALSE))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S149">
        <f>IF(ISNUMBER(SEARCH(SUBSTITUTE(AS$1,RIGHT(AS$1,2),""),VLOOKUP($D149,素材!$1:$1016,COLUMN($F$1),FALSE))),VLOOKUP($C149,武器!$1:$998,COLUMN($O$1),FALSE)*VLOOKUP($D149,素材!$1:$1016,COLUMN($E$1),FALSE)/(LEN(VLOOKUP($D149,素材!$1:$1016,COLUMN($F$1),FALSE))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T149">
        <f>IF(ISNUMBER(SEARCH(SUBSTITUTE(AT$1,RIGHT(AT$1,2),""),VLOOKUP($D149,素材!$1:$1016,COLUMN($F$1),FALSE))),VLOOKUP($C149,武器!$1:$998,COLUMN($O$1),FALSE)*VLOOKUP($D149,素材!$1:$1016,COLUMN($E$1),FALSE)/(LEN(VLOOKUP($D149,素材!$1:$1016,COLUMN($F$1),FALSE))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U149">
        <f>IF(ISNUMBER(SEARCH(SUBSTITUTE(AU$1,RIGHT(AU$1,2),""),VLOOKUP($D149,素材!$1:$1016,COLUMN($F$1),FALSE))),VLOOKUP($C149,武器!$1:$998,COLUMN($O$1),FALSE)*VLOOKUP($D149,素材!$1:$1016,COLUMN($E$1),FALSE)/(LEN(VLOOKUP($D149,素材!$1:$1016,COLUMN($F$1),FALSE))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V149">
        <f>IF(ISNUMBER(SEARCH(SUBSTITUTE(AV$1,RIGHT(AV$1,2),""),VLOOKUP($D149,素材!$1:$1016,COLUMN($F$1),FALSE))),VLOOKUP($C149,武器!$1:$998,COLUMN($O$1),FALSE)*VLOOKUP($D149,素材!$1:$1016,COLUMN($E$1),FALSE)/(LEN(VLOOKUP($D149,素材!$1:$1016,COLUMN($F$1),FALSE))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W149">
        <f>IF(ISNUMBER(SEARCH(SUBSTITUTE(AW$1,RIGHT(AW$1,2),""),VLOOKUP($D149,素材!$1:$1016,COLUMN($F$1),FALSE))),VLOOKUP($C149,武器!$1:$998,COLUMN($O$1),FALSE)*VLOOKUP($D149,素材!$1:$1016,COLUMN($E$1),FALSE)/(LEN(VLOOKUP($D149,素材!$1:$1016,COLUMN($F$1),FALSE))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X149">
        <f>IF(ISNUMBER(SEARCH(SUBSTITUTE(AX$1,RIGHT(AX$1,2),""),VLOOKUP($D149,素材!$1:$1016,COLUMN($F$1),FALSE))),VLOOKUP($C149,武器!$1:$998,COLUMN($O$1),FALSE)*VLOOKUP($D149,素材!$1:$1016,COLUMN($E$1),FALSE)/(LEN(VLOOKUP($D149,素材!$1:$1016,COLUMN($F$1),FALSE))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Y149">
        <f>IF(ISNUMBER(SEARCH(SUBSTITUTE(AY$1,RIGHT(AY$1,2),""),VLOOKUP($D149,素材!$1:$1016,COLUMN($F$1),FALSE))),VLOOKUP($C149,武器!$1:$998,COLUMN($O$1),FALSE)*VLOOKUP($D149,素材!$1:$1016,COLUMN($E$1),FALSE)/(LEN(VLOOKUP($D149,素材!$1:$1016,COLUMN($F$1),FALSE))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AZ149">
        <f>IF(ISNUMBER(SEARCH(SUBSTITUTE(AZ$1,RIGHT(AZ$1,2),""),VLOOKUP($D149,素材!$1:$1016,COLUMN($F$1),FALSE))),VLOOKUP($C149,武器!$1:$998,COLUMN($O$1),FALSE)*VLOOKUP($D149,素材!$1:$1016,COLUMN($E$1),FALSE)/(LEN(VLOOKUP($D149,素材!$1:$1016,COLUMN($F$1),FALSE))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BA149">
        <f>IF(ISNUMBER(SEARCH(SUBSTITUTE(BA$1,RIGHT(BA$1,2),""),VLOOKUP($D149,素材!$1:$1016,COLUMN($F$1),FALSE))),VLOOKUP($C149,武器!$1:$998,COLUMN($O$1),FALSE)*VLOOKUP($D149,素材!$1:$1016,COLUMN($E$1),FALSE)/(LEN(VLOOKUP($D149,素材!$1:$1016,COLUMN($F$1),FALSE))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BB149">
        <f>IF(ISNUMBER(SEARCH(SUBSTITUTE(BB$1,RIGHT(BB$1,2),""),VLOOKUP($D149,素材!$1:$1016,COLUMN($F$1),FALSE))),VLOOKUP($C149,武器!$1:$998,COLUMN($O$1),FALSE)*VLOOKUP($D149,素材!$1:$1016,COLUMN($E$1),FALSE)/(LEN(VLOOKUP($D149,素材!$1:$1016,COLUMN($F$1),FALSE))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BC149">
        <f>IF(ISNUMBER(SEARCH(SUBSTITUTE(BC$1,RIGHT(BC$1,2),""),VLOOKUP($D149,素材!$1:$1016,COLUMN($F$1),FALSE))),VLOOKUP($C149,武器!$1:$998,COLUMN($O$1),FALSE)*VLOOKUP($D149,素材!$1:$1016,COLUMN($E$1),FALSE)/(LEN(VLOOKUP($D149,素材!$1:$1016,COLUMN($F$1),FALSE))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BD149">
        <f>IF(ISNUMBER(SEARCH(SUBSTITUTE(BD$1,RIGHT(BD$1,2),""),VLOOKUP($D149,素材!$1:$1016,COLUMN($F$1),FALSE))),VLOOKUP($C149,武器!$1:$998,COLUMN($O$1),FALSE)*VLOOKUP($D149,素材!$1:$1016,COLUMN($E$1),FALSE)/(LEN(VLOOKUP($D149,素材!$1:$1016,COLUMN($F$1),FALSE))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BE149">
        <f>IF(ISNUMBER(SEARCH(SUBSTITUTE(BE$1,RIGHT(BE$1,2),""),VLOOKUP($D149,素材!$1:$1016,COLUMN($F$1),FALSE))),VLOOKUP($C149,武器!$1:$998,COLUMN($O$1),FALSE)*VLOOKUP($D149,素材!$1:$1016,COLUMN($E$1),FALSE)/(LEN(VLOOKUP($D149,素材!$1:$1016,COLUMN($F$1),FALSE))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BF149">
        <f>IF(ISNUMBER(SEARCH(SUBSTITUTE(BF$1,RIGHT(BF$1,2),""),VLOOKUP($D149,素材!$1:$1016,COLUMN($F$1),FALSE))),VLOOKUP($C149,武器!$1:$998,COLUMN($O$1),FALSE)*VLOOKUP($D149,素材!$1:$1016,COLUMN($E$1),FALSE)/(LEN(VLOOKUP($D149,素材!$1:$1016,COLUMN($F$1),FALSE)) - LEN(SUBSTITUTE(VLOOKUP($D149,素材!$1:$1016,COLUMN($F$1),FALSE), "・", 0)) + 1), 0)</f>
        <v>0</v>
      </c>
      <c r="CM149">
        <f t="shared" si="19"/>
        <v>0</v>
      </c>
      <c r="CN149" s="22" t="str">
        <f>IF(E149="武器",IF(J149-1&gt;SUM(G149:I149),"盾",IF(MAX(G149:I149)=G149,"切断",IF(MAX(G149:I149)=H149,"貫通",IF(MAX(G149:I149)=I149,"打撃","射撃")))),E149)&amp;".webp"</f>
        <v>体.webp</v>
      </c>
      <c r="CO149">
        <f>IFERROR(VLOOKUP($C149,武器!$1:$998,COLUMN(V$1),FALSE)*VLOOKUP($D149,素材!$1:$1016,COLUMN(N$1),FALSE)+IF(CJ149="",0,VLOOKUP($CJ149,装強!$1:$1008,COLUMN($CL$1),FALSE)),"")</f>
        <v>16500</v>
      </c>
      <c r="CP149" t="str">
        <f>VLOOKUP(D149,素材!$A:$O,COLUMN(素材!O$1),FALSE)</f>
        <v>炎属性を持つドラゴン型生物から採取される鱗素材。強力な炎属性防御を備えており、耐熱性が求められる場面で特に有用です。</v>
      </c>
      <c r="CQ149" t="str">
        <f>VLOOKUP(C149,武器!$A:$W,COLUMN(武器!W$1),FALSE)</f>
        <v>HP 物理 魔法 体幹 出血 疲労 Cr</v>
      </c>
      <c r="CS149" t="str">
        <f t="shared" si="21"/>
        <v>e_149</v>
      </c>
      <c r="CT149">
        <f t="shared" si="24"/>
        <v>1650000</v>
      </c>
    </row>
    <row r="150" spans="1:98" outlineLevel="1" x14ac:dyDescent="0.4">
      <c r="A150" t="str">
        <f t="shared" si="20"/>
        <v>炎蜥蜴の鱗の胴衣</v>
      </c>
      <c r="B150" t="str">
        <f>IFERROR(VLOOKUP($D150,素材!$1:$1016,COLUMN($B$1),FALSE)&amp;"・"&amp;VLOOKUP($C150,武器!$1:$998,COLUMN(B$1),FALSE),"")</f>
        <v>ファイアドレイクスケール・ベスト</v>
      </c>
      <c r="C150" t="s">
        <v>207</v>
      </c>
      <c r="D150" s="24" t="s">
        <v>245</v>
      </c>
      <c r="E150" t="str">
        <f>IFERROR(VLOOKUP(C150,武器!$1:$998,COLUMN(C$1),FALSE),"")</f>
        <v>体</v>
      </c>
      <c r="F150">
        <f>IFERROR(ROUNDDOWN((VLOOKUP($C150,武器!$1:$998,COLUMN(D$1),FALSE)+IFERROR(VLOOKUP($CJ150,装強!$1:$999,COLUMN(F$1),FALSE),0))*VLOOKUP($D150,素材!$1:$1016,COLUMN(D$1),FALSE),0),"")</f>
        <v>0</v>
      </c>
      <c r="G150">
        <f>IFERROR(ROUNDDOWN((VLOOKUP($C150,武器!$1:$998,COLUMN(E$1),FALSE)+IFERROR(VLOOKUP($CJ150,装強!$1:$999,COLUMN(G$1),FALSE),0))*VLOOKUP($D150,素材!$1:$1016,COLUMN($E$1),FALSE),0),"")</f>
        <v>0</v>
      </c>
      <c r="H150">
        <f>IFERROR(ROUNDDOWN((VLOOKUP($C150,武器!$1:$998,COLUMN(F$1),FALSE)+IFERROR(VLOOKUP($CJ150,装強!$1:$999,COLUMN(H$1),FALSE),0))*VLOOKUP($D150,素材!$1:$1016,COLUMN($E$1),FALSE),0),"")</f>
        <v>0</v>
      </c>
      <c r="I150">
        <f>IFERROR(ROUNDDOWN((VLOOKUP($C150,武器!$1:$998,COLUMN(G$1),FALSE)+IFERROR(VLOOKUP($CJ150,装強!$1:$999,COLUMN(I$1),FALSE),0))*VLOOKUP($D150,素材!$1:$1016,COLUMN($E$1),FALSE),0),"")</f>
        <v>0</v>
      </c>
      <c r="J150">
        <f>IFERROR(ROUNDDOWN((VLOOKUP($C150,武器!$1:$998,COLUMN(H$1),FALSE)+IFERROR(VLOOKUP($CJ150,装強!$1:$999,COLUMN(J$1),FALSE),0))*VLOOKUP($D150,素材!$1:$1016,COLUMN($E$1),FALSE),0),"")</f>
        <v>0</v>
      </c>
      <c r="K150">
        <f>IFERROR(ROUNDDOWN((VLOOKUP($C150,武器!$1:$998,COLUMN(I$1),FALSE)+IFERROR(VLOOKUP($CJ150,装強!$1:$999,COLUMN(K$1),FALSE),0))*VLOOKUP($D150,素材!$1:$1016,COLUMN($E$1),FALSE),0),"")</f>
        <v>0</v>
      </c>
      <c r="L150" t="str">
        <f>IFERROR(VLOOKUP($D150,素材!$1:$1016,COLUMN($F$1),FALSE),"")</f>
        <v>炎</v>
      </c>
      <c r="M150">
        <f>IFERROR(VLOOKUP($C150,武器!$1:$998,COLUMN(AA$1),FALSE)*VLOOKUP($D150,素材!$1:$1016,COLUMN($G$1),FALSE),"")</f>
        <v>0</v>
      </c>
      <c r="N150">
        <f>IFERROR(VLOOKUP($C150,武器!$1:$998,COLUMN(I$1),FALSE),"")</f>
        <v>0</v>
      </c>
      <c r="O150" s="23" t="str">
        <f>IFERROR((VLOOKUP($C150,武器!$1:$998,COLUMN(K$1),FALSE)+VLOOKUP($D150,素材!$1:$1016,COLUMN(H$1),FALSE))*100+IFERROR(VLOOKUP($CJ150,装強!$1:$999,COLUMN(O$1),FALSE),0),"")</f>
        <v/>
      </c>
      <c r="P150" s="23" t="str">
        <f>IFERROR((VLOOKUP($C150,武器!$1:$998,COLUMN(L$1),FALSE)+VLOOKUP($D150,素材!$1:$1016,COLUMN(I$1),FALSE))*100+IFERROR(VLOOKUP($CJ150,装強!$1:$999,COLUMN(P$1),FALSE),0),"")</f>
        <v/>
      </c>
      <c r="Q150">
        <f>IFERROR(ROUNDUP(VLOOKUP($C150,武器!$1:$998,COLUMN(M$1),FALSE)*(VLOOKUP($D150,素材!$1:$1002,COLUMN(D$1),FALSE)/100),1),"")</f>
        <v>-6</v>
      </c>
      <c r="R150">
        <f>IFERROR(ROUNDUP(VLOOKUP($C150,武器!$1:$998,COLUMN(N$1),FALSE)*(VLOOKUP($D150,素材!$1:$1002,COLUMN(D$1),FALSE)/100),1),"")</f>
        <v>0</v>
      </c>
      <c r="S150">
        <f>IFERROR(VLOOKUP($C150,武器!$1:$998,COLUMN(P$1),FALSE),"")</f>
        <v>0</v>
      </c>
      <c r="T150">
        <f>IFERROR(VLOOKUP($C150,武器!$1:$998,COLUMN(Q$1),FALSE),"")</f>
        <v>0</v>
      </c>
      <c r="U150">
        <f>IFERROR(VLOOKUP($C150,武器!$1:$998,COLUMN(R$1),FALSE),"")</f>
        <v>0</v>
      </c>
      <c r="V150">
        <f>IFERROR(VLOOKUP($C150,武器!$1:$998,COLUMN(Q$1),FALSE),"")</f>
        <v>0</v>
      </c>
      <c r="W150">
        <f>IFERROR(VLOOKUP($C150,武器!$1:$998,COLUMN(T$1),FALSE),"")</f>
        <v>0</v>
      </c>
      <c r="Y150">
        <f>IFERROR(VLOOKUP($C150,武器!$1:$998,COLUMN(U$1),FALSE),"")</f>
        <v>0</v>
      </c>
      <c r="Z150">
        <f>IFERROR(ROUNDUP(VLOOKUP($C150,武器!$1:$998,COLUMN(O$1),FALSE)*VLOOKUP($D150,素材!$1:$1016,COLUMN(E$1),FALSE),1),"")</f>
        <v>12.5</v>
      </c>
      <c r="AA150">
        <f>IF(ISNUMBER(SEARCH(SUBSTITUTE(AA$1,RIGHT(AA$1,2),""),VLOOKUP($D150,素材!$1:$1016,COLUMN($F$1),FALSE))),VLOOKUP($C150,武器!$1:$998,COLUMN($O$1),FALSE)*VLOOKUP($D150,素材!$1:$1016,COLUMN($E$1),FALSE)/(LEN(VLOOKUP($D150,素材!$1:$1016,COLUMN($F$1),FALSE))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B150">
        <f>IF(ISNUMBER(SEARCH(SUBSTITUTE(AB$1,RIGHT(AB$1,2),""),VLOOKUP($D150,素材!$1:$1016,COLUMN($F$1),FALSE))),VLOOKUP($C150,武器!$1:$998,COLUMN($O$1),FALSE)*VLOOKUP($D150,素材!$1:$1016,COLUMN($E$1),FALSE)/(LEN(VLOOKUP($D150,素材!$1:$1016,COLUMN($F$1),FALSE))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C150">
        <f>IF(ISNUMBER(SEARCH(SUBSTITUTE(AC$1,RIGHT(AC$1,2),""),VLOOKUP($D150,素材!$1:$1016,COLUMN($F$1),FALSE))),VLOOKUP($C150,武器!$1:$998,COLUMN($O$1),FALSE)*VLOOKUP($D150,素材!$1:$1016,COLUMN($E$1),FALSE)/(LEN(VLOOKUP($D150,素材!$1:$1016,COLUMN($F$1),FALSE))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D150">
        <f>IF(ISNUMBER(SEARCH(SUBSTITUTE(AD$1,RIGHT(AD$1,2),""),VLOOKUP($D150,素材!$1:$1016,COLUMN($F$1),FALSE))),VLOOKUP($C150,武器!$1:$998,COLUMN($O$1),FALSE)*VLOOKUP($D150,素材!$1:$1016,COLUMN($E$1),FALSE)/(LEN(VLOOKUP($D150,素材!$1:$1016,COLUMN($F$1),FALSE))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E150">
        <f>IF(ISNUMBER(SEARCH(SUBSTITUTE(AE$1,RIGHT(AE$1,2),""),VLOOKUP($D150,素材!$1:$1016,COLUMN($F$1),FALSE))),VLOOKUP($C150,武器!$1:$998,COLUMN($O$1),FALSE)*VLOOKUP($D150,素材!$1:$1016,COLUMN($E$1),FALSE)/(LEN(VLOOKUP($D150,素材!$1:$1016,COLUMN($F$1),FALSE))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12.5</v>
      </c>
      <c r="AF150">
        <f>IF(ISNUMBER(SEARCH(SUBSTITUTE(AF$1,RIGHT(AF$1,2),""),VLOOKUP($D150,素材!$1:$1016,COLUMN($F$1),FALSE))),VLOOKUP($C150,武器!$1:$998,COLUMN($O$1),FALSE)*VLOOKUP($D150,素材!$1:$1016,COLUMN($E$1),FALSE)/(LEN(VLOOKUP($D150,素材!$1:$1016,COLUMN($F$1),FALSE))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G150">
        <f>IF(ISNUMBER(SEARCH(SUBSTITUTE(AG$1,RIGHT(AG$1,2),""),VLOOKUP($D150,素材!$1:$1016,COLUMN($F$1),FALSE))),VLOOKUP($C150,武器!$1:$998,COLUMN($O$1),FALSE)*VLOOKUP($D150,素材!$1:$1016,COLUMN($E$1),FALSE)/(LEN(VLOOKUP($D150,素材!$1:$1016,COLUMN($F$1),FALSE))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H150">
        <f>IF(ISNUMBER(SEARCH(SUBSTITUTE(AH$1,RIGHT(AH$1,2),""),VLOOKUP($D150,素材!$1:$1016,COLUMN($F$1),FALSE))),VLOOKUP($C150,武器!$1:$998,COLUMN($O$1),FALSE)*VLOOKUP($D150,素材!$1:$1016,COLUMN($E$1),FALSE)/(LEN(VLOOKUP($D150,素材!$1:$1016,COLUMN($F$1),FALSE))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I150">
        <f>IF(ISNUMBER(SEARCH(SUBSTITUTE(AI$1,RIGHT(AI$1,2),""),VLOOKUP($D150,素材!$1:$1016,COLUMN($F$1),FALSE))),VLOOKUP($C150,武器!$1:$998,COLUMN($O$1),FALSE)*VLOOKUP($D150,素材!$1:$1016,COLUMN($E$1),FALSE)/(LEN(VLOOKUP($D150,素材!$1:$1016,COLUMN($F$1),FALSE))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J150">
        <f>IF(ISNUMBER(SEARCH(SUBSTITUTE(AJ$1,RIGHT(AJ$1,2),""),VLOOKUP($D150,素材!$1:$1016,COLUMN($F$1),FALSE))),VLOOKUP($C150,武器!$1:$998,COLUMN($O$1),FALSE)*VLOOKUP($D150,素材!$1:$1016,COLUMN($E$1),FALSE)/(LEN(VLOOKUP($D150,素材!$1:$1016,COLUMN($F$1),FALSE))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K150">
        <f>IF(ISNUMBER(SEARCH(SUBSTITUTE(AK$1,RIGHT(AK$1,2),""),VLOOKUP($D150,素材!$1:$1016,COLUMN($F$1),FALSE))),VLOOKUP($C150,武器!$1:$998,COLUMN($O$1),FALSE)*VLOOKUP($D150,素材!$1:$1016,COLUMN($E$1),FALSE)/(LEN(VLOOKUP($D150,素材!$1:$1016,COLUMN($F$1),FALSE))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L150">
        <f>IF(ISNUMBER(SEARCH(SUBSTITUTE(AL$1,RIGHT(AL$1,2),""),VLOOKUP($D150,素材!$1:$1016,COLUMN($F$1),FALSE))),VLOOKUP($C150,武器!$1:$998,COLUMN($O$1),FALSE)*VLOOKUP($D150,素材!$1:$1016,COLUMN($E$1),FALSE)/(LEN(VLOOKUP($D150,素材!$1:$1016,COLUMN($F$1),FALSE))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M150">
        <f>IF(ISNUMBER(SEARCH(SUBSTITUTE(AM$1,RIGHT(AM$1,2),""),VLOOKUP($D150,素材!$1:$1016,COLUMN($F$1),FALSE))),VLOOKUP($C150,武器!$1:$998,COLUMN($O$1),FALSE)*VLOOKUP($D150,素材!$1:$1016,COLUMN($E$1),FALSE)/(LEN(VLOOKUP($D150,素材!$1:$1016,COLUMN($F$1),FALSE))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N150">
        <f>IF(ISNUMBER(SEARCH(SUBSTITUTE(AN$1,RIGHT(AN$1,2),""),VLOOKUP($D150,素材!$1:$1016,COLUMN($F$1),FALSE))),VLOOKUP($C150,武器!$1:$998,COLUMN($O$1),FALSE)*VLOOKUP($D150,素材!$1:$1016,COLUMN($E$1),FALSE)/(LEN(VLOOKUP($D150,素材!$1:$1016,COLUMN($F$1),FALSE))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O150">
        <f>IF(ISNUMBER(SEARCH(SUBSTITUTE(AO$1,RIGHT(AO$1,2),""),VLOOKUP($D150,素材!$1:$1016,COLUMN($F$1),FALSE))),VLOOKUP($C150,武器!$1:$998,COLUMN($O$1),FALSE)*VLOOKUP($D150,素材!$1:$1016,COLUMN($E$1),FALSE)/(LEN(VLOOKUP($D150,素材!$1:$1016,COLUMN($F$1),FALSE))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P150">
        <f>IF(ISNUMBER(SEARCH(SUBSTITUTE(AP$1,RIGHT(AP$1,2),""),VLOOKUP($D150,素材!$1:$1016,COLUMN($F$1),FALSE))),VLOOKUP($C150,武器!$1:$998,COLUMN($O$1),FALSE)*VLOOKUP($D150,素材!$1:$1016,COLUMN($E$1),FALSE)/(LEN(VLOOKUP($D150,素材!$1:$1016,COLUMN($F$1),FALSE))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Q150">
        <f>IF(ISNUMBER(SEARCH(SUBSTITUTE(AQ$1,RIGHT(AQ$1,2),""),VLOOKUP($D150,素材!$1:$1016,COLUMN($F$1),FALSE))),VLOOKUP($C150,武器!$1:$998,COLUMN($O$1),FALSE)*VLOOKUP($D150,素材!$1:$1016,COLUMN($E$1),FALSE)/(LEN(VLOOKUP($D150,素材!$1:$1016,COLUMN($F$1),FALSE))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R150">
        <f>IF(ISNUMBER(SEARCH(SUBSTITUTE(AR$1,RIGHT(AR$1,2),""),VLOOKUP($D150,素材!$1:$1016,COLUMN($F$1),FALSE))),VLOOKUP($C150,武器!$1:$998,COLUMN($O$1),FALSE)*VLOOKUP($D150,素材!$1:$1016,COLUMN($E$1),FALSE)/(LEN(VLOOKUP($D150,素材!$1:$1016,COLUMN($F$1),FALSE))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S150">
        <f>IF(ISNUMBER(SEARCH(SUBSTITUTE(AS$1,RIGHT(AS$1,2),""),VLOOKUP($D150,素材!$1:$1016,COLUMN($F$1),FALSE))),VLOOKUP($C150,武器!$1:$998,COLUMN($O$1),FALSE)*VLOOKUP($D150,素材!$1:$1016,COLUMN($E$1),FALSE)/(LEN(VLOOKUP($D150,素材!$1:$1016,COLUMN($F$1),FALSE))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T150">
        <f>IF(ISNUMBER(SEARCH(SUBSTITUTE(AT$1,RIGHT(AT$1,2),""),VLOOKUP($D150,素材!$1:$1016,COLUMN($F$1),FALSE))),VLOOKUP($C150,武器!$1:$998,COLUMN($O$1),FALSE)*VLOOKUP($D150,素材!$1:$1016,COLUMN($E$1),FALSE)/(LEN(VLOOKUP($D150,素材!$1:$1016,COLUMN($F$1),FALSE))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U150">
        <f>IF(ISNUMBER(SEARCH(SUBSTITUTE(AU$1,RIGHT(AU$1,2),""),VLOOKUP($D150,素材!$1:$1016,COLUMN($F$1),FALSE))),VLOOKUP($C150,武器!$1:$998,COLUMN($O$1),FALSE)*VLOOKUP($D150,素材!$1:$1016,COLUMN($E$1),FALSE)/(LEN(VLOOKUP($D150,素材!$1:$1016,COLUMN($F$1),FALSE))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V150">
        <f>IF(ISNUMBER(SEARCH(SUBSTITUTE(AV$1,RIGHT(AV$1,2),""),VLOOKUP($D150,素材!$1:$1016,COLUMN($F$1),FALSE))),VLOOKUP($C150,武器!$1:$998,COLUMN($O$1),FALSE)*VLOOKUP($D150,素材!$1:$1016,COLUMN($E$1),FALSE)/(LEN(VLOOKUP($D150,素材!$1:$1016,COLUMN($F$1),FALSE))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W150">
        <f>IF(ISNUMBER(SEARCH(SUBSTITUTE(AW$1,RIGHT(AW$1,2),""),VLOOKUP($D150,素材!$1:$1016,COLUMN($F$1),FALSE))),VLOOKUP($C150,武器!$1:$998,COLUMN($O$1),FALSE)*VLOOKUP($D150,素材!$1:$1016,COLUMN($E$1),FALSE)/(LEN(VLOOKUP($D150,素材!$1:$1016,COLUMN($F$1),FALSE))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X150">
        <f>IF(ISNUMBER(SEARCH(SUBSTITUTE(AX$1,RIGHT(AX$1,2),""),VLOOKUP($D150,素材!$1:$1016,COLUMN($F$1),FALSE))),VLOOKUP($C150,武器!$1:$998,COLUMN($O$1),FALSE)*VLOOKUP($D150,素材!$1:$1016,COLUMN($E$1),FALSE)/(LEN(VLOOKUP($D150,素材!$1:$1016,COLUMN($F$1),FALSE))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Y150">
        <f>IF(ISNUMBER(SEARCH(SUBSTITUTE(AY$1,RIGHT(AY$1,2),""),VLOOKUP($D150,素材!$1:$1016,COLUMN($F$1),FALSE))),VLOOKUP($C150,武器!$1:$998,COLUMN($O$1),FALSE)*VLOOKUP($D150,素材!$1:$1016,COLUMN($E$1),FALSE)/(LEN(VLOOKUP($D150,素材!$1:$1016,COLUMN($F$1),FALSE))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AZ150">
        <f>IF(ISNUMBER(SEARCH(SUBSTITUTE(AZ$1,RIGHT(AZ$1,2),""),VLOOKUP($D150,素材!$1:$1016,COLUMN($F$1),FALSE))),VLOOKUP($C150,武器!$1:$998,COLUMN($O$1),FALSE)*VLOOKUP($D150,素材!$1:$1016,COLUMN($E$1),FALSE)/(LEN(VLOOKUP($D150,素材!$1:$1016,COLUMN($F$1),FALSE))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BA150">
        <f>IF(ISNUMBER(SEARCH(SUBSTITUTE(BA$1,RIGHT(BA$1,2),""),VLOOKUP($D150,素材!$1:$1016,COLUMN($F$1),FALSE))),VLOOKUP($C150,武器!$1:$998,COLUMN($O$1),FALSE)*VLOOKUP($D150,素材!$1:$1016,COLUMN($E$1),FALSE)/(LEN(VLOOKUP($D150,素材!$1:$1016,COLUMN($F$1),FALSE))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BB150">
        <f>IF(ISNUMBER(SEARCH(SUBSTITUTE(BB$1,RIGHT(BB$1,2),""),VLOOKUP($D150,素材!$1:$1016,COLUMN($F$1),FALSE))),VLOOKUP($C150,武器!$1:$998,COLUMN($O$1),FALSE)*VLOOKUP($D150,素材!$1:$1016,COLUMN($E$1),FALSE)/(LEN(VLOOKUP($D150,素材!$1:$1016,COLUMN($F$1),FALSE))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BC150">
        <f>IF(ISNUMBER(SEARCH(SUBSTITUTE(BC$1,RIGHT(BC$1,2),""),VLOOKUP($D150,素材!$1:$1016,COLUMN($F$1),FALSE))),VLOOKUP($C150,武器!$1:$998,COLUMN($O$1),FALSE)*VLOOKUP($D150,素材!$1:$1016,COLUMN($E$1),FALSE)/(LEN(VLOOKUP($D150,素材!$1:$1016,COLUMN($F$1),FALSE))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BD150">
        <f>IF(ISNUMBER(SEARCH(SUBSTITUTE(BD$1,RIGHT(BD$1,2),""),VLOOKUP($D150,素材!$1:$1016,COLUMN($F$1),FALSE))),VLOOKUP($C150,武器!$1:$998,COLUMN($O$1),FALSE)*VLOOKUP($D150,素材!$1:$1016,COLUMN($E$1),FALSE)/(LEN(VLOOKUP($D150,素材!$1:$1016,COLUMN($F$1),FALSE))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BE150">
        <f>IF(ISNUMBER(SEARCH(SUBSTITUTE(BE$1,RIGHT(BE$1,2),""),VLOOKUP($D150,素材!$1:$1016,COLUMN($F$1),FALSE))),VLOOKUP($C150,武器!$1:$998,COLUMN($O$1),FALSE)*VLOOKUP($D150,素材!$1:$1016,COLUMN($E$1),FALSE)/(LEN(VLOOKUP($D150,素材!$1:$1016,COLUMN($F$1),FALSE))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BF150">
        <f>IF(ISNUMBER(SEARCH(SUBSTITUTE(BF$1,RIGHT(BF$1,2),""),VLOOKUP($D150,素材!$1:$1016,COLUMN($F$1),FALSE))),VLOOKUP($C150,武器!$1:$998,COLUMN($O$1),FALSE)*VLOOKUP($D150,素材!$1:$1016,COLUMN($E$1),FALSE)/(LEN(VLOOKUP($D150,素材!$1:$1016,COLUMN($F$1),FALSE)) - LEN(SUBSTITUTE(VLOOKUP($D150,素材!$1:$1016,COLUMN($F$1),FALSE), "・", 0)) + 1), 0)</f>
        <v>0</v>
      </c>
      <c r="CM150">
        <f t="shared" si="19"/>
        <v>0</v>
      </c>
      <c r="CN150" s="22" t="str">
        <f>IF(E150="武器",IF(J150-1&gt;SUM(G150:I150),"盾",IF(MAX(G150:I150)=G150,"切断",IF(MAX(G150:I150)=H150,"貫通",IF(MAX(G150:I150)=I150,"打撃","射撃")))),E150)&amp;".webp"</f>
        <v>体.webp</v>
      </c>
      <c r="CO150">
        <f>IFERROR(VLOOKUP($C150,武器!$1:$998,COLUMN(V$1),FALSE)*VLOOKUP($D150,素材!$1:$1016,COLUMN(N$1),FALSE)+IF(CJ150="",0,VLOOKUP($CJ150,装強!$1:$1008,COLUMN($CL$1),FALSE)),"")</f>
        <v>13750</v>
      </c>
      <c r="CP150" t="str">
        <f>VLOOKUP(D150,素材!$A:$O,COLUMN(素材!O$1),FALSE)</f>
        <v>炎属性を持つドラゴン型生物から採取される鱗素材。強力な炎属性防御を備えており、耐熱性が求められる場面で特に有用です。</v>
      </c>
      <c r="CQ150" t="str">
        <f>VLOOKUP(C150,武器!$A:$W,COLUMN(武器!W$1),FALSE)</f>
        <v>HP 物理 魔法 体幹 出血 疲労 Cr</v>
      </c>
      <c r="CS150" t="str">
        <f t="shared" si="21"/>
        <v>e_150</v>
      </c>
      <c r="CT150">
        <f t="shared" si="24"/>
        <v>1375000</v>
      </c>
    </row>
    <row r="151" spans="1:98" outlineLevel="1" x14ac:dyDescent="0.4">
      <c r="D151" s="24"/>
      <c r="E151" t="str">
        <f>IFERROR(VLOOKUP(C151,武器!$1:$998,COLUMN(C$1),FALSE),"")</f>
        <v/>
      </c>
      <c r="F151" t="str">
        <f>IFERROR(ROUNDDOWN((VLOOKUP($C151,武器!$1:$998,COLUMN(D$1),FALSE)+IFERROR(VLOOKUP($CJ151,装強!$1:$999,COLUMN(F$1),FALSE),0))*VLOOKUP($D151,素材!$1:$1016,COLUMN(D$1),FALSE),0),"")</f>
        <v/>
      </c>
      <c r="G151" t="str">
        <f>IFERROR(ROUNDDOWN((VLOOKUP($C151,武器!$1:$998,COLUMN(E$1),FALSE)+IFERROR(VLOOKUP($CJ151,装強!$1:$999,COLUMN(G$1),FALSE),0))*VLOOKUP($D151,素材!$1:$1016,COLUMN($E$1),FALSE),0),"")</f>
        <v/>
      </c>
      <c r="H151" t="str">
        <f>IFERROR(ROUNDDOWN((VLOOKUP($C151,武器!$1:$998,COLUMN(F$1),FALSE)+IFERROR(VLOOKUP($CJ151,装強!$1:$999,COLUMN(H$1),FALSE),0))*VLOOKUP($D151,素材!$1:$1016,COLUMN($E$1),FALSE),0),"")</f>
        <v/>
      </c>
      <c r="I151" t="str">
        <f>IFERROR(ROUNDDOWN((VLOOKUP($C151,武器!$1:$998,COLUMN(G$1),FALSE)+IFERROR(VLOOKUP($CJ151,装強!$1:$999,COLUMN(I$1),FALSE),0))*VLOOKUP($D151,素材!$1:$1016,COLUMN($E$1),FALSE),0),"")</f>
        <v/>
      </c>
      <c r="J151" t="str">
        <f>IFERROR(ROUNDDOWN((VLOOKUP($C151,武器!$1:$998,COLUMN(H$1),FALSE)+IFERROR(VLOOKUP($CJ151,装強!$1:$999,COLUMN(J$1),FALSE),0))*VLOOKUP($D151,素材!$1:$1016,COLUMN($E$1),FALSE),0),"")</f>
        <v/>
      </c>
      <c r="K151" t="str">
        <f>IFERROR(ROUNDDOWN((VLOOKUP($C151,武器!$1:$998,COLUMN(I$1),FALSE)+IFERROR(VLOOKUP($CJ151,装強!$1:$999,COLUMN(K$1),FALSE),0))*VLOOKUP($D151,素材!$1:$1016,COLUMN($E$1),FALSE),0),"")</f>
        <v/>
      </c>
      <c r="L151" t="str">
        <f>IFERROR(VLOOKUP($D151,素材!$1:$1016,COLUMN($F$1),FALSE),"")</f>
        <v/>
      </c>
      <c r="M151" t="str">
        <f>IFERROR(VLOOKUP($C151,武器!$1:$998,COLUMN(AA$1),FALSE)*VLOOKUP($D151,素材!$1:$1016,COLUMN($G$1),FALSE),"")</f>
        <v/>
      </c>
      <c r="N151" t="str">
        <f>IFERROR(VLOOKUP($C151,武器!$1:$998,COLUMN(I$1),FALSE),"")</f>
        <v/>
      </c>
      <c r="O151" s="23" t="str">
        <f>IFERROR((VLOOKUP($C151,武器!$1:$998,COLUMN(K$1),FALSE)+VLOOKUP($D151,素材!$1:$1016,COLUMN(H$1),FALSE))*100+IFERROR(VLOOKUP($CJ151,装強!$1:$999,COLUMN(O$1),FALSE),0),"")</f>
        <v/>
      </c>
      <c r="P151" s="23" t="str">
        <f>IFERROR((VLOOKUP($C151,武器!$1:$998,COLUMN(L$1),FALSE)+VLOOKUP($D151,素材!$1:$1016,COLUMN(I$1),FALSE))*100+IFERROR(VLOOKUP($CJ151,装強!$1:$999,COLUMN(P$1),FALSE),0),"")</f>
        <v/>
      </c>
      <c r="Q151" t="str">
        <f>IFERROR(ROUNDUP(VLOOKUP($C151,武器!$1:$998,COLUMN(M$1),FALSE)*(VLOOKUP($D151,素材!$1:$1002,COLUMN(D$1),FALSE)/100),1),"")</f>
        <v/>
      </c>
      <c r="R151" t="str">
        <f>IFERROR(ROUNDUP(VLOOKUP($C151,武器!$1:$998,COLUMN(N$1),FALSE)*(VLOOKUP($D151,素材!$1:$1002,COLUMN(D$1),FALSE)/100),1),"")</f>
        <v/>
      </c>
      <c r="S151" t="str">
        <f>IFERROR(VLOOKUP($C151,武器!$1:$998,COLUMN(P$1),FALSE),"")</f>
        <v/>
      </c>
      <c r="T151" t="str">
        <f>IFERROR(VLOOKUP($C151,武器!$1:$998,COLUMN(Q$1),FALSE),"")</f>
        <v/>
      </c>
      <c r="U151" t="str">
        <f>IFERROR(VLOOKUP($C151,武器!$1:$998,COLUMN(R$1),FALSE),"")</f>
        <v/>
      </c>
      <c r="V151" t="str">
        <f>IFERROR(VLOOKUP($C151,武器!$1:$998,COLUMN(Q$1),FALSE),"")</f>
        <v/>
      </c>
      <c r="W151" t="str">
        <f>IFERROR(VLOOKUP($C151,武器!$1:$998,COLUMN(T$1),FALSE),"")</f>
        <v/>
      </c>
      <c r="Y151" t="str">
        <f>IFERROR(VLOOKUP($C151,武器!$1:$998,COLUMN(U$1),FALSE),"")</f>
        <v/>
      </c>
      <c r="Z151" t="str">
        <f>IFERROR(ROUNDUP(VLOOKUP($C151,武器!$1:$998,COLUMN(O$1),FALSE)*VLOOKUP($D151,素材!$1:$1016,COLUMN(E$1),FALSE),1),"")</f>
        <v/>
      </c>
      <c r="AA151">
        <f>IF(ISNUMBER(SEARCH(SUBSTITUTE(AA$1,RIGHT(AA$1,2),""),VLOOKUP($D151,素材!$1:$1016,COLUMN($F$1),FALSE))),VLOOKUP($C151,武器!$1:$998,COLUMN($O$1),FALSE)*VLOOKUP($D151,素材!$1:$1016,COLUMN($E$1),FALSE)/(LEN(VLOOKUP($D151,素材!$1:$1016,COLUMN($F$1),FALSE))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B151">
        <f>IF(ISNUMBER(SEARCH(SUBSTITUTE(AB$1,RIGHT(AB$1,2),""),VLOOKUP($D151,素材!$1:$1016,COLUMN($F$1),FALSE))),VLOOKUP($C151,武器!$1:$998,COLUMN($O$1),FALSE)*VLOOKUP($D151,素材!$1:$1016,COLUMN($E$1),FALSE)/(LEN(VLOOKUP($D151,素材!$1:$1016,COLUMN($F$1),FALSE))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C151">
        <f>IF(ISNUMBER(SEARCH(SUBSTITUTE(AC$1,RIGHT(AC$1,2),""),VLOOKUP($D151,素材!$1:$1016,COLUMN($F$1),FALSE))),VLOOKUP($C151,武器!$1:$998,COLUMN($O$1),FALSE)*VLOOKUP($D151,素材!$1:$1016,COLUMN($E$1),FALSE)/(LEN(VLOOKUP($D151,素材!$1:$1016,COLUMN($F$1),FALSE))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D151">
        <f>IF(ISNUMBER(SEARCH(SUBSTITUTE(AD$1,RIGHT(AD$1,2),""),VLOOKUP($D151,素材!$1:$1016,COLUMN($F$1),FALSE))),VLOOKUP($C151,武器!$1:$998,COLUMN($O$1),FALSE)*VLOOKUP($D151,素材!$1:$1016,COLUMN($E$1),FALSE)/(LEN(VLOOKUP($D151,素材!$1:$1016,COLUMN($F$1),FALSE))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E151">
        <f>IF(ISNUMBER(SEARCH(SUBSTITUTE(AE$1,RIGHT(AE$1,2),""),VLOOKUP($D151,素材!$1:$1016,COLUMN($F$1),FALSE))),VLOOKUP($C151,武器!$1:$998,COLUMN($O$1),FALSE)*VLOOKUP($D151,素材!$1:$1016,COLUMN($E$1),FALSE)/(LEN(VLOOKUP($D151,素材!$1:$1016,COLUMN($F$1),FALSE))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F151">
        <f>IF(ISNUMBER(SEARCH(SUBSTITUTE(AF$1,RIGHT(AF$1,2),""),VLOOKUP($D151,素材!$1:$1016,COLUMN($F$1),FALSE))),VLOOKUP($C151,武器!$1:$998,COLUMN($O$1),FALSE)*VLOOKUP($D151,素材!$1:$1016,COLUMN($E$1),FALSE)/(LEN(VLOOKUP($D151,素材!$1:$1016,COLUMN($F$1),FALSE))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G151">
        <f>IF(ISNUMBER(SEARCH(SUBSTITUTE(AG$1,RIGHT(AG$1,2),""),VLOOKUP($D151,素材!$1:$1016,COLUMN($F$1),FALSE))),VLOOKUP($C151,武器!$1:$998,COLUMN($O$1),FALSE)*VLOOKUP($D151,素材!$1:$1016,COLUMN($E$1),FALSE)/(LEN(VLOOKUP($D151,素材!$1:$1016,COLUMN($F$1),FALSE))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H151">
        <f>IF(ISNUMBER(SEARCH(SUBSTITUTE(AH$1,RIGHT(AH$1,2),""),VLOOKUP($D151,素材!$1:$1016,COLUMN($F$1),FALSE))),VLOOKUP($C151,武器!$1:$998,COLUMN($O$1),FALSE)*VLOOKUP($D151,素材!$1:$1016,COLUMN($E$1),FALSE)/(LEN(VLOOKUP($D151,素材!$1:$1016,COLUMN($F$1),FALSE))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I151">
        <f>IF(ISNUMBER(SEARCH(SUBSTITUTE(AI$1,RIGHT(AI$1,2),""),VLOOKUP($D151,素材!$1:$1016,COLUMN($F$1),FALSE))),VLOOKUP($C151,武器!$1:$998,COLUMN($O$1),FALSE)*VLOOKUP($D151,素材!$1:$1016,COLUMN($E$1),FALSE)/(LEN(VLOOKUP($D151,素材!$1:$1016,COLUMN($F$1),FALSE))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J151">
        <f>IF(ISNUMBER(SEARCH(SUBSTITUTE(AJ$1,RIGHT(AJ$1,2),""),VLOOKUP($D151,素材!$1:$1016,COLUMN($F$1),FALSE))),VLOOKUP($C151,武器!$1:$998,COLUMN($O$1),FALSE)*VLOOKUP($D151,素材!$1:$1016,COLUMN($E$1),FALSE)/(LEN(VLOOKUP($D151,素材!$1:$1016,COLUMN($F$1),FALSE))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K151">
        <f>IF(ISNUMBER(SEARCH(SUBSTITUTE(AK$1,RIGHT(AK$1,2),""),VLOOKUP($D151,素材!$1:$1016,COLUMN($F$1),FALSE))),VLOOKUP($C151,武器!$1:$998,COLUMN($O$1),FALSE)*VLOOKUP($D151,素材!$1:$1016,COLUMN($E$1),FALSE)/(LEN(VLOOKUP($D151,素材!$1:$1016,COLUMN($F$1),FALSE))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L151">
        <f>IF(ISNUMBER(SEARCH(SUBSTITUTE(AL$1,RIGHT(AL$1,2),""),VLOOKUP($D151,素材!$1:$1016,COLUMN($F$1),FALSE))),VLOOKUP($C151,武器!$1:$998,COLUMN($O$1),FALSE)*VLOOKUP($D151,素材!$1:$1016,COLUMN($E$1),FALSE)/(LEN(VLOOKUP($D151,素材!$1:$1016,COLUMN($F$1),FALSE))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M151">
        <f>IF(ISNUMBER(SEARCH(SUBSTITUTE(AM$1,RIGHT(AM$1,2),""),VLOOKUP($D151,素材!$1:$1016,COLUMN($F$1),FALSE))),VLOOKUP($C151,武器!$1:$998,COLUMN($O$1),FALSE)*VLOOKUP($D151,素材!$1:$1016,COLUMN($E$1),FALSE)/(LEN(VLOOKUP($D151,素材!$1:$1016,COLUMN($F$1),FALSE))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N151">
        <f>IF(ISNUMBER(SEARCH(SUBSTITUTE(AN$1,RIGHT(AN$1,2),""),VLOOKUP($D151,素材!$1:$1016,COLUMN($F$1),FALSE))),VLOOKUP($C151,武器!$1:$998,COLUMN($O$1),FALSE)*VLOOKUP($D151,素材!$1:$1016,COLUMN($E$1),FALSE)/(LEN(VLOOKUP($D151,素材!$1:$1016,COLUMN($F$1),FALSE))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O151">
        <f>IF(ISNUMBER(SEARCH(SUBSTITUTE(AO$1,RIGHT(AO$1,2),""),VLOOKUP($D151,素材!$1:$1016,COLUMN($F$1),FALSE))),VLOOKUP($C151,武器!$1:$998,COLUMN($O$1),FALSE)*VLOOKUP($D151,素材!$1:$1016,COLUMN($E$1),FALSE)/(LEN(VLOOKUP($D151,素材!$1:$1016,COLUMN($F$1),FALSE))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P151">
        <f>IF(ISNUMBER(SEARCH(SUBSTITUTE(AP$1,RIGHT(AP$1,2),""),VLOOKUP($D151,素材!$1:$1016,COLUMN($F$1),FALSE))),VLOOKUP($C151,武器!$1:$998,COLUMN($O$1),FALSE)*VLOOKUP($D151,素材!$1:$1016,COLUMN($E$1),FALSE)/(LEN(VLOOKUP($D151,素材!$1:$1016,COLUMN($F$1),FALSE))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Q151">
        <f>IF(ISNUMBER(SEARCH(SUBSTITUTE(AQ$1,RIGHT(AQ$1,2),""),VLOOKUP($D151,素材!$1:$1016,COLUMN($F$1),FALSE))),VLOOKUP($C151,武器!$1:$998,COLUMN($O$1),FALSE)*VLOOKUP($D151,素材!$1:$1016,COLUMN($E$1),FALSE)/(LEN(VLOOKUP($D151,素材!$1:$1016,COLUMN($F$1),FALSE))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R151">
        <f>IF(ISNUMBER(SEARCH(SUBSTITUTE(AR$1,RIGHT(AR$1,2),""),VLOOKUP($D151,素材!$1:$1016,COLUMN($F$1),FALSE))),VLOOKUP($C151,武器!$1:$998,COLUMN($O$1),FALSE)*VLOOKUP($D151,素材!$1:$1016,COLUMN($E$1),FALSE)/(LEN(VLOOKUP($D151,素材!$1:$1016,COLUMN($F$1),FALSE))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S151">
        <f>IF(ISNUMBER(SEARCH(SUBSTITUTE(AS$1,RIGHT(AS$1,2),""),VLOOKUP($D151,素材!$1:$1016,COLUMN($F$1),FALSE))),VLOOKUP($C151,武器!$1:$998,COLUMN($O$1),FALSE)*VLOOKUP($D151,素材!$1:$1016,COLUMN($E$1),FALSE)/(LEN(VLOOKUP($D151,素材!$1:$1016,COLUMN($F$1),FALSE))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T151">
        <f>IF(ISNUMBER(SEARCH(SUBSTITUTE(AT$1,RIGHT(AT$1,2),""),VLOOKUP($D151,素材!$1:$1016,COLUMN($F$1),FALSE))),VLOOKUP($C151,武器!$1:$998,COLUMN($O$1),FALSE)*VLOOKUP($D151,素材!$1:$1016,COLUMN($E$1),FALSE)/(LEN(VLOOKUP($D151,素材!$1:$1016,COLUMN($F$1),FALSE))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U151">
        <f>IF(ISNUMBER(SEARCH(SUBSTITUTE(AU$1,RIGHT(AU$1,2),""),VLOOKUP($D151,素材!$1:$1016,COLUMN($F$1),FALSE))),VLOOKUP($C151,武器!$1:$998,COLUMN($O$1),FALSE)*VLOOKUP($D151,素材!$1:$1016,COLUMN($E$1),FALSE)/(LEN(VLOOKUP($D151,素材!$1:$1016,COLUMN($F$1),FALSE))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V151">
        <f>IF(ISNUMBER(SEARCH(SUBSTITUTE(AV$1,RIGHT(AV$1,2),""),VLOOKUP($D151,素材!$1:$1016,COLUMN($F$1),FALSE))),VLOOKUP($C151,武器!$1:$998,COLUMN($O$1),FALSE)*VLOOKUP($D151,素材!$1:$1016,COLUMN($E$1),FALSE)/(LEN(VLOOKUP($D151,素材!$1:$1016,COLUMN($F$1),FALSE))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W151">
        <f>IF(ISNUMBER(SEARCH(SUBSTITUTE(AW$1,RIGHT(AW$1,2),""),VLOOKUP($D151,素材!$1:$1016,COLUMN($F$1),FALSE))),VLOOKUP($C151,武器!$1:$998,COLUMN($O$1),FALSE)*VLOOKUP($D151,素材!$1:$1016,COLUMN($E$1),FALSE)/(LEN(VLOOKUP($D151,素材!$1:$1016,COLUMN($F$1),FALSE))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X151">
        <f>IF(ISNUMBER(SEARCH(SUBSTITUTE(AX$1,RIGHT(AX$1,2),""),VLOOKUP($D151,素材!$1:$1016,COLUMN($F$1),FALSE))),VLOOKUP($C151,武器!$1:$998,COLUMN($O$1),FALSE)*VLOOKUP($D151,素材!$1:$1016,COLUMN($E$1),FALSE)/(LEN(VLOOKUP($D151,素材!$1:$1016,COLUMN($F$1),FALSE))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Y151">
        <f>IF(ISNUMBER(SEARCH(SUBSTITUTE(AY$1,RIGHT(AY$1,2),""),VLOOKUP($D151,素材!$1:$1016,COLUMN($F$1),FALSE))),VLOOKUP($C151,武器!$1:$998,COLUMN($O$1),FALSE)*VLOOKUP($D151,素材!$1:$1016,COLUMN($E$1),FALSE)/(LEN(VLOOKUP($D151,素材!$1:$1016,COLUMN($F$1),FALSE))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AZ151">
        <f>IF(ISNUMBER(SEARCH(SUBSTITUTE(AZ$1,RIGHT(AZ$1,2),""),VLOOKUP($D151,素材!$1:$1016,COLUMN($F$1),FALSE))),VLOOKUP($C151,武器!$1:$998,COLUMN($O$1),FALSE)*VLOOKUP($D151,素材!$1:$1016,COLUMN($E$1),FALSE)/(LEN(VLOOKUP($D151,素材!$1:$1016,COLUMN($F$1),FALSE))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BA151">
        <f>IF(ISNUMBER(SEARCH(SUBSTITUTE(BA$1,RIGHT(BA$1,2),""),VLOOKUP($D151,素材!$1:$1016,COLUMN($F$1),FALSE))),VLOOKUP($C151,武器!$1:$998,COLUMN($O$1),FALSE)*VLOOKUP($D151,素材!$1:$1016,COLUMN($E$1),FALSE)/(LEN(VLOOKUP($D151,素材!$1:$1016,COLUMN($F$1),FALSE))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BB151">
        <f>IF(ISNUMBER(SEARCH(SUBSTITUTE(BB$1,RIGHT(BB$1,2),""),VLOOKUP($D151,素材!$1:$1016,COLUMN($F$1),FALSE))),VLOOKUP($C151,武器!$1:$998,COLUMN($O$1),FALSE)*VLOOKUP($D151,素材!$1:$1016,COLUMN($E$1),FALSE)/(LEN(VLOOKUP($D151,素材!$1:$1016,COLUMN($F$1),FALSE))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BC151">
        <f>IF(ISNUMBER(SEARCH(SUBSTITUTE(BC$1,RIGHT(BC$1,2),""),VLOOKUP($D151,素材!$1:$1016,COLUMN($F$1),FALSE))),VLOOKUP($C151,武器!$1:$998,COLUMN($O$1),FALSE)*VLOOKUP($D151,素材!$1:$1016,COLUMN($E$1),FALSE)/(LEN(VLOOKUP($D151,素材!$1:$1016,COLUMN($F$1),FALSE))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BD151">
        <f>IF(ISNUMBER(SEARCH(SUBSTITUTE(BD$1,RIGHT(BD$1,2),""),VLOOKUP($D151,素材!$1:$1016,COLUMN($F$1),FALSE))),VLOOKUP($C151,武器!$1:$998,COLUMN($O$1),FALSE)*VLOOKUP($D151,素材!$1:$1016,COLUMN($E$1),FALSE)/(LEN(VLOOKUP($D151,素材!$1:$1016,COLUMN($F$1),FALSE))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BE151">
        <f>IF(ISNUMBER(SEARCH(SUBSTITUTE(BE$1,RIGHT(BE$1,2),""),VLOOKUP($D151,素材!$1:$1016,COLUMN($F$1),FALSE))),VLOOKUP($C151,武器!$1:$998,COLUMN($O$1),FALSE)*VLOOKUP($D151,素材!$1:$1016,COLUMN($E$1),FALSE)/(LEN(VLOOKUP($D151,素材!$1:$1016,COLUMN($F$1),FALSE))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BF151">
        <f>IF(ISNUMBER(SEARCH(SUBSTITUTE(BF$1,RIGHT(BF$1,2),""),VLOOKUP($D151,素材!$1:$1016,COLUMN($F$1),FALSE))),VLOOKUP($C151,武器!$1:$998,COLUMN($O$1),FALSE)*VLOOKUP($D151,素材!$1:$1016,COLUMN($E$1),FALSE)/(LEN(VLOOKUP($D151,素材!$1:$1016,COLUMN($F$1),FALSE)) - LEN(SUBSTITUTE(VLOOKUP($D151,素材!$1:$1016,COLUMN($F$1),FALSE), "・", 0)) + 1), 0)</f>
        <v>0</v>
      </c>
      <c r="CM151">
        <f t="shared" si="19"/>
        <v>0</v>
      </c>
      <c r="CN151" s="22" t="str">
        <f>IF(E151="武器",IF(J151-1&gt;SUM(G151:I151),"盾",IF(MAX(G151:I151)=G151,"切断",IF(MAX(G151:I151)=H151,"貫通",IF(MAX(G151:I151)=I151,"打撃","射撃")))),E151)&amp;".webp"</f>
        <v>.webp</v>
      </c>
      <c r="CO151" t="str">
        <f>IFERROR(VLOOKUP($C151,武器!$1:$998,COLUMN(V$1),FALSE)*VLOOKUP($D151,素材!$1:$1016,COLUMN(N$1),FALSE)+IF(CJ151="",0,VLOOKUP($CJ151,装強!$1:$1008,COLUMN($CL$1),FALSE)),"")</f>
        <v/>
      </c>
      <c r="CP151" t="e">
        <f>VLOOKUP(D151,素材!$A:$O,COLUMN(素材!O$1),FALSE)</f>
        <v>#N/A</v>
      </c>
      <c r="CS151" t="str">
        <f t="shared" si="21"/>
        <v>e_151</v>
      </c>
      <c r="CT151" t="e">
        <f t="shared" si="24"/>
        <v>#VALUE!</v>
      </c>
    </row>
    <row r="152" spans="1:98" outlineLevel="1" x14ac:dyDescent="0.4">
      <c r="D152" s="24"/>
      <c r="E152" t="str">
        <f>IFERROR(VLOOKUP(C152,武器!$1:$998,COLUMN(C$1),FALSE),"")</f>
        <v/>
      </c>
      <c r="F152" t="str">
        <f>IFERROR(ROUNDDOWN((VLOOKUP($C152,武器!$1:$998,COLUMN(D$1),FALSE)+IFERROR(VLOOKUP($CJ152,装強!$1:$999,COLUMN(F$1),FALSE),0))*VLOOKUP($D152,素材!$1:$1016,COLUMN(D$1),FALSE),0),"")</f>
        <v/>
      </c>
      <c r="G152" t="str">
        <f>IFERROR(ROUNDDOWN((VLOOKUP($C152,武器!$1:$998,COLUMN(E$1),FALSE)+IFERROR(VLOOKUP($CJ152,装強!$1:$999,COLUMN(G$1),FALSE),0))*VLOOKUP($D152,素材!$1:$1016,COLUMN($E$1),FALSE),0),"")</f>
        <v/>
      </c>
      <c r="H152" t="str">
        <f>IFERROR(ROUNDDOWN((VLOOKUP($C152,武器!$1:$998,COLUMN(F$1),FALSE)+IFERROR(VLOOKUP($CJ152,装強!$1:$999,COLUMN(H$1),FALSE),0))*VLOOKUP($D152,素材!$1:$1016,COLUMN($E$1),FALSE),0),"")</f>
        <v/>
      </c>
      <c r="I152" t="str">
        <f>IFERROR(ROUNDDOWN((VLOOKUP($C152,武器!$1:$998,COLUMN(G$1),FALSE)+IFERROR(VLOOKUP($CJ152,装強!$1:$999,COLUMN(I$1),FALSE),0))*VLOOKUP($D152,素材!$1:$1016,COLUMN($E$1),FALSE),0),"")</f>
        <v/>
      </c>
      <c r="J152" t="str">
        <f>IFERROR(ROUNDDOWN((VLOOKUP($C152,武器!$1:$998,COLUMN(H$1),FALSE)+IFERROR(VLOOKUP($CJ152,装強!$1:$999,COLUMN(J$1),FALSE),0))*VLOOKUP($D152,素材!$1:$1016,COLUMN($E$1),FALSE),0),"")</f>
        <v/>
      </c>
      <c r="K152" t="str">
        <f>IFERROR(ROUNDDOWN((VLOOKUP($C152,武器!$1:$998,COLUMN(I$1),FALSE)+IFERROR(VLOOKUP($CJ152,装強!$1:$999,COLUMN(K$1),FALSE),0))*VLOOKUP($D152,素材!$1:$1016,COLUMN($E$1),FALSE),0),"")</f>
        <v/>
      </c>
      <c r="L152" t="str">
        <f>IFERROR(VLOOKUP($D152,素材!$1:$1016,COLUMN($F$1),FALSE),"")</f>
        <v/>
      </c>
      <c r="M152" t="str">
        <f>IFERROR(VLOOKUP($C152,武器!$1:$998,COLUMN(AA$1),FALSE)*VLOOKUP($D152,素材!$1:$1016,COLUMN($G$1),FALSE),"")</f>
        <v/>
      </c>
      <c r="N152" t="str">
        <f>IFERROR(VLOOKUP($C152,武器!$1:$998,COLUMN(I$1),FALSE),"")</f>
        <v/>
      </c>
      <c r="O152" s="23" t="str">
        <f>IFERROR((VLOOKUP($C152,武器!$1:$998,COLUMN(K$1),FALSE)+VLOOKUP($D152,素材!$1:$1016,COLUMN(H$1),FALSE))*100+IFERROR(VLOOKUP($CJ152,装強!$1:$999,COLUMN(O$1),FALSE),0),"")</f>
        <v/>
      </c>
      <c r="P152" s="23" t="str">
        <f>IFERROR((VLOOKUP($C152,武器!$1:$998,COLUMN(L$1),FALSE)+VLOOKUP($D152,素材!$1:$1016,COLUMN(I$1),FALSE))*100+IFERROR(VLOOKUP($CJ152,装強!$1:$999,COLUMN(P$1),FALSE),0),"")</f>
        <v/>
      </c>
      <c r="Q152" t="str">
        <f>IFERROR(ROUNDUP(VLOOKUP($C152,武器!$1:$998,COLUMN(M$1),FALSE)*(VLOOKUP($D152,素材!$1:$1002,COLUMN(D$1),FALSE)/100),1),"")</f>
        <v/>
      </c>
      <c r="R152" t="str">
        <f>IFERROR(ROUNDUP(VLOOKUP($C152,武器!$1:$998,COLUMN(N$1),FALSE)*(VLOOKUP($D152,素材!$1:$1002,COLUMN(D$1),FALSE)/100),1),"")</f>
        <v/>
      </c>
      <c r="S152" t="str">
        <f>IFERROR(VLOOKUP($C152,武器!$1:$998,COLUMN(P$1),FALSE),"")</f>
        <v/>
      </c>
      <c r="T152" t="str">
        <f>IFERROR(VLOOKUP($C152,武器!$1:$998,COLUMN(Q$1),FALSE),"")</f>
        <v/>
      </c>
      <c r="U152" t="str">
        <f>IFERROR(VLOOKUP($C152,武器!$1:$998,COLUMN(R$1),FALSE),"")</f>
        <v/>
      </c>
      <c r="V152" t="str">
        <f>IFERROR(VLOOKUP($C152,武器!$1:$998,COLUMN(Q$1),FALSE),"")</f>
        <v/>
      </c>
      <c r="W152" t="str">
        <f>IFERROR(VLOOKUP($C152,武器!$1:$998,COLUMN(T$1),FALSE),"")</f>
        <v/>
      </c>
      <c r="Y152" t="str">
        <f>IFERROR(VLOOKUP($C152,武器!$1:$998,COLUMN(U$1),FALSE),"")</f>
        <v/>
      </c>
      <c r="Z152" t="str">
        <f>IFERROR(ROUNDUP(VLOOKUP($C152,武器!$1:$998,COLUMN(O$1),FALSE)*VLOOKUP($D152,素材!$1:$1016,COLUMN(E$1),FALSE),1),"")</f>
        <v/>
      </c>
      <c r="AA152">
        <f>IF(ISNUMBER(SEARCH(SUBSTITUTE(AA$1,RIGHT(AA$1,2),""),VLOOKUP($D152,素材!$1:$1016,COLUMN($F$1),FALSE))),VLOOKUP($C152,武器!$1:$998,COLUMN($O$1),FALSE)*VLOOKUP($D152,素材!$1:$1016,COLUMN($E$1),FALSE)/(LEN(VLOOKUP($D152,素材!$1:$1016,COLUMN($F$1),FALSE))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B152">
        <f>IF(ISNUMBER(SEARCH(SUBSTITUTE(AB$1,RIGHT(AB$1,2),""),VLOOKUP($D152,素材!$1:$1016,COLUMN($F$1),FALSE))),VLOOKUP($C152,武器!$1:$998,COLUMN($O$1),FALSE)*VLOOKUP($D152,素材!$1:$1016,COLUMN($E$1),FALSE)/(LEN(VLOOKUP($D152,素材!$1:$1016,COLUMN($F$1),FALSE))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C152">
        <f>IF(ISNUMBER(SEARCH(SUBSTITUTE(AC$1,RIGHT(AC$1,2),""),VLOOKUP($D152,素材!$1:$1016,COLUMN($F$1),FALSE))),VLOOKUP($C152,武器!$1:$998,COLUMN($O$1),FALSE)*VLOOKUP($D152,素材!$1:$1016,COLUMN($E$1),FALSE)/(LEN(VLOOKUP($D152,素材!$1:$1016,COLUMN($F$1),FALSE))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D152">
        <f>IF(ISNUMBER(SEARCH(SUBSTITUTE(AD$1,RIGHT(AD$1,2),""),VLOOKUP($D152,素材!$1:$1016,COLUMN($F$1),FALSE))),VLOOKUP($C152,武器!$1:$998,COLUMN($O$1),FALSE)*VLOOKUP($D152,素材!$1:$1016,COLUMN($E$1),FALSE)/(LEN(VLOOKUP($D152,素材!$1:$1016,COLUMN($F$1),FALSE))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E152">
        <f>IF(ISNUMBER(SEARCH(SUBSTITUTE(AE$1,RIGHT(AE$1,2),""),VLOOKUP($D152,素材!$1:$1016,COLUMN($F$1),FALSE))),VLOOKUP($C152,武器!$1:$998,COLUMN($O$1),FALSE)*VLOOKUP($D152,素材!$1:$1016,COLUMN($E$1),FALSE)/(LEN(VLOOKUP($D152,素材!$1:$1016,COLUMN($F$1),FALSE))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F152">
        <f>IF(ISNUMBER(SEARCH(SUBSTITUTE(AF$1,RIGHT(AF$1,2),""),VLOOKUP($D152,素材!$1:$1016,COLUMN($F$1),FALSE))),VLOOKUP($C152,武器!$1:$998,COLUMN($O$1),FALSE)*VLOOKUP($D152,素材!$1:$1016,COLUMN($E$1),FALSE)/(LEN(VLOOKUP($D152,素材!$1:$1016,COLUMN($F$1),FALSE))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G152">
        <f>IF(ISNUMBER(SEARCH(SUBSTITUTE(AG$1,RIGHT(AG$1,2),""),VLOOKUP($D152,素材!$1:$1016,COLUMN($F$1),FALSE))),VLOOKUP($C152,武器!$1:$998,COLUMN($O$1),FALSE)*VLOOKUP($D152,素材!$1:$1016,COLUMN($E$1),FALSE)/(LEN(VLOOKUP($D152,素材!$1:$1016,COLUMN($F$1),FALSE))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H152">
        <f>IF(ISNUMBER(SEARCH(SUBSTITUTE(AH$1,RIGHT(AH$1,2),""),VLOOKUP($D152,素材!$1:$1016,COLUMN($F$1),FALSE))),VLOOKUP($C152,武器!$1:$998,COLUMN($O$1),FALSE)*VLOOKUP($D152,素材!$1:$1016,COLUMN($E$1),FALSE)/(LEN(VLOOKUP($D152,素材!$1:$1016,COLUMN($F$1),FALSE))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I152">
        <f>IF(ISNUMBER(SEARCH(SUBSTITUTE(AI$1,RIGHT(AI$1,2),""),VLOOKUP($D152,素材!$1:$1016,COLUMN($F$1),FALSE))),VLOOKUP($C152,武器!$1:$998,COLUMN($O$1),FALSE)*VLOOKUP($D152,素材!$1:$1016,COLUMN($E$1),FALSE)/(LEN(VLOOKUP($D152,素材!$1:$1016,COLUMN($F$1),FALSE))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J152">
        <f>IF(ISNUMBER(SEARCH(SUBSTITUTE(AJ$1,RIGHT(AJ$1,2),""),VLOOKUP($D152,素材!$1:$1016,COLUMN($F$1),FALSE))),VLOOKUP($C152,武器!$1:$998,COLUMN($O$1),FALSE)*VLOOKUP($D152,素材!$1:$1016,COLUMN($E$1),FALSE)/(LEN(VLOOKUP($D152,素材!$1:$1016,COLUMN($F$1),FALSE))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K152">
        <f>IF(ISNUMBER(SEARCH(SUBSTITUTE(AK$1,RIGHT(AK$1,2),""),VLOOKUP($D152,素材!$1:$1016,COLUMN($F$1),FALSE))),VLOOKUP($C152,武器!$1:$998,COLUMN($O$1),FALSE)*VLOOKUP($D152,素材!$1:$1016,COLUMN($E$1),FALSE)/(LEN(VLOOKUP($D152,素材!$1:$1016,COLUMN($F$1),FALSE))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L152">
        <f>IF(ISNUMBER(SEARCH(SUBSTITUTE(AL$1,RIGHT(AL$1,2),""),VLOOKUP($D152,素材!$1:$1016,COLUMN($F$1),FALSE))),VLOOKUP($C152,武器!$1:$998,COLUMN($O$1),FALSE)*VLOOKUP($D152,素材!$1:$1016,COLUMN($E$1),FALSE)/(LEN(VLOOKUP($D152,素材!$1:$1016,COLUMN($F$1),FALSE))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M152">
        <f>IF(ISNUMBER(SEARCH(SUBSTITUTE(AM$1,RIGHT(AM$1,2),""),VLOOKUP($D152,素材!$1:$1016,COLUMN($F$1),FALSE))),VLOOKUP($C152,武器!$1:$998,COLUMN($O$1),FALSE)*VLOOKUP($D152,素材!$1:$1016,COLUMN($E$1),FALSE)/(LEN(VLOOKUP($D152,素材!$1:$1016,COLUMN($F$1),FALSE))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N152">
        <f>IF(ISNUMBER(SEARCH(SUBSTITUTE(AN$1,RIGHT(AN$1,2),""),VLOOKUP($D152,素材!$1:$1016,COLUMN($F$1),FALSE))),VLOOKUP($C152,武器!$1:$998,COLUMN($O$1),FALSE)*VLOOKUP($D152,素材!$1:$1016,COLUMN($E$1),FALSE)/(LEN(VLOOKUP($D152,素材!$1:$1016,COLUMN($F$1),FALSE))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O152">
        <f>IF(ISNUMBER(SEARCH(SUBSTITUTE(AO$1,RIGHT(AO$1,2),""),VLOOKUP($D152,素材!$1:$1016,COLUMN($F$1),FALSE))),VLOOKUP($C152,武器!$1:$998,COLUMN($O$1),FALSE)*VLOOKUP($D152,素材!$1:$1016,COLUMN($E$1),FALSE)/(LEN(VLOOKUP($D152,素材!$1:$1016,COLUMN($F$1),FALSE))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P152">
        <f>IF(ISNUMBER(SEARCH(SUBSTITUTE(AP$1,RIGHT(AP$1,2),""),VLOOKUP($D152,素材!$1:$1016,COLUMN($F$1),FALSE))),VLOOKUP($C152,武器!$1:$998,COLUMN($O$1),FALSE)*VLOOKUP($D152,素材!$1:$1016,COLUMN($E$1),FALSE)/(LEN(VLOOKUP($D152,素材!$1:$1016,COLUMN($F$1),FALSE))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Q152">
        <f>IF(ISNUMBER(SEARCH(SUBSTITUTE(AQ$1,RIGHT(AQ$1,2),""),VLOOKUP($D152,素材!$1:$1016,COLUMN($F$1),FALSE))),VLOOKUP($C152,武器!$1:$998,COLUMN($O$1),FALSE)*VLOOKUP($D152,素材!$1:$1016,COLUMN($E$1),FALSE)/(LEN(VLOOKUP($D152,素材!$1:$1016,COLUMN($F$1),FALSE))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R152">
        <f>IF(ISNUMBER(SEARCH(SUBSTITUTE(AR$1,RIGHT(AR$1,2),""),VLOOKUP($D152,素材!$1:$1016,COLUMN($F$1),FALSE))),VLOOKUP($C152,武器!$1:$998,COLUMN($O$1),FALSE)*VLOOKUP($D152,素材!$1:$1016,COLUMN($E$1),FALSE)/(LEN(VLOOKUP($D152,素材!$1:$1016,COLUMN($F$1),FALSE))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S152">
        <f>IF(ISNUMBER(SEARCH(SUBSTITUTE(AS$1,RIGHT(AS$1,2),""),VLOOKUP($D152,素材!$1:$1016,COLUMN($F$1),FALSE))),VLOOKUP($C152,武器!$1:$998,COLUMN($O$1),FALSE)*VLOOKUP($D152,素材!$1:$1016,COLUMN($E$1),FALSE)/(LEN(VLOOKUP($D152,素材!$1:$1016,COLUMN($F$1),FALSE))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T152">
        <f>IF(ISNUMBER(SEARCH(SUBSTITUTE(AT$1,RIGHT(AT$1,2),""),VLOOKUP($D152,素材!$1:$1016,COLUMN($F$1),FALSE))),VLOOKUP($C152,武器!$1:$998,COLUMN($O$1),FALSE)*VLOOKUP($D152,素材!$1:$1016,COLUMN($E$1),FALSE)/(LEN(VLOOKUP($D152,素材!$1:$1016,COLUMN($F$1),FALSE))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U152">
        <f>IF(ISNUMBER(SEARCH(SUBSTITUTE(AU$1,RIGHT(AU$1,2),""),VLOOKUP($D152,素材!$1:$1016,COLUMN($F$1),FALSE))),VLOOKUP($C152,武器!$1:$998,COLUMN($O$1),FALSE)*VLOOKUP($D152,素材!$1:$1016,COLUMN($E$1),FALSE)/(LEN(VLOOKUP($D152,素材!$1:$1016,COLUMN($F$1),FALSE))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V152">
        <f>IF(ISNUMBER(SEARCH(SUBSTITUTE(AV$1,RIGHT(AV$1,2),""),VLOOKUP($D152,素材!$1:$1016,COLUMN($F$1),FALSE))),VLOOKUP($C152,武器!$1:$998,COLUMN($O$1),FALSE)*VLOOKUP($D152,素材!$1:$1016,COLUMN($E$1),FALSE)/(LEN(VLOOKUP($D152,素材!$1:$1016,COLUMN($F$1),FALSE))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W152">
        <f>IF(ISNUMBER(SEARCH(SUBSTITUTE(AW$1,RIGHT(AW$1,2),""),VLOOKUP($D152,素材!$1:$1016,COLUMN($F$1),FALSE))),VLOOKUP($C152,武器!$1:$998,COLUMN($O$1),FALSE)*VLOOKUP($D152,素材!$1:$1016,COLUMN($E$1),FALSE)/(LEN(VLOOKUP($D152,素材!$1:$1016,COLUMN($F$1),FALSE))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X152">
        <f>IF(ISNUMBER(SEARCH(SUBSTITUTE(AX$1,RIGHT(AX$1,2),""),VLOOKUP($D152,素材!$1:$1016,COLUMN($F$1),FALSE))),VLOOKUP($C152,武器!$1:$998,COLUMN($O$1),FALSE)*VLOOKUP($D152,素材!$1:$1016,COLUMN($E$1),FALSE)/(LEN(VLOOKUP($D152,素材!$1:$1016,COLUMN($F$1),FALSE))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Y152">
        <f>IF(ISNUMBER(SEARCH(SUBSTITUTE(AY$1,RIGHT(AY$1,2),""),VLOOKUP($D152,素材!$1:$1016,COLUMN($F$1),FALSE))),VLOOKUP($C152,武器!$1:$998,COLUMN($O$1),FALSE)*VLOOKUP($D152,素材!$1:$1016,COLUMN($E$1),FALSE)/(LEN(VLOOKUP($D152,素材!$1:$1016,COLUMN($F$1),FALSE))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AZ152">
        <f>IF(ISNUMBER(SEARCH(SUBSTITUTE(AZ$1,RIGHT(AZ$1,2),""),VLOOKUP($D152,素材!$1:$1016,COLUMN($F$1),FALSE))),VLOOKUP($C152,武器!$1:$998,COLUMN($O$1),FALSE)*VLOOKUP($D152,素材!$1:$1016,COLUMN($E$1),FALSE)/(LEN(VLOOKUP($D152,素材!$1:$1016,COLUMN($F$1),FALSE))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BA152">
        <f>IF(ISNUMBER(SEARCH(SUBSTITUTE(BA$1,RIGHT(BA$1,2),""),VLOOKUP($D152,素材!$1:$1016,COLUMN($F$1),FALSE))),VLOOKUP($C152,武器!$1:$998,COLUMN($O$1),FALSE)*VLOOKUP($D152,素材!$1:$1016,COLUMN($E$1),FALSE)/(LEN(VLOOKUP($D152,素材!$1:$1016,COLUMN($F$1),FALSE))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BB152">
        <f>IF(ISNUMBER(SEARCH(SUBSTITUTE(BB$1,RIGHT(BB$1,2),""),VLOOKUP($D152,素材!$1:$1016,COLUMN($F$1),FALSE))),VLOOKUP($C152,武器!$1:$998,COLUMN($O$1),FALSE)*VLOOKUP($D152,素材!$1:$1016,COLUMN($E$1),FALSE)/(LEN(VLOOKUP($D152,素材!$1:$1016,COLUMN($F$1),FALSE))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BC152">
        <f>IF(ISNUMBER(SEARCH(SUBSTITUTE(BC$1,RIGHT(BC$1,2),""),VLOOKUP($D152,素材!$1:$1016,COLUMN($F$1),FALSE))),VLOOKUP($C152,武器!$1:$998,COLUMN($O$1),FALSE)*VLOOKUP($D152,素材!$1:$1016,COLUMN($E$1),FALSE)/(LEN(VLOOKUP($D152,素材!$1:$1016,COLUMN($F$1),FALSE))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BD152">
        <f>IF(ISNUMBER(SEARCH(SUBSTITUTE(BD$1,RIGHT(BD$1,2),""),VLOOKUP($D152,素材!$1:$1016,COLUMN($F$1),FALSE))),VLOOKUP($C152,武器!$1:$998,COLUMN($O$1),FALSE)*VLOOKUP($D152,素材!$1:$1016,COLUMN($E$1),FALSE)/(LEN(VLOOKUP($D152,素材!$1:$1016,COLUMN($F$1),FALSE))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BE152">
        <f>IF(ISNUMBER(SEARCH(SUBSTITUTE(BE$1,RIGHT(BE$1,2),""),VLOOKUP($D152,素材!$1:$1016,COLUMN($F$1),FALSE))),VLOOKUP($C152,武器!$1:$998,COLUMN($O$1),FALSE)*VLOOKUP($D152,素材!$1:$1016,COLUMN($E$1),FALSE)/(LEN(VLOOKUP($D152,素材!$1:$1016,COLUMN($F$1),FALSE))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BF152">
        <f>IF(ISNUMBER(SEARCH(SUBSTITUTE(BF$1,RIGHT(BF$1,2),""),VLOOKUP($D152,素材!$1:$1016,COLUMN($F$1),FALSE))),VLOOKUP($C152,武器!$1:$998,COLUMN($O$1),FALSE)*VLOOKUP($D152,素材!$1:$1016,COLUMN($E$1),FALSE)/(LEN(VLOOKUP($D152,素材!$1:$1016,COLUMN($F$1),FALSE)) - LEN(SUBSTITUTE(VLOOKUP($D152,素材!$1:$1016,COLUMN($F$1),FALSE), "・", 0)) + 1), 0)</f>
        <v>0</v>
      </c>
      <c r="CM152">
        <f t="shared" si="19"/>
        <v>0</v>
      </c>
      <c r="CN152" s="22" t="str">
        <f>IF(E152="武器",IF(J152-1&gt;SUM(G152:I152),"盾",IF(MAX(G152:I152)=G152,"切断",IF(MAX(G152:I152)=H152,"貫通",IF(MAX(G152:I152)=I152,"打撃","射撃")))),E152)&amp;".webp"</f>
        <v>.webp</v>
      </c>
      <c r="CO152" t="str">
        <f>IFERROR(VLOOKUP($C152,武器!$1:$998,COLUMN(V$1),FALSE)*VLOOKUP($D152,素材!$1:$1016,COLUMN(N$1),FALSE)+IF(CJ152="",0,VLOOKUP($CJ152,装強!$1:$1008,COLUMN($CL$1),FALSE)),"")</f>
        <v/>
      </c>
      <c r="CP152" t="e">
        <f>VLOOKUP(D152,素材!$A:$O,COLUMN(素材!O$1),FALSE)</f>
        <v>#N/A</v>
      </c>
      <c r="CS152" t="str">
        <f t="shared" si="21"/>
        <v>e_152</v>
      </c>
      <c r="CT152" t="e">
        <f t="shared" si="24"/>
        <v>#VALUE!</v>
      </c>
    </row>
    <row r="153" spans="1:98" outlineLevel="1" x14ac:dyDescent="0.4">
      <c r="D153" s="24"/>
      <c r="E153" t="str">
        <f>IFERROR(VLOOKUP(C153,武器!$1:$998,COLUMN(C$1),FALSE),"")</f>
        <v/>
      </c>
      <c r="F153" t="str">
        <f>IFERROR(ROUNDDOWN((VLOOKUP($C153,武器!$1:$998,COLUMN(D$1),FALSE)+IFERROR(VLOOKUP($CJ153,装強!$1:$999,COLUMN(F$1),FALSE),0))*VLOOKUP($D153,素材!$1:$1016,COLUMN(D$1),FALSE),0),"")</f>
        <v/>
      </c>
      <c r="G153" t="str">
        <f>IFERROR(ROUNDDOWN((VLOOKUP($C153,武器!$1:$998,COLUMN(E$1),FALSE)+IFERROR(VLOOKUP($CJ153,装強!$1:$999,COLUMN(G$1),FALSE),0))*VLOOKUP($D153,素材!$1:$1016,COLUMN($E$1),FALSE),0),"")</f>
        <v/>
      </c>
      <c r="H153" t="str">
        <f>IFERROR(ROUNDDOWN((VLOOKUP($C153,武器!$1:$998,COLUMN(F$1),FALSE)+IFERROR(VLOOKUP($CJ153,装強!$1:$999,COLUMN(H$1),FALSE),0))*VLOOKUP($D153,素材!$1:$1016,COLUMN($E$1),FALSE),0),"")</f>
        <v/>
      </c>
      <c r="I153" t="str">
        <f>IFERROR(ROUNDDOWN((VLOOKUP($C153,武器!$1:$998,COLUMN(G$1),FALSE)+IFERROR(VLOOKUP($CJ153,装強!$1:$999,COLUMN(I$1),FALSE),0))*VLOOKUP($D153,素材!$1:$1016,COLUMN($E$1),FALSE),0),"")</f>
        <v/>
      </c>
      <c r="J153" t="str">
        <f>IFERROR(ROUNDDOWN((VLOOKUP($C153,武器!$1:$998,COLUMN(H$1),FALSE)+IFERROR(VLOOKUP($CJ153,装強!$1:$999,COLUMN(J$1),FALSE),0))*VLOOKUP($D153,素材!$1:$1016,COLUMN($E$1),FALSE),0),"")</f>
        <v/>
      </c>
      <c r="K153" t="str">
        <f>IFERROR(ROUNDDOWN((VLOOKUP($C153,武器!$1:$998,COLUMN(I$1),FALSE)+IFERROR(VLOOKUP($CJ153,装強!$1:$999,COLUMN(K$1),FALSE),0))*VLOOKUP($D153,素材!$1:$1016,COLUMN($E$1),FALSE),0),"")</f>
        <v/>
      </c>
      <c r="L153" t="str">
        <f>IFERROR(VLOOKUP($D153,素材!$1:$1016,COLUMN($F$1),FALSE),"")</f>
        <v/>
      </c>
      <c r="M153" t="str">
        <f>IFERROR(VLOOKUP($C153,武器!$1:$998,COLUMN(AA$1),FALSE)*VLOOKUP($D153,素材!$1:$1016,COLUMN($G$1),FALSE),"")</f>
        <v/>
      </c>
      <c r="N153" t="str">
        <f>IFERROR(VLOOKUP($C153,武器!$1:$998,COLUMN(I$1),FALSE),"")</f>
        <v/>
      </c>
      <c r="O153" s="23" t="str">
        <f>IFERROR((VLOOKUP($C153,武器!$1:$998,COLUMN(K$1),FALSE)+VLOOKUP($D153,素材!$1:$1016,COLUMN(H$1),FALSE))*100+IFERROR(VLOOKUP($CJ153,装強!$1:$999,COLUMN(O$1),FALSE),0),"")</f>
        <v/>
      </c>
      <c r="P153" s="23" t="str">
        <f>IFERROR((VLOOKUP($C153,武器!$1:$998,COLUMN(L$1),FALSE)+VLOOKUP($D153,素材!$1:$1016,COLUMN(I$1),FALSE))*100+IFERROR(VLOOKUP($CJ153,装強!$1:$999,COLUMN(P$1),FALSE),0),"")</f>
        <v/>
      </c>
      <c r="Q153" t="str">
        <f>IFERROR(ROUNDUP(VLOOKUP($C153,武器!$1:$998,COLUMN(M$1),FALSE)*(VLOOKUP($D153,素材!$1:$1002,COLUMN(D$1),FALSE)/100),1),"")</f>
        <v/>
      </c>
      <c r="R153" t="str">
        <f>IFERROR(ROUNDUP(VLOOKUP($C153,武器!$1:$998,COLUMN(N$1),FALSE)*(VLOOKUP($D153,素材!$1:$1002,COLUMN(D$1),FALSE)/100),1),"")</f>
        <v/>
      </c>
      <c r="S153" t="str">
        <f>IFERROR(VLOOKUP($C153,武器!$1:$998,COLUMN(P$1),FALSE),"")</f>
        <v/>
      </c>
      <c r="T153" t="str">
        <f>IFERROR(VLOOKUP($C153,武器!$1:$998,COLUMN(Q$1),FALSE),"")</f>
        <v/>
      </c>
      <c r="U153" t="str">
        <f>IFERROR(VLOOKUP($C153,武器!$1:$998,COLUMN(R$1),FALSE),"")</f>
        <v/>
      </c>
      <c r="V153" t="str">
        <f>IFERROR(VLOOKUP($C153,武器!$1:$998,COLUMN(Q$1),FALSE),"")</f>
        <v/>
      </c>
      <c r="W153" t="str">
        <f>IFERROR(VLOOKUP($C153,武器!$1:$998,COLUMN(T$1),FALSE),"")</f>
        <v/>
      </c>
      <c r="Y153" t="str">
        <f>IFERROR(VLOOKUP($C153,武器!$1:$998,COLUMN(U$1),FALSE),"")</f>
        <v/>
      </c>
      <c r="Z153" t="str">
        <f>IFERROR(ROUNDUP(VLOOKUP($C153,武器!$1:$998,COLUMN(O$1),FALSE)*VLOOKUP($D153,素材!$1:$1016,COLUMN(E$1),FALSE),1),"")</f>
        <v/>
      </c>
      <c r="AA153">
        <f>IF(ISNUMBER(SEARCH(SUBSTITUTE(AA$1,RIGHT(AA$1,2),""),VLOOKUP($D153,素材!$1:$1016,COLUMN($F$1),FALSE))),VLOOKUP($C153,武器!$1:$998,COLUMN($O$1),FALSE)*VLOOKUP($D153,素材!$1:$1016,COLUMN($E$1),FALSE)/(LEN(VLOOKUP($D153,素材!$1:$1016,COLUMN($F$1),FALSE))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B153">
        <f>IF(ISNUMBER(SEARCH(SUBSTITUTE(AB$1,RIGHT(AB$1,2),""),VLOOKUP($D153,素材!$1:$1016,COLUMN($F$1),FALSE))),VLOOKUP($C153,武器!$1:$998,COLUMN($O$1),FALSE)*VLOOKUP($D153,素材!$1:$1016,COLUMN($E$1),FALSE)/(LEN(VLOOKUP($D153,素材!$1:$1016,COLUMN($F$1),FALSE))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C153">
        <f>IF(ISNUMBER(SEARCH(SUBSTITUTE(AC$1,RIGHT(AC$1,2),""),VLOOKUP($D153,素材!$1:$1016,COLUMN($F$1),FALSE))),VLOOKUP($C153,武器!$1:$998,COLUMN($O$1),FALSE)*VLOOKUP($D153,素材!$1:$1016,COLUMN($E$1),FALSE)/(LEN(VLOOKUP($D153,素材!$1:$1016,COLUMN($F$1),FALSE))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D153">
        <f>IF(ISNUMBER(SEARCH(SUBSTITUTE(AD$1,RIGHT(AD$1,2),""),VLOOKUP($D153,素材!$1:$1016,COLUMN($F$1),FALSE))),VLOOKUP($C153,武器!$1:$998,COLUMN($O$1),FALSE)*VLOOKUP($D153,素材!$1:$1016,COLUMN($E$1),FALSE)/(LEN(VLOOKUP($D153,素材!$1:$1016,COLUMN($F$1),FALSE))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E153">
        <f>IF(ISNUMBER(SEARCH(SUBSTITUTE(AE$1,RIGHT(AE$1,2),""),VLOOKUP($D153,素材!$1:$1016,COLUMN($F$1),FALSE))),VLOOKUP($C153,武器!$1:$998,COLUMN($O$1),FALSE)*VLOOKUP($D153,素材!$1:$1016,COLUMN($E$1),FALSE)/(LEN(VLOOKUP($D153,素材!$1:$1016,COLUMN($F$1),FALSE))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F153">
        <f>IF(ISNUMBER(SEARCH(SUBSTITUTE(AF$1,RIGHT(AF$1,2),""),VLOOKUP($D153,素材!$1:$1016,COLUMN($F$1),FALSE))),VLOOKUP($C153,武器!$1:$998,COLUMN($O$1),FALSE)*VLOOKUP($D153,素材!$1:$1016,COLUMN($E$1),FALSE)/(LEN(VLOOKUP($D153,素材!$1:$1016,COLUMN($F$1),FALSE))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G153">
        <f>IF(ISNUMBER(SEARCH(SUBSTITUTE(AG$1,RIGHT(AG$1,2),""),VLOOKUP($D153,素材!$1:$1016,COLUMN($F$1),FALSE))),VLOOKUP($C153,武器!$1:$998,COLUMN($O$1),FALSE)*VLOOKUP($D153,素材!$1:$1016,COLUMN($E$1),FALSE)/(LEN(VLOOKUP($D153,素材!$1:$1016,COLUMN($F$1),FALSE))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H153">
        <f>IF(ISNUMBER(SEARCH(SUBSTITUTE(AH$1,RIGHT(AH$1,2),""),VLOOKUP($D153,素材!$1:$1016,COLUMN($F$1),FALSE))),VLOOKUP($C153,武器!$1:$998,COLUMN($O$1),FALSE)*VLOOKUP($D153,素材!$1:$1016,COLUMN($E$1),FALSE)/(LEN(VLOOKUP($D153,素材!$1:$1016,COLUMN($F$1),FALSE))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I153">
        <f>IF(ISNUMBER(SEARCH(SUBSTITUTE(AI$1,RIGHT(AI$1,2),""),VLOOKUP($D153,素材!$1:$1016,COLUMN($F$1),FALSE))),VLOOKUP($C153,武器!$1:$998,COLUMN($O$1),FALSE)*VLOOKUP($D153,素材!$1:$1016,COLUMN($E$1),FALSE)/(LEN(VLOOKUP($D153,素材!$1:$1016,COLUMN($F$1),FALSE))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J153">
        <f>IF(ISNUMBER(SEARCH(SUBSTITUTE(AJ$1,RIGHT(AJ$1,2),""),VLOOKUP($D153,素材!$1:$1016,COLUMN($F$1),FALSE))),VLOOKUP($C153,武器!$1:$998,COLUMN($O$1),FALSE)*VLOOKUP($D153,素材!$1:$1016,COLUMN($E$1),FALSE)/(LEN(VLOOKUP($D153,素材!$1:$1016,COLUMN($F$1),FALSE))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K153">
        <f>IF(ISNUMBER(SEARCH(SUBSTITUTE(AK$1,RIGHT(AK$1,2),""),VLOOKUP($D153,素材!$1:$1016,COLUMN($F$1),FALSE))),VLOOKUP($C153,武器!$1:$998,COLUMN($O$1),FALSE)*VLOOKUP($D153,素材!$1:$1016,COLUMN($E$1),FALSE)/(LEN(VLOOKUP($D153,素材!$1:$1016,COLUMN($F$1),FALSE))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L153">
        <f>IF(ISNUMBER(SEARCH(SUBSTITUTE(AL$1,RIGHT(AL$1,2),""),VLOOKUP($D153,素材!$1:$1016,COLUMN($F$1),FALSE))),VLOOKUP($C153,武器!$1:$998,COLUMN($O$1),FALSE)*VLOOKUP($D153,素材!$1:$1016,COLUMN($E$1),FALSE)/(LEN(VLOOKUP($D153,素材!$1:$1016,COLUMN($F$1),FALSE))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M153">
        <f>IF(ISNUMBER(SEARCH(SUBSTITUTE(AM$1,RIGHT(AM$1,2),""),VLOOKUP($D153,素材!$1:$1016,COLUMN($F$1),FALSE))),VLOOKUP($C153,武器!$1:$998,COLUMN($O$1),FALSE)*VLOOKUP($D153,素材!$1:$1016,COLUMN($E$1),FALSE)/(LEN(VLOOKUP($D153,素材!$1:$1016,COLUMN($F$1),FALSE))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N153">
        <f>IF(ISNUMBER(SEARCH(SUBSTITUTE(AN$1,RIGHT(AN$1,2),""),VLOOKUP($D153,素材!$1:$1016,COLUMN($F$1),FALSE))),VLOOKUP($C153,武器!$1:$998,COLUMN($O$1),FALSE)*VLOOKUP($D153,素材!$1:$1016,COLUMN($E$1),FALSE)/(LEN(VLOOKUP($D153,素材!$1:$1016,COLUMN($F$1),FALSE))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O153">
        <f>IF(ISNUMBER(SEARCH(SUBSTITUTE(AO$1,RIGHT(AO$1,2),""),VLOOKUP($D153,素材!$1:$1016,COLUMN($F$1),FALSE))),VLOOKUP($C153,武器!$1:$998,COLUMN($O$1),FALSE)*VLOOKUP($D153,素材!$1:$1016,COLUMN($E$1),FALSE)/(LEN(VLOOKUP($D153,素材!$1:$1016,COLUMN($F$1),FALSE))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P153">
        <f>IF(ISNUMBER(SEARCH(SUBSTITUTE(AP$1,RIGHT(AP$1,2),""),VLOOKUP($D153,素材!$1:$1016,COLUMN($F$1),FALSE))),VLOOKUP($C153,武器!$1:$998,COLUMN($O$1),FALSE)*VLOOKUP($D153,素材!$1:$1016,COLUMN($E$1),FALSE)/(LEN(VLOOKUP($D153,素材!$1:$1016,COLUMN($F$1),FALSE))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Q153">
        <f>IF(ISNUMBER(SEARCH(SUBSTITUTE(AQ$1,RIGHT(AQ$1,2),""),VLOOKUP($D153,素材!$1:$1016,COLUMN($F$1),FALSE))),VLOOKUP($C153,武器!$1:$998,COLUMN($O$1),FALSE)*VLOOKUP($D153,素材!$1:$1016,COLUMN($E$1),FALSE)/(LEN(VLOOKUP($D153,素材!$1:$1016,COLUMN($F$1),FALSE))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R153">
        <f>IF(ISNUMBER(SEARCH(SUBSTITUTE(AR$1,RIGHT(AR$1,2),""),VLOOKUP($D153,素材!$1:$1016,COLUMN($F$1),FALSE))),VLOOKUP($C153,武器!$1:$998,COLUMN($O$1),FALSE)*VLOOKUP($D153,素材!$1:$1016,COLUMN($E$1),FALSE)/(LEN(VLOOKUP($D153,素材!$1:$1016,COLUMN($F$1),FALSE))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S153">
        <f>IF(ISNUMBER(SEARCH(SUBSTITUTE(AS$1,RIGHT(AS$1,2),""),VLOOKUP($D153,素材!$1:$1016,COLUMN($F$1),FALSE))),VLOOKUP($C153,武器!$1:$998,COLUMN($O$1),FALSE)*VLOOKUP($D153,素材!$1:$1016,COLUMN($E$1),FALSE)/(LEN(VLOOKUP($D153,素材!$1:$1016,COLUMN($F$1),FALSE))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T153">
        <f>IF(ISNUMBER(SEARCH(SUBSTITUTE(AT$1,RIGHT(AT$1,2),""),VLOOKUP($D153,素材!$1:$1016,COLUMN($F$1),FALSE))),VLOOKUP($C153,武器!$1:$998,COLUMN($O$1),FALSE)*VLOOKUP($D153,素材!$1:$1016,COLUMN($E$1),FALSE)/(LEN(VLOOKUP($D153,素材!$1:$1016,COLUMN($F$1),FALSE))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U153">
        <f>IF(ISNUMBER(SEARCH(SUBSTITUTE(AU$1,RIGHT(AU$1,2),""),VLOOKUP($D153,素材!$1:$1016,COLUMN($F$1),FALSE))),VLOOKUP($C153,武器!$1:$998,COLUMN($O$1),FALSE)*VLOOKUP($D153,素材!$1:$1016,COLUMN($E$1),FALSE)/(LEN(VLOOKUP($D153,素材!$1:$1016,COLUMN($F$1),FALSE))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V153">
        <f>IF(ISNUMBER(SEARCH(SUBSTITUTE(AV$1,RIGHT(AV$1,2),""),VLOOKUP($D153,素材!$1:$1016,COLUMN($F$1),FALSE))),VLOOKUP($C153,武器!$1:$998,COLUMN($O$1),FALSE)*VLOOKUP($D153,素材!$1:$1016,COLUMN($E$1),FALSE)/(LEN(VLOOKUP($D153,素材!$1:$1016,COLUMN($F$1),FALSE))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W153">
        <f>IF(ISNUMBER(SEARCH(SUBSTITUTE(AW$1,RIGHT(AW$1,2),""),VLOOKUP($D153,素材!$1:$1016,COLUMN($F$1),FALSE))),VLOOKUP($C153,武器!$1:$998,COLUMN($O$1),FALSE)*VLOOKUP($D153,素材!$1:$1016,COLUMN($E$1),FALSE)/(LEN(VLOOKUP($D153,素材!$1:$1016,COLUMN($F$1),FALSE))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X153">
        <f>IF(ISNUMBER(SEARCH(SUBSTITUTE(AX$1,RIGHT(AX$1,2),""),VLOOKUP($D153,素材!$1:$1016,COLUMN($F$1),FALSE))),VLOOKUP($C153,武器!$1:$998,COLUMN($O$1),FALSE)*VLOOKUP($D153,素材!$1:$1016,COLUMN($E$1),FALSE)/(LEN(VLOOKUP($D153,素材!$1:$1016,COLUMN($F$1),FALSE))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Y153">
        <f>IF(ISNUMBER(SEARCH(SUBSTITUTE(AY$1,RIGHT(AY$1,2),""),VLOOKUP($D153,素材!$1:$1016,COLUMN($F$1),FALSE))),VLOOKUP($C153,武器!$1:$998,COLUMN($O$1),FALSE)*VLOOKUP($D153,素材!$1:$1016,COLUMN($E$1),FALSE)/(LEN(VLOOKUP($D153,素材!$1:$1016,COLUMN($F$1),FALSE))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AZ153">
        <f>IF(ISNUMBER(SEARCH(SUBSTITUTE(AZ$1,RIGHT(AZ$1,2),""),VLOOKUP($D153,素材!$1:$1016,COLUMN($F$1),FALSE))),VLOOKUP($C153,武器!$1:$998,COLUMN($O$1),FALSE)*VLOOKUP($D153,素材!$1:$1016,COLUMN($E$1),FALSE)/(LEN(VLOOKUP($D153,素材!$1:$1016,COLUMN($F$1),FALSE))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BA153">
        <f>IF(ISNUMBER(SEARCH(SUBSTITUTE(BA$1,RIGHT(BA$1,2),""),VLOOKUP($D153,素材!$1:$1016,COLUMN($F$1),FALSE))),VLOOKUP($C153,武器!$1:$998,COLUMN($O$1),FALSE)*VLOOKUP($D153,素材!$1:$1016,COLUMN($E$1),FALSE)/(LEN(VLOOKUP($D153,素材!$1:$1016,COLUMN($F$1),FALSE))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BB153">
        <f>IF(ISNUMBER(SEARCH(SUBSTITUTE(BB$1,RIGHT(BB$1,2),""),VLOOKUP($D153,素材!$1:$1016,COLUMN($F$1),FALSE))),VLOOKUP($C153,武器!$1:$998,COLUMN($O$1),FALSE)*VLOOKUP($D153,素材!$1:$1016,COLUMN($E$1),FALSE)/(LEN(VLOOKUP($D153,素材!$1:$1016,COLUMN($F$1),FALSE))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BC153">
        <f>IF(ISNUMBER(SEARCH(SUBSTITUTE(BC$1,RIGHT(BC$1,2),""),VLOOKUP($D153,素材!$1:$1016,COLUMN($F$1),FALSE))),VLOOKUP($C153,武器!$1:$998,COLUMN($O$1),FALSE)*VLOOKUP($D153,素材!$1:$1016,COLUMN($E$1),FALSE)/(LEN(VLOOKUP($D153,素材!$1:$1016,COLUMN($F$1),FALSE))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BD153">
        <f>IF(ISNUMBER(SEARCH(SUBSTITUTE(BD$1,RIGHT(BD$1,2),""),VLOOKUP($D153,素材!$1:$1016,COLUMN($F$1),FALSE))),VLOOKUP($C153,武器!$1:$998,COLUMN($O$1),FALSE)*VLOOKUP($D153,素材!$1:$1016,COLUMN($E$1),FALSE)/(LEN(VLOOKUP($D153,素材!$1:$1016,COLUMN($F$1),FALSE))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BE153">
        <f>IF(ISNUMBER(SEARCH(SUBSTITUTE(BE$1,RIGHT(BE$1,2),""),VLOOKUP($D153,素材!$1:$1016,COLUMN($F$1),FALSE))),VLOOKUP($C153,武器!$1:$998,COLUMN($O$1),FALSE)*VLOOKUP($D153,素材!$1:$1016,COLUMN($E$1),FALSE)/(LEN(VLOOKUP($D153,素材!$1:$1016,COLUMN($F$1),FALSE))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BF153">
        <f>IF(ISNUMBER(SEARCH(SUBSTITUTE(BF$1,RIGHT(BF$1,2),""),VLOOKUP($D153,素材!$1:$1016,COLUMN($F$1),FALSE))),VLOOKUP($C153,武器!$1:$998,COLUMN($O$1),FALSE)*VLOOKUP($D153,素材!$1:$1016,COLUMN($E$1),FALSE)/(LEN(VLOOKUP($D153,素材!$1:$1016,COLUMN($F$1),FALSE)) - LEN(SUBSTITUTE(VLOOKUP($D153,素材!$1:$1016,COLUMN($F$1),FALSE), "・", 0)) + 1), 0)</f>
        <v>0</v>
      </c>
      <c r="CM153">
        <f t="shared" si="19"/>
        <v>0</v>
      </c>
      <c r="CN153" s="22" t="str">
        <f>IF(E153="武器",IF(J153-1&gt;SUM(G153:I153),"盾",IF(MAX(G153:I153)=G153,"切断",IF(MAX(G153:I153)=H153,"貫通",IF(MAX(G153:I153)=I153,"打撃","射撃")))),E153)&amp;".webp"</f>
        <v>.webp</v>
      </c>
      <c r="CO153" t="str">
        <f>IFERROR(VLOOKUP($C153,武器!$1:$998,COLUMN(V$1),FALSE)*VLOOKUP($D153,素材!$1:$1016,COLUMN(N$1),FALSE)+IF(CJ153="",0,VLOOKUP($CJ153,装強!$1:$1008,COLUMN($CL$1),FALSE)),"")</f>
        <v/>
      </c>
      <c r="CP153" t="e">
        <f>VLOOKUP(D153,素材!$A:$O,COLUMN(素材!O$1),FALSE)</f>
        <v>#N/A</v>
      </c>
      <c r="CS153" t="str">
        <f t="shared" si="21"/>
        <v>e_153</v>
      </c>
      <c r="CT153" t="e">
        <f t="shared" si="24"/>
        <v>#VALUE!</v>
      </c>
    </row>
    <row r="154" spans="1:98" x14ac:dyDescent="0.4">
      <c r="A154" t="str">
        <f t="shared" ref="A154:A185" si="29">D154&amp;"の"&amp;C154</f>
        <v>黒鋼鉄の短刀</v>
      </c>
      <c r="B154" t="str">
        <f>IFERROR(VLOOKUP($D154,素材!$1:$1016,COLUMN($B$1),FALSE)&amp;"・"&amp;VLOOKUP($C154,武器!$1:$998,COLUMN(B$1),FALSE),"")</f>
        <v>ブラックスティール・ナイフ</v>
      </c>
      <c r="C154" s="24" t="s">
        <v>242</v>
      </c>
      <c r="D154" s="24" t="s">
        <v>244</v>
      </c>
      <c r="E154" t="str">
        <f>IFERROR(VLOOKUP(C154,武器!$1:$998,COLUMN(C$1),FALSE),"")</f>
        <v>武器</v>
      </c>
      <c r="F154">
        <f>IFERROR(ROUNDDOWN((VLOOKUP($C154,武器!$1:$998,COLUMN(D$1),FALSE)+IFERROR(VLOOKUP($CJ154,装強!$1:$999,COLUMN(F$1),FALSE),0))*VLOOKUP($D154,素材!$1:$1016,COLUMN(D$1),FALSE),0),"")</f>
        <v>100</v>
      </c>
      <c r="G154">
        <f>IFERROR(ROUNDDOWN((VLOOKUP($C154,武器!$1:$998,COLUMN(E$1),FALSE)+IFERROR(VLOOKUP($CJ154,装強!$1:$999,COLUMN(G$1),FALSE),0))*VLOOKUP($D154,素材!$1:$1016,COLUMN($E$1),FALSE),0),"")</f>
        <v>10</v>
      </c>
      <c r="H154">
        <f>IFERROR(ROUNDDOWN((VLOOKUP($C154,武器!$1:$998,COLUMN(F$1),FALSE)+IFERROR(VLOOKUP($CJ154,装強!$1:$999,COLUMN(H$1),FALSE),0))*VLOOKUP($D154,素材!$1:$1016,COLUMN($E$1),FALSE),0),"")</f>
        <v>8</v>
      </c>
      <c r="I154">
        <f>IFERROR(ROUNDDOWN((VLOOKUP($C154,武器!$1:$998,COLUMN(G$1),FALSE)+IFERROR(VLOOKUP($CJ154,装強!$1:$999,COLUMN(I$1),FALSE),0))*VLOOKUP($D154,素材!$1:$1016,COLUMN($E$1),FALSE),0),"")</f>
        <v>2</v>
      </c>
      <c r="J154">
        <f>IFERROR(ROUNDDOWN((VLOOKUP($C154,武器!$1:$998,COLUMN(H$1),FALSE)+IFERROR(VLOOKUP($CJ154,装強!$1:$999,COLUMN(J$1),FALSE),0))*VLOOKUP($D154,素材!$1:$1016,COLUMN($E$1),FALSE),0),"")</f>
        <v>13</v>
      </c>
      <c r="K154">
        <f>IFERROR(ROUNDDOWN((VLOOKUP($C154,武器!$1:$998,COLUMN(I$1),FALSE)+IFERROR(VLOOKUP($CJ154,装強!$1:$999,COLUMN(K$1),FALSE),0))*VLOOKUP($D154,素材!$1:$1016,COLUMN($E$1),FALSE),0),"")</f>
        <v>0</v>
      </c>
      <c r="L154" t="str">
        <f>IFERROR(VLOOKUP($D154,素材!$1:$1016,COLUMN($F$1),FALSE),"")</f>
        <v>雷</v>
      </c>
      <c r="M154">
        <f>IFERROR(VLOOKUP($C154,武器!$1:$998,COLUMN(AA$1),FALSE)*VLOOKUP($D154,素材!$1:$1016,COLUMN($G$1),FALSE),"")</f>
        <v>35</v>
      </c>
      <c r="N154">
        <f>IFERROR(VLOOKUP($C154,武器!$1:$998,COLUMN(I$1),FALSE),"")</f>
        <v>0</v>
      </c>
      <c r="O154" s="23">
        <f>IFERROR((VLOOKUP($C154,武器!$1:$998,COLUMN(K$1),FALSE)+VLOOKUP($D154,素材!$1:$1016,COLUMN(H$1),FALSE))*100+IFERROR(VLOOKUP($CJ154,装強!$1:$999,COLUMN(O$1),FALSE),0),"")</f>
        <v>10</v>
      </c>
      <c r="P154" s="23">
        <f>IFERROR((VLOOKUP($C154,武器!$1:$998,COLUMN(L$1),FALSE)+VLOOKUP($D154,素材!$1:$1016,COLUMN(I$1),FALSE))*100+IFERROR(VLOOKUP($CJ154,装強!$1:$999,COLUMN(P$1),FALSE),0),"")</f>
        <v>175</v>
      </c>
      <c r="Q154">
        <f>IFERROR(ROUNDUP(VLOOKUP($C154,武器!$1:$998,COLUMN(M$1),FALSE)*(VLOOKUP($D154,素材!$1:$1002,COLUMN(D$1),FALSE)/100),1),"")</f>
        <v>0</v>
      </c>
      <c r="R154">
        <f>IFERROR(ROUNDUP(VLOOKUP($C154,武器!$1:$998,COLUMN(N$1),FALSE)*(VLOOKUP($D154,素材!$1:$1002,COLUMN(D$1),FALSE)/100),1),"")</f>
        <v>0</v>
      </c>
      <c r="S154">
        <f>IFERROR(VLOOKUP($C154,武器!$1:$998,COLUMN(P$1),FALSE),"")</f>
        <v>0</v>
      </c>
      <c r="T154">
        <f>IFERROR(VLOOKUP($C154,武器!$1:$998,COLUMN(Q$1),FALSE),"")</f>
        <v>0</v>
      </c>
      <c r="U154">
        <f>IFERROR(VLOOKUP($C154,武器!$1:$998,COLUMN(R$1),FALSE),"")</f>
        <v>0</v>
      </c>
      <c r="V154">
        <f>IFERROR(VLOOKUP($C154,武器!$1:$998,COLUMN(Q$1),FALSE),"")</f>
        <v>0</v>
      </c>
      <c r="W154" t="str">
        <f>IFERROR(VLOOKUP($C154,武器!$1:$998,COLUMN(T$1),FALSE),"")</f>
        <v>A</v>
      </c>
      <c r="Y154" t="str">
        <f>IFERROR(VLOOKUP($C154,武器!$1:$998,COLUMN(U$1),FALSE),"")</f>
        <v>暗殺強化,片手適正Ⅱ</v>
      </c>
      <c r="Z154">
        <f>IFERROR(ROUNDUP(VLOOKUP($C154,武器!$1:$998,COLUMN(O$1),FALSE)*VLOOKUP($D154,素材!$1:$1016,COLUMN(E$1),FALSE),1),"")</f>
        <v>0</v>
      </c>
      <c r="AA154">
        <f>IF(ISNUMBER(SEARCH(SUBSTITUTE(AA$1,RIGHT(AA$1,2),""),VLOOKUP($D154,素材!$1:$1016,COLUMN($F$1),FALSE))),VLOOKUP($C154,武器!$1:$998,COLUMN($O$1),FALSE)*VLOOKUP($D154,素材!$1:$1016,COLUMN($E$1),FALSE)/(LEN(VLOOKUP($D154,素材!$1:$1016,COLUMN($F$1),FALSE))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B154">
        <f>IF(ISNUMBER(SEARCH(SUBSTITUTE(AB$1,RIGHT(AB$1,2),""),VLOOKUP($D154,素材!$1:$1016,COLUMN($F$1),FALSE))),VLOOKUP($C154,武器!$1:$998,COLUMN($O$1),FALSE)*VLOOKUP($D154,素材!$1:$1016,COLUMN($E$1),FALSE)/(LEN(VLOOKUP($D154,素材!$1:$1016,COLUMN($F$1),FALSE))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C154">
        <f>IF(ISNUMBER(SEARCH(SUBSTITUTE(AC$1,RIGHT(AC$1,2),""),VLOOKUP($D154,素材!$1:$1016,COLUMN($F$1),FALSE))),VLOOKUP($C154,武器!$1:$998,COLUMN($O$1),FALSE)*VLOOKUP($D154,素材!$1:$1016,COLUMN($E$1),FALSE)/(LEN(VLOOKUP($D154,素材!$1:$1016,COLUMN($F$1),FALSE))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D154">
        <f>IF(ISNUMBER(SEARCH(SUBSTITUTE(AD$1,RIGHT(AD$1,2),""),VLOOKUP($D154,素材!$1:$1016,COLUMN($F$1),FALSE))),VLOOKUP($C154,武器!$1:$998,COLUMN($O$1),FALSE)*VLOOKUP($D154,素材!$1:$1016,COLUMN($E$1),FALSE)/(LEN(VLOOKUP($D154,素材!$1:$1016,COLUMN($F$1),FALSE))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E154">
        <f>IF(ISNUMBER(SEARCH(SUBSTITUTE(AE$1,RIGHT(AE$1,2),""),VLOOKUP($D154,素材!$1:$1016,COLUMN($F$1),FALSE))),VLOOKUP($C154,武器!$1:$998,COLUMN($O$1),FALSE)*VLOOKUP($D154,素材!$1:$1016,COLUMN($E$1),FALSE)/(LEN(VLOOKUP($D154,素材!$1:$1016,COLUMN($F$1),FALSE))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F154">
        <f>IF(ISNUMBER(SEARCH(SUBSTITUTE(AF$1,RIGHT(AF$1,2),""),VLOOKUP($D154,素材!$1:$1016,COLUMN($F$1),FALSE))),VLOOKUP($C154,武器!$1:$998,COLUMN($O$1),FALSE)*VLOOKUP($D154,素材!$1:$1016,COLUMN($E$1),FALSE)/(LEN(VLOOKUP($D154,素材!$1:$1016,COLUMN($F$1),FALSE))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G154">
        <f>IF(ISNUMBER(SEARCH(SUBSTITUTE(AG$1,RIGHT(AG$1,2),""),VLOOKUP($D154,素材!$1:$1016,COLUMN($F$1),FALSE))),VLOOKUP($C154,武器!$1:$998,COLUMN($O$1),FALSE)*VLOOKUP($D154,素材!$1:$1016,COLUMN($E$1),FALSE)/(LEN(VLOOKUP($D154,素材!$1:$1016,COLUMN($F$1),FALSE))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H154">
        <f>IF(ISNUMBER(SEARCH(SUBSTITUTE(AH$1,RIGHT(AH$1,2),""),VLOOKUP($D154,素材!$1:$1016,COLUMN($F$1),FALSE))),VLOOKUP($C154,武器!$1:$998,COLUMN($O$1),FALSE)*VLOOKUP($D154,素材!$1:$1016,COLUMN($E$1),FALSE)/(LEN(VLOOKUP($D154,素材!$1:$1016,COLUMN($F$1),FALSE))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I154">
        <f>IF(ISNUMBER(SEARCH(SUBSTITUTE(AI$1,RIGHT(AI$1,2),""),VLOOKUP($D154,素材!$1:$1016,COLUMN($F$1),FALSE))),VLOOKUP($C154,武器!$1:$998,COLUMN($O$1),FALSE)*VLOOKUP($D154,素材!$1:$1016,COLUMN($E$1),FALSE)/(LEN(VLOOKUP($D154,素材!$1:$1016,COLUMN($F$1),FALSE))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J154">
        <f>IF(ISNUMBER(SEARCH(SUBSTITUTE(AJ$1,RIGHT(AJ$1,2),""),VLOOKUP($D154,素材!$1:$1016,COLUMN($F$1),FALSE))),VLOOKUP($C154,武器!$1:$998,COLUMN($O$1),FALSE)*VLOOKUP($D154,素材!$1:$1016,COLUMN($E$1),FALSE)/(LEN(VLOOKUP($D154,素材!$1:$1016,COLUMN($F$1),FALSE))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K154">
        <f>IF(ISNUMBER(SEARCH(SUBSTITUTE(AK$1,RIGHT(AK$1,2),""),VLOOKUP($D154,素材!$1:$1016,COLUMN($F$1),FALSE))),VLOOKUP($C154,武器!$1:$998,COLUMN($O$1),FALSE)*VLOOKUP($D154,素材!$1:$1016,COLUMN($E$1),FALSE)/(LEN(VLOOKUP($D154,素材!$1:$1016,COLUMN($F$1),FALSE))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L154">
        <f>IF(ISNUMBER(SEARCH(SUBSTITUTE(AL$1,RIGHT(AL$1,2),""),VLOOKUP($D154,素材!$1:$1016,COLUMN($F$1),FALSE))),VLOOKUP($C154,武器!$1:$998,COLUMN($O$1),FALSE)*VLOOKUP($D154,素材!$1:$1016,COLUMN($E$1),FALSE)/(LEN(VLOOKUP($D154,素材!$1:$1016,COLUMN($F$1),FALSE))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M154">
        <f>IF(ISNUMBER(SEARCH(SUBSTITUTE(AM$1,RIGHT(AM$1,2),""),VLOOKUP($D154,素材!$1:$1016,COLUMN($F$1),FALSE))),VLOOKUP($C154,武器!$1:$998,COLUMN($O$1),FALSE)*VLOOKUP($D154,素材!$1:$1016,COLUMN($E$1),FALSE)/(LEN(VLOOKUP($D154,素材!$1:$1016,COLUMN($F$1),FALSE))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N154">
        <f>IF(ISNUMBER(SEARCH(SUBSTITUTE(AN$1,RIGHT(AN$1,2),""),VLOOKUP($D154,素材!$1:$1016,COLUMN($F$1),FALSE))),VLOOKUP($C154,武器!$1:$998,COLUMN($O$1),FALSE)*VLOOKUP($D154,素材!$1:$1016,COLUMN($E$1),FALSE)/(LEN(VLOOKUP($D154,素材!$1:$1016,COLUMN($F$1),FALSE))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O154">
        <f>IF(ISNUMBER(SEARCH(SUBSTITUTE(AO$1,RIGHT(AO$1,2),""),VLOOKUP($D154,素材!$1:$1016,COLUMN($F$1),FALSE))),VLOOKUP($C154,武器!$1:$998,COLUMN($O$1),FALSE)*VLOOKUP($D154,素材!$1:$1016,COLUMN($E$1),FALSE)/(LEN(VLOOKUP($D154,素材!$1:$1016,COLUMN($F$1),FALSE))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P154">
        <f>IF(ISNUMBER(SEARCH(SUBSTITUTE(AP$1,RIGHT(AP$1,2),""),VLOOKUP($D154,素材!$1:$1016,COLUMN($F$1),FALSE))),VLOOKUP($C154,武器!$1:$998,COLUMN($O$1),FALSE)*VLOOKUP($D154,素材!$1:$1016,COLUMN($E$1),FALSE)/(LEN(VLOOKUP($D154,素材!$1:$1016,COLUMN($F$1),FALSE))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Q154">
        <f>IF(ISNUMBER(SEARCH(SUBSTITUTE(AQ$1,RIGHT(AQ$1,2),""),VLOOKUP($D154,素材!$1:$1016,COLUMN($F$1),FALSE))),VLOOKUP($C154,武器!$1:$998,COLUMN($O$1),FALSE)*VLOOKUP($D154,素材!$1:$1016,COLUMN($E$1),FALSE)/(LEN(VLOOKUP($D154,素材!$1:$1016,COLUMN($F$1),FALSE))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R154">
        <f>IF(ISNUMBER(SEARCH(SUBSTITUTE(AR$1,RIGHT(AR$1,2),""),VLOOKUP($D154,素材!$1:$1016,COLUMN($F$1),FALSE))),VLOOKUP($C154,武器!$1:$998,COLUMN($O$1),FALSE)*VLOOKUP($D154,素材!$1:$1016,COLUMN($E$1),FALSE)/(LEN(VLOOKUP($D154,素材!$1:$1016,COLUMN($F$1),FALSE))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S154">
        <f>IF(ISNUMBER(SEARCH(SUBSTITUTE(AS$1,RIGHT(AS$1,2),""),VLOOKUP($D154,素材!$1:$1016,COLUMN($F$1),FALSE))),VLOOKUP($C154,武器!$1:$998,COLUMN($O$1),FALSE)*VLOOKUP($D154,素材!$1:$1016,COLUMN($E$1),FALSE)/(LEN(VLOOKUP($D154,素材!$1:$1016,COLUMN($F$1),FALSE))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T154">
        <f>IF(ISNUMBER(SEARCH(SUBSTITUTE(AT$1,RIGHT(AT$1,2),""),VLOOKUP($D154,素材!$1:$1016,COLUMN($F$1),FALSE))),VLOOKUP($C154,武器!$1:$998,COLUMN($O$1),FALSE)*VLOOKUP($D154,素材!$1:$1016,COLUMN($E$1),FALSE)/(LEN(VLOOKUP($D154,素材!$1:$1016,COLUMN($F$1),FALSE))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U154">
        <f>IF(ISNUMBER(SEARCH(SUBSTITUTE(AU$1,RIGHT(AU$1,2),""),VLOOKUP($D154,素材!$1:$1016,COLUMN($F$1),FALSE))),VLOOKUP($C154,武器!$1:$998,COLUMN($O$1),FALSE)*VLOOKUP($D154,素材!$1:$1016,COLUMN($E$1),FALSE)/(LEN(VLOOKUP($D154,素材!$1:$1016,COLUMN($F$1),FALSE))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V154">
        <f>IF(ISNUMBER(SEARCH(SUBSTITUTE(AV$1,RIGHT(AV$1,2),""),VLOOKUP($D154,素材!$1:$1016,COLUMN($F$1),FALSE))),VLOOKUP($C154,武器!$1:$998,COLUMN($O$1),FALSE)*VLOOKUP($D154,素材!$1:$1016,COLUMN($E$1),FALSE)/(LEN(VLOOKUP($D154,素材!$1:$1016,COLUMN($F$1),FALSE))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W154">
        <f>IF(ISNUMBER(SEARCH(SUBSTITUTE(AW$1,RIGHT(AW$1,2),""),VLOOKUP($D154,素材!$1:$1016,COLUMN($F$1),FALSE))),VLOOKUP($C154,武器!$1:$998,COLUMN($O$1),FALSE)*VLOOKUP($D154,素材!$1:$1016,COLUMN($E$1),FALSE)/(LEN(VLOOKUP($D154,素材!$1:$1016,COLUMN($F$1),FALSE))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X154">
        <f>IF(ISNUMBER(SEARCH(SUBSTITUTE(AX$1,RIGHT(AX$1,2),""),VLOOKUP($D154,素材!$1:$1016,COLUMN($F$1),FALSE))),VLOOKUP($C154,武器!$1:$998,COLUMN($O$1),FALSE)*VLOOKUP($D154,素材!$1:$1016,COLUMN($E$1),FALSE)/(LEN(VLOOKUP($D154,素材!$1:$1016,COLUMN($F$1),FALSE))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Y154">
        <f>IF(ISNUMBER(SEARCH(SUBSTITUTE(AY$1,RIGHT(AY$1,2),""),VLOOKUP($D154,素材!$1:$1016,COLUMN($F$1),FALSE))),VLOOKUP($C154,武器!$1:$998,COLUMN($O$1),FALSE)*VLOOKUP($D154,素材!$1:$1016,COLUMN($E$1),FALSE)/(LEN(VLOOKUP($D154,素材!$1:$1016,COLUMN($F$1),FALSE))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AZ154">
        <f>IF(ISNUMBER(SEARCH(SUBSTITUTE(AZ$1,RIGHT(AZ$1,2),""),VLOOKUP($D154,素材!$1:$1016,COLUMN($F$1),FALSE))),VLOOKUP($C154,武器!$1:$998,COLUMN($O$1),FALSE)*VLOOKUP($D154,素材!$1:$1016,COLUMN($E$1),FALSE)/(LEN(VLOOKUP($D154,素材!$1:$1016,COLUMN($F$1),FALSE))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BA154">
        <f>IF(ISNUMBER(SEARCH(SUBSTITUTE(BA$1,RIGHT(BA$1,2),""),VLOOKUP($D154,素材!$1:$1016,COLUMN($F$1),FALSE))),VLOOKUP($C154,武器!$1:$998,COLUMN($O$1),FALSE)*VLOOKUP($D154,素材!$1:$1016,COLUMN($E$1),FALSE)/(LEN(VLOOKUP($D154,素材!$1:$1016,COLUMN($F$1),FALSE))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BB154">
        <f>IF(ISNUMBER(SEARCH(SUBSTITUTE(BB$1,RIGHT(BB$1,2),""),VLOOKUP($D154,素材!$1:$1016,COLUMN($F$1),FALSE))),VLOOKUP($C154,武器!$1:$998,COLUMN($O$1),FALSE)*VLOOKUP($D154,素材!$1:$1016,COLUMN($E$1),FALSE)/(LEN(VLOOKUP($D154,素材!$1:$1016,COLUMN($F$1),FALSE))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BC154">
        <f>IF(ISNUMBER(SEARCH(SUBSTITUTE(BC$1,RIGHT(BC$1,2),""),VLOOKUP($D154,素材!$1:$1016,COLUMN($F$1),FALSE))),VLOOKUP($C154,武器!$1:$998,COLUMN($O$1),FALSE)*VLOOKUP($D154,素材!$1:$1016,COLUMN($E$1),FALSE)/(LEN(VLOOKUP($D154,素材!$1:$1016,COLUMN($F$1),FALSE))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BD154">
        <f>IF(ISNUMBER(SEARCH(SUBSTITUTE(BD$1,RIGHT(BD$1,2),""),VLOOKUP($D154,素材!$1:$1016,COLUMN($F$1),FALSE))),VLOOKUP($C154,武器!$1:$998,COLUMN($O$1),FALSE)*VLOOKUP($D154,素材!$1:$1016,COLUMN($E$1),FALSE)/(LEN(VLOOKUP($D154,素材!$1:$1016,COLUMN($F$1),FALSE))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BE154">
        <f>IF(ISNUMBER(SEARCH(SUBSTITUTE(BE$1,RIGHT(BE$1,2),""),VLOOKUP($D154,素材!$1:$1016,COLUMN($F$1),FALSE))),VLOOKUP($C154,武器!$1:$998,COLUMN($O$1),FALSE)*VLOOKUP($D154,素材!$1:$1016,COLUMN($E$1),FALSE)/(LEN(VLOOKUP($D154,素材!$1:$1016,COLUMN($F$1),FALSE))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BF154">
        <f>IF(ISNUMBER(SEARCH(SUBSTITUTE(BF$1,RIGHT(BF$1,2),""),VLOOKUP($D154,素材!$1:$1016,COLUMN($F$1),FALSE))),VLOOKUP($C154,武器!$1:$998,COLUMN($O$1),FALSE)*VLOOKUP($D154,素材!$1:$1016,COLUMN($E$1),FALSE)/(LEN(VLOOKUP($D154,素材!$1:$1016,COLUMN($F$1),FALSE)) - LEN(SUBSTITUTE(VLOOKUP($D154,素材!$1:$1016,COLUMN($F$1),FALSE), "・", 0)) + 1), 0)</f>
        <v>0</v>
      </c>
      <c r="CM154">
        <f t="shared" si="19"/>
        <v>20</v>
      </c>
      <c r="CN154" s="22" t="str">
        <f>IF(E154="武器",IF(J154-1&gt;SUM(G154:I154),"盾",IF(MAX(G154:I154)=G154,"切断",IF(MAX(G154:I154)=H154,"貫通",IF(MAX(G154:I154)=I154,"打撃","射撃")))),E154)&amp;".webp"</f>
        <v>切断.webp</v>
      </c>
      <c r="CO154">
        <f>IFERROR(VLOOKUP($C154,武器!$1:$998,COLUMN(V$1),FALSE)*VLOOKUP($D154,素材!$1:$1016,COLUMN(N$1),FALSE)+IF(CJ154="",0,VLOOKUP($CJ154,装強!$1:$1008,COLUMN($CL$1),FALSE)),"")</f>
        <v>1500</v>
      </c>
      <c r="CP154">
        <f>VLOOKUP(D154,素材!$A:$O,COLUMN(素材!O$1),FALSE)</f>
        <v>0</v>
      </c>
      <c r="CQ154" t="str">
        <f>VLOOKUP(C154,武器!$A:$W,COLUMN(武器!W$1),FALSE)</f>
        <v>短刀。暗殺向けの武器で、軽量かつ片手操作に適する。Cr威力が高い</v>
      </c>
      <c r="CS154" t="str">
        <f t="shared" si="21"/>
        <v>e_154</v>
      </c>
      <c r="CT154">
        <f t="shared" si="24"/>
        <v>150000</v>
      </c>
    </row>
    <row r="155" spans="1:98" outlineLevel="1" x14ac:dyDescent="0.4">
      <c r="A155" t="str">
        <f t="shared" si="29"/>
        <v>黒鋼鉄の刀</v>
      </c>
      <c r="B155" t="str">
        <f>IFERROR(VLOOKUP($D155,素材!$1:$1016,COLUMN($B$1),FALSE)&amp;"・"&amp;VLOOKUP($C155,武器!$1:$998,COLUMN(B$1),FALSE),"")</f>
        <v>ブラックスティール・カタナ</v>
      </c>
      <c r="C155" s="24" t="s">
        <v>241</v>
      </c>
      <c r="D155" s="24" t="s">
        <v>244</v>
      </c>
      <c r="E155" t="str">
        <f>IFERROR(VLOOKUP(C155,武器!$1:$998,COLUMN(C$1),FALSE),"")</f>
        <v>武器</v>
      </c>
      <c r="F155">
        <f>IFERROR(ROUNDDOWN((VLOOKUP($C155,武器!$1:$998,COLUMN(D$1),FALSE)+IFERROR(VLOOKUP($CJ155,装強!$1:$999,COLUMN(F$1),FALSE),0))*VLOOKUP($D155,素材!$1:$1016,COLUMN(D$1),FALSE),0),"")</f>
        <v>105</v>
      </c>
      <c r="G155">
        <f>IFERROR(ROUNDDOWN((VLOOKUP($C155,武器!$1:$998,COLUMN(E$1),FALSE)+IFERROR(VLOOKUP($CJ155,装強!$1:$999,COLUMN(G$1),FALSE),0))*VLOOKUP($D155,素材!$1:$1016,COLUMN($E$1),FALSE),0),"")</f>
        <v>14</v>
      </c>
      <c r="H155">
        <f>IFERROR(ROUNDDOWN((VLOOKUP($C155,武器!$1:$998,COLUMN(F$1),FALSE)+IFERROR(VLOOKUP($CJ155,装強!$1:$999,COLUMN(H$1),FALSE),0))*VLOOKUP($D155,素材!$1:$1016,COLUMN($E$1),FALSE),0),"")</f>
        <v>8</v>
      </c>
      <c r="I155">
        <f>IFERROR(ROUNDDOWN((VLOOKUP($C155,武器!$1:$998,COLUMN(G$1),FALSE)+IFERROR(VLOOKUP($CJ155,装強!$1:$999,COLUMN(I$1),FALSE),0))*VLOOKUP($D155,素材!$1:$1016,COLUMN($E$1),FALSE),0),"")</f>
        <v>2</v>
      </c>
      <c r="J155">
        <f>IFERROR(ROUNDDOWN((VLOOKUP($C155,武器!$1:$998,COLUMN(H$1),FALSE)+IFERROR(VLOOKUP($CJ155,装強!$1:$999,COLUMN(J$1),FALSE),0))*VLOOKUP($D155,素材!$1:$1016,COLUMN($E$1),FALSE),0),"")</f>
        <v>17</v>
      </c>
      <c r="K155">
        <f>IFERROR(ROUNDDOWN((VLOOKUP($C155,武器!$1:$998,COLUMN(I$1),FALSE)+IFERROR(VLOOKUP($CJ155,装強!$1:$999,COLUMN(K$1),FALSE),0))*VLOOKUP($D155,素材!$1:$1016,COLUMN($E$1),FALSE),0),"")</f>
        <v>0</v>
      </c>
      <c r="L155" t="str">
        <f>IFERROR(VLOOKUP($D155,素材!$1:$1016,COLUMN($F$1),FALSE),"")</f>
        <v>雷</v>
      </c>
      <c r="M155">
        <f>IFERROR(VLOOKUP($C155,武器!$1:$998,COLUMN(AA$1),FALSE)*VLOOKUP($D155,素材!$1:$1016,COLUMN($G$1),FALSE),"")</f>
        <v>42</v>
      </c>
      <c r="N155">
        <f>IFERROR(VLOOKUP($C155,武器!$1:$998,COLUMN(I$1),FALSE),"")</f>
        <v>0</v>
      </c>
      <c r="O155" s="23">
        <f>IFERROR((VLOOKUP($C155,武器!$1:$998,COLUMN(K$1),FALSE)+VLOOKUP($D155,素材!$1:$1016,COLUMN(H$1),FALSE))*100+IFERROR(VLOOKUP($CJ155,装強!$1:$999,COLUMN(O$1),FALSE),0),"")</f>
        <v>10</v>
      </c>
      <c r="P155" s="23">
        <f>IFERROR((VLOOKUP($C155,武器!$1:$998,COLUMN(L$1),FALSE)+VLOOKUP($D155,素材!$1:$1016,COLUMN(I$1),FALSE))*100+IFERROR(VLOOKUP($CJ155,装強!$1:$999,COLUMN(P$1),FALSE),0),"")</f>
        <v>175</v>
      </c>
      <c r="Q155">
        <f>IFERROR(ROUNDUP(VLOOKUP($C155,武器!$1:$998,COLUMN(M$1),FALSE)*(VLOOKUP($D155,素材!$1:$1002,COLUMN(D$1),FALSE)/100),1),"")</f>
        <v>0</v>
      </c>
      <c r="R155">
        <f>IFERROR(ROUNDUP(VLOOKUP($C155,武器!$1:$998,COLUMN(N$1),FALSE)*(VLOOKUP($D155,素材!$1:$1002,COLUMN(D$1),FALSE)/100),1),"")</f>
        <v>0</v>
      </c>
      <c r="S155">
        <f>IFERROR(VLOOKUP($C155,武器!$1:$998,COLUMN(P$1),FALSE),"")</f>
        <v>0</v>
      </c>
      <c r="T155">
        <f>IFERROR(VLOOKUP($C155,武器!$1:$998,COLUMN(Q$1),FALSE),"")</f>
        <v>0</v>
      </c>
      <c r="U155">
        <f>IFERROR(VLOOKUP($C155,武器!$1:$998,COLUMN(R$1),FALSE),"")</f>
        <v>0</v>
      </c>
      <c r="V155">
        <f>IFERROR(VLOOKUP($C155,武器!$1:$998,COLUMN(Q$1),FALSE),"")</f>
        <v>0</v>
      </c>
      <c r="W155" t="str">
        <f>IFERROR(VLOOKUP($C155,武器!$1:$998,COLUMN(T$1),FALSE),"")</f>
        <v>A</v>
      </c>
      <c r="Y155">
        <f>IFERROR(VLOOKUP($C155,武器!$1:$998,COLUMN(U$1),FALSE),"")</f>
        <v>0</v>
      </c>
      <c r="Z155">
        <f>IFERROR(ROUNDUP(VLOOKUP($C155,武器!$1:$998,COLUMN(O$1),FALSE)*VLOOKUP($D155,素材!$1:$1016,COLUMN(E$1),FALSE),1),"")</f>
        <v>0</v>
      </c>
      <c r="AA155">
        <f>IF(ISNUMBER(SEARCH(SUBSTITUTE(AA$1,RIGHT(AA$1,2),""),VLOOKUP($D155,素材!$1:$1016,COLUMN($F$1),FALSE))),VLOOKUP($C155,武器!$1:$998,COLUMN($O$1),FALSE)*VLOOKUP($D155,素材!$1:$1016,COLUMN($E$1),FALSE)/(LEN(VLOOKUP($D155,素材!$1:$1016,COLUMN($F$1),FALSE))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B155">
        <f>IF(ISNUMBER(SEARCH(SUBSTITUTE(AB$1,RIGHT(AB$1,2),""),VLOOKUP($D155,素材!$1:$1016,COLUMN($F$1),FALSE))),VLOOKUP($C155,武器!$1:$998,COLUMN($O$1),FALSE)*VLOOKUP($D155,素材!$1:$1016,COLUMN($E$1),FALSE)/(LEN(VLOOKUP($D155,素材!$1:$1016,COLUMN($F$1),FALSE))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C155">
        <f>IF(ISNUMBER(SEARCH(SUBSTITUTE(AC$1,RIGHT(AC$1,2),""),VLOOKUP($D155,素材!$1:$1016,COLUMN($F$1),FALSE))),VLOOKUP($C155,武器!$1:$998,COLUMN($O$1),FALSE)*VLOOKUP($D155,素材!$1:$1016,COLUMN($E$1),FALSE)/(LEN(VLOOKUP($D155,素材!$1:$1016,COLUMN($F$1),FALSE))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D155">
        <f>IF(ISNUMBER(SEARCH(SUBSTITUTE(AD$1,RIGHT(AD$1,2),""),VLOOKUP($D155,素材!$1:$1016,COLUMN($F$1),FALSE))),VLOOKUP($C155,武器!$1:$998,COLUMN($O$1),FALSE)*VLOOKUP($D155,素材!$1:$1016,COLUMN($E$1),FALSE)/(LEN(VLOOKUP($D155,素材!$1:$1016,COLUMN($F$1),FALSE))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E155">
        <f>IF(ISNUMBER(SEARCH(SUBSTITUTE(AE$1,RIGHT(AE$1,2),""),VLOOKUP($D155,素材!$1:$1016,COLUMN($F$1),FALSE))),VLOOKUP($C155,武器!$1:$998,COLUMN($O$1),FALSE)*VLOOKUP($D155,素材!$1:$1016,COLUMN($E$1),FALSE)/(LEN(VLOOKUP($D155,素材!$1:$1016,COLUMN($F$1),FALSE))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F155">
        <f>IF(ISNUMBER(SEARCH(SUBSTITUTE(AF$1,RIGHT(AF$1,2),""),VLOOKUP($D155,素材!$1:$1016,COLUMN($F$1),FALSE))),VLOOKUP($C155,武器!$1:$998,COLUMN($O$1),FALSE)*VLOOKUP($D155,素材!$1:$1016,COLUMN($E$1),FALSE)/(LEN(VLOOKUP($D155,素材!$1:$1016,COLUMN($F$1),FALSE))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G155">
        <f>IF(ISNUMBER(SEARCH(SUBSTITUTE(AG$1,RIGHT(AG$1,2),""),VLOOKUP($D155,素材!$1:$1016,COLUMN($F$1),FALSE))),VLOOKUP($C155,武器!$1:$998,COLUMN($O$1),FALSE)*VLOOKUP($D155,素材!$1:$1016,COLUMN($E$1),FALSE)/(LEN(VLOOKUP($D155,素材!$1:$1016,COLUMN($F$1),FALSE))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H155">
        <f>IF(ISNUMBER(SEARCH(SUBSTITUTE(AH$1,RIGHT(AH$1,2),""),VLOOKUP($D155,素材!$1:$1016,COLUMN($F$1),FALSE))),VLOOKUP($C155,武器!$1:$998,COLUMN($O$1),FALSE)*VLOOKUP($D155,素材!$1:$1016,COLUMN($E$1),FALSE)/(LEN(VLOOKUP($D155,素材!$1:$1016,COLUMN($F$1),FALSE))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I155">
        <f>IF(ISNUMBER(SEARCH(SUBSTITUTE(AI$1,RIGHT(AI$1,2),""),VLOOKUP($D155,素材!$1:$1016,COLUMN($F$1),FALSE))),VLOOKUP($C155,武器!$1:$998,COLUMN($O$1),FALSE)*VLOOKUP($D155,素材!$1:$1016,COLUMN($E$1),FALSE)/(LEN(VLOOKUP($D155,素材!$1:$1016,COLUMN($F$1),FALSE))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J155">
        <f>IF(ISNUMBER(SEARCH(SUBSTITUTE(AJ$1,RIGHT(AJ$1,2),""),VLOOKUP($D155,素材!$1:$1016,COLUMN($F$1),FALSE))),VLOOKUP($C155,武器!$1:$998,COLUMN($O$1),FALSE)*VLOOKUP($D155,素材!$1:$1016,COLUMN($E$1),FALSE)/(LEN(VLOOKUP($D155,素材!$1:$1016,COLUMN($F$1),FALSE))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K155">
        <f>IF(ISNUMBER(SEARCH(SUBSTITUTE(AK$1,RIGHT(AK$1,2),""),VLOOKUP($D155,素材!$1:$1016,COLUMN($F$1),FALSE))),VLOOKUP($C155,武器!$1:$998,COLUMN($O$1),FALSE)*VLOOKUP($D155,素材!$1:$1016,COLUMN($E$1),FALSE)/(LEN(VLOOKUP($D155,素材!$1:$1016,COLUMN($F$1),FALSE))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L155">
        <f>IF(ISNUMBER(SEARCH(SUBSTITUTE(AL$1,RIGHT(AL$1,2),""),VLOOKUP($D155,素材!$1:$1016,COLUMN($F$1),FALSE))),VLOOKUP($C155,武器!$1:$998,COLUMN($O$1),FALSE)*VLOOKUP($D155,素材!$1:$1016,COLUMN($E$1),FALSE)/(LEN(VLOOKUP($D155,素材!$1:$1016,COLUMN($F$1),FALSE))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M155">
        <f>IF(ISNUMBER(SEARCH(SUBSTITUTE(AM$1,RIGHT(AM$1,2),""),VLOOKUP($D155,素材!$1:$1016,COLUMN($F$1),FALSE))),VLOOKUP($C155,武器!$1:$998,COLUMN($O$1),FALSE)*VLOOKUP($D155,素材!$1:$1016,COLUMN($E$1),FALSE)/(LEN(VLOOKUP($D155,素材!$1:$1016,COLUMN($F$1),FALSE))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N155">
        <f>IF(ISNUMBER(SEARCH(SUBSTITUTE(AN$1,RIGHT(AN$1,2),""),VLOOKUP($D155,素材!$1:$1016,COLUMN($F$1),FALSE))),VLOOKUP($C155,武器!$1:$998,COLUMN($O$1),FALSE)*VLOOKUP($D155,素材!$1:$1016,COLUMN($E$1),FALSE)/(LEN(VLOOKUP($D155,素材!$1:$1016,COLUMN($F$1),FALSE))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O155">
        <f>IF(ISNUMBER(SEARCH(SUBSTITUTE(AO$1,RIGHT(AO$1,2),""),VLOOKUP($D155,素材!$1:$1016,COLUMN($F$1),FALSE))),VLOOKUP($C155,武器!$1:$998,COLUMN($O$1),FALSE)*VLOOKUP($D155,素材!$1:$1016,COLUMN($E$1),FALSE)/(LEN(VLOOKUP($D155,素材!$1:$1016,COLUMN($F$1),FALSE))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P155">
        <f>IF(ISNUMBER(SEARCH(SUBSTITUTE(AP$1,RIGHT(AP$1,2),""),VLOOKUP($D155,素材!$1:$1016,COLUMN($F$1),FALSE))),VLOOKUP($C155,武器!$1:$998,COLUMN($O$1),FALSE)*VLOOKUP($D155,素材!$1:$1016,COLUMN($E$1),FALSE)/(LEN(VLOOKUP($D155,素材!$1:$1016,COLUMN($F$1),FALSE))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Q155">
        <f>IF(ISNUMBER(SEARCH(SUBSTITUTE(AQ$1,RIGHT(AQ$1,2),""),VLOOKUP($D155,素材!$1:$1016,COLUMN($F$1),FALSE))),VLOOKUP($C155,武器!$1:$998,COLUMN($O$1),FALSE)*VLOOKUP($D155,素材!$1:$1016,COLUMN($E$1),FALSE)/(LEN(VLOOKUP($D155,素材!$1:$1016,COLUMN($F$1),FALSE))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R155">
        <f>IF(ISNUMBER(SEARCH(SUBSTITUTE(AR$1,RIGHT(AR$1,2),""),VLOOKUP($D155,素材!$1:$1016,COLUMN($F$1),FALSE))),VLOOKUP($C155,武器!$1:$998,COLUMN($O$1),FALSE)*VLOOKUP($D155,素材!$1:$1016,COLUMN($E$1),FALSE)/(LEN(VLOOKUP($D155,素材!$1:$1016,COLUMN($F$1),FALSE))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S155">
        <f>IF(ISNUMBER(SEARCH(SUBSTITUTE(AS$1,RIGHT(AS$1,2),""),VLOOKUP($D155,素材!$1:$1016,COLUMN($F$1),FALSE))),VLOOKUP($C155,武器!$1:$998,COLUMN($O$1),FALSE)*VLOOKUP($D155,素材!$1:$1016,COLUMN($E$1),FALSE)/(LEN(VLOOKUP($D155,素材!$1:$1016,COLUMN($F$1),FALSE))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T155">
        <f>IF(ISNUMBER(SEARCH(SUBSTITUTE(AT$1,RIGHT(AT$1,2),""),VLOOKUP($D155,素材!$1:$1016,COLUMN($F$1),FALSE))),VLOOKUP($C155,武器!$1:$998,COLUMN($O$1),FALSE)*VLOOKUP($D155,素材!$1:$1016,COLUMN($E$1),FALSE)/(LEN(VLOOKUP($D155,素材!$1:$1016,COLUMN($F$1),FALSE))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U155">
        <f>IF(ISNUMBER(SEARCH(SUBSTITUTE(AU$1,RIGHT(AU$1,2),""),VLOOKUP($D155,素材!$1:$1016,COLUMN($F$1),FALSE))),VLOOKUP($C155,武器!$1:$998,COLUMN($O$1),FALSE)*VLOOKUP($D155,素材!$1:$1016,COLUMN($E$1),FALSE)/(LEN(VLOOKUP($D155,素材!$1:$1016,COLUMN($F$1),FALSE))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V155">
        <f>IF(ISNUMBER(SEARCH(SUBSTITUTE(AV$1,RIGHT(AV$1,2),""),VLOOKUP($D155,素材!$1:$1016,COLUMN($F$1),FALSE))),VLOOKUP($C155,武器!$1:$998,COLUMN($O$1),FALSE)*VLOOKUP($D155,素材!$1:$1016,COLUMN($E$1),FALSE)/(LEN(VLOOKUP($D155,素材!$1:$1016,COLUMN($F$1),FALSE))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W155">
        <f>IF(ISNUMBER(SEARCH(SUBSTITUTE(AW$1,RIGHT(AW$1,2),""),VLOOKUP($D155,素材!$1:$1016,COLUMN($F$1),FALSE))),VLOOKUP($C155,武器!$1:$998,COLUMN($O$1),FALSE)*VLOOKUP($D155,素材!$1:$1016,COLUMN($E$1),FALSE)/(LEN(VLOOKUP($D155,素材!$1:$1016,COLUMN($F$1),FALSE))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X155">
        <f>IF(ISNUMBER(SEARCH(SUBSTITUTE(AX$1,RIGHT(AX$1,2),""),VLOOKUP($D155,素材!$1:$1016,COLUMN($F$1),FALSE))),VLOOKUP($C155,武器!$1:$998,COLUMN($O$1),FALSE)*VLOOKUP($D155,素材!$1:$1016,COLUMN($E$1),FALSE)/(LEN(VLOOKUP($D155,素材!$1:$1016,COLUMN($F$1),FALSE))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Y155">
        <f>IF(ISNUMBER(SEARCH(SUBSTITUTE(AY$1,RIGHT(AY$1,2),""),VLOOKUP($D155,素材!$1:$1016,COLUMN($F$1),FALSE))),VLOOKUP($C155,武器!$1:$998,COLUMN($O$1),FALSE)*VLOOKUP($D155,素材!$1:$1016,COLUMN($E$1),FALSE)/(LEN(VLOOKUP($D155,素材!$1:$1016,COLUMN($F$1),FALSE))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AZ155">
        <f>IF(ISNUMBER(SEARCH(SUBSTITUTE(AZ$1,RIGHT(AZ$1,2),""),VLOOKUP($D155,素材!$1:$1016,COLUMN($F$1),FALSE))),VLOOKUP($C155,武器!$1:$998,COLUMN($O$1),FALSE)*VLOOKUP($D155,素材!$1:$1016,COLUMN($E$1),FALSE)/(LEN(VLOOKUP($D155,素材!$1:$1016,COLUMN($F$1),FALSE))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BA155">
        <f>IF(ISNUMBER(SEARCH(SUBSTITUTE(BA$1,RIGHT(BA$1,2),""),VLOOKUP($D155,素材!$1:$1016,COLUMN($F$1),FALSE))),VLOOKUP($C155,武器!$1:$998,COLUMN($O$1),FALSE)*VLOOKUP($D155,素材!$1:$1016,COLUMN($E$1),FALSE)/(LEN(VLOOKUP($D155,素材!$1:$1016,COLUMN($F$1),FALSE))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BB155">
        <f>IF(ISNUMBER(SEARCH(SUBSTITUTE(BB$1,RIGHT(BB$1,2),""),VLOOKUP($D155,素材!$1:$1016,COLUMN($F$1),FALSE))),VLOOKUP($C155,武器!$1:$998,COLUMN($O$1),FALSE)*VLOOKUP($D155,素材!$1:$1016,COLUMN($E$1),FALSE)/(LEN(VLOOKUP($D155,素材!$1:$1016,COLUMN($F$1),FALSE))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BC155">
        <f>IF(ISNUMBER(SEARCH(SUBSTITUTE(BC$1,RIGHT(BC$1,2),""),VLOOKUP($D155,素材!$1:$1016,COLUMN($F$1),FALSE))),VLOOKUP($C155,武器!$1:$998,COLUMN($O$1),FALSE)*VLOOKUP($D155,素材!$1:$1016,COLUMN($E$1),FALSE)/(LEN(VLOOKUP($D155,素材!$1:$1016,COLUMN($F$1),FALSE))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BD155">
        <f>IF(ISNUMBER(SEARCH(SUBSTITUTE(BD$1,RIGHT(BD$1,2),""),VLOOKUP($D155,素材!$1:$1016,COLUMN($F$1),FALSE))),VLOOKUP($C155,武器!$1:$998,COLUMN($O$1),FALSE)*VLOOKUP($D155,素材!$1:$1016,COLUMN($E$1),FALSE)/(LEN(VLOOKUP($D155,素材!$1:$1016,COLUMN($F$1),FALSE))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BE155">
        <f>IF(ISNUMBER(SEARCH(SUBSTITUTE(BE$1,RIGHT(BE$1,2),""),VLOOKUP($D155,素材!$1:$1016,COLUMN($F$1),FALSE))),VLOOKUP($C155,武器!$1:$998,COLUMN($O$1),FALSE)*VLOOKUP($D155,素材!$1:$1016,COLUMN($E$1),FALSE)/(LEN(VLOOKUP($D155,素材!$1:$1016,COLUMN($F$1),FALSE))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BF155">
        <f>IF(ISNUMBER(SEARCH(SUBSTITUTE(BF$1,RIGHT(BF$1,2),""),VLOOKUP($D155,素材!$1:$1016,COLUMN($F$1),FALSE))),VLOOKUP($C155,武器!$1:$998,COLUMN($O$1),FALSE)*VLOOKUP($D155,素材!$1:$1016,COLUMN($E$1),FALSE)/(LEN(VLOOKUP($D155,素材!$1:$1016,COLUMN($F$1),FALSE)) - LEN(SUBSTITUTE(VLOOKUP($D155,素材!$1:$1016,COLUMN($F$1),FALSE), "・", 0)) + 1), 0)</f>
        <v>0</v>
      </c>
      <c r="CM155">
        <f t="shared" si="19"/>
        <v>24</v>
      </c>
      <c r="CN155" s="22" t="str">
        <f>IF(E155="武器",IF(J155-1&gt;SUM(G155:I155),"盾",IF(MAX(G155:I155)=G155,"切断",IF(MAX(G155:I155)=H155,"貫通",IF(MAX(G155:I155)=I155,"打撃","射撃")))),E155)&amp;".webp"</f>
        <v>切断.webp</v>
      </c>
      <c r="CO155">
        <f>IFERROR(VLOOKUP($C155,武器!$1:$998,COLUMN(V$1),FALSE)*VLOOKUP($D155,素材!$1:$1016,COLUMN(N$1),FALSE)+IF(CJ155="",0,VLOOKUP($CJ155,装強!$1:$1008,COLUMN($CL$1),FALSE)),"")</f>
        <v>3000</v>
      </c>
      <c r="CP155">
        <f>VLOOKUP(D155,素材!$A:$O,COLUMN(素材!O$1),FALSE)</f>
        <v>0</v>
      </c>
      <c r="CQ155" t="str">
        <f>VLOOKUP(C155,武器!$A:$W,COLUMN(武器!W$1),FALSE)</f>
        <v>刀。切断力に優れた武器で、Cr威力が高い</v>
      </c>
      <c r="CS155" t="str">
        <f t="shared" si="21"/>
        <v>e_155</v>
      </c>
      <c r="CT155">
        <f t="shared" si="24"/>
        <v>300000</v>
      </c>
    </row>
    <row r="156" spans="1:98" outlineLevel="1" x14ac:dyDescent="0.4">
      <c r="A156" t="str">
        <f t="shared" si="29"/>
        <v>黒鋼鉄の剣</v>
      </c>
      <c r="B156" t="str">
        <f>IFERROR(VLOOKUP($D156,素材!$1:$1016,COLUMN($B$1),FALSE)&amp;"・"&amp;VLOOKUP($C156,武器!$1:$998,COLUMN(B$1),FALSE),"")</f>
        <v>ブラックスティール・ソード</v>
      </c>
      <c r="C156" s="24" t="s">
        <v>240</v>
      </c>
      <c r="D156" s="24" t="s">
        <v>244</v>
      </c>
      <c r="E156" t="str">
        <f>IFERROR(VLOOKUP(C156,武器!$1:$998,COLUMN(C$1),FALSE),"")</f>
        <v>武器</v>
      </c>
      <c r="F156">
        <f>IFERROR(ROUNDDOWN((VLOOKUP($C156,武器!$1:$998,COLUMN(D$1),FALSE)+IFERROR(VLOOKUP($CJ156,装強!$1:$999,COLUMN(F$1),FALSE),0))*VLOOKUP($D156,素材!$1:$1016,COLUMN(D$1),FALSE),0),"")</f>
        <v>100</v>
      </c>
      <c r="G156">
        <f>IFERROR(ROUNDDOWN((VLOOKUP($C156,武器!$1:$998,COLUMN(E$1),FALSE)+IFERROR(VLOOKUP($CJ156,装強!$1:$999,COLUMN(G$1),FALSE),0))*VLOOKUP($D156,素材!$1:$1016,COLUMN($E$1),FALSE),0),"")</f>
        <v>12</v>
      </c>
      <c r="H156">
        <f>IFERROR(ROUNDDOWN((VLOOKUP($C156,武器!$1:$998,COLUMN(F$1),FALSE)+IFERROR(VLOOKUP($CJ156,装強!$1:$999,COLUMN(H$1),FALSE),0))*VLOOKUP($D156,素材!$1:$1016,COLUMN($E$1),FALSE),0),"")</f>
        <v>9</v>
      </c>
      <c r="I156">
        <f>IFERROR(ROUNDDOWN((VLOOKUP($C156,武器!$1:$998,COLUMN(G$1),FALSE)+IFERROR(VLOOKUP($CJ156,装強!$1:$999,COLUMN(I$1),FALSE),0))*VLOOKUP($D156,素材!$1:$1016,COLUMN($E$1),FALSE),0),"")</f>
        <v>3</v>
      </c>
      <c r="J156">
        <f>IFERROR(ROUNDDOWN((VLOOKUP($C156,武器!$1:$998,COLUMN(H$1),FALSE)+IFERROR(VLOOKUP($CJ156,装強!$1:$999,COLUMN(J$1),FALSE),0))*VLOOKUP($D156,素材!$1:$1016,COLUMN($E$1),FALSE),0),"")</f>
        <v>19</v>
      </c>
      <c r="K156">
        <f>IFERROR(ROUNDDOWN((VLOOKUP($C156,武器!$1:$998,COLUMN(I$1),FALSE)+IFERROR(VLOOKUP($CJ156,装強!$1:$999,COLUMN(K$1),FALSE),0))*VLOOKUP($D156,素材!$1:$1016,COLUMN($E$1),FALSE),0),"")</f>
        <v>0</v>
      </c>
      <c r="L156" t="str">
        <f>IFERROR(VLOOKUP($D156,素材!$1:$1016,COLUMN($F$1),FALSE),"")</f>
        <v>雷</v>
      </c>
      <c r="M156">
        <f>IFERROR(VLOOKUP($C156,武器!$1:$998,COLUMN(AA$1),FALSE)*VLOOKUP($D156,素材!$1:$1016,COLUMN($G$1),FALSE),"")</f>
        <v>40.25</v>
      </c>
      <c r="N156">
        <f>IFERROR(VLOOKUP($C156,武器!$1:$998,COLUMN(I$1),FALSE),"")</f>
        <v>0</v>
      </c>
      <c r="O156" s="23">
        <f>IFERROR((VLOOKUP($C156,武器!$1:$998,COLUMN(K$1),FALSE)+VLOOKUP($D156,素材!$1:$1016,COLUMN(H$1),FALSE))*100+IFERROR(VLOOKUP($CJ156,装強!$1:$999,COLUMN(O$1),FALSE),0),"")</f>
        <v>10</v>
      </c>
      <c r="P156" s="23">
        <f>IFERROR((VLOOKUP($C156,武器!$1:$998,COLUMN(L$1),FALSE)+VLOOKUP($D156,素材!$1:$1016,COLUMN(I$1),FALSE))*100+IFERROR(VLOOKUP($CJ156,装強!$1:$999,COLUMN(P$1),FALSE),0),"")</f>
        <v>150</v>
      </c>
      <c r="Q156">
        <f>IFERROR(ROUNDUP(VLOOKUP($C156,武器!$1:$998,COLUMN(M$1),FALSE)*(VLOOKUP($D156,素材!$1:$1002,COLUMN(D$1),FALSE)/100),1),"")</f>
        <v>0</v>
      </c>
      <c r="R156">
        <f>IFERROR(ROUNDUP(VLOOKUP($C156,武器!$1:$998,COLUMN(N$1),FALSE)*(VLOOKUP($D156,素材!$1:$1002,COLUMN(D$1),FALSE)/100),1),"")</f>
        <v>0</v>
      </c>
      <c r="S156">
        <f>IFERROR(VLOOKUP($C156,武器!$1:$998,COLUMN(P$1),FALSE),"")</f>
        <v>0</v>
      </c>
      <c r="T156">
        <f>IFERROR(VLOOKUP($C156,武器!$1:$998,COLUMN(Q$1),FALSE),"")</f>
        <v>0</v>
      </c>
      <c r="U156">
        <f>IFERROR(VLOOKUP($C156,武器!$1:$998,COLUMN(R$1),FALSE),"")</f>
        <v>0</v>
      </c>
      <c r="V156">
        <f>IFERROR(VLOOKUP($C156,武器!$1:$998,COLUMN(Q$1),FALSE),"")</f>
        <v>0</v>
      </c>
      <c r="W156" t="str">
        <f>IFERROR(VLOOKUP($C156,武器!$1:$998,COLUMN(T$1),FALSE),"")</f>
        <v>A</v>
      </c>
      <c r="Y156" t="str">
        <f>IFERROR(VLOOKUP($C156,武器!$1:$998,COLUMN(U$1),FALSE),"")</f>
        <v>片手適正Ⅰ</v>
      </c>
      <c r="Z156">
        <f>IFERROR(ROUNDUP(VLOOKUP($C156,武器!$1:$998,COLUMN(O$1),FALSE)*VLOOKUP($D156,素材!$1:$1016,COLUMN(E$1),FALSE),1),"")</f>
        <v>0</v>
      </c>
      <c r="AA156">
        <f>IF(ISNUMBER(SEARCH(SUBSTITUTE(AA$1,RIGHT(AA$1,2),""),VLOOKUP($D156,素材!$1:$1016,COLUMN($F$1),FALSE))),VLOOKUP($C156,武器!$1:$998,COLUMN($O$1),FALSE)*VLOOKUP($D156,素材!$1:$1016,COLUMN($E$1),FALSE)/(LEN(VLOOKUP($D156,素材!$1:$1016,COLUMN($F$1),FALSE))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B156">
        <f>IF(ISNUMBER(SEARCH(SUBSTITUTE(AB$1,RIGHT(AB$1,2),""),VLOOKUP($D156,素材!$1:$1016,COLUMN($F$1),FALSE))),VLOOKUP($C156,武器!$1:$998,COLUMN($O$1),FALSE)*VLOOKUP($D156,素材!$1:$1016,COLUMN($E$1),FALSE)/(LEN(VLOOKUP($D156,素材!$1:$1016,COLUMN($F$1),FALSE))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C156">
        <f>IF(ISNUMBER(SEARCH(SUBSTITUTE(AC$1,RIGHT(AC$1,2),""),VLOOKUP($D156,素材!$1:$1016,COLUMN($F$1),FALSE))),VLOOKUP($C156,武器!$1:$998,COLUMN($O$1),FALSE)*VLOOKUP($D156,素材!$1:$1016,COLUMN($E$1),FALSE)/(LEN(VLOOKUP($D156,素材!$1:$1016,COLUMN($F$1),FALSE))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D156">
        <f>IF(ISNUMBER(SEARCH(SUBSTITUTE(AD$1,RIGHT(AD$1,2),""),VLOOKUP($D156,素材!$1:$1016,COLUMN($F$1),FALSE))),VLOOKUP($C156,武器!$1:$998,COLUMN($O$1),FALSE)*VLOOKUP($D156,素材!$1:$1016,COLUMN($E$1),FALSE)/(LEN(VLOOKUP($D156,素材!$1:$1016,COLUMN($F$1),FALSE))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E156">
        <f>IF(ISNUMBER(SEARCH(SUBSTITUTE(AE$1,RIGHT(AE$1,2),""),VLOOKUP($D156,素材!$1:$1016,COLUMN($F$1),FALSE))),VLOOKUP($C156,武器!$1:$998,COLUMN($O$1),FALSE)*VLOOKUP($D156,素材!$1:$1016,COLUMN($E$1),FALSE)/(LEN(VLOOKUP($D156,素材!$1:$1016,COLUMN($F$1),FALSE))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F156">
        <f>IF(ISNUMBER(SEARCH(SUBSTITUTE(AF$1,RIGHT(AF$1,2),""),VLOOKUP($D156,素材!$1:$1016,COLUMN($F$1),FALSE))),VLOOKUP($C156,武器!$1:$998,COLUMN($O$1),FALSE)*VLOOKUP($D156,素材!$1:$1016,COLUMN($E$1),FALSE)/(LEN(VLOOKUP($D156,素材!$1:$1016,COLUMN($F$1),FALSE))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G156">
        <f>IF(ISNUMBER(SEARCH(SUBSTITUTE(AG$1,RIGHT(AG$1,2),""),VLOOKUP($D156,素材!$1:$1016,COLUMN($F$1),FALSE))),VLOOKUP($C156,武器!$1:$998,COLUMN($O$1),FALSE)*VLOOKUP($D156,素材!$1:$1016,COLUMN($E$1),FALSE)/(LEN(VLOOKUP($D156,素材!$1:$1016,COLUMN($F$1),FALSE))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H156">
        <f>IF(ISNUMBER(SEARCH(SUBSTITUTE(AH$1,RIGHT(AH$1,2),""),VLOOKUP($D156,素材!$1:$1016,COLUMN($F$1),FALSE))),VLOOKUP($C156,武器!$1:$998,COLUMN($O$1),FALSE)*VLOOKUP($D156,素材!$1:$1016,COLUMN($E$1),FALSE)/(LEN(VLOOKUP($D156,素材!$1:$1016,COLUMN($F$1),FALSE))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I156">
        <f>IF(ISNUMBER(SEARCH(SUBSTITUTE(AI$1,RIGHT(AI$1,2),""),VLOOKUP($D156,素材!$1:$1016,COLUMN($F$1),FALSE))),VLOOKUP($C156,武器!$1:$998,COLUMN($O$1),FALSE)*VLOOKUP($D156,素材!$1:$1016,COLUMN($E$1),FALSE)/(LEN(VLOOKUP($D156,素材!$1:$1016,COLUMN($F$1),FALSE))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J156">
        <f>IF(ISNUMBER(SEARCH(SUBSTITUTE(AJ$1,RIGHT(AJ$1,2),""),VLOOKUP($D156,素材!$1:$1016,COLUMN($F$1),FALSE))),VLOOKUP($C156,武器!$1:$998,COLUMN($O$1),FALSE)*VLOOKUP($D156,素材!$1:$1016,COLUMN($E$1),FALSE)/(LEN(VLOOKUP($D156,素材!$1:$1016,COLUMN($F$1),FALSE))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K156">
        <f>IF(ISNUMBER(SEARCH(SUBSTITUTE(AK$1,RIGHT(AK$1,2),""),VLOOKUP($D156,素材!$1:$1016,COLUMN($F$1),FALSE))),VLOOKUP($C156,武器!$1:$998,COLUMN($O$1),FALSE)*VLOOKUP($D156,素材!$1:$1016,COLUMN($E$1),FALSE)/(LEN(VLOOKUP($D156,素材!$1:$1016,COLUMN($F$1),FALSE))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L156">
        <f>IF(ISNUMBER(SEARCH(SUBSTITUTE(AL$1,RIGHT(AL$1,2),""),VLOOKUP($D156,素材!$1:$1016,COLUMN($F$1),FALSE))),VLOOKUP($C156,武器!$1:$998,COLUMN($O$1),FALSE)*VLOOKUP($D156,素材!$1:$1016,COLUMN($E$1),FALSE)/(LEN(VLOOKUP($D156,素材!$1:$1016,COLUMN($F$1),FALSE))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M156">
        <f>IF(ISNUMBER(SEARCH(SUBSTITUTE(AM$1,RIGHT(AM$1,2),""),VLOOKUP($D156,素材!$1:$1016,COLUMN($F$1),FALSE))),VLOOKUP($C156,武器!$1:$998,COLUMN($O$1),FALSE)*VLOOKUP($D156,素材!$1:$1016,COLUMN($E$1),FALSE)/(LEN(VLOOKUP($D156,素材!$1:$1016,COLUMN($F$1),FALSE))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N156">
        <f>IF(ISNUMBER(SEARCH(SUBSTITUTE(AN$1,RIGHT(AN$1,2),""),VLOOKUP($D156,素材!$1:$1016,COLUMN($F$1),FALSE))),VLOOKUP($C156,武器!$1:$998,COLUMN($O$1),FALSE)*VLOOKUP($D156,素材!$1:$1016,COLUMN($E$1),FALSE)/(LEN(VLOOKUP($D156,素材!$1:$1016,COLUMN($F$1),FALSE))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O156">
        <f>IF(ISNUMBER(SEARCH(SUBSTITUTE(AO$1,RIGHT(AO$1,2),""),VLOOKUP($D156,素材!$1:$1016,COLUMN($F$1),FALSE))),VLOOKUP($C156,武器!$1:$998,COLUMN($O$1),FALSE)*VLOOKUP($D156,素材!$1:$1016,COLUMN($E$1),FALSE)/(LEN(VLOOKUP($D156,素材!$1:$1016,COLUMN($F$1),FALSE))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P156">
        <f>IF(ISNUMBER(SEARCH(SUBSTITUTE(AP$1,RIGHT(AP$1,2),""),VLOOKUP($D156,素材!$1:$1016,COLUMN($F$1),FALSE))),VLOOKUP($C156,武器!$1:$998,COLUMN($O$1),FALSE)*VLOOKUP($D156,素材!$1:$1016,COLUMN($E$1),FALSE)/(LEN(VLOOKUP($D156,素材!$1:$1016,COLUMN($F$1),FALSE))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Q156">
        <f>IF(ISNUMBER(SEARCH(SUBSTITUTE(AQ$1,RIGHT(AQ$1,2),""),VLOOKUP($D156,素材!$1:$1016,COLUMN($F$1),FALSE))),VLOOKUP($C156,武器!$1:$998,COLUMN($O$1),FALSE)*VLOOKUP($D156,素材!$1:$1016,COLUMN($E$1),FALSE)/(LEN(VLOOKUP($D156,素材!$1:$1016,COLUMN($F$1),FALSE))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R156">
        <f>IF(ISNUMBER(SEARCH(SUBSTITUTE(AR$1,RIGHT(AR$1,2),""),VLOOKUP($D156,素材!$1:$1016,COLUMN($F$1),FALSE))),VLOOKUP($C156,武器!$1:$998,COLUMN($O$1),FALSE)*VLOOKUP($D156,素材!$1:$1016,COLUMN($E$1),FALSE)/(LEN(VLOOKUP($D156,素材!$1:$1016,COLUMN($F$1),FALSE))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S156">
        <f>IF(ISNUMBER(SEARCH(SUBSTITUTE(AS$1,RIGHT(AS$1,2),""),VLOOKUP($D156,素材!$1:$1016,COLUMN($F$1),FALSE))),VLOOKUP($C156,武器!$1:$998,COLUMN($O$1),FALSE)*VLOOKUP($D156,素材!$1:$1016,COLUMN($E$1),FALSE)/(LEN(VLOOKUP($D156,素材!$1:$1016,COLUMN($F$1),FALSE))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T156">
        <f>IF(ISNUMBER(SEARCH(SUBSTITUTE(AT$1,RIGHT(AT$1,2),""),VLOOKUP($D156,素材!$1:$1016,COLUMN($F$1),FALSE))),VLOOKUP($C156,武器!$1:$998,COLUMN($O$1),FALSE)*VLOOKUP($D156,素材!$1:$1016,COLUMN($E$1),FALSE)/(LEN(VLOOKUP($D156,素材!$1:$1016,COLUMN($F$1),FALSE))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U156">
        <f>IF(ISNUMBER(SEARCH(SUBSTITUTE(AU$1,RIGHT(AU$1,2),""),VLOOKUP($D156,素材!$1:$1016,COLUMN($F$1),FALSE))),VLOOKUP($C156,武器!$1:$998,COLUMN($O$1),FALSE)*VLOOKUP($D156,素材!$1:$1016,COLUMN($E$1),FALSE)/(LEN(VLOOKUP($D156,素材!$1:$1016,COLUMN($F$1),FALSE))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V156">
        <f>IF(ISNUMBER(SEARCH(SUBSTITUTE(AV$1,RIGHT(AV$1,2),""),VLOOKUP($D156,素材!$1:$1016,COLUMN($F$1),FALSE))),VLOOKUP($C156,武器!$1:$998,COLUMN($O$1),FALSE)*VLOOKUP($D156,素材!$1:$1016,COLUMN($E$1),FALSE)/(LEN(VLOOKUP($D156,素材!$1:$1016,COLUMN($F$1),FALSE))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W156">
        <f>IF(ISNUMBER(SEARCH(SUBSTITUTE(AW$1,RIGHT(AW$1,2),""),VLOOKUP($D156,素材!$1:$1016,COLUMN($F$1),FALSE))),VLOOKUP($C156,武器!$1:$998,COLUMN($O$1),FALSE)*VLOOKUP($D156,素材!$1:$1016,COLUMN($E$1),FALSE)/(LEN(VLOOKUP($D156,素材!$1:$1016,COLUMN($F$1),FALSE))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X156">
        <f>IF(ISNUMBER(SEARCH(SUBSTITUTE(AX$1,RIGHT(AX$1,2),""),VLOOKUP($D156,素材!$1:$1016,COLUMN($F$1),FALSE))),VLOOKUP($C156,武器!$1:$998,COLUMN($O$1),FALSE)*VLOOKUP($D156,素材!$1:$1016,COLUMN($E$1),FALSE)/(LEN(VLOOKUP($D156,素材!$1:$1016,COLUMN($F$1),FALSE))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Y156">
        <f>IF(ISNUMBER(SEARCH(SUBSTITUTE(AY$1,RIGHT(AY$1,2),""),VLOOKUP($D156,素材!$1:$1016,COLUMN($F$1),FALSE))),VLOOKUP($C156,武器!$1:$998,COLUMN($O$1),FALSE)*VLOOKUP($D156,素材!$1:$1016,COLUMN($E$1),FALSE)/(LEN(VLOOKUP($D156,素材!$1:$1016,COLUMN($F$1),FALSE))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AZ156">
        <f>IF(ISNUMBER(SEARCH(SUBSTITUTE(AZ$1,RIGHT(AZ$1,2),""),VLOOKUP($D156,素材!$1:$1016,COLUMN($F$1),FALSE))),VLOOKUP($C156,武器!$1:$998,COLUMN($O$1),FALSE)*VLOOKUP($D156,素材!$1:$1016,COLUMN($E$1),FALSE)/(LEN(VLOOKUP($D156,素材!$1:$1016,COLUMN($F$1),FALSE))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BA156">
        <f>IF(ISNUMBER(SEARCH(SUBSTITUTE(BA$1,RIGHT(BA$1,2),""),VLOOKUP($D156,素材!$1:$1016,COLUMN($F$1),FALSE))),VLOOKUP($C156,武器!$1:$998,COLUMN($O$1),FALSE)*VLOOKUP($D156,素材!$1:$1016,COLUMN($E$1),FALSE)/(LEN(VLOOKUP($D156,素材!$1:$1016,COLUMN($F$1),FALSE))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BB156">
        <f>IF(ISNUMBER(SEARCH(SUBSTITUTE(BB$1,RIGHT(BB$1,2),""),VLOOKUP($D156,素材!$1:$1016,COLUMN($F$1),FALSE))),VLOOKUP($C156,武器!$1:$998,COLUMN($O$1),FALSE)*VLOOKUP($D156,素材!$1:$1016,COLUMN($E$1),FALSE)/(LEN(VLOOKUP($D156,素材!$1:$1016,COLUMN($F$1),FALSE))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BC156">
        <f>IF(ISNUMBER(SEARCH(SUBSTITUTE(BC$1,RIGHT(BC$1,2),""),VLOOKUP($D156,素材!$1:$1016,COLUMN($F$1),FALSE))),VLOOKUP($C156,武器!$1:$998,COLUMN($O$1),FALSE)*VLOOKUP($D156,素材!$1:$1016,COLUMN($E$1),FALSE)/(LEN(VLOOKUP($D156,素材!$1:$1016,COLUMN($F$1),FALSE))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BD156">
        <f>IF(ISNUMBER(SEARCH(SUBSTITUTE(BD$1,RIGHT(BD$1,2),""),VLOOKUP($D156,素材!$1:$1016,COLUMN($F$1),FALSE))),VLOOKUP($C156,武器!$1:$998,COLUMN($O$1),FALSE)*VLOOKUP($D156,素材!$1:$1016,COLUMN($E$1),FALSE)/(LEN(VLOOKUP($D156,素材!$1:$1016,COLUMN($F$1),FALSE))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BE156">
        <f>IF(ISNUMBER(SEARCH(SUBSTITUTE(BE$1,RIGHT(BE$1,2),""),VLOOKUP($D156,素材!$1:$1016,COLUMN($F$1),FALSE))),VLOOKUP($C156,武器!$1:$998,COLUMN($O$1),FALSE)*VLOOKUP($D156,素材!$1:$1016,COLUMN($E$1),FALSE)/(LEN(VLOOKUP($D156,素材!$1:$1016,COLUMN($F$1),FALSE))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BF156">
        <f>IF(ISNUMBER(SEARCH(SUBSTITUTE(BF$1,RIGHT(BF$1,2),""),VLOOKUP($D156,素材!$1:$1016,COLUMN($F$1),FALSE))),VLOOKUP($C156,武器!$1:$998,COLUMN($O$1),FALSE)*VLOOKUP($D156,素材!$1:$1016,COLUMN($E$1),FALSE)/(LEN(VLOOKUP($D156,素材!$1:$1016,COLUMN($F$1),FALSE)) - LEN(SUBSTITUTE(VLOOKUP($D156,素材!$1:$1016,COLUMN($F$1),FALSE), "・", 0)) + 1), 0)</f>
        <v>0</v>
      </c>
      <c r="CM156">
        <f t="shared" si="19"/>
        <v>24</v>
      </c>
      <c r="CN156" s="22" t="str">
        <f>IF(E156="武器",IF(J156-1&gt;SUM(G156:I156),"盾",IF(MAX(G156:I156)=G156,"切断",IF(MAX(G156:I156)=H156,"貫通",IF(MAX(G156:I156)=I156,"打撃","射撃")))),E156)&amp;".webp"</f>
        <v>切断.webp</v>
      </c>
      <c r="CO156">
        <f>IFERROR(VLOOKUP($C156,武器!$1:$998,COLUMN(V$1),FALSE)*VLOOKUP($D156,素材!$1:$1016,COLUMN(N$1),FALSE)+IF(CJ156="",0,VLOOKUP($CJ156,装強!$1:$1008,COLUMN($CL$1),FALSE)),"")</f>
        <v>2250</v>
      </c>
      <c r="CP156">
        <f>VLOOKUP(D156,素材!$A:$O,COLUMN(素材!O$1),FALSE)</f>
        <v>0</v>
      </c>
      <c r="CQ156" t="str">
        <f>VLOOKUP(C156,武器!$A:$W,COLUMN(武器!W$1),FALSE)</f>
        <v>剣。短い剣で片手で扱いやすく、初心者向けの武器。</v>
      </c>
      <c r="CS156" t="str">
        <f t="shared" si="21"/>
        <v>e_156</v>
      </c>
      <c r="CT156">
        <f t="shared" si="24"/>
        <v>225000</v>
      </c>
    </row>
    <row r="157" spans="1:98" outlineLevel="1" x14ac:dyDescent="0.4">
      <c r="A157" t="str">
        <f t="shared" si="29"/>
        <v>黒鋼鉄の広剣</v>
      </c>
      <c r="B157" t="str">
        <f>IFERROR(VLOOKUP($D157,素材!$1:$1016,COLUMN($B$1),FALSE)&amp;"・"&amp;VLOOKUP($C157,武器!$1:$998,COLUMN(B$1),FALSE),"")</f>
        <v>ブラックスティール・ブロードソード</v>
      </c>
      <c r="C157" s="24" t="s">
        <v>239</v>
      </c>
      <c r="D157" s="24" t="s">
        <v>244</v>
      </c>
      <c r="E157" t="str">
        <f>IFERROR(VLOOKUP(C157,武器!$1:$998,COLUMN(C$1),FALSE),"")</f>
        <v>武器</v>
      </c>
      <c r="F157">
        <f>IFERROR(ROUNDDOWN((VLOOKUP($C157,武器!$1:$998,COLUMN(D$1),FALSE)+IFERROR(VLOOKUP($CJ157,装強!$1:$999,COLUMN(F$1),FALSE),0))*VLOOKUP($D157,素材!$1:$1016,COLUMN(D$1),FALSE),0),"")</f>
        <v>110</v>
      </c>
      <c r="G157">
        <f>IFERROR(ROUNDDOWN((VLOOKUP($C157,武器!$1:$998,COLUMN(E$1),FALSE)+IFERROR(VLOOKUP($CJ157,装強!$1:$999,COLUMN(G$1),FALSE),0))*VLOOKUP($D157,素材!$1:$1016,COLUMN($E$1),FALSE),0),"")</f>
        <v>12</v>
      </c>
      <c r="H157">
        <f>IFERROR(ROUNDDOWN((VLOOKUP($C157,武器!$1:$998,COLUMN(F$1),FALSE)+IFERROR(VLOOKUP($CJ157,装強!$1:$999,COLUMN(H$1),FALSE),0))*VLOOKUP($D157,素材!$1:$1016,COLUMN($E$1),FALSE),0),"")</f>
        <v>8</v>
      </c>
      <c r="I157">
        <f>IFERROR(ROUNDDOWN((VLOOKUP($C157,武器!$1:$998,COLUMN(G$1),FALSE)+IFERROR(VLOOKUP($CJ157,装強!$1:$999,COLUMN(I$1),FALSE),0))*VLOOKUP($D157,素材!$1:$1016,COLUMN($E$1),FALSE),0),"")</f>
        <v>3</v>
      </c>
      <c r="J157">
        <f>IFERROR(ROUNDDOWN((VLOOKUP($C157,武器!$1:$998,COLUMN(H$1),FALSE)+IFERROR(VLOOKUP($CJ157,装強!$1:$999,COLUMN(J$1),FALSE),0))*VLOOKUP($D157,素材!$1:$1016,COLUMN($E$1),FALSE),0),"")</f>
        <v>23</v>
      </c>
      <c r="K157">
        <f>IFERROR(ROUNDDOWN((VLOOKUP($C157,武器!$1:$998,COLUMN(I$1),FALSE)+IFERROR(VLOOKUP($CJ157,装強!$1:$999,COLUMN(K$1),FALSE),0))*VLOOKUP($D157,素材!$1:$1016,COLUMN($E$1),FALSE),0),"")</f>
        <v>0</v>
      </c>
      <c r="L157" t="str">
        <f>IFERROR(VLOOKUP($D157,素材!$1:$1016,COLUMN($F$1),FALSE),"")</f>
        <v>雷</v>
      </c>
      <c r="M157">
        <f>IFERROR(VLOOKUP($C157,武器!$1:$998,COLUMN(AA$1),FALSE)*VLOOKUP($D157,素材!$1:$1016,COLUMN($G$1),FALSE),"")</f>
        <v>40.25</v>
      </c>
      <c r="N157">
        <f>IFERROR(VLOOKUP($C157,武器!$1:$998,COLUMN(I$1),FALSE),"")</f>
        <v>0</v>
      </c>
      <c r="O157" s="23">
        <f>IFERROR((VLOOKUP($C157,武器!$1:$998,COLUMN(K$1),FALSE)+VLOOKUP($D157,素材!$1:$1016,COLUMN(H$1),FALSE))*100+IFERROR(VLOOKUP($CJ157,装強!$1:$999,COLUMN(O$1),FALSE),0),"")</f>
        <v>10</v>
      </c>
      <c r="P157" s="23">
        <f>IFERROR((VLOOKUP($C157,武器!$1:$998,COLUMN(L$1),FALSE)+VLOOKUP($D157,素材!$1:$1016,COLUMN(I$1),FALSE))*100+IFERROR(VLOOKUP($CJ157,装強!$1:$999,COLUMN(P$1),FALSE),0),"")</f>
        <v>150</v>
      </c>
      <c r="Q157">
        <f>IFERROR(ROUNDUP(VLOOKUP($C157,武器!$1:$998,COLUMN(M$1),FALSE)*(VLOOKUP($D157,素材!$1:$1002,COLUMN(D$1),FALSE)/100),1),"")</f>
        <v>-2.5</v>
      </c>
      <c r="R157">
        <f>IFERROR(ROUNDUP(VLOOKUP($C157,武器!$1:$998,COLUMN(N$1),FALSE)*(VLOOKUP($D157,素材!$1:$1002,COLUMN(D$1),FALSE)/100),1),"")</f>
        <v>-2.5</v>
      </c>
      <c r="S157">
        <f>IFERROR(VLOOKUP($C157,武器!$1:$998,COLUMN(P$1),FALSE),"")</f>
        <v>0</v>
      </c>
      <c r="T157">
        <f>IFERROR(VLOOKUP($C157,武器!$1:$998,COLUMN(Q$1),FALSE),"")</f>
        <v>0</v>
      </c>
      <c r="U157">
        <f>IFERROR(VLOOKUP($C157,武器!$1:$998,COLUMN(R$1),FALSE),"")</f>
        <v>0</v>
      </c>
      <c r="V157">
        <f>IFERROR(VLOOKUP($C157,武器!$1:$998,COLUMN(Q$1),FALSE),"")</f>
        <v>0</v>
      </c>
      <c r="W157" t="str">
        <f>IFERROR(VLOOKUP($C157,武器!$1:$998,COLUMN(T$1),FALSE),"")</f>
        <v>A</v>
      </c>
      <c r="Y157">
        <f>IFERROR(VLOOKUP($C157,武器!$1:$998,COLUMN(U$1),FALSE),"")</f>
        <v>0</v>
      </c>
      <c r="Z157">
        <f>IFERROR(ROUNDUP(VLOOKUP($C157,武器!$1:$998,COLUMN(O$1),FALSE)*VLOOKUP($D157,素材!$1:$1016,COLUMN(E$1),FALSE),1),"")</f>
        <v>0</v>
      </c>
      <c r="AA157">
        <f>IF(ISNUMBER(SEARCH(SUBSTITUTE(AA$1,RIGHT(AA$1,2),""),VLOOKUP($D157,素材!$1:$1016,COLUMN($F$1),FALSE))),VLOOKUP($C157,武器!$1:$998,COLUMN($O$1),FALSE)*VLOOKUP($D157,素材!$1:$1016,COLUMN($E$1),FALSE)/(LEN(VLOOKUP($D157,素材!$1:$1016,COLUMN($F$1),FALSE))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B157">
        <f>IF(ISNUMBER(SEARCH(SUBSTITUTE(AB$1,RIGHT(AB$1,2),""),VLOOKUP($D157,素材!$1:$1016,COLUMN($F$1),FALSE))),VLOOKUP($C157,武器!$1:$998,COLUMN($O$1),FALSE)*VLOOKUP($D157,素材!$1:$1016,COLUMN($E$1),FALSE)/(LEN(VLOOKUP($D157,素材!$1:$1016,COLUMN($F$1),FALSE))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C157">
        <f>IF(ISNUMBER(SEARCH(SUBSTITUTE(AC$1,RIGHT(AC$1,2),""),VLOOKUP($D157,素材!$1:$1016,COLUMN($F$1),FALSE))),VLOOKUP($C157,武器!$1:$998,COLUMN($O$1),FALSE)*VLOOKUP($D157,素材!$1:$1016,COLUMN($E$1),FALSE)/(LEN(VLOOKUP($D157,素材!$1:$1016,COLUMN($F$1),FALSE))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D157">
        <f>IF(ISNUMBER(SEARCH(SUBSTITUTE(AD$1,RIGHT(AD$1,2),""),VLOOKUP($D157,素材!$1:$1016,COLUMN($F$1),FALSE))),VLOOKUP($C157,武器!$1:$998,COLUMN($O$1),FALSE)*VLOOKUP($D157,素材!$1:$1016,COLUMN($E$1),FALSE)/(LEN(VLOOKUP($D157,素材!$1:$1016,COLUMN($F$1),FALSE))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E157">
        <f>IF(ISNUMBER(SEARCH(SUBSTITUTE(AE$1,RIGHT(AE$1,2),""),VLOOKUP($D157,素材!$1:$1016,COLUMN($F$1),FALSE))),VLOOKUP($C157,武器!$1:$998,COLUMN($O$1),FALSE)*VLOOKUP($D157,素材!$1:$1016,COLUMN($E$1),FALSE)/(LEN(VLOOKUP($D157,素材!$1:$1016,COLUMN($F$1),FALSE))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F157">
        <f>IF(ISNUMBER(SEARCH(SUBSTITUTE(AF$1,RIGHT(AF$1,2),""),VLOOKUP($D157,素材!$1:$1016,COLUMN($F$1),FALSE))),VLOOKUP($C157,武器!$1:$998,COLUMN($O$1),FALSE)*VLOOKUP($D157,素材!$1:$1016,COLUMN($E$1),FALSE)/(LEN(VLOOKUP($D157,素材!$1:$1016,COLUMN($F$1),FALSE))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G157">
        <f>IF(ISNUMBER(SEARCH(SUBSTITUTE(AG$1,RIGHT(AG$1,2),""),VLOOKUP($D157,素材!$1:$1016,COLUMN($F$1),FALSE))),VLOOKUP($C157,武器!$1:$998,COLUMN($O$1),FALSE)*VLOOKUP($D157,素材!$1:$1016,COLUMN($E$1),FALSE)/(LEN(VLOOKUP($D157,素材!$1:$1016,COLUMN($F$1),FALSE))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H157">
        <f>IF(ISNUMBER(SEARCH(SUBSTITUTE(AH$1,RIGHT(AH$1,2),""),VLOOKUP($D157,素材!$1:$1016,COLUMN($F$1),FALSE))),VLOOKUP($C157,武器!$1:$998,COLUMN($O$1),FALSE)*VLOOKUP($D157,素材!$1:$1016,COLUMN($E$1),FALSE)/(LEN(VLOOKUP($D157,素材!$1:$1016,COLUMN($F$1),FALSE))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I157">
        <f>IF(ISNUMBER(SEARCH(SUBSTITUTE(AI$1,RIGHT(AI$1,2),""),VLOOKUP($D157,素材!$1:$1016,COLUMN($F$1),FALSE))),VLOOKUP($C157,武器!$1:$998,COLUMN($O$1),FALSE)*VLOOKUP($D157,素材!$1:$1016,COLUMN($E$1),FALSE)/(LEN(VLOOKUP($D157,素材!$1:$1016,COLUMN($F$1),FALSE))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J157">
        <f>IF(ISNUMBER(SEARCH(SUBSTITUTE(AJ$1,RIGHT(AJ$1,2),""),VLOOKUP($D157,素材!$1:$1016,COLUMN($F$1),FALSE))),VLOOKUP($C157,武器!$1:$998,COLUMN($O$1),FALSE)*VLOOKUP($D157,素材!$1:$1016,COLUMN($E$1),FALSE)/(LEN(VLOOKUP($D157,素材!$1:$1016,COLUMN($F$1),FALSE))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K157">
        <f>IF(ISNUMBER(SEARCH(SUBSTITUTE(AK$1,RIGHT(AK$1,2),""),VLOOKUP($D157,素材!$1:$1016,COLUMN($F$1),FALSE))),VLOOKUP($C157,武器!$1:$998,COLUMN($O$1),FALSE)*VLOOKUP($D157,素材!$1:$1016,COLUMN($E$1),FALSE)/(LEN(VLOOKUP($D157,素材!$1:$1016,COLUMN($F$1),FALSE))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L157">
        <f>IF(ISNUMBER(SEARCH(SUBSTITUTE(AL$1,RIGHT(AL$1,2),""),VLOOKUP($D157,素材!$1:$1016,COLUMN($F$1),FALSE))),VLOOKUP($C157,武器!$1:$998,COLUMN($O$1),FALSE)*VLOOKUP($D157,素材!$1:$1016,COLUMN($E$1),FALSE)/(LEN(VLOOKUP($D157,素材!$1:$1016,COLUMN($F$1),FALSE))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M157">
        <f>IF(ISNUMBER(SEARCH(SUBSTITUTE(AM$1,RIGHT(AM$1,2),""),VLOOKUP($D157,素材!$1:$1016,COLUMN($F$1),FALSE))),VLOOKUP($C157,武器!$1:$998,COLUMN($O$1),FALSE)*VLOOKUP($D157,素材!$1:$1016,COLUMN($E$1),FALSE)/(LEN(VLOOKUP($D157,素材!$1:$1016,COLUMN($F$1),FALSE))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N157">
        <f>IF(ISNUMBER(SEARCH(SUBSTITUTE(AN$1,RIGHT(AN$1,2),""),VLOOKUP($D157,素材!$1:$1016,COLUMN($F$1),FALSE))),VLOOKUP($C157,武器!$1:$998,COLUMN($O$1),FALSE)*VLOOKUP($D157,素材!$1:$1016,COLUMN($E$1),FALSE)/(LEN(VLOOKUP($D157,素材!$1:$1016,COLUMN($F$1),FALSE))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O157">
        <f>IF(ISNUMBER(SEARCH(SUBSTITUTE(AO$1,RIGHT(AO$1,2),""),VLOOKUP($D157,素材!$1:$1016,COLUMN($F$1),FALSE))),VLOOKUP($C157,武器!$1:$998,COLUMN($O$1),FALSE)*VLOOKUP($D157,素材!$1:$1016,COLUMN($E$1),FALSE)/(LEN(VLOOKUP($D157,素材!$1:$1016,COLUMN($F$1),FALSE))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P157">
        <f>IF(ISNUMBER(SEARCH(SUBSTITUTE(AP$1,RIGHT(AP$1,2),""),VLOOKUP($D157,素材!$1:$1016,COLUMN($F$1),FALSE))),VLOOKUP($C157,武器!$1:$998,COLUMN($O$1),FALSE)*VLOOKUP($D157,素材!$1:$1016,COLUMN($E$1),FALSE)/(LEN(VLOOKUP($D157,素材!$1:$1016,COLUMN($F$1),FALSE))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Q157">
        <f>IF(ISNUMBER(SEARCH(SUBSTITUTE(AQ$1,RIGHT(AQ$1,2),""),VLOOKUP($D157,素材!$1:$1016,COLUMN($F$1),FALSE))),VLOOKUP($C157,武器!$1:$998,COLUMN($O$1),FALSE)*VLOOKUP($D157,素材!$1:$1016,COLUMN($E$1),FALSE)/(LEN(VLOOKUP($D157,素材!$1:$1016,COLUMN($F$1),FALSE))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R157">
        <f>IF(ISNUMBER(SEARCH(SUBSTITUTE(AR$1,RIGHT(AR$1,2),""),VLOOKUP($D157,素材!$1:$1016,COLUMN($F$1),FALSE))),VLOOKUP($C157,武器!$1:$998,COLUMN($O$1),FALSE)*VLOOKUP($D157,素材!$1:$1016,COLUMN($E$1),FALSE)/(LEN(VLOOKUP($D157,素材!$1:$1016,COLUMN($F$1),FALSE))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S157">
        <f>IF(ISNUMBER(SEARCH(SUBSTITUTE(AS$1,RIGHT(AS$1,2),""),VLOOKUP($D157,素材!$1:$1016,COLUMN($F$1),FALSE))),VLOOKUP($C157,武器!$1:$998,COLUMN($O$1),FALSE)*VLOOKUP($D157,素材!$1:$1016,COLUMN($E$1),FALSE)/(LEN(VLOOKUP($D157,素材!$1:$1016,COLUMN($F$1),FALSE))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T157">
        <f>IF(ISNUMBER(SEARCH(SUBSTITUTE(AT$1,RIGHT(AT$1,2),""),VLOOKUP($D157,素材!$1:$1016,COLUMN($F$1),FALSE))),VLOOKUP($C157,武器!$1:$998,COLUMN($O$1),FALSE)*VLOOKUP($D157,素材!$1:$1016,COLUMN($E$1),FALSE)/(LEN(VLOOKUP($D157,素材!$1:$1016,COLUMN($F$1),FALSE))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U157">
        <f>IF(ISNUMBER(SEARCH(SUBSTITUTE(AU$1,RIGHT(AU$1,2),""),VLOOKUP($D157,素材!$1:$1016,COLUMN($F$1),FALSE))),VLOOKUP($C157,武器!$1:$998,COLUMN($O$1),FALSE)*VLOOKUP($D157,素材!$1:$1016,COLUMN($E$1),FALSE)/(LEN(VLOOKUP($D157,素材!$1:$1016,COLUMN($F$1),FALSE))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V157">
        <f>IF(ISNUMBER(SEARCH(SUBSTITUTE(AV$1,RIGHT(AV$1,2),""),VLOOKUP($D157,素材!$1:$1016,COLUMN($F$1),FALSE))),VLOOKUP($C157,武器!$1:$998,COLUMN($O$1),FALSE)*VLOOKUP($D157,素材!$1:$1016,COLUMN($E$1),FALSE)/(LEN(VLOOKUP($D157,素材!$1:$1016,COLUMN($F$1),FALSE))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W157">
        <f>IF(ISNUMBER(SEARCH(SUBSTITUTE(AW$1,RIGHT(AW$1,2),""),VLOOKUP($D157,素材!$1:$1016,COLUMN($F$1),FALSE))),VLOOKUP($C157,武器!$1:$998,COLUMN($O$1),FALSE)*VLOOKUP($D157,素材!$1:$1016,COLUMN($E$1),FALSE)/(LEN(VLOOKUP($D157,素材!$1:$1016,COLUMN($F$1),FALSE))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X157">
        <f>IF(ISNUMBER(SEARCH(SUBSTITUTE(AX$1,RIGHT(AX$1,2),""),VLOOKUP($D157,素材!$1:$1016,COLUMN($F$1),FALSE))),VLOOKUP($C157,武器!$1:$998,COLUMN($O$1),FALSE)*VLOOKUP($D157,素材!$1:$1016,COLUMN($E$1),FALSE)/(LEN(VLOOKUP($D157,素材!$1:$1016,COLUMN($F$1),FALSE))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Y157">
        <f>IF(ISNUMBER(SEARCH(SUBSTITUTE(AY$1,RIGHT(AY$1,2),""),VLOOKUP($D157,素材!$1:$1016,COLUMN($F$1),FALSE))),VLOOKUP($C157,武器!$1:$998,COLUMN($O$1),FALSE)*VLOOKUP($D157,素材!$1:$1016,COLUMN($E$1),FALSE)/(LEN(VLOOKUP($D157,素材!$1:$1016,COLUMN($F$1),FALSE))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AZ157">
        <f>IF(ISNUMBER(SEARCH(SUBSTITUTE(AZ$1,RIGHT(AZ$1,2),""),VLOOKUP($D157,素材!$1:$1016,COLUMN($F$1),FALSE))),VLOOKUP($C157,武器!$1:$998,COLUMN($O$1),FALSE)*VLOOKUP($D157,素材!$1:$1016,COLUMN($E$1),FALSE)/(LEN(VLOOKUP($D157,素材!$1:$1016,COLUMN($F$1),FALSE))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BA157">
        <f>IF(ISNUMBER(SEARCH(SUBSTITUTE(BA$1,RIGHT(BA$1,2),""),VLOOKUP($D157,素材!$1:$1016,COLUMN($F$1),FALSE))),VLOOKUP($C157,武器!$1:$998,COLUMN($O$1),FALSE)*VLOOKUP($D157,素材!$1:$1016,COLUMN($E$1),FALSE)/(LEN(VLOOKUP($D157,素材!$1:$1016,COLUMN($F$1),FALSE))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BB157">
        <f>IF(ISNUMBER(SEARCH(SUBSTITUTE(BB$1,RIGHT(BB$1,2),""),VLOOKUP($D157,素材!$1:$1016,COLUMN($F$1),FALSE))),VLOOKUP($C157,武器!$1:$998,COLUMN($O$1),FALSE)*VLOOKUP($D157,素材!$1:$1016,COLUMN($E$1),FALSE)/(LEN(VLOOKUP($D157,素材!$1:$1016,COLUMN($F$1),FALSE))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BC157">
        <f>IF(ISNUMBER(SEARCH(SUBSTITUTE(BC$1,RIGHT(BC$1,2),""),VLOOKUP($D157,素材!$1:$1016,COLUMN($F$1),FALSE))),VLOOKUP($C157,武器!$1:$998,COLUMN($O$1),FALSE)*VLOOKUP($D157,素材!$1:$1016,COLUMN($E$1),FALSE)/(LEN(VLOOKUP($D157,素材!$1:$1016,COLUMN($F$1),FALSE))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BD157">
        <f>IF(ISNUMBER(SEARCH(SUBSTITUTE(BD$1,RIGHT(BD$1,2),""),VLOOKUP($D157,素材!$1:$1016,COLUMN($F$1),FALSE))),VLOOKUP($C157,武器!$1:$998,COLUMN($O$1),FALSE)*VLOOKUP($D157,素材!$1:$1016,COLUMN($E$1),FALSE)/(LEN(VLOOKUP($D157,素材!$1:$1016,COLUMN($F$1),FALSE))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BE157">
        <f>IF(ISNUMBER(SEARCH(SUBSTITUTE(BE$1,RIGHT(BE$1,2),""),VLOOKUP($D157,素材!$1:$1016,COLUMN($F$1),FALSE))),VLOOKUP($C157,武器!$1:$998,COLUMN($O$1),FALSE)*VLOOKUP($D157,素材!$1:$1016,COLUMN($E$1),FALSE)/(LEN(VLOOKUP($D157,素材!$1:$1016,COLUMN($F$1),FALSE))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BF157">
        <f>IF(ISNUMBER(SEARCH(SUBSTITUTE(BF$1,RIGHT(BF$1,2),""),VLOOKUP($D157,素材!$1:$1016,COLUMN($F$1),FALSE))),VLOOKUP($C157,武器!$1:$998,COLUMN($O$1),FALSE)*VLOOKUP($D157,素材!$1:$1016,COLUMN($E$1),FALSE)/(LEN(VLOOKUP($D157,素材!$1:$1016,COLUMN($F$1),FALSE)) - LEN(SUBSTITUTE(VLOOKUP($D157,素材!$1:$1016,COLUMN($F$1),FALSE), "・", 0)) + 1), 0)</f>
        <v>0</v>
      </c>
      <c r="CM157">
        <f t="shared" si="19"/>
        <v>23</v>
      </c>
      <c r="CN157" s="22" t="str">
        <f>IF(E157="武器",IF(J157-1&gt;SUM(G157:I157),"盾",IF(MAX(G157:I157)=G157,"切断",IF(MAX(G157:I157)=H157,"貫通",IF(MAX(G157:I157)=I157,"打撃","射撃")))),E157)&amp;".webp"</f>
        <v>切断.webp</v>
      </c>
      <c r="CO157">
        <f>IFERROR(VLOOKUP($C157,武器!$1:$998,COLUMN(V$1),FALSE)*VLOOKUP($D157,素材!$1:$1016,COLUMN(N$1),FALSE)+IF(CJ157="",0,VLOOKUP($CJ157,装強!$1:$1008,COLUMN($CL$1),FALSE)),"")</f>
        <v>3000</v>
      </c>
      <c r="CP157">
        <f>VLOOKUP(D157,素材!$A:$O,COLUMN(素材!O$1),FALSE)</f>
        <v>0</v>
      </c>
      <c r="CQ157" t="str">
        <f>VLOOKUP(C157,武器!$A:$W,COLUMN(武器!W$1),FALSE)</f>
        <v>幅の広い剣。扱いにくいが攻撃と防御にも優れている。状況に合わせて立ち回ろう。</v>
      </c>
      <c r="CS157" t="str">
        <f t="shared" si="21"/>
        <v>e_157</v>
      </c>
      <c r="CT157">
        <f t="shared" si="24"/>
        <v>300000</v>
      </c>
    </row>
    <row r="158" spans="1:98" outlineLevel="1" x14ac:dyDescent="0.4">
      <c r="A158" t="str">
        <f t="shared" si="29"/>
        <v>黒鋼鉄の長剣</v>
      </c>
      <c r="B158" t="str">
        <f>IFERROR(VLOOKUP($D158,素材!$1:$1016,COLUMN($B$1),FALSE)&amp;"・"&amp;VLOOKUP($C158,武器!$1:$998,COLUMN(B$1),FALSE),"")</f>
        <v>ブラックスティール・ロングソード</v>
      </c>
      <c r="C158" s="24" t="s">
        <v>238</v>
      </c>
      <c r="D158" s="24" t="s">
        <v>244</v>
      </c>
      <c r="E158" t="str">
        <f>IFERROR(VLOOKUP(C158,武器!$1:$998,COLUMN(C$1),FALSE),"")</f>
        <v>武器</v>
      </c>
      <c r="F158">
        <f>IFERROR(ROUNDDOWN((VLOOKUP($C158,武器!$1:$998,COLUMN(D$1),FALSE)+IFERROR(VLOOKUP($CJ158,装強!$1:$999,COLUMN(F$1),FALSE),0))*VLOOKUP($D158,素材!$1:$1016,COLUMN(D$1),FALSE),0),"")</f>
        <v>115</v>
      </c>
      <c r="G158">
        <f>IFERROR(ROUNDDOWN((VLOOKUP($C158,武器!$1:$998,COLUMN(E$1),FALSE)+IFERROR(VLOOKUP($CJ158,装強!$1:$999,COLUMN(G$1),FALSE),0))*VLOOKUP($D158,素材!$1:$1016,COLUMN($E$1),FALSE),0),"")</f>
        <v>15</v>
      </c>
      <c r="H158">
        <f>IFERROR(ROUNDDOWN((VLOOKUP($C158,武器!$1:$998,COLUMN(F$1),FALSE)+IFERROR(VLOOKUP($CJ158,装強!$1:$999,COLUMN(H$1),FALSE),0))*VLOOKUP($D158,素材!$1:$1016,COLUMN($E$1),FALSE),0),"")</f>
        <v>9</v>
      </c>
      <c r="I158">
        <f>IFERROR(ROUNDDOWN((VLOOKUP($C158,武器!$1:$998,COLUMN(G$1),FALSE)+IFERROR(VLOOKUP($CJ158,装強!$1:$999,COLUMN(I$1),FALSE),0))*VLOOKUP($D158,素材!$1:$1016,COLUMN($E$1),FALSE),0),"")</f>
        <v>3</v>
      </c>
      <c r="J158">
        <f>IFERROR(ROUNDDOWN((VLOOKUP($C158,武器!$1:$998,COLUMN(H$1),FALSE)+IFERROR(VLOOKUP($CJ158,装強!$1:$999,COLUMN(J$1),FALSE),0))*VLOOKUP($D158,素材!$1:$1016,COLUMN($E$1),FALSE),0),"")</f>
        <v>20</v>
      </c>
      <c r="K158">
        <f>IFERROR(ROUNDDOWN((VLOOKUP($C158,武器!$1:$998,COLUMN(I$1),FALSE)+IFERROR(VLOOKUP($CJ158,装強!$1:$999,COLUMN(K$1),FALSE),0))*VLOOKUP($D158,素材!$1:$1016,COLUMN($E$1),FALSE),0),"")</f>
        <v>0</v>
      </c>
      <c r="L158" t="str">
        <f>IFERROR(VLOOKUP($D158,素材!$1:$1016,COLUMN($F$1),FALSE),"")</f>
        <v>雷</v>
      </c>
      <c r="M158">
        <f>IFERROR(VLOOKUP($C158,武器!$1:$998,COLUMN(AA$1),FALSE)*VLOOKUP($D158,素材!$1:$1016,COLUMN($G$1),FALSE),"")</f>
        <v>47.25</v>
      </c>
      <c r="N158">
        <f>IFERROR(VLOOKUP($C158,武器!$1:$998,COLUMN(I$1),FALSE),"")</f>
        <v>0</v>
      </c>
      <c r="O158" s="23">
        <f>IFERROR((VLOOKUP($C158,武器!$1:$998,COLUMN(K$1),FALSE)+VLOOKUP($D158,素材!$1:$1016,COLUMN(H$1),FALSE))*100+IFERROR(VLOOKUP($CJ158,装強!$1:$999,COLUMN(O$1),FALSE),0),"")</f>
        <v>10</v>
      </c>
      <c r="P158" s="23">
        <f>IFERROR((VLOOKUP($C158,武器!$1:$998,COLUMN(L$1),FALSE)+VLOOKUP($D158,素材!$1:$1016,COLUMN(I$1),FALSE))*100+IFERROR(VLOOKUP($CJ158,装強!$1:$999,COLUMN(P$1),FALSE),0),"")</f>
        <v>150</v>
      </c>
      <c r="Q158">
        <f>IFERROR(ROUNDUP(VLOOKUP($C158,武器!$1:$998,COLUMN(M$1),FALSE)*(VLOOKUP($D158,素材!$1:$1002,COLUMN(D$1),FALSE)/100),1),"")</f>
        <v>-2.5</v>
      </c>
      <c r="R158">
        <f>IFERROR(ROUNDUP(VLOOKUP($C158,武器!$1:$998,COLUMN(N$1),FALSE)*(VLOOKUP($D158,素材!$1:$1002,COLUMN(D$1),FALSE)/100),1),"")</f>
        <v>-2.5</v>
      </c>
      <c r="S158">
        <f>IFERROR(VLOOKUP($C158,武器!$1:$998,COLUMN(P$1),FALSE),"")</f>
        <v>0</v>
      </c>
      <c r="T158">
        <f>IFERROR(VLOOKUP($C158,武器!$1:$998,COLUMN(Q$1),FALSE),"")</f>
        <v>0</v>
      </c>
      <c r="U158">
        <f>IFERROR(VLOOKUP($C158,武器!$1:$998,COLUMN(R$1),FALSE),"")</f>
        <v>0</v>
      </c>
      <c r="V158">
        <f>IFERROR(VLOOKUP($C158,武器!$1:$998,COLUMN(Q$1),FALSE),"")</f>
        <v>0</v>
      </c>
      <c r="W158" t="str">
        <f>IFERROR(VLOOKUP($C158,武器!$1:$998,COLUMN(T$1),FALSE),"")</f>
        <v>A</v>
      </c>
      <c r="Y158">
        <f>IFERROR(VLOOKUP($C158,武器!$1:$998,COLUMN(U$1),FALSE),"")</f>
        <v>0</v>
      </c>
      <c r="Z158">
        <f>IFERROR(ROUNDUP(VLOOKUP($C158,武器!$1:$998,COLUMN(O$1),FALSE)*VLOOKUP($D158,素材!$1:$1016,COLUMN(E$1),FALSE),1),"")</f>
        <v>0</v>
      </c>
      <c r="AA158">
        <f>IF(ISNUMBER(SEARCH(SUBSTITUTE(AA$1,RIGHT(AA$1,2),""),VLOOKUP($D158,素材!$1:$1016,COLUMN($F$1),FALSE))),VLOOKUP($C158,武器!$1:$998,COLUMN($O$1),FALSE)*VLOOKUP($D158,素材!$1:$1016,COLUMN($E$1),FALSE)/(LEN(VLOOKUP($D158,素材!$1:$1016,COLUMN($F$1),FALSE))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B158">
        <f>IF(ISNUMBER(SEARCH(SUBSTITUTE(AB$1,RIGHT(AB$1,2),""),VLOOKUP($D158,素材!$1:$1016,COLUMN($F$1),FALSE))),VLOOKUP($C158,武器!$1:$998,COLUMN($O$1),FALSE)*VLOOKUP($D158,素材!$1:$1016,COLUMN($E$1),FALSE)/(LEN(VLOOKUP($D158,素材!$1:$1016,COLUMN($F$1),FALSE))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C158">
        <f>IF(ISNUMBER(SEARCH(SUBSTITUTE(AC$1,RIGHT(AC$1,2),""),VLOOKUP($D158,素材!$1:$1016,COLUMN($F$1),FALSE))),VLOOKUP($C158,武器!$1:$998,COLUMN($O$1),FALSE)*VLOOKUP($D158,素材!$1:$1016,COLUMN($E$1),FALSE)/(LEN(VLOOKUP($D158,素材!$1:$1016,COLUMN($F$1),FALSE))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D158">
        <f>IF(ISNUMBER(SEARCH(SUBSTITUTE(AD$1,RIGHT(AD$1,2),""),VLOOKUP($D158,素材!$1:$1016,COLUMN($F$1),FALSE))),VLOOKUP($C158,武器!$1:$998,COLUMN($O$1),FALSE)*VLOOKUP($D158,素材!$1:$1016,COLUMN($E$1),FALSE)/(LEN(VLOOKUP($D158,素材!$1:$1016,COLUMN($F$1),FALSE))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E158">
        <f>IF(ISNUMBER(SEARCH(SUBSTITUTE(AE$1,RIGHT(AE$1,2),""),VLOOKUP($D158,素材!$1:$1016,COLUMN($F$1),FALSE))),VLOOKUP($C158,武器!$1:$998,COLUMN($O$1),FALSE)*VLOOKUP($D158,素材!$1:$1016,COLUMN($E$1),FALSE)/(LEN(VLOOKUP($D158,素材!$1:$1016,COLUMN($F$1),FALSE))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F158">
        <f>IF(ISNUMBER(SEARCH(SUBSTITUTE(AF$1,RIGHT(AF$1,2),""),VLOOKUP($D158,素材!$1:$1016,COLUMN($F$1),FALSE))),VLOOKUP($C158,武器!$1:$998,COLUMN($O$1),FALSE)*VLOOKUP($D158,素材!$1:$1016,COLUMN($E$1),FALSE)/(LEN(VLOOKUP($D158,素材!$1:$1016,COLUMN($F$1),FALSE))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G158">
        <f>IF(ISNUMBER(SEARCH(SUBSTITUTE(AG$1,RIGHT(AG$1,2),""),VLOOKUP($D158,素材!$1:$1016,COLUMN($F$1),FALSE))),VLOOKUP($C158,武器!$1:$998,COLUMN($O$1),FALSE)*VLOOKUP($D158,素材!$1:$1016,COLUMN($E$1),FALSE)/(LEN(VLOOKUP($D158,素材!$1:$1016,COLUMN($F$1),FALSE))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H158">
        <f>IF(ISNUMBER(SEARCH(SUBSTITUTE(AH$1,RIGHT(AH$1,2),""),VLOOKUP($D158,素材!$1:$1016,COLUMN($F$1),FALSE))),VLOOKUP($C158,武器!$1:$998,COLUMN($O$1),FALSE)*VLOOKUP($D158,素材!$1:$1016,COLUMN($E$1),FALSE)/(LEN(VLOOKUP($D158,素材!$1:$1016,COLUMN($F$1),FALSE))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I158">
        <f>IF(ISNUMBER(SEARCH(SUBSTITUTE(AI$1,RIGHT(AI$1,2),""),VLOOKUP($D158,素材!$1:$1016,COLUMN($F$1),FALSE))),VLOOKUP($C158,武器!$1:$998,COLUMN($O$1),FALSE)*VLOOKUP($D158,素材!$1:$1016,COLUMN($E$1),FALSE)/(LEN(VLOOKUP($D158,素材!$1:$1016,COLUMN($F$1),FALSE))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J158">
        <f>IF(ISNUMBER(SEARCH(SUBSTITUTE(AJ$1,RIGHT(AJ$1,2),""),VLOOKUP($D158,素材!$1:$1016,COLUMN($F$1),FALSE))),VLOOKUP($C158,武器!$1:$998,COLUMN($O$1),FALSE)*VLOOKUP($D158,素材!$1:$1016,COLUMN($E$1),FALSE)/(LEN(VLOOKUP($D158,素材!$1:$1016,COLUMN($F$1),FALSE))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K158">
        <f>IF(ISNUMBER(SEARCH(SUBSTITUTE(AK$1,RIGHT(AK$1,2),""),VLOOKUP($D158,素材!$1:$1016,COLUMN($F$1),FALSE))),VLOOKUP($C158,武器!$1:$998,COLUMN($O$1),FALSE)*VLOOKUP($D158,素材!$1:$1016,COLUMN($E$1),FALSE)/(LEN(VLOOKUP($D158,素材!$1:$1016,COLUMN($F$1),FALSE))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L158">
        <f>IF(ISNUMBER(SEARCH(SUBSTITUTE(AL$1,RIGHT(AL$1,2),""),VLOOKUP($D158,素材!$1:$1016,COLUMN($F$1),FALSE))),VLOOKUP($C158,武器!$1:$998,COLUMN($O$1),FALSE)*VLOOKUP($D158,素材!$1:$1016,COLUMN($E$1),FALSE)/(LEN(VLOOKUP($D158,素材!$1:$1016,COLUMN($F$1),FALSE))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M158">
        <f>IF(ISNUMBER(SEARCH(SUBSTITUTE(AM$1,RIGHT(AM$1,2),""),VLOOKUP($D158,素材!$1:$1016,COLUMN($F$1),FALSE))),VLOOKUP($C158,武器!$1:$998,COLUMN($O$1),FALSE)*VLOOKUP($D158,素材!$1:$1016,COLUMN($E$1),FALSE)/(LEN(VLOOKUP($D158,素材!$1:$1016,COLUMN($F$1),FALSE))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N158">
        <f>IF(ISNUMBER(SEARCH(SUBSTITUTE(AN$1,RIGHT(AN$1,2),""),VLOOKUP($D158,素材!$1:$1016,COLUMN($F$1),FALSE))),VLOOKUP($C158,武器!$1:$998,COLUMN($O$1),FALSE)*VLOOKUP($D158,素材!$1:$1016,COLUMN($E$1),FALSE)/(LEN(VLOOKUP($D158,素材!$1:$1016,COLUMN($F$1),FALSE))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O158">
        <f>IF(ISNUMBER(SEARCH(SUBSTITUTE(AO$1,RIGHT(AO$1,2),""),VLOOKUP($D158,素材!$1:$1016,COLUMN($F$1),FALSE))),VLOOKUP($C158,武器!$1:$998,COLUMN($O$1),FALSE)*VLOOKUP($D158,素材!$1:$1016,COLUMN($E$1),FALSE)/(LEN(VLOOKUP($D158,素材!$1:$1016,COLUMN($F$1),FALSE))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P158">
        <f>IF(ISNUMBER(SEARCH(SUBSTITUTE(AP$1,RIGHT(AP$1,2),""),VLOOKUP($D158,素材!$1:$1016,COLUMN($F$1),FALSE))),VLOOKUP($C158,武器!$1:$998,COLUMN($O$1),FALSE)*VLOOKUP($D158,素材!$1:$1016,COLUMN($E$1),FALSE)/(LEN(VLOOKUP($D158,素材!$1:$1016,COLUMN($F$1),FALSE))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Q158">
        <f>IF(ISNUMBER(SEARCH(SUBSTITUTE(AQ$1,RIGHT(AQ$1,2),""),VLOOKUP($D158,素材!$1:$1016,COLUMN($F$1),FALSE))),VLOOKUP($C158,武器!$1:$998,COLUMN($O$1),FALSE)*VLOOKUP($D158,素材!$1:$1016,COLUMN($E$1),FALSE)/(LEN(VLOOKUP($D158,素材!$1:$1016,COLUMN($F$1),FALSE))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R158">
        <f>IF(ISNUMBER(SEARCH(SUBSTITUTE(AR$1,RIGHT(AR$1,2),""),VLOOKUP($D158,素材!$1:$1016,COLUMN($F$1),FALSE))),VLOOKUP($C158,武器!$1:$998,COLUMN($O$1),FALSE)*VLOOKUP($D158,素材!$1:$1016,COLUMN($E$1),FALSE)/(LEN(VLOOKUP($D158,素材!$1:$1016,COLUMN($F$1),FALSE))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S158">
        <f>IF(ISNUMBER(SEARCH(SUBSTITUTE(AS$1,RIGHT(AS$1,2),""),VLOOKUP($D158,素材!$1:$1016,COLUMN($F$1),FALSE))),VLOOKUP($C158,武器!$1:$998,COLUMN($O$1),FALSE)*VLOOKUP($D158,素材!$1:$1016,COLUMN($E$1),FALSE)/(LEN(VLOOKUP($D158,素材!$1:$1016,COLUMN($F$1),FALSE))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T158">
        <f>IF(ISNUMBER(SEARCH(SUBSTITUTE(AT$1,RIGHT(AT$1,2),""),VLOOKUP($D158,素材!$1:$1016,COLUMN($F$1),FALSE))),VLOOKUP($C158,武器!$1:$998,COLUMN($O$1),FALSE)*VLOOKUP($D158,素材!$1:$1016,COLUMN($E$1),FALSE)/(LEN(VLOOKUP($D158,素材!$1:$1016,COLUMN($F$1),FALSE))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U158">
        <f>IF(ISNUMBER(SEARCH(SUBSTITUTE(AU$1,RIGHT(AU$1,2),""),VLOOKUP($D158,素材!$1:$1016,COLUMN($F$1),FALSE))),VLOOKUP($C158,武器!$1:$998,COLUMN($O$1),FALSE)*VLOOKUP($D158,素材!$1:$1016,COLUMN($E$1),FALSE)/(LEN(VLOOKUP($D158,素材!$1:$1016,COLUMN($F$1),FALSE))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V158">
        <f>IF(ISNUMBER(SEARCH(SUBSTITUTE(AV$1,RIGHT(AV$1,2),""),VLOOKUP($D158,素材!$1:$1016,COLUMN($F$1),FALSE))),VLOOKUP($C158,武器!$1:$998,COLUMN($O$1),FALSE)*VLOOKUP($D158,素材!$1:$1016,COLUMN($E$1),FALSE)/(LEN(VLOOKUP($D158,素材!$1:$1016,COLUMN($F$1),FALSE))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W158">
        <f>IF(ISNUMBER(SEARCH(SUBSTITUTE(AW$1,RIGHT(AW$1,2),""),VLOOKUP($D158,素材!$1:$1016,COLUMN($F$1),FALSE))),VLOOKUP($C158,武器!$1:$998,COLUMN($O$1),FALSE)*VLOOKUP($D158,素材!$1:$1016,COLUMN($E$1),FALSE)/(LEN(VLOOKUP($D158,素材!$1:$1016,COLUMN($F$1),FALSE))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X158">
        <f>IF(ISNUMBER(SEARCH(SUBSTITUTE(AX$1,RIGHT(AX$1,2),""),VLOOKUP($D158,素材!$1:$1016,COLUMN($F$1),FALSE))),VLOOKUP($C158,武器!$1:$998,COLUMN($O$1),FALSE)*VLOOKUP($D158,素材!$1:$1016,COLUMN($E$1),FALSE)/(LEN(VLOOKUP($D158,素材!$1:$1016,COLUMN($F$1),FALSE))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Y158">
        <f>IF(ISNUMBER(SEARCH(SUBSTITUTE(AY$1,RIGHT(AY$1,2),""),VLOOKUP($D158,素材!$1:$1016,COLUMN($F$1),FALSE))),VLOOKUP($C158,武器!$1:$998,COLUMN($O$1),FALSE)*VLOOKUP($D158,素材!$1:$1016,COLUMN($E$1),FALSE)/(LEN(VLOOKUP($D158,素材!$1:$1016,COLUMN($F$1),FALSE))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AZ158">
        <f>IF(ISNUMBER(SEARCH(SUBSTITUTE(AZ$1,RIGHT(AZ$1,2),""),VLOOKUP($D158,素材!$1:$1016,COLUMN($F$1),FALSE))),VLOOKUP($C158,武器!$1:$998,COLUMN($O$1),FALSE)*VLOOKUP($D158,素材!$1:$1016,COLUMN($E$1),FALSE)/(LEN(VLOOKUP($D158,素材!$1:$1016,COLUMN($F$1),FALSE))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BA158">
        <f>IF(ISNUMBER(SEARCH(SUBSTITUTE(BA$1,RIGHT(BA$1,2),""),VLOOKUP($D158,素材!$1:$1016,COLUMN($F$1),FALSE))),VLOOKUP($C158,武器!$1:$998,COLUMN($O$1),FALSE)*VLOOKUP($D158,素材!$1:$1016,COLUMN($E$1),FALSE)/(LEN(VLOOKUP($D158,素材!$1:$1016,COLUMN($F$1),FALSE))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BB158">
        <f>IF(ISNUMBER(SEARCH(SUBSTITUTE(BB$1,RIGHT(BB$1,2),""),VLOOKUP($D158,素材!$1:$1016,COLUMN($F$1),FALSE))),VLOOKUP($C158,武器!$1:$998,COLUMN($O$1),FALSE)*VLOOKUP($D158,素材!$1:$1016,COLUMN($E$1),FALSE)/(LEN(VLOOKUP($D158,素材!$1:$1016,COLUMN($F$1),FALSE))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BC158">
        <f>IF(ISNUMBER(SEARCH(SUBSTITUTE(BC$1,RIGHT(BC$1,2),""),VLOOKUP($D158,素材!$1:$1016,COLUMN($F$1),FALSE))),VLOOKUP($C158,武器!$1:$998,COLUMN($O$1),FALSE)*VLOOKUP($D158,素材!$1:$1016,COLUMN($E$1),FALSE)/(LEN(VLOOKUP($D158,素材!$1:$1016,COLUMN($F$1),FALSE))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BD158">
        <f>IF(ISNUMBER(SEARCH(SUBSTITUTE(BD$1,RIGHT(BD$1,2),""),VLOOKUP($D158,素材!$1:$1016,COLUMN($F$1),FALSE))),VLOOKUP($C158,武器!$1:$998,COLUMN($O$1),FALSE)*VLOOKUP($D158,素材!$1:$1016,COLUMN($E$1),FALSE)/(LEN(VLOOKUP($D158,素材!$1:$1016,COLUMN($F$1),FALSE))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BE158">
        <f>IF(ISNUMBER(SEARCH(SUBSTITUTE(BE$1,RIGHT(BE$1,2),""),VLOOKUP($D158,素材!$1:$1016,COLUMN($F$1),FALSE))),VLOOKUP($C158,武器!$1:$998,COLUMN($O$1),FALSE)*VLOOKUP($D158,素材!$1:$1016,COLUMN($E$1),FALSE)/(LEN(VLOOKUP($D158,素材!$1:$1016,COLUMN($F$1),FALSE))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BF158">
        <f>IF(ISNUMBER(SEARCH(SUBSTITUTE(BF$1,RIGHT(BF$1,2),""),VLOOKUP($D158,素材!$1:$1016,COLUMN($F$1),FALSE))),VLOOKUP($C158,武器!$1:$998,COLUMN($O$1),FALSE)*VLOOKUP($D158,素材!$1:$1016,COLUMN($E$1),FALSE)/(LEN(VLOOKUP($D158,素材!$1:$1016,COLUMN($F$1),FALSE)) - LEN(SUBSTITUTE(VLOOKUP($D158,素材!$1:$1016,COLUMN($F$1),FALSE), "・", 0)) + 1), 0)</f>
        <v>0</v>
      </c>
      <c r="CM158">
        <f t="shared" si="19"/>
        <v>27</v>
      </c>
      <c r="CN158" s="22" t="str">
        <f>IF(E158="武器",IF(J158-1&gt;SUM(G158:I158),"盾",IF(MAX(G158:I158)=G158,"切断",IF(MAX(G158:I158)=H158,"貫通",IF(MAX(G158:I158)=I158,"打撃","射撃")))),E158)&amp;".webp"</f>
        <v>切断.webp</v>
      </c>
      <c r="CO158">
        <f>IFERROR(VLOOKUP($C158,武器!$1:$998,COLUMN(V$1),FALSE)*VLOOKUP($D158,素材!$1:$1016,COLUMN(N$1),FALSE)+IF(CJ158="",0,VLOOKUP($CJ158,装強!$1:$1008,COLUMN($CL$1),FALSE)),"")</f>
        <v>3000</v>
      </c>
      <c r="CP158">
        <f>VLOOKUP(D158,素材!$A:$O,COLUMN(素材!O$1),FALSE)</f>
        <v>0</v>
      </c>
      <c r="CQ158" t="str">
        <f>VLOOKUP(C158,武器!$A:$W,COLUMN(武器!W$1),FALSE)</f>
        <v>長剣。長く重い分扱いにくいが威力が高い。</v>
      </c>
      <c r="CS158" t="str">
        <f t="shared" si="21"/>
        <v>e_158</v>
      </c>
      <c r="CT158">
        <f t="shared" si="24"/>
        <v>300000</v>
      </c>
    </row>
    <row r="159" spans="1:98" outlineLevel="1" x14ac:dyDescent="0.4">
      <c r="A159" t="str">
        <f t="shared" si="29"/>
        <v>黒鋼鉄の大剣</v>
      </c>
      <c r="B159" t="str">
        <f>IFERROR(VLOOKUP($D159,素材!$1:$1016,COLUMN($B$1),FALSE)&amp;"・"&amp;VLOOKUP($C159,武器!$1:$998,COLUMN(B$1),FALSE),"")</f>
        <v>ブラックスティール・バスターソード</v>
      </c>
      <c r="C159" s="24" t="s">
        <v>237</v>
      </c>
      <c r="D159" s="24" t="s">
        <v>244</v>
      </c>
      <c r="E159" t="str">
        <f>IFERROR(VLOOKUP(C159,武器!$1:$998,COLUMN(C$1),FALSE),"")</f>
        <v>武器</v>
      </c>
      <c r="F159">
        <f>IFERROR(ROUNDDOWN((VLOOKUP($C159,武器!$1:$998,COLUMN(D$1),FALSE)+IFERROR(VLOOKUP($CJ159,装強!$1:$999,COLUMN(F$1),FALSE),0))*VLOOKUP($D159,素材!$1:$1016,COLUMN(D$1),FALSE),0),"")</f>
        <v>125</v>
      </c>
      <c r="G159">
        <f>IFERROR(ROUNDDOWN((VLOOKUP($C159,武器!$1:$998,COLUMN(E$1),FALSE)+IFERROR(VLOOKUP($CJ159,装強!$1:$999,COLUMN(G$1),FALSE),0))*VLOOKUP($D159,素材!$1:$1016,COLUMN($E$1),FALSE),0),"")</f>
        <v>18</v>
      </c>
      <c r="H159">
        <f>IFERROR(ROUNDDOWN((VLOOKUP($C159,武器!$1:$998,COLUMN(F$1),FALSE)+IFERROR(VLOOKUP($CJ159,装強!$1:$999,COLUMN(H$1),FALSE),0))*VLOOKUP($D159,素材!$1:$1016,COLUMN($E$1),FALSE),0),"")</f>
        <v>9</v>
      </c>
      <c r="I159">
        <f>IFERROR(ROUNDDOWN((VLOOKUP($C159,武器!$1:$998,COLUMN(G$1),FALSE)+IFERROR(VLOOKUP($CJ159,装強!$1:$999,COLUMN(I$1),FALSE),0))*VLOOKUP($D159,素材!$1:$1016,COLUMN($E$1),FALSE),0),"")</f>
        <v>4</v>
      </c>
      <c r="J159">
        <f>IFERROR(ROUNDDOWN((VLOOKUP($C159,武器!$1:$998,COLUMN(H$1),FALSE)+IFERROR(VLOOKUP($CJ159,装強!$1:$999,COLUMN(J$1),FALSE),0))*VLOOKUP($D159,素材!$1:$1016,COLUMN($E$1),FALSE),0),"")</f>
        <v>22</v>
      </c>
      <c r="K159">
        <f>IFERROR(ROUNDDOWN((VLOOKUP($C159,武器!$1:$998,COLUMN(I$1),FALSE)+IFERROR(VLOOKUP($CJ159,装強!$1:$999,COLUMN(K$1),FALSE),0))*VLOOKUP($D159,素材!$1:$1016,COLUMN($E$1),FALSE),0),"")</f>
        <v>0</v>
      </c>
      <c r="L159" t="str">
        <f>IFERROR(VLOOKUP($D159,素材!$1:$1016,COLUMN($F$1),FALSE),"")</f>
        <v>雷</v>
      </c>
      <c r="M159">
        <f>IFERROR(VLOOKUP($C159,武器!$1:$998,COLUMN(AA$1),FALSE)*VLOOKUP($D159,素材!$1:$1016,COLUMN($G$1),FALSE),"")</f>
        <v>54.25</v>
      </c>
      <c r="N159">
        <f>IFERROR(VLOOKUP($C159,武器!$1:$998,COLUMN(I$1),FALSE),"")</f>
        <v>0</v>
      </c>
      <c r="O159" s="23">
        <f>IFERROR((VLOOKUP($C159,武器!$1:$998,COLUMN(K$1),FALSE)+VLOOKUP($D159,素材!$1:$1016,COLUMN(H$1),FALSE))*100+IFERROR(VLOOKUP($CJ159,装強!$1:$999,COLUMN(O$1),FALSE),0),"")</f>
        <v>10</v>
      </c>
      <c r="P159" s="23">
        <f>IFERROR((VLOOKUP($C159,武器!$1:$998,COLUMN(L$1),FALSE)+VLOOKUP($D159,素材!$1:$1016,COLUMN(I$1),FALSE))*100+IFERROR(VLOOKUP($CJ159,装強!$1:$999,COLUMN(P$1),FALSE),0),"")</f>
        <v>150</v>
      </c>
      <c r="Q159">
        <f>IFERROR(ROUNDUP(VLOOKUP($C159,武器!$1:$998,COLUMN(M$1),FALSE)*(VLOOKUP($D159,素材!$1:$1002,COLUMN(D$1),FALSE)/100),1),"")</f>
        <v>-7.5</v>
      </c>
      <c r="R159">
        <f>IFERROR(ROUNDUP(VLOOKUP($C159,武器!$1:$998,COLUMN(N$1),FALSE)*(VLOOKUP($D159,素材!$1:$1002,COLUMN(D$1),FALSE)/100),1),"")</f>
        <v>-7.5</v>
      </c>
      <c r="S159">
        <f>IFERROR(VLOOKUP($C159,武器!$1:$998,COLUMN(P$1),FALSE),"")</f>
        <v>0</v>
      </c>
      <c r="T159">
        <f>IFERROR(VLOOKUP($C159,武器!$1:$998,COLUMN(Q$1),FALSE),"")</f>
        <v>0</v>
      </c>
      <c r="U159">
        <f>IFERROR(VLOOKUP($C159,武器!$1:$998,COLUMN(R$1),FALSE),"")</f>
        <v>0</v>
      </c>
      <c r="V159">
        <f>IFERROR(VLOOKUP($C159,武器!$1:$998,COLUMN(Q$1),FALSE),"")</f>
        <v>0</v>
      </c>
      <c r="W159" t="str">
        <f>IFERROR(VLOOKUP($C159,武器!$1:$998,COLUMN(T$1),FALSE),"")</f>
        <v>A</v>
      </c>
      <c r="Y159">
        <f>IFERROR(VLOOKUP($C159,武器!$1:$998,COLUMN(U$1),FALSE),"")</f>
        <v>0</v>
      </c>
      <c r="Z159">
        <f>IFERROR(ROUNDUP(VLOOKUP($C159,武器!$1:$998,COLUMN(O$1),FALSE)*VLOOKUP($D159,素材!$1:$1016,COLUMN(E$1),FALSE),1),"")</f>
        <v>0</v>
      </c>
      <c r="AA159">
        <f>IF(ISNUMBER(SEARCH(SUBSTITUTE(AA$1,RIGHT(AA$1,2),""),VLOOKUP($D159,素材!$1:$1016,COLUMN($F$1),FALSE))),VLOOKUP($C159,武器!$1:$998,COLUMN($O$1),FALSE)*VLOOKUP($D159,素材!$1:$1016,COLUMN($E$1),FALSE)/(LEN(VLOOKUP($D159,素材!$1:$1016,COLUMN($F$1),FALSE))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B159">
        <f>IF(ISNUMBER(SEARCH(SUBSTITUTE(AB$1,RIGHT(AB$1,2),""),VLOOKUP($D159,素材!$1:$1016,COLUMN($F$1),FALSE))),VLOOKUP($C159,武器!$1:$998,COLUMN($O$1),FALSE)*VLOOKUP($D159,素材!$1:$1016,COLUMN($E$1),FALSE)/(LEN(VLOOKUP($D159,素材!$1:$1016,COLUMN($F$1),FALSE))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C159">
        <f>IF(ISNUMBER(SEARCH(SUBSTITUTE(AC$1,RIGHT(AC$1,2),""),VLOOKUP($D159,素材!$1:$1016,COLUMN($F$1),FALSE))),VLOOKUP($C159,武器!$1:$998,COLUMN($O$1),FALSE)*VLOOKUP($D159,素材!$1:$1016,COLUMN($E$1),FALSE)/(LEN(VLOOKUP($D159,素材!$1:$1016,COLUMN($F$1),FALSE))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D159">
        <f>IF(ISNUMBER(SEARCH(SUBSTITUTE(AD$1,RIGHT(AD$1,2),""),VLOOKUP($D159,素材!$1:$1016,COLUMN($F$1),FALSE))),VLOOKUP($C159,武器!$1:$998,COLUMN($O$1),FALSE)*VLOOKUP($D159,素材!$1:$1016,COLUMN($E$1),FALSE)/(LEN(VLOOKUP($D159,素材!$1:$1016,COLUMN($F$1),FALSE))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E159">
        <f>IF(ISNUMBER(SEARCH(SUBSTITUTE(AE$1,RIGHT(AE$1,2),""),VLOOKUP($D159,素材!$1:$1016,COLUMN($F$1),FALSE))),VLOOKUP($C159,武器!$1:$998,COLUMN($O$1),FALSE)*VLOOKUP($D159,素材!$1:$1016,COLUMN($E$1),FALSE)/(LEN(VLOOKUP($D159,素材!$1:$1016,COLUMN($F$1),FALSE))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F159">
        <f>IF(ISNUMBER(SEARCH(SUBSTITUTE(AF$1,RIGHT(AF$1,2),""),VLOOKUP($D159,素材!$1:$1016,COLUMN($F$1),FALSE))),VLOOKUP($C159,武器!$1:$998,COLUMN($O$1),FALSE)*VLOOKUP($D159,素材!$1:$1016,COLUMN($E$1),FALSE)/(LEN(VLOOKUP($D159,素材!$1:$1016,COLUMN($F$1),FALSE))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G159">
        <f>IF(ISNUMBER(SEARCH(SUBSTITUTE(AG$1,RIGHT(AG$1,2),""),VLOOKUP($D159,素材!$1:$1016,COLUMN($F$1),FALSE))),VLOOKUP($C159,武器!$1:$998,COLUMN($O$1),FALSE)*VLOOKUP($D159,素材!$1:$1016,COLUMN($E$1),FALSE)/(LEN(VLOOKUP($D159,素材!$1:$1016,COLUMN($F$1),FALSE))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H159">
        <f>IF(ISNUMBER(SEARCH(SUBSTITUTE(AH$1,RIGHT(AH$1,2),""),VLOOKUP($D159,素材!$1:$1016,COLUMN($F$1),FALSE))),VLOOKUP($C159,武器!$1:$998,COLUMN($O$1),FALSE)*VLOOKUP($D159,素材!$1:$1016,COLUMN($E$1),FALSE)/(LEN(VLOOKUP($D159,素材!$1:$1016,COLUMN($F$1),FALSE))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I159">
        <f>IF(ISNUMBER(SEARCH(SUBSTITUTE(AI$1,RIGHT(AI$1,2),""),VLOOKUP($D159,素材!$1:$1016,COLUMN($F$1),FALSE))),VLOOKUP($C159,武器!$1:$998,COLUMN($O$1),FALSE)*VLOOKUP($D159,素材!$1:$1016,COLUMN($E$1),FALSE)/(LEN(VLOOKUP($D159,素材!$1:$1016,COLUMN($F$1),FALSE))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J159">
        <f>IF(ISNUMBER(SEARCH(SUBSTITUTE(AJ$1,RIGHT(AJ$1,2),""),VLOOKUP($D159,素材!$1:$1016,COLUMN($F$1),FALSE))),VLOOKUP($C159,武器!$1:$998,COLUMN($O$1),FALSE)*VLOOKUP($D159,素材!$1:$1016,COLUMN($E$1),FALSE)/(LEN(VLOOKUP($D159,素材!$1:$1016,COLUMN($F$1),FALSE))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K159">
        <f>IF(ISNUMBER(SEARCH(SUBSTITUTE(AK$1,RIGHT(AK$1,2),""),VLOOKUP($D159,素材!$1:$1016,COLUMN($F$1),FALSE))),VLOOKUP($C159,武器!$1:$998,COLUMN($O$1),FALSE)*VLOOKUP($D159,素材!$1:$1016,COLUMN($E$1),FALSE)/(LEN(VLOOKUP($D159,素材!$1:$1016,COLUMN($F$1),FALSE))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L159">
        <f>IF(ISNUMBER(SEARCH(SUBSTITUTE(AL$1,RIGHT(AL$1,2),""),VLOOKUP($D159,素材!$1:$1016,COLUMN($F$1),FALSE))),VLOOKUP($C159,武器!$1:$998,COLUMN($O$1),FALSE)*VLOOKUP($D159,素材!$1:$1016,COLUMN($E$1),FALSE)/(LEN(VLOOKUP($D159,素材!$1:$1016,COLUMN($F$1),FALSE))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M159">
        <f>IF(ISNUMBER(SEARCH(SUBSTITUTE(AM$1,RIGHT(AM$1,2),""),VLOOKUP($D159,素材!$1:$1016,COLUMN($F$1),FALSE))),VLOOKUP($C159,武器!$1:$998,COLUMN($O$1),FALSE)*VLOOKUP($D159,素材!$1:$1016,COLUMN($E$1),FALSE)/(LEN(VLOOKUP($D159,素材!$1:$1016,COLUMN($F$1),FALSE))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N159">
        <f>IF(ISNUMBER(SEARCH(SUBSTITUTE(AN$1,RIGHT(AN$1,2),""),VLOOKUP($D159,素材!$1:$1016,COLUMN($F$1),FALSE))),VLOOKUP($C159,武器!$1:$998,COLUMN($O$1),FALSE)*VLOOKUP($D159,素材!$1:$1016,COLUMN($E$1),FALSE)/(LEN(VLOOKUP($D159,素材!$1:$1016,COLUMN($F$1),FALSE))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O159">
        <f>IF(ISNUMBER(SEARCH(SUBSTITUTE(AO$1,RIGHT(AO$1,2),""),VLOOKUP($D159,素材!$1:$1016,COLUMN($F$1),FALSE))),VLOOKUP($C159,武器!$1:$998,COLUMN($O$1),FALSE)*VLOOKUP($D159,素材!$1:$1016,COLUMN($E$1),FALSE)/(LEN(VLOOKUP($D159,素材!$1:$1016,COLUMN($F$1),FALSE))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P159">
        <f>IF(ISNUMBER(SEARCH(SUBSTITUTE(AP$1,RIGHT(AP$1,2),""),VLOOKUP($D159,素材!$1:$1016,COLUMN($F$1),FALSE))),VLOOKUP($C159,武器!$1:$998,COLUMN($O$1),FALSE)*VLOOKUP($D159,素材!$1:$1016,COLUMN($E$1),FALSE)/(LEN(VLOOKUP($D159,素材!$1:$1016,COLUMN($F$1),FALSE))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Q159">
        <f>IF(ISNUMBER(SEARCH(SUBSTITUTE(AQ$1,RIGHT(AQ$1,2),""),VLOOKUP($D159,素材!$1:$1016,COLUMN($F$1),FALSE))),VLOOKUP($C159,武器!$1:$998,COLUMN($O$1),FALSE)*VLOOKUP($D159,素材!$1:$1016,COLUMN($E$1),FALSE)/(LEN(VLOOKUP($D159,素材!$1:$1016,COLUMN($F$1),FALSE))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R159">
        <f>IF(ISNUMBER(SEARCH(SUBSTITUTE(AR$1,RIGHT(AR$1,2),""),VLOOKUP($D159,素材!$1:$1016,COLUMN($F$1),FALSE))),VLOOKUP($C159,武器!$1:$998,COLUMN($O$1),FALSE)*VLOOKUP($D159,素材!$1:$1016,COLUMN($E$1),FALSE)/(LEN(VLOOKUP($D159,素材!$1:$1016,COLUMN($F$1),FALSE))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S159">
        <f>IF(ISNUMBER(SEARCH(SUBSTITUTE(AS$1,RIGHT(AS$1,2),""),VLOOKUP($D159,素材!$1:$1016,COLUMN($F$1),FALSE))),VLOOKUP($C159,武器!$1:$998,COLUMN($O$1),FALSE)*VLOOKUP($D159,素材!$1:$1016,COLUMN($E$1),FALSE)/(LEN(VLOOKUP($D159,素材!$1:$1016,COLUMN($F$1),FALSE))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T159">
        <f>IF(ISNUMBER(SEARCH(SUBSTITUTE(AT$1,RIGHT(AT$1,2),""),VLOOKUP($D159,素材!$1:$1016,COLUMN($F$1),FALSE))),VLOOKUP($C159,武器!$1:$998,COLUMN($O$1),FALSE)*VLOOKUP($D159,素材!$1:$1016,COLUMN($E$1),FALSE)/(LEN(VLOOKUP($D159,素材!$1:$1016,COLUMN($F$1),FALSE))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U159">
        <f>IF(ISNUMBER(SEARCH(SUBSTITUTE(AU$1,RIGHT(AU$1,2),""),VLOOKUP($D159,素材!$1:$1016,COLUMN($F$1),FALSE))),VLOOKUP($C159,武器!$1:$998,COLUMN($O$1),FALSE)*VLOOKUP($D159,素材!$1:$1016,COLUMN($E$1),FALSE)/(LEN(VLOOKUP($D159,素材!$1:$1016,COLUMN($F$1),FALSE))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V159">
        <f>IF(ISNUMBER(SEARCH(SUBSTITUTE(AV$1,RIGHT(AV$1,2),""),VLOOKUP($D159,素材!$1:$1016,COLUMN($F$1),FALSE))),VLOOKUP($C159,武器!$1:$998,COLUMN($O$1),FALSE)*VLOOKUP($D159,素材!$1:$1016,COLUMN($E$1),FALSE)/(LEN(VLOOKUP($D159,素材!$1:$1016,COLUMN($F$1),FALSE))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W159">
        <f>IF(ISNUMBER(SEARCH(SUBSTITUTE(AW$1,RIGHT(AW$1,2),""),VLOOKUP($D159,素材!$1:$1016,COLUMN($F$1),FALSE))),VLOOKUP($C159,武器!$1:$998,COLUMN($O$1),FALSE)*VLOOKUP($D159,素材!$1:$1016,COLUMN($E$1),FALSE)/(LEN(VLOOKUP($D159,素材!$1:$1016,COLUMN($F$1),FALSE))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X159">
        <f>IF(ISNUMBER(SEARCH(SUBSTITUTE(AX$1,RIGHT(AX$1,2),""),VLOOKUP($D159,素材!$1:$1016,COLUMN($F$1),FALSE))),VLOOKUP($C159,武器!$1:$998,COLUMN($O$1),FALSE)*VLOOKUP($D159,素材!$1:$1016,COLUMN($E$1),FALSE)/(LEN(VLOOKUP($D159,素材!$1:$1016,COLUMN($F$1),FALSE))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Y159">
        <f>IF(ISNUMBER(SEARCH(SUBSTITUTE(AY$1,RIGHT(AY$1,2),""),VLOOKUP($D159,素材!$1:$1016,COLUMN($F$1),FALSE))),VLOOKUP($C159,武器!$1:$998,COLUMN($O$1),FALSE)*VLOOKUP($D159,素材!$1:$1016,COLUMN($E$1),FALSE)/(LEN(VLOOKUP($D159,素材!$1:$1016,COLUMN($F$1),FALSE))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AZ159">
        <f>IF(ISNUMBER(SEARCH(SUBSTITUTE(AZ$1,RIGHT(AZ$1,2),""),VLOOKUP($D159,素材!$1:$1016,COLUMN($F$1),FALSE))),VLOOKUP($C159,武器!$1:$998,COLUMN($O$1),FALSE)*VLOOKUP($D159,素材!$1:$1016,COLUMN($E$1),FALSE)/(LEN(VLOOKUP($D159,素材!$1:$1016,COLUMN($F$1),FALSE))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BA159">
        <f>IF(ISNUMBER(SEARCH(SUBSTITUTE(BA$1,RIGHT(BA$1,2),""),VLOOKUP($D159,素材!$1:$1016,COLUMN($F$1),FALSE))),VLOOKUP($C159,武器!$1:$998,COLUMN($O$1),FALSE)*VLOOKUP($D159,素材!$1:$1016,COLUMN($E$1),FALSE)/(LEN(VLOOKUP($D159,素材!$1:$1016,COLUMN($F$1),FALSE))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BB159">
        <f>IF(ISNUMBER(SEARCH(SUBSTITUTE(BB$1,RIGHT(BB$1,2),""),VLOOKUP($D159,素材!$1:$1016,COLUMN($F$1),FALSE))),VLOOKUP($C159,武器!$1:$998,COLUMN($O$1),FALSE)*VLOOKUP($D159,素材!$1:$1016,COLUMN($E$1),FALSE)/(LEN(VLOOKUP($D159,素材!$1:$1016,COLUMN($F$1),FALSE))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BC159">
        <f>IF(ISNUMBER(SEARCH(SUBSTITUTE(BC$1,RIGHT(BC$1,2),""),VLOOKUP($D159,素材!$1:$1016,COLUMN($F$1),FALSE))),VLOOKUP($C159,武器!$1:$998,COLUMN($O$1),FALSE)*VLOOKUP($D159,素材!$1:$1016,COLUMN($E$1),FALSE)/(LEN(VLOOKUP($D159,素材!$1:$1016,COLUMN($F$1),FALSE))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BD159">
        <f>IF(ISNUMBER(SEARCH(SUBSTITUTE(BD$1,RIGHT(BD$1,2),""),VLOOKUP($D159,素材!$1:$1016,COLUMN($F$1),FALSE))),VLOOKUP($C159,武器!$1:$998,COLUMN($O$1),FALSE)*VLOOKUP($D159,素材!$1:$1016,COLUMN($E$1),FALSE)/(LEN(VLOOKUP($D159,素材!$1:$1016,COLUMN($F$1),FALSE))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BE159">
        <f>IF(ISNUMBER(SEARCH(SUBSTITUTE(BE$1,RIGHT(BE$1,2),""),VLOOKUP($D159,素材!$1:$1016,COLUMN($F$1),FALSE))),VLOOKUP($C159,武器!$1:$998,COLUMN($O$1),FALSE)*VLOOKUP($D159,素材!$1:$1016,COLUMN($E$1),FALSE)/(LEN(VLOOKUP($D159,素材!$1:$1016,COLUMN($F$1),FALSE))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BF159">
        <f>IF(ISNUMBER(SEARCH(SUBSTITUTE(BF$1,RIGHT(BF$1,2),""),VLOOKUP($D159,素材!$1:$1016,COLUMN($F$1),FALSE))),VLOOKUP($C159,武器!$1:$998,COLUMN($O$1),FALSE)*VLOOKUP($D159,素材!$1:$1016,COLUMN($E$1),FALSE)/(LEN(VLOOKUP($D159,素材!$1:$1016,COLUMN($F$1),FALSE)) - LEN(SUBSTITUTE(VLOOKUP($D159,素材!$1:$1016,COLUMN($F$1),FALSE), "・", 0)) + 1), 0)</f>
        <v>0</v>
      </c>
      <c r="CM159">
        <f t="shared" si="19"/>
        <v>31</v>
      </c>
      <c r="CN159" s="22" t="str">
        <f>IF(E159="武器",IF(J159-1&gt;SUM(G159:I159),"盾",IF(MAX(G159:I159)=G159,"切断",IF(MAX(G159:I159)=H159,"貫通",IF(MAX(G159:I159)=I159,"打撃","射撃")))),E159)&amp;".webp"</f>
        <v>切断.webp</v>
      </c>
      <c r="CO159">
        <f>IFERROR(VLOOKUP($C159,武器!$1:$998,COLUMN(V$1),FALSE)*VLOOKUP($D159,素材!$1:$1016,COLUMN(N$1),FALSE)+IF(CJ159="",0,VLOOKUP($CJ159,装強!$1:$1008,COLUMN($CL$1),FALSE)),"")</f>
        <v>4500</v>
      </c>
      <c r="CP159">
        <f>VLOOKUP(D159,素材!$A:$O,COLUMN(素材!O$1),FALSE)</f>
        <v>0</v>
      </c>
      <c r="CQ159" t="str">
        <f>VLOOKUP(C159,武器!$A:$W,COLUMN(武器!W$1),FALSE)</f>
        <v>大剣。非常に重いが威力が突出して高い武器。大きい分ガードにも向いている</v>
      </c>
      <c r="CS159" t="str">
        <f t="shared" si="21"/>
        <v>e_159</v>
      </c>
      <c r="CT159">
        <f t="shared" si="24"/>
        <v>450000</v>
      </c>
    </row>
    <row r="160" spans="1:98" outlineLevel="1" x14ac:dyDescent="0.4">
      <c r="A160" t="str">
        <f t="shared" si="29"/>
        <v>黒鋼鉄の細剣</v>
      </c>
      <c r="B160" t="str">
        <f>IFERROR(VLOOKUP($D160,素材!$1:$1016,COLUMN($B$1),FALSE)&amp;"・"&amp;VLOOKUP($C160,武器!$1:$998,COLUMN(B$1),FALSE),"")</f>
        <v>ブラックスティール・レイピア</v>
      </c>
      <c r="C160" s="24" t="s">
        <v>236</v>
      </c>
      <c r="D160" s="24" t="s">
        <v>244</v>
      </c>
      <c r="E160" t="str">
        <f>IFERROR(VLOOKUP(C160,武器!$1:$998,COLUMN(C$1),FALSE),"")</f>
        <v>武器</v>
      </c>
      <c r="F160">
        <f>IFERROR(ROUNDDOWN((VLOOKUP($C160,武器!$1:$998,COLUMN(D$1),FALSE)+IFERROR(VLOOKUP($CJ160,装強!$1:$999,COLUMN(F$1),FALSE),0))*VLOOKUP($D160,素材!$1:$1016,COLUMN(D$1),FALSE),0),"")</f>
        <v>100</v>
      </c>
      <c r="G160">
        <f>IFERROR(ROUNDDOWN((VLOOKUP($C160,武器!$1:$998,COLUMN(E$1),FALSE)+IFERROR(VLOOKUP($CJ160,装強!$1:$999,COLUMN(G$1),FALSE),0))*VLOOKUP($D160,素材!$1:$1016,COLUMN($E$1),FALSE),0),"")</f>
        <v>9</v>
      </c>
      <c r="H160">
        <f>IFERROR(ROUNDDOWN((VLOOKUP($C160,武器!$1:$998,COLUMN(F$1),FALSE)+IFERROR(VLOOKUP($CJ160,装強!$1:$999,COLUMN(H$1),FALSE),0))*VLOOKUP($D160,素材!$1:$1016,COLUMN($E$1),FALSE),0),"")</f>
        <v>13</v>
      </c>
      <c r="I160">
        <f>IFERROR(ROUNDDOWN((VLOOKUP($C160,武器!$1:$998,COLUMN(G$1),FALSE)+IFERROR(VLOOKUP($CJ160,装強!$1:$999,COLUMN(I$1),FALSE),0))*VLOOKUP($D160,素材!$1:$1016,COLUMN($E$1),FALSE),0),"")</f>
        <v>0</v>
      </c>
      <c r="J160">
        <f>IFERROR(ROUNDDOWN((VLOOKUP($C160,武器!$1:$998,COLUMN(H$1),FALSE)+IFERROR(VLOOKUP($CJ160,装強!$1:$999,COLUMN(J$1),FALSE),0))*VLOOKUP($D160,素材!$1:$1016,COLUMN($E$1),FALSE),0),"")</f>
        <v>16</v>
      </c>
      <c r="K160">
        <f>IFERROR(ROUNDDOWN((VLOOKUP($C160,武器!$1:$998,COLUMN(I$1),FALSE)+IFERROR(VLOOKUP($CJ160,装強!$1:$999,COLUMN(K$1),FALSE),0))*VLOOKUP($D160,素材!$1:$1016,COLUMN($E$1),FALSE),0),"")</f>
        <v>0</v>
      </c>
      <c r="L160" t="str">
        <f>IFERROR(VLOOKUP($D160,素材!$1:$1016,COLUMN($F$1),FALSE),"")</f>
        <v>雷</v>
      </c>
      <c r="M160">
        <f>IFERROR(VLOOKUP($C160,武器!$1:$998,COLUMN(AA$1),FALSE)*VLOOKUP($D160,素材!$1:$1016,COLUMN($G$1),FALSE),"")</f>
        <v>42</v>
      </c>
      <c r="N160">
        <f>IFERROR(VLOOKUP($C160,武器!$1:$998,COLUMN(I$1),FALSE),"")</f>
        <v>0</v>
      </c>
      <c r="O160" s="23">
        <f>IFERROR((VLOOKUP($C160,武器!$1:$998,COLUMN(K$1),FALSE)+VLOOKUP($D160,素材!$1:$1016,COLUMN(H$1),FALSE))*100+IFERROR(VLOOKUP($CJ160,装強!$1:$999,COLUMN(O$1),FALSE),0),"")</f>
        <v>15</v>
      </c>
      <c r="P160" s="23">
        <f>IFERROR((VLOOKUP($C160,武器!$1:$998,COLUMN(L$1),FALSE)+VLOOKUP($D160,素材!$1:$1016,COLUMN(I$1),FALSE))*100+IFERROR(VLOOKUP($CJ160,装強!$1:$999,COLUMN(P$1),FALSE),0),"")</f>
        <v>125</v>
      </c>
      <c r="Q160">
        <f>IFERROR(ROUNDUP(VLOOKUP($C160,武器!$1:$998,COLUMN(M$1),FALSE)*(VLOOKUP($D160,素材!$1:$1002,COLUMN(D$1),FALSE)/100),1),"")</f>
        <v>0</v>
      </c>
      <c r="R160">
        <f>IFERROR(ROUNDUP(VLOOKUP($C160,武器!$1:$998,COLUMN(N$1),FALSE)*(VLOOKUP($D160,素材!$1:$1002,COLUMN(D$1),FALSE)/100),1),"")</f>
        <v>0</v>
      </c>
      <c r="S160">
        <f>IFERROR(VLOOKUP($C160,武器!$1:$998,COLUMN(P$1),FALSE),"")</f>
        <v>0</v>
      </c>
      <c r="T160">
        <f>IFERROR(VLOOKUP($C160,武器!$1:$998,COLUMN(Q$1),FALSE),"")</f>
        <v>0</v>
      </c>
      <c r="U160">
        <f>IFERROR(VLOOKUP($C160,武器!$1:$998,COLUMN(R$1),FALSE),"")</f>
        <v>0</v>
      </c>
      <c r="V160">
        <f>IFERROR(VLOOKUP($C160,武器!$1:$998,COLUMN(Q$1),FALSE),"")</f>
        <v>0</v>
      </c>
      <c r="W160" t="str">
        <f>IFERROR(VLOOKUP($C160,武器!$1:$998,COLUMN(T$1),FALSE),"")</f>
        <v>A</v>
      </c>
      <c r="Y160" t="str">
        <f>IFERROR(VLOOKUP($C160,武器!$1:$998,COLUMN(U$1),FALSE),"")</f>
        <v>片手適正Ⅰ</v>
      </c>
      <c r="Z160">
        <f>IFERROR(ROUNDUP(VLOOKUP($C160,武器!$1:$998,COLUMN(O$1),FALSE)*VLOOKUP($D160,素材!$1:$1016,COLUMN(E$1),FALSE),1),"")</f>
        <v>0</v>
      </c>
      <c r="AA160">
        <f>IF(ISNUMBER(SEARCH(SUBSTITUTE(AA$1,RIGHT(AA$1,2),""),VLOOKUP($D160,素材!$1:$1016,COLUMN($F$1),FALSE))),VLOOKUP($C160,武器!$1:$998,COLUMN($O$1),FALSE)*VLOOKUP($D160,素材!$1:$1016,COLUMN($E$1),FALSE)/(LEN(VLOOKUP($D160,素材!$1:$1016,COLUMN($F$1),FALSE))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B160">
        <f>IF(ISNUMBER(SEARCH(SUBSTITUTE(AB$1,RIGHT(AB$1,2),""),VLOOKUP($D160,素材!$1:$1016,COLUMN($F$1),FALSE))),VLOOKUP($C160,武器!$1:$998,COLUMN($O$1),FALSE)*VLOOKUP($D160,素材!$1:$1016,COLUMN($E$1),FALSE)/(LEN(VLOOKUP($D160,素材!$1:$1016,COLUMN($F$1),FALSE))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C160">
        <f>IF(ISNUMBER(SEARCH(SUBSTITUTE(AC$1,RIGHT(AC$1,2),""),VLOOKUP($D160,素材!$1:$1016,COLUMN($F$1),FALSE))),VLOOKUP($C160,武器!$1:$998,COLUMN($O$1),FALSE)*VLOOKUP($D160,素材!$1:$1016,COLUMN($E$1),FALSE)/(LEN(VLOOKUP($D160,素材!$1:$1016,COLUMN($F$1),FALSE))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D160">
        <f>IF(ISNUMBER(SEARCH(SUBSTITUTE(AD$1,RIGHT(AD$1,2),""),VLOOKUP($D160,素材!$1:$1016,COLUMN($F$1),FALSE))),VLOOKUP($C160,武器!$1:$998,COLUMN($O$1),FALSE)*VLOOKUP($D160,素材!$1:$1016,COLUMN($E$1),FALSE)/(LEN(VLOOKUP($D160,素材!$1:$1016,COLUMN($F$1),FALSE))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E160">
        <f>IF(ISNUMBER(SEARCH(SUBSTITUTE(AE$1,RIGHT(AE$1,2),""),VLOOKUP($D160,素材!$1:$1016,COLUMN($F$1),FALSE))),VLOOKUP($C160,武器!$1:$998,COLUMN($O$1),FALSE)*VLOOKUP($D160,素材!$1:$1016,COLUMN($E$1),FALSE)/(LEN(VLOOKUP($D160,素材!$1:$1016,COLUMN($F$1),FALSE))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F160">
        <f>IF(ISNUMBER(SEARCH(SUBSTITUTE(AF$1,RIGHT(AF$1,2),""),VLOOKUP($D160,素材!$1:$1016,COLUMN($F$1),FALSE))),VLOOKUP($C160,武器!$1:$998,COLUMN($O$1),FALSE)*VLOOKUP($D160,素材!$1:$1016,COLUMN($E$1),FALSE)/(LEN(VLOOKUP($D160,素材!$1:$1016,COLUMN($F$1),FALSE))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G160">
        <f>IF(ISNUMBER(SEARCH(SUBSTITUTE(AG$1,RIGHT(AG$1,2),""),VLOOKUP($D160,素材!$1:$1016,COLUMN($F$1),FALSE))),VLOOKUP($C160,武器!$1:$998,COLUMN($O$1),FALSE)*VLOOKUP($D160,素材!$1:$1016,COLUMN($E$1),FALSE)/(LEN(VLOOKUP($D160,素材!$1:$1016,COLUMN($F$1),FALSE))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H160">
        <f>IF(ISNUMBER(SEARCH(SUBSTITUTE(AH$1,RIGHT(AH$1,2),""),VLOOKUP($D160,素材!$1:$1016,COLUMN($F$1),FALSE))),VLOOKUP($C160,武器!$1:$998,COLUMN($O$1),FALSE)*VLOOKUP($D160,素材!$1:$1016,COLUMN($E$1),FALSE)/(LEN(VLOOKUP($D160,素材!$1:$1016,COLUMN($F$1),FALSE))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I160">
        <f>IF(ISNUMBER(SEARCH(SUBSTITUTE(AI$1,RIGHT(AI$1,2),""),VLOOKUP($D160,素材!$1:$1016,COLUMN($F$1),FALSE))),VLOOKUP($C160,武器!$1:$998,COLUMN($O$1),FALSE)*VLOOKUP($D160,素材!$1:$1016,COLUMN($E$1),FALSE)/(LEN(VLOOKUP($D160,素材!$1:$1016,COLUMN($F$1),FALSE))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J160">
        <f>IF(ISNUMBER(SEARCH(SUBSTITUTE(AJ$1,RIGHT(AJ$1,2),""),VLOOKUP($D160,素材!$1:$1016,COLUMN($F$1),FALSE))),VLOOKUP($C160,武器!$1:$998,COLUMN($O$1),FALSE)*VLOOKUP($D160,素材!$1:$1016,COLUMN($E$1),FALSE)/(LEN(VLOOKUP($D160,素材!$1:$1016,COLUMN($F$1),FALSE))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K160">
        <f>IF(ISNUMBER(SEARCH(SUBSTITUTE(AK$1,RIGHT(AK$1,2),""),VLOOKUP($D160,素材!$1:$1016,COLUMN($F$1),FALSE))),VLOOKUP($C160,武器!$1:$998,COLUMN($O$1),FALSE)*VLOOKUP($D160,素材!$1:$1016,COLUMN($E$1),FALSE)/(LEN(VLOOKUP($D160,素材!$1:$1016,COLUMN($F$1),FALSE))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L160">
        <f>IF(ISNUMBER(SEARCH(SUBSTITUTE(AL$1,RIGHT(AL$1,2),""),VLOOKUP($D160,素材!$1:$1016,COLUMN($F$1),FALSE))),VLOOKUP($C160,武器!$1:$998,COLUMN($O$1),FALSE)*VLOOKUP($D160,素材!$1:$1016,COLUMN($E$1),FALSE)/(LEN(VLOOKUP($D160,素材!$1:$1016,COLUMN($F$1),FALSE))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M160">
        <f>IF(ISNUMBER(SEARCH(SUBSTITUTE(AM$1,RIGHT(AM$1,2),""),VLOOKUP($D160,素材!$1:$1016,COLUMN($F$1),FALSE))),VLOOKUP($C160,武器!$1:$998,COLUMN($O$1),FALSE)*VLOOKUP($D160,素材!$1:$1016,COLUMN($E$1),FALSE)/(LEN(VLOOKUP($D160,素材!$1:$1016,COLUMN($F$1),FALSE))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N160">
        <f>IF(ISNUMBER(SEARCH(SUBSTITUTE(AN$1,RIGHT(AN$1,2),""),VLOOKUP($D160,素材!$1:$1016,COLUMN($F$1),FALSE))),VLOOKUP($C160,武器!$1:$998,COLUMN($O$1),FALSE)*VLOOKUP($D160,素材!$1:$1016,COLUMN($E$1),FALSE)/(LEN(VLOOKUP($D160,素材!$1:$1016,COLUMN($F$1),FALSE))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O160">
        <f>IF(ISNUMBER(SEARCH(SUBSTITUTE(AO$1,RIGHT(AO$1,2),""),VLOOKUP($D160,素材!$1:$1016,COLUMN($F$1),FALSE))),VLOOKUP($C160,武器!$1:$998,COLUMN($O$1),FALSE)*VLOOKUP($D160,素材!$1:$1016,COLUMN($E$1),FALSE)/(LEN(VLOOKUP($D160,素材!$1:$1016,COLUMN($F$1),FALSE))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P160">
        <f>IF(ISNUMBER(SEARCH(SUBSTITUTE(AP$1,RIGHT(AP$1,2),""),VLOOKUP($D160,素材!$1:$1016,COLUMN($F$1),FALSE))),VLOOKUP($C160,武器!$1:$998,COLUMN($O$1),FALSE)*VLOOKUP($D160,素材!$1:$1016,COLUMN($E$1),FALSE)/(LEN(VLOOKUP($D160,素材!$1:$1016,COLUMN($F$1),FALSE))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Q160">
        <f>IF(ISNUMBER(SEARCH(SUBSTITUTE(AQ$1,RIGHT(AQ$1,2),""),VLOOKUP($D160,素材!$1:$1016,COLUMN($F$1),FALSE))),VLOOKUP($C160,武器!$1:$998,COLUMN($O$1),FALSE)*VLOOKUP($D160,素材!$1:$1016,COLUMN($E$1),FALSE)/(LEN(VLOOKUP($D160,素材!$1:$1016,COLUMN($F$1),FALSE))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R160">
        <f>IF(ISNUMBER(SEARCH(SUBSTITUTE(AR$1,RIGHT(AR$1,2),""),VLOOKUP($D160,素材!$1:$1016,COLUMN($F$1),FALSE))),VLOOKUP($C160,武器!$1:$998,COLUMN($O$1),FALSE)*VLOOKUP($D160,素材!$1:$1016,COLUMN($E$1),FALSE)/(LEN(VLOOKUP($D160,素材!$1:$1016,COLUMN($F$1),FALSE))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S160">
        <f>IF(ISNUMBER(SEARCH(SUBSTITUTE(AS$1,RIGHT(AS$1,2),""),VLOOKUP($D160,素材!$1:$1016,COLUMN($F$1),FALSE))),VLOOKUP($C160,武器!$1:$998,COLUMN($O$1),FALSE)*VLOOKUP($D160,素材!$1:$1016,COLUMN($E$1),FALSE)/(LEN(VLOOKUP($D160,素材!$1:$1016,COLUMN($F$1),FALSE))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T160">
        <f>IF(ISNUMBER(SEARCH(SUBSTITUTE(AT$1,RIGHT(AT$1,2),""),VLOOKUP($D160,素材!$1:$1016,COLUMN($F$1),FALSE))),VLOOKUP($C160,武器!$1:$998,COLUMN($O$1),FALSE)*VLOOKUP($D160,素材!$1:$1016,COLUMN($E$1),FALSE)/(LEN(VLOOKUP($D160,素材!$1:$1016,COLUMN($F$1),FALSE))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U160">
        <f>IF(ISNUMBER(SEARCH(SUBSTITUTE(AU$1,RIGHT(AU$1,2),""),VLOOKUP($D160,素材!$1:$1016,COLUMN($F$1),FALSE))),VLOOKUP($C160,武器!$1:$998,COLUMN($O$1),FALSE)*VLOOKUP($D160,素材!$1:$1016,COLUMN($E$1),FALSE)/(LEN(VLOOKUP($D160,素材!$1:$1016,COLUMN($F$1),FALSE))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V160">
        <f>IF(ISNUMBER(SEARCH(SUBSTITUTE(AV$1,RIGHT(AV$1,2),""),VLOOKUP($D160,素材!$1:$1016,COLUMN($F$1),FALSE))),VLOOKUP($C160,武器!$1:$998,COLUMN($O$1),FALSE)*VLOOKUP($D160,素材!$1:$1016,COLUMN($E$1),FALSE)/(LEN(VLOOKUP($D160,素材!$1:$1016,COLUMN($F$1),FALSE))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W160">
        <f>IF(ISNUMBER(SEARCH(SUBSTITUTE(AW$1,RIGHT(AW$1,2),""),VLOOKUP($D160,素材!$1:$1016,COLUMN($F$1),FALSE))),VLOOKUP($C160,武器!$1:$998,COLUMN($O$1),FALSE)*VLOOKUP($D160,素材!$1:$1016,COLUMN($E$1),FALSE)/(LEN(VLOOKUP($D160,素材!$1:$1016,COLUMN($F$1),FALSE))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X160">
        <f>IF(ISNUMBER(SEARCH(SUBSTITUTE(AX$1,RIGHT(AX$1,2),""),VLOOKUP($D160,素材!$1:$1016,COLUMN($F$1),FALSE))),VLOOKUP($C160,武器!$1:$998,COLUMN($O$1),FALSE)*VLOOKUP($D160,素材!$1:$1016,COLUMN($E$1),FALSE)/(LEN(VLOOKUP($D160,素材!$1:$1016,COLUMN($F$1),FALSE))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Y160">
        <f>IF(ISNUMBER(SEARCH(SUBSTITUTE(AY$1,RIGHT(AY$1,2),""),VLOOKUP($D160,素材!$1:$1016,COLUMN($F$1),FALSE))),VLOOKUP($C160,武器!$1:$998,COLUMN($O$1),FALSE)*VLOOKUP($D160,素材!$1:$1016,COLUMN($E$1),FALSE)/(LEN(VLOOKUP($D160,素材!$1:$1016,COLUMN($F$1),FALSE))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AZ160">
        <f>IF(ISNUMBER(SEARCH(SUBSTITUTE(AZ$1,RIGHT(AZ$1,2),""),VLOOKUP($D160,素材!$1:$1016,COLUMN($F$1),FALSE))),VLOOKUP($C160,武器!$1:$998,COLUMN($O$1),FALSE)*VLOOKUP($D160,素材!$1:$1016,COLUMN($E$1),FALSE)/(LEN(VLOOKUP($D160,素材!$1:$1016,COLUMN($F$1),FALSE))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BA160">
        <f>IF(ISNUMBER(SEARCH(SUBSTITUTE(BA$1,RIGHT(BA$1,2),""),VLOOKUP($D160,素材!$1:$1016,COLUMN($F$1),FALSE))),VLOOKUP($C160,武器!$1:$998,COLUMN($O$1),FALSE)*VLOOKUP($D160,素材!$1:$1016,COLUMN($E$1),FALSE)/(LEN(VLOOKUP($D160,素材!$1:$1016,COLUMN($F$1),FALSE))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BB160">
        <f>IF(ISNUMBER(SEARCH(SUBSTITUTE(BB$1,RIGHT(BB$1,2),""),VLOOKUP($D160,素材!$1:$1016,COLUMN($F$1),FALSE))),VLOOKUP($C160,武器!$1:$998,COLUMN($O$1),FALSE)*VLOOKUP($D160,素材!$1:$1016,COLUMN($E$1),FALSE)/(LEN(VLOOKUP($D160,素材!$1:$1016,COLUMN($F$1),FALSE))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BC160">
        <f>IF(ISNUMBER(SEARCH(SUBSTITUTE(BC$1,RIGHT(BC$1,2),""),VLOOKUP($D160,素材!$1:$1016,COLUMN($F$1),FALSE))),VLOOKUP($C160,武器!$1:$998,COLUMN($O$1),FALSE)*VLOOKUP($D160,素材!$1:$1016,COLUMN($E$1),FALSE)/(LEN(VLOOKUP($D160,素材!$1:$1016,COLUMN($F$1),FALSE))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BD160">
        <f>IF(ISNUMBER(SEARCH(SUBSTITUTE(BD$1,RIGHT(BD$1,2),""),VLOOKUP($D160,素材!$1:$1016,COLUMN($F$1),FALSE))),VLOOKUP($C160,武器!$1:$998,COLUMN($O$1),FALSE)*VLOOKUP($D160,素材!$1:$1016,COLUMN($E$1),FALSE)/(LEN(VLOOKUP($D160,素材!$1:$1016,COLUMN($F$1),FALSE))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BE160">
        <f>IF(ISNUMBER(SEARCH(SUBSTITUTE(BE$1,RIGHT(BE$1,2),""),VLOOKUP($D160,素材!$1:$1016,COLUMN($F$1),FALSE))),VLOOKUP($C160,武器!$1:$998,COLUMN($O$1),FALSE)*VLOOKUP($D160,素材!$1:$1016,COLUMN($E$1),FALSE)/(LEN(VLOOKUP($D160,素材!$1:$1016,COLUMN($F$1),FALSE))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BF160">
        <f>IF(ISNUMBER(SEARCH(SUBSTITUTE(BF$1,RIGHT(BF$1,2),""),VLOOKUP($D160,素材!$1:$1016,COLUMN($F$1),FALSE))),VLOOKUP($C160,武器!$1:$998,COLUMN($O$1),FALSE)*VLOOKUP($D160,素材!$1:$1016,COLUMN($E$1),FALSE)/(LEN(VLOOKUP($D160,素材!$1:$1016,COLUMN($F$1),FALSE)) - LEN(SUBSTITUTE(VLOOKUP($D160,素材!$1:$1016,COLUMN($F$1),FALSE), "・", 0)) + 1), 0)</f>
        <v>0</v>
      </c>
      <c r="CM160">
        <f t="shared" si="19"/>
        <v>22</v>
      </c>
      <c r="CN160" s="22" t="str">
        <f>IF(E160="武器",IF(J160-1&gt;SUM(G160:I160),"盾",IF(MAX(G160:I160)=G160,"切断",IF(MAX(G160:I160)=H160,"貫通",IF(MAX(G160:I160)=I160,"打撃","射撃")))),E160)&amp;".webp"</f>
        <v>貫通.webp</v>
      </c>
      <c r="CO160">
        <f>IFERROR(VLOOKUP($C160,武器!$1:$998,COLUMN(V$1),FALSE)*VLOOKUP($D160,素材!$1:$1016,COLUMN(N$1),FALSE)+IF(CJ160="",0,VLOOKUP($CJ160,装強!$1:$1008,COLUMN($CL$1),FALSE)),"")</f>
        <v>3000</v>
      </c>
      <c r="CP160">
        <f>VLOOKUP(D160,素材!$A:$O,COLUMN(素材!O$1),FALSE)</f>
        <v>0</v>
      </c>
      <c r="CQ160" t="str">
        <f>VLOOKUP(C160,武器!$A:$W,COLUMN(武器!W$1),FALSE)</f>
        <v>細剣。刺突に優れた武器でCr率が高い</v>
      </c>
      <c r="CS160" t="str">
        <f t="shared" si="21"/>
        <v>e_160</v>
      </c>
      <c r="CT160">
        <f t="shared" si="24"/>
        <v>300000</v>
      </c>
    </row>
    <row r="161" spans="1:98" outlineLevel="1" x14ac:dyDescent="0.4">
      <c r="A161" t="str">
        <f t="shared" si="29"/>
        <v>黒鋼鉄の刺剣</v>
      </c>
      <c r="B161" t="str">
        <f>IFERROR(VLOOKUP($D161,素材!$1:$1016,COLUMN($B$1),FALSE)&amp;"・"&amp;VLOOKUP($C161,武器!$1:$998,COLUMN(B$1),FALSE),"")</f>
        <v>ブラックスティール・スティレット</v>
      </c>
      <c r="C161" s="24" t="s">
        <v>235</v>
      </c>
      <c r="D161" s="24" t="s">
        <v>244</v>
      </c>
      <c r="E161" t="str">
        <f>IFERROR(VLOOKUP(C161,武器!$1:$998,COLUMN(C$1),FALSE),"")</f>
        <v>武器</v>
      </c>
      <c r="F161">
        <f>IFERROR(ROUNDDOWN((VLOOKUP($C161,武器!$1:$998,COLUMN(D$1),FALSE)+IFERROR(VLOOKUP($CJ161,装強!$1:$999,COLUMN(F$1),FALSE),0))*VLOOKUP($D161,素材!$1:$1016,COLUMN(D$1),FALSE),0),"")</f>
        <v>110</v>
      </c>
      <c r="G161">
        <f>IFERROR(ROUNDDOWN((VLOOKUP($C161,武器!$1:$998,COLUMN(E$1),FALSE)+IFERROR(VLOOKUP($CJ161,装強!$1:$999,COLUMN(G$1),FALSE),0))*VLOOKUP($D161,素材!$1:$1016,COLUMN($E$1),FALSE),0),"")</f>
        <v>4</v>
      </c>
      <c r="H161">
        <f>IFERROR(ROUNDDOWN((VLOOKUP($C161,武器!$1:$998,COLUMN(F$1),FALSE)+IFERROR(VLOOKUP($CJ161,装強!$1:$999,COLUMN(H$1),FALSE),0))*VLOOKUP($D161,素材!$1:$1016,COLUMN($E$1),FALSE),0),"")</f>
        <v>18</v>
      </c>
      <c r="I161">
        <f>IFERROR(ROUNDDOWN((VLOOKUP($C161,武器!$1:$998,COLUMN(G$1),FALSE)+IFERROR(VLOOKUP($CJ161,装強!$1:$999,COLUMN(I$1),FALSE),0))*VLOOKUP($D161,素材!$1:$1016,COLUMN($E$1),FALSE),0),"")</f>
        <v>0</v>
      </c>
      <c r="J161">
        <f>IFERROR(ROUNDDOWN((VLOOKUP($C161,武器!$1:$998,COLUMN(H$1),FALSE)+IFERROR(VLOOKUP($CJ161,装強!$1:$999,COLUMN(J$1),FALSE),0))*VLOOKUP($D161,素材!$1:$1016,COLUMN($E$1),FALSE),0),"")</f>
        <v>17</v>
      </c>
      <c r="K161">
        <f>IFERROR(ROUNDDOWN((VLOOKUP($C161,武器!$1:$998,COLUMN(I$1),FALSE)+IFERROR(VLOOKUP($CJ161,装強!$1:$999,COLUMN(K$1),FALSE),0))*VLOOKUP($D161,素材!$1:$1016,COLUMN($E$1),FALSE),0),"")</f>
        <v>0</v>
      </c>
      <c r="L161" t="str">
        <f>IFERROR(VLOOKUP($D161,素材!$1:$1016,COLUMN($F$1),FALSE),"")</f>
        <v>雷</v>
      </c>
      <c r="M161">
        <f>IFERROR(VLOOKUP($C161,武器!$1:$998,COLUMN(AA$1),FALSE)*VLOOKUP($D161,素材!$1:$1016,COLUMN($G$1),FALSE),"")</f>
        <v>38.5</v>
      </c>
      <c r="N161">
        <f>IFERROR(VLOOKUP($C161,武器!$1:$998,COLUMN(I$1),FALSE),"")</f>
        <v>0</v>
      </c>
      <c r="O161" s="23">
        <f>IFERROR((VLOOKUP($C161,武器!$1:$998,COLUMN(K$1),FALSE)+VLOOKUP($D161,素材!$1:$1016,COLUMN(H$1),FALSE))*100+IFERROR(VLOOKUP($CJ161,装強!$1:$999,COLUMN(O$1),FALSE),0),"")</f>
        <v>10</v>
      </c>
      <c r="P161" s="23">
        <f>IFERROR((VLOOKUP($C161,武器!$1:$998,COLUMN(L$1),FALSE)+VLOOKUP($D161,素材!$1:$1016,COLUMN(I$1),FALSE))*100+IFERROR(VLOOKUP($CJ161,装強!$1:$999,COLUMN(P$1),FALSE),0),"")</f>
        <v>150</v>
      </c>
      <c r="Q161">
        <f>IFERROR(ROUNDUP(VLOOKUP($C161,武器!$1:$998,COLUMN(M$1),FALSE)*(VLOOKUP($D161,素材!$1:$1002,COLUMN(D$1),FALSE)/100),1),"")</f>
        <v>0</v>
      </c>
      <c r="R161">
        <f>IFERROR(ROUNDUP(VLOOKUP($C161,武器!$1:$998,COLUMN(N$1),FALSE)*(VLOOKUP($D161,素材!$1:$1002,COLUMN(D$1),FALSE)/100),1),"")</f>
        <v>0</v>
      </c>
      <c r="S161">
        <f>IFERROR(VLOOKUP($C161,武器!$1:$998,COLUMN(P$1),FALSE),"")</f>
        <v>0</v>
      </c>
      <c r="T161">
        <f>IFERROR(VLOOKUP($C161,武器!$1:$998,COLUMN(Q$1),FALSE),"")</f>
        <v>0</v>
      </c>
      <c r="U161">
        <f>IFERROR(VLOOKUP($C161,武器!$1:$998,COLUMN(R$1),FALSE),"")</f>
        <v>0</v>
      </c>
      <c r="V161">
        <f>IFERROR(VLOOKUP($C161,武器!$1:$998,COLUMN(Q$1),FALSE),"")</f>
        <v>0</v>
      </c>
      <c r="W161" t="str">
        <f>IFERROR(VLOOKUP($C161,武器!$1:$998,COLUMN(T$1),FALSE),"")</f>
        <v>A</v>
      </c>
      <c r="Y161" t="str">
        <f>IFERROR(VLOOKUP($C161,武器!$1:$998,COLUMN(U$1),FALSE),"")</f>
        <v>片手適正Ⅰ</v>
      </c>
      <c r="Z161">
        <f>IFERROR(ROUNDUP(VLOOKUP($C161,武器!$1:$998,COLUMN(O$1),FALSE)*VLOOKUP($D161,素材!$1:$1016,COLUMN(E$1),FALSE),1),"")</f>
        <v>0</v>
      </c>
      <c r="AA161">
        <f>IF(ISNUMBER(SEARCH(SUBSTITUTE(AA$1,RIGHT(AA$1,2),""),VLOOKUP($D161,素材!$1:$1016,COLUMN($F$1),FALSE))),VLOOKUP($C161,武器!$1:$998,COLUMN($O$1),FALSE)*VLOOKUP($D161,素材!$1:$1016,COLUMN($E$1),FALSE)/(LEN(VLOOKUP($D161,素材!$1:$1016,COLUMN($F$1),FALSE))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B161">
        <f>IF(ISNUMBER(SEARCH(SUBSTITUTE(AB$1,RIGHT(AB$1,2),""),VLOOKUP($D161,素材!$1:$1016,COLUMN($F$1),FALSE))),VLOOKUP($C161,武器!$1:$998,COLUMN($O$1),FALSE)*VLOOKUP($D161,素材!$1:$1016,COLUMN($E$1),FALSE)/(LEN(VLOOKUP($D161,素材!$1:$1016,COLUMN($F$1),FALSE))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C161">
        <f>IF(ISNUMBER(SEARCH(SUBSTITUTE(AC$1,RIGHT(AC$1,2),""),VLOOKUP($D161,素材!$1:$1016,COLUMN($F$1),FALSE))),VLOOKUP($C161,武器!$1:$998,COLUMN($O$1),FALSE)*VLOOKUP($D161,素材!$1:$1016,COLUMN($E$1),FALSE)/(LEN(VLOOKUP($D161,素材!$1:$1016,COLUMN($F$1),FALSE))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D161">
        <f>IF(ISNUMBER(SEARCH(SUBSTITUTE(AD$1,RIGHT(AD$1,2),""),VLOOKUP($D161,素材!$1:$1016,COLUMN($F$1),FALSE))),VLOOKUP($C161,武器!$1:$998,COLUMN($O$1),FALSE)*VLOOKUP($D161,素材!$1:$1016,COLUMN($E$1),FALSE)/(LEN(VLOOKUP($D161,素材!$1:$1016,COLUMN($F$1),FALSE))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E161">
        <f>IF(ISNUMBER(SEARCH(SUBSTITUTE(AE$1,RIGHT(AE$1,2),""),VLOOKUP($D161,素材!$1:$1016,COLUMN($F$1),FALSE))),VLOOKUP($C161,武器!$1:$998,COLUMN($O$1),FALSE)*VLOOKUP($D161,素材!$1:$1016,COLUMN($E$1),FALSE)/(LEN(VLOOKUP($D161,素材!$1:$1016,COLUMN($F$1),FALSE))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F161">
        <f>IF(ISNUMBER(SEARCH(SUBSTITUTE(AF$1,RIGHT(AF$1,2),""),VLOOKUP($D161,素材!$1:$1016,COLUMN($F$1),FALSE))),VLOOKUP($C161,武器!$1:$998,COLUMN($O$1),FALSE)*VLOOKUP($D161,素材!$1:$1016,COLUMN($E$1),FALSE)/(LEN(VLOOKUP($D161,素材!$1:$1016,COLUMN($F$1),FALSE))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G161">
        <f>IF(ISNUMBER(SEARCH(SUBSTITUTE(AG$1,RIGHT(AG$1,2),""),VLOOKUP($D161,素材!$1:$1016,COLUMN($F$1),FALSE))),VLOOKUP($C161,武器!$1:$998,COLUMN($O$1),FALSE)*VLOOKUP($D161,素材!$1:$1016,COLUMN($E$1),FALSE)/(LEN(VLOOKUP($D161,素材!$1:$1016,COLUMN($F$1),FALSE))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H161">
        <f>IF(ISNUMBER(SEARCH(SUBSTITUTE(AH$1,RIGHT(AH$1,2),""),VLOOKUP($D161,素材!$1:$1016,COLUMN($F$1),FALSE))),VLOOKUP($C161,武器!$1:$998,COLUMN($O$1),FALSE)*VLOOKUP($D161,素材!$1:$1016,COLUMN($E$1),FALSE)/(LEN(VLOOKUP($D161,素材!$1:$1016,COLUMN($F$1),FALSE))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I161">
        <f>IF(ISNUMBER(SEARCH(SUBSTITUTE(AI$1,RIGHT(AI$1,2),""),VLOOKUP($D161,素材!$1:$1016,COLUMN($F$1),FALSE))),VLOOKUP($C161,武器!$1:$998,COLUMN($O$1),FALSE)*VLOOKUP($D161,素材!$1:$1016,COLUMN($E$1),FALSE)/(LEN(VLOOKUP($D161,素材!$1:$1016,COLUMN($F$1),FALSE))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J161">
        <f>IF(ISNUMBER(SEARCH(SUBSTITUTE(AJ$1,RIGHT(AJ$1,2),""),VLOOKUP($D161,素材!$1:$1016,COLUMN($F$1),FALSE))),VLOOKUP($C161,武器!$1:$998,COLUMN($O$1),FALSE)*VLOOKUP($D161,素材!$1:$1016,COLUMN($E$1),FALSE)/(LEN(VLOOKUP($D161,素材!$1:$1016,COLUMN($F$1),FALSE))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K161">
        <f>IF(ISNUMBER(SEARCH(SUBSTITUTE(AK$1,RIGHT(AK$1,2),""),VLOOKUP($D161,素材!$1:$1016,COLUMN($F$1),FALSE))),VLOOKUP($C161,武器!$1:$998,COLUMN($O$1),FALSE)*VLOOKUP($D161,素材!$1:$1016,COLUMN($E$1),FALSE)/(LEN(VLOOKUP($D161,素材!$1:$1016,COLUMN($F$1),FALSE))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L161">
        <f>IF(ISNUMBER(SEARCH(SUBSTITUTE(AL$1,RIGHT(AL$1,2),""),VLOOKUP($D161,素材!$1:$1016,COLUMN($F$1),FALSE))),VLOOKUP($C161,武器!$1:$998,COLUMN($O$1),FALSE)*VLOOKUP($D161,素材!$1:$1016,COLUMN($E$1),FALSE)/(LEN(VLOOKUP($D161,素材!$1:$1016,COLUMN($F$1),FALSE))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M161">
        <f>IF(ISNUMBER(SEARCH(SUBSTITUTE(AM$1,RIGHT(AM$1,2),""),VLOOKUP($D161,素材!$1:$1016,COLUMN($F$1),FALSE))),VLOOKUP($C161,武器!$1:$998,COLUMN($O$1),FALSE)*VLOOKUP($D161,素材!$1:$1016,COLUMN($E$1),FALSE)/(LEN(VLOOKUP($D161,素材!$1:$1016,COLUMN($F$1),FALSE))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N161">
        <f>IF(ISNUMBER(SEARCH(SUBSTITUTE(AN$1,RIGHT(AN$1,2),""),VLOOKUP($D161,素材!$1:$1016,COLUMN($F$1),FALSE))),VLOOKUP($C161,武器!$1:$998,COLUMN($O$1),FALSE)*VLOOKUP($D161,素材!$1:$1016,COLUMN($E$1),FALSE)/(LEN(VLOOKUP($D161,素材!$1:$1016,COLUMN($F$1),FALSE))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O161">
        <f>IF(ISNUMBER(SEARCH(SUBSTITUTE(AO$1,RIGHT(AO$1,2),""),VLOOKUP($D161,素材!$1:$1016,COLUMN($F$1),FALSE))),VLOOKUP($C161,武器!$1:$998,COLUMN($O$1),FALSE)*VLOOKUP($D161,素材!$1:$1016,COLUMN($E$1),FALSE)/(LEN(VLOOKUP($D161,素材!$1:$1016,COLUMN($F$1),FALSE))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P161">
        <f>IF(ISNUMBER(SEARCH(SUBSTITUTE(AP$1,RIGHT(AP$1,2),""),VLOOKUP($D161,素材!$1:$1016,COLUMN($F$1),FALSE))),VLOOKUP($C161,武器!$1:$998,COLUMN($O$1),FALSE)*VLOOKUP($D161,素材!$1:$1016,COLUMN($E$1),FALSE)/(LEN(VLOOKUP($D161,素材!$1:$1016,COLUMN($F$1),FALSE))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Q161">
        <f>IF(ISNUMBER(SEARCH(SUBSTITUTE(AQ$1,RIGHT(AQ$1,2),""),VLOOKUP($D161,素材!$1:$1016,COLUMN($F$1),FALSE))),VLOOKUP($C161,武器!$1:$998,COLUMN($O$1),FALSE)*VLOOKUP($D161,素材!$1:$1016,COLUMN($E$1),FALSE)/(LEN(VLOOKUP($D161,素材!$1:$1016,COLUMN($F$1),FALSE))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R161">
        <f>IF(ISNUMBER(SEARCH(SUBSTITUTE(AR$1,RIGHT(AR$1,2),""),VLOOKUP($D161,素材!$1:$1016,COLUMN($F$1),FALSE))),VLOOKUP($C161,武器!$1:$998,COLUMN($O$1),FALSE)*VLOOKUP($D161,素材!$1:$1016,COLUMN($E$1),FALSE)/(LEN(VLOOKUP($D161,素材!$1:$1016,COLUMN($F$1),FALSE))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S161">
        <f>IF(ISNUMBER(SEARCH(SUBSTITUTE(AS$1,RIGHT(AS$1,2),""),VLOOKUP($D161,素材!$1:$1016,COLUMN($F$1),FALSE))),VLOOKUP($C161,武器!$1:$998,COLUMN($O$1),FALSE)*VLOOKUP($D161,素材!$1:$1016,COLUMN($E$1),FALSE)/(LEN(VLOOKUP($D161,素材!$1:$1016,COLUMN($F$1),FALSE))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T161">
        <f>IF(ISNUMBER(SEARCH(SUBSTITUTE(AT$1,RIGHT(AT$1,2),""),VLOOKUP($D161,素材!$1:$1016,COLUMN($F$1),FALSE))),VLOOKUP($C161,武器!$1:$998,COLUMN($O$1),FALSE)*VLOOKUP($D161,素材!$1:$1016,COLUMN($E$1),FALSE)/(LEN(VLOOKUP($D161,素材!$1:$1016,COLUMN($F$1),FALSE))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U161">
        <f>IF(ISNUMBER(SEARCH(SUBSTITUTE(AU$1,RIGHT(AU$1,2),""),VLOOKUP($D161,素材!$1:$1016,COLUMN($F$1),FALSE))),VLOOKUP($C161,武器!$1:$998,COLUMN($O$1),FALSE)*VLOOKUP($D161,素材!$1:$1016,COLUMN($E$1),FALSE)/(LEN(VLOOKUP($D161,素材!$1:$1016,COLUMN($F$1),FALSE))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V161">
        <f>IF(ISNUMBER(SEARCH(SUBSTITUTE(AV$1,RIGHT(AV$1,2),""),VLOOKUP($D161,素材!$1:$1016,COLUMN($F$1),FALSE))),VLOOKUP($C161,武器!$1:$998,COLUMN($O$1),FALSE)*VLOOKUP($D161,素材!$1:$1016,COLUMN($E$1),FALSE)/(LEN(VLOOKUP($D161,素材!$1:$1016,COLUMN($F$1),FALSE))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W161">
        <f>IF(ISNUMBER(SEARCH(SUBSTITUTE(AW$1,RIGHT(AW$1,2),""),VLOOKUP($D161,素材!$1:$1016,COLUMN($F$1),FALSE))),VLOOKUP($C161,武器!$1:$998,COLUMN($O$1),FALSE)*VLOOKUP($D161,素材!$1:$1016,COLUMN($E$1),FALSE)/(LEN(VLOOKUP($D161,素材!$1:$1016,COLUMN($F$1),FALSE))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X161">
        <f>IF(ISNUMBER(SEARCH(SUBSTITUTE(AX$1,RIGHT(AX$1,2),""),VLOOKUP($D161,素材!$1:$1016,COLUMN($F$1),FALSE))),VLOOKUP($C161,武器!$1:$998,COLUMN($O$1),FALSE)*VLOOKUP($D161,素材!$1:$1016,COLUMN($E$1),FALSE)/(LEN(VLOOKUP($D161,素材!$1:$1016,COLUMN($F$1),FALSE))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Y161">
        <f>IF(ISNUMBER(SEARCH(SUBSTITUTE(AY$1,RIGHT(AY$1,2),""),VLOOKUP($D161,素材!$1:$1016,COLUMN($F$1),FALSE))),VLOOKUP($C161,武器!$1:$998,COLUMN($O$1),FALSE)*VLOOKUP($D161,素材!$1:$1016,COLUMN($E$1),FALSE)/(LEN(VLOOKUP($D161,素材!$1:$1016,COLUMN($F$1),FALSE))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AZ161">
        <f>IF(ISNUMBER(SEARCH(SUBSTITUTE(AZ$1,RIGHT(AZ$1,2),""),VLOOKUP($D161,素材!$1:$1016,COLUMN($F$1),FALSE))),VLOOKUP($C161,武器!$1:$998,COLUMN($O$1),FALSE)*VLOOKUP($D161,素材!$1:$1016,COLUMN($E$1),FALSE)/(LEN(VLOOKUP($D161,素材!$1:$1016,COLUMN($F$1),FALSE))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BA161">
        <f>IF(ISNUMBER(SEARCH(SUBSTITUTE(BA$1,RIGHT(BA$1,2),""),VLOOKUP($D161,素材!$1:$1016,COLUMN($F$1),FALSE))),VLOOKUP($C161,武器!$1:$998,COLUMN($O$1),FALSE)*VLOOKUP($D161,素材!$1:$1016,COLUMN($E$1),FALSE)/(LEN(VLOOKUP($D161,素材!$1:$1016,COLUMN($F$1),FALSE))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BB161">
        <f>IF(ISNUMBER(SEARCH(SUBSTITUTE(BB$1,RIGHT(BB$1,2),""),VLOOKUP($D161,素材!$1:$1016,COLUMN($F$1),FALSE))),VLOOKUP($C161,武器!$1:$998,COLUMN($O$1),FALSE)*VLOOKUP($D161,素材!$1:$1016,COLUMN($E$1),FALSE)/(LEN(VLOOKUP($D161,素材!$1:$1016,COLUMN($F$1),FALSE))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BC161">
        <f>IF(ISNUMBER(SEARCH(SUBSTITUTE(BC$1,RIGHT(BC$1,2),""),VLOOKUP($D161,素材!$1:$1016,COLUMN($F$1),FALSE))),VLOOKUP($C161,武器!$1:$998,COLUMN($O$1),FALSE)*VLOOKUP($D161,素材!$1:$1016,COLUMN($E$1),FALSE)/(LEN(VLOOKUP($D161,素材!$1:$1016,COLUMN($F$1),FALSE))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BD161">
        <f>IF(ISNUMBER(SEARCH(SUBSTITUTE(BD$1,RIGHT(BD$1,2),""),VLOOKUP($D161,素材!$1:$1016,COLUMN($F$1),FALSE))),VLOOKUP($C161,武器!$1:$998,COLUMN($O$1),FALSE)*VLOOKUP($D161,素材!$1:$1016,COLUMN($E$1),FALSE)/(LEN(VLOOKUP($D161,素材!$1:$1016,COLUMN($F$1),FALSE))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BE161">
        <f>IF(ISNUMBER(SEARCH(SUBSTITUTE(BE$1,RIGHT(BE$1,2),""),VLOOKUP($D161,素材!$1:$1016,COLUMN($F$1),FALSE))),VLOOKUP($C161,武器!$1:$998,COLUMN($O$1),FALSE)*VLOOKUP($D161,素材!$1:$1016,COLUMN($E$1),FALSE)/(LEN(VLOOKUP($D161,素材!$1:$1016,COLUMN($F$1),FALSE))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BF161">
        <f>IF(ISNUMBER(SEARCH(SUBSTITUTE(BF$1,RIGHT(BF$1,2),""),VLOOKUP($D161,素材!$1:$1016,COLUMN($F$1),FALSE))),VLOOKUP($C161,武器!$1:$998,COLUMN($O$1),FALSE)*VLOOKUP($D161,素材!$1:$1016,COLUMN($E$1),FALSE)/(LEN(VLOOKUP($D161,素材!$1:$1016,COLUMN($F$1),FALSE)) - LEN(SUBSTITUTE(VLOOKUP($D161,素材!$1:$1016,COLUMN($F$1),FALSE), "・", 0)) + 1), 0)</f>
        <v>0</v>
      </c>
      <c r="CM161">
        <f t="shared" si="19"/>
        <v>22</v>
      </c>
      <c r="CN161" s="22" t="str">
        <f>IF(E161="武器",IF(J161-1&gt;SUM(G161:I161),"盾",IF(MAX(G161:I161)=G161,"切断",IF(MAX(G161:I161)=H161,"貫通",IF(MAX(G161:I161)=I161,"打撃","射撃")))),E161)&amp;".webp"</f>
        <v>貫通.webp</v>
      </c>
      <c r="CO161">
        <f>IFERROR(VLOOKUP($C161,武器!$1:$998,COLUMN(V$1),FALSE)*VLOOKUP($D161,素材!$1:$1016,COLUMN(N$1),FALSE)+IF(CJ161="",0,VLOOKUP($CJ161,装強!$1:$1008,COLUMN($CL$1),FALSE)),"")</f>
        <v>2250</v>
      </c>
      <c r="CP161">
        <f>VLOOKUP(D161,素材!$A:$O,COLUMN(素材!O$1),FALSE)</f>
        <v>0</v>
      </c>
      <c r="CQ161" t="str">
        <f>VLOOKUP(C161,武器!$A:$W,COLUMN(武器!W$1),FALSE)</f>
        <v>刺剣。小型で精密な攻撃が可能な武器。</v>
      </c>
      <c r="CS161" t="str">
        <f t="shared" si="21"/>
        <v>e_161</v>
      </c>
      <c r="CT161">
        <f t="shared" si="24"/>
        <v>225000</v>
      </c>
    </row>
    <row r="162" spans="1:98" outlineLevel="1" x14ac:dyDescent="0.4">
      <c r="A162" t="str">
        <f t="shared" si="29"/>
        <v>黒鋼鉄の短槍</v>
      </c>
      <c r="B162" t="str">
        <f>IFERROR(VLOOKUP($D162,素材!$1:$1016,COLUMN($B$1),FALSE)&amp;"・"&amp;VLOOKUP($C162,武器!$1:$998,COLUMN(B$1),FALSE),"")</f>
        <v>ブラックスティール・ショートスピア</v>
      </c>
      <c r="C162" s="24" t="s">
        <v>234</v>
      </c>
      <c r="D162" s="24" t="s">
        <v>244</v>
      </c>
      <c r="E162" t="str">
        <f>IFERROR(VLOOKUP(C162,武器!$1:$998,COLUMN(C$1),FALSE),"")</f>
        <v>武器</v>
      </c>
      <c r="F162">
        <f>IFERROR(ROUNDDOWN((VLOOKUP($C162,武器!$1:$998,COLUMN(D$1),FALSE)+IFERROR(VLOOKUP($CJ162,装強!$1:$999,COLUMN(F$1),FALSE),0))*VLOOKUP($D162,素材!$1:$1016,COLUMN(D$1),FALSE),0),"")</f>
        <v>105</v>
      </c>
      <c r="G162">
        <f>IFERROR(ROUNDDOWN((VLOOKUP($C162,武器!$1:$998,COLUMN(E$1),FALSE)+IFERROR(VLOOKUP($CJ162,装強!$1:$999,COLUMN(G$1),FALSE),0))*VLOOKUP($D162,素材!$1:$1016,COLUMN($E$1),FALSE),0),"")</f>
        <v>8</v>
      </c>
      <c r="H162">
        <f>IFERROR(ROUNDDOWN((VLOOKUP($C162,武器!$1:$998,COLUMN(F$1),FALSE)+IFERROR(VLOOKUP($CJ162,装強!$1:$999,COLUMN(H$1),FALSE),0))*VLOOKUP($D162,素材!$1:$1016,COLUMN($E$1),FALSE),0),"")</f>
        <v>14</v>
      </c>
      <c r="I162">
        <f>IFERROR(ROUNDDOWN((VLOOKUP($C162,武器!$1:$998,COLUMN(G$1),FALSE)+IFERROR(VLOOKUP($CJ162,装強!$1:$999,COLUMN(I$1),FALSE),0))*VLOOKUP($D162,素材!$1:$1016,COLUMN($E$1),FALSE),0),"")</f>
        <v>3</v>
      </c>
      <c r="J162">
        <f>IFERROR(ROUNDDOWN((VLOOKUP($C162,武器!$1:$998,COLUMN(H$1),FALSE)+IFERROR(VLOOKUP($CJ162,装強!$1:$999,COLUMN(J$1),FALSE),0))*VLOOKUP($D162,素材!$1:$1016,COLUMN($E$1),FALSE),0),"")</f>
        <v>17</v>
      </c>
      <c r="K162">
        <f>IFERROR(ROUNDDOWN((VLOOKUP($C162,武器!$1:$998,COLUMN(I$1),FALSE)+IFERROR(VLOOKUP($CJ162,装強!$1:$999,COLUMN(K$1),FALSE),0))*VLOOKUP($D162,素材!$1:$1016,COLUMN($E$1),FALSE),0),"")</f>
        <v>0</v>
      </c>
      <c r="L162" t="str">
        <f>IFERROR(VLOOKUP($D162,素材!$1:$1016,COLUMN($F$1),FALSE),"")</f>
        <v>雷</v>
      </c>
      <c r="M162">
        <f>IFERROR(VLOOKUP($C162,武器!$1:$998,COLUMN(AA$1),FALSE)*VLOOKUP($D162,素材!$1:$1016,COLUMN($G$1),FALSE),"")</f>
        <v>43.75</v>
      </c>
      <c r="N162">
        <f>IFERROR(VLOOKUP($C162,武器!$1:$998,COLUMN(I$1),FALSE),"")</f>
        <v>0</v>
      </c>
      <c r="O162" s="23">
        <f>IFERROR((VLOOKUP($C162,武器!$1:$998,COLUMN(K$1),FALSE)+VLOOKUP($D162,素材!$1:$1016,COLUMN(H$1),FALSE))*100+IFERROR(VLOOKUP($CJ162,装強!$1:$999,COLUMN(O$1),FALSE),0),"")</f>
        <v>10</v>
      </c>
      <c r="P162" s="23">
        <f>IFERROR((VLOOKUP($C162,武器!$1:$998,COLUMN(L$1),FALSE)+VLOOKUP($D162,素材!$1:$1016,COLUMN(I$1),FALSE))*100+IFERROR(VLOOKUP($CJ162,装強!$1:$999,COLUMN(P$1),FALSE),0),"")</f>
        <v>150</v>
      </c>
      <c r="Q162">
        <f>IFERROR(ROUNDUP(VLOOKUP($C162,武器!$1:$998,COLUMN(M$1),FALSE)*(VLOOKUP($D162,素材!$1:$1002,COLUMN(D$1),FALSE)/100),1),"")</f>
        <v>0</v>
      </c>
      <c r="R162">
        <f>IFERROR(ROUNDUP(VLOOKUP($C162,武器!$1:$998,COLUMN(N$1),FALSE)*(VLOOKUP($D162,素材!$1:$1002,COLUMN(D$1),FALSE)/100),1),"")</f>
        <v>0</v>
      </c>
      <c r="S162">
        <f>IFERROR(VLOOKUP($C162,武器!$1:$998,COLUMN(P$1),FALSE),"")</f>
        <v>0</v>
      </c>
      <c r="T162">
        <f>IFERROR(VLOOKUP($C162,武器!$1:$998,COLUMN(Q$1),FALSE),"")</f>
        <v>0</v>
      </c>
      <c r="U162">
        <f>IFERROR(VLOOKUP($C162,武器!$1:$998,COLUMN(R$1),FALSE),"")</f>
        <v>0</v>
      </c>
      <c r="V162">
        <f>IFERROR(VLOOKUP($C162,武器!$1:$998,COLUMN(Q$1),FALSE),"")</f>
        <v>0</v>
      </c>
      <c r="W162" t="str">
        <f>IFERROR(VLOOKUP($C162,武器!$1:$998,COLUMN(T$1),FALSE),"")</f>
        <v>A</v>
      </c>
      <c r="Y162" t="str">
        <f>IFERROR(VLOOKUP($C162,武器!$1:$998,COLUMN(U$1),FALSE),"")</f>
        <v>投擲強化</v>
      </c>
      <c r="Z162">
        <f>IFERROR(ROUNDUP(VLOOKUP($C162,武器!$1:$998,COLUMN(O$1),FALSE)*VLOOKUP($D162,素材!$1:$1016,COLUMN(E$1),FALSE),1),"")</f>
        <v>0</v>
      </c>
      <c r="AA162">
        <f>IF(ISNUMBER(SEARCH(SUBSTITUTE(AA$1,RIGHT(AA$1,2),""),VLOOKUP($D162,素材!$1:$1016,COLUMN($F$1),FALSE))),VLOOKUP($C162,武器!$1:$998,COLUMN($O$1),FALSE)*VLOOKUP($D162,素材!$1:$1016,COLUMN($E$1),FALSE)/(LEN(VLOOKUP($D162,素材!$1:$1016,COLUMN($F$1),FALSE))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B162">
        <f>IF(ISNUMBER(SEARCH(SUBSTITUTE(AB$1,RIGHT(AB$1,2),""),VLOOKUP($D162,素材!$1:$1016,COLUMN($F$1),FALSE))),VLOOKUP($C162,武器!$1:$998,COLUMN($O$1),FALSE)*VLOOKUP($D162,素材!$1:$1016,COLUMN($E$1),FALSE)/(LEN(VLOOKUP($D162,素材!$1:$1016,COLUMN($F$1),FALSE))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C162">
        <f>IF(ISNUMBER(SEARCH(SUBSTITUTE(AC$1,RIGHT(AC$1,2),""),VLOOKUP($D162,素材!$1:$1016,COLUMN($F$1),FALSE))),VLOOKUP($C162,武器!$1:$998,COLUMN($O$1),FALSE)*VLOOKUP($D162,素材!$1:$1016,COLUMN($E$1),FALSE)/(LEN(VLOOKUP($D162,素材!$1:$1016,COLUMN($F$1),FALSE))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D162">
        <f>IF(ISNUMBER(SEARCH(SUBSTITUTE(AD$1,RIGHT(AD$1,2),""),VLOOKUP($D162,素材!$1:$1016,COLUMN($F$1),FALSE))),VLOOKUP($C162,武器!$1:$998,COLUMN($O$1),FALSE)*VLOOKUP($D162,素材!$1:$1016,COLUMN($E$1),FALSE)/(LEN(VLOOKUP($D162,素材!$1:$1016,COLUMN($F$1),FALSE))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E162">
        <f>IF(ISNUMBER(SEARCH(SUBSTITUTE(AE$1,RIGHT(AE$1,2),""),VLOOKUP($D162,素材!$1:$1016,COLUMN($F$1),FALSE))),VLOOKUP($C162,武器!$1:$998,COLUMN($O$1),FALSE)*VLOOKUP($D162,素材!$1:$1016,COLUMN($E$1),FALSE)/(LEN(VLOOKUP($D162,素材!$1:$1016,COLUMN($F$1),FALSE))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F162">
        <f>IF(ISNUMBER(SEARCH(SUBSTITUTE(AF$1,RIGHT(AF$1,2),""),VLOOKUP($D162,素材!$1:$1016,COLUMN($F$1),FALSE))),VLOOKUP($C162,武器!$1:$998,COLUMN($O$1),FALSE)*VLOOKUP($D162,素材!$1:$1016,COLUMN($E$1),FALSE)/(LEN(VLOOKUP($D162,素材!$1:$1016,COLUMN($F$1),FALSE))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G162">
        <f>IF(ISNUMBER(SEARCH(SUBSTITUTE(AG$1,RIGHT(AG$1,2),""),VLOOKUP($D162,素材!$1:$1016,COLUMN($F$1),FALSE))),VLOOKUP($C162,武器!$1:$998,COLUMN($O$1),FALSE)*VLOOKUP($D162,素材!$1:$1016,COLUMN($E$1),FALSE)/(LEN(VLOOKUP($D162,素材!$1:$1016,COLUMN($F$1),FALSE))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H162">
        <f>IF(ISNUMBER(SEARCH(SUBSTITUTE(AH$1,RIGHT(AH$1,2),""),VLOOKUP($D162,素材!$1:$1016,COLUMN($F$1),FALSE))),VLOOKUP($C162,武器!$1:$998,COLUMN($O$1),FALSE)*VLOOKUP($D162,素材!$1:$1016,COLUMN($E$1),FALSE)/(LEN(VLOOKUP($D162,素材!$1:$1016,COLUMN($F$1),FALSE))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I162">
        <f>IF(ISNUMBER(SEARCH(SUBSTITUTE(AI$1,RIGHT(AI$1,2),""),VLOOKUP($D162,素材!$1:$1016,COLUMN($F$1),FALSE))),VLOOKUP($C162,武器!$1:$998,COLUMN($O$1),FALSE)*VLOOKUP($D162,素材!$1:$1016,COLUMN($E$1),FALSE)/(LEN(VLOOKUP($D162,素材!$1:$1016,COLUMN($F$1),FALSE))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J162">
        <f>IF(ISNUMBER(SEARCH(SUBSTITUTE(AJ$1,RIGHT(AJ$1,2),""),VLOOKUP($D162,素材!$1:$1016,COLUMN($F$1),FALSE))),VLOOKUP($C162,武器!$1:$998,COLUMN($O$1),FALSE)*VLOOKUP($D162,素材!$1:$1016,COLUMN($E$1),FALSE)/(LEN(VLOOKUP($D162,素材!$1:$1016,COLUMN($F$1),FALSE))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K162">
        <f>IF(ISNUMBER(SEARCH(SUBSTITUTE(AK$1,RIGHT(AK$1,2),""),VLOOKUP($D162,素材!$1:$1016,COLUMN($F$1),FALSE))),VLOOKUP($C162,武器!$1:$998,COLUMN($O$1),FALSE)*VLOOKUP($D162,素材!$1:$1016,COLUMN($E$1),FALSE)/(LEN(VLOOKUP($D162,素材!$1:$1016,COLUMN($F$1),FALSE))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L162">
        <f>IF(ISNUMBER(SEARCH(SUBSTITUTE(AL$1,RIGHT(AL$1,2),""),VLOOKUP($D162,素材!$1:$1016,COLUMN($F$1),FALSE))),VLOOKUP($C162,武器!$1:$998,COLUMN($O$1),FALSE)*VLOOKUP($D162,素材!$1:$1016,COLUMN($E$1),FALSE)/(LEN(VLOOKUP($D162,素材!$1:$1016,COLUMN($F$1),FALSE))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M162">
        <f>IF(ISNUMBER(SEARCH(SUBSTITUTE(AM$1,RIGHT(AM$1,2),""),VLOOKUP($D162,素材!$1:$1016,COLUMN($F$1),FALSE))),VLOOKUP($C162,武器!$1:$998,COLUMN($O$1),FALSE)*VLOOKUP($D162,素材!$1:$1016,COLUMN($E$1),FALSE)/(LEN(VLOOKUP($D162,素材!$1:$1016,COLUMN($F$1),FALSE))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N162">
        <f>IF(ISNUMBER(SEARCH(SUBSTITUTE(AN$1,RIGHT(AN$1,2),""),VLOOKUP($D162,素材!$1:$1016,COLUMN($F$1),FALSE))),VLOOKUP($C162,武器!$1:$998,COLUMN($O$1),FALSE)*VLOOKUP($D162,素材!$1:$1016,COLUMN($E$1),FALSE)/(LEN(VLOOKUP($D162,素材!$1:$1016,COLUMN($F$1),FALSE))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O162">
        <f>IF(ISNUMBER(SEARCH(SUBSTITUTE(AO$1,RIGHT(AO$1,2),""),VLOOKUP($D162,素材!$1:$1016,COLUMN($F$1),FALSE))),VLOOKUP($C162,武器!$1:$998,COLUMN($O$1),FALSE)*VLOOKUP($D162,素材!$1:$1016,COLUMN($E$1),FALSE)/(LEN(VLOOKUP($D162,素材!$1:$1016,COLUMN($F$1),FALSE))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P162">
        <f>IF(ISNUMBER(SEARCH(SUBSTITUTE(AP$1,RIGHT(AP$1,2),""),VLOOKUP($D162,素材!$1:$1016,COLUMN($F$1),FALSE))),VLOOKUP($C162,武器!$1:$998,COLUMN($O$1),FALSE)*VLOOKUP($D162,素材!$1:$1016,COLUMN($E$1),FALSE)/(LEN(VLOOKUP($D162,素材!$1:$1016,COLUMN($F$1),FALSE))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Q162">
        <f>IF(ISNUMBER(SEARCH(SUBSTITUTE(AQ$1,RIGHT(AQ$1,2),""),VLOOKUP($D162,素材!$1:$1016,COLUMN($F$1),FALSE))),VLOOKUP($C162,武器!$1:$998,COLUMN($O$1),FALSE)*VLOOKUP($D162,素材!$1:$1016,COLUMN($E$1),FALSE)/(LEN(VLOOKUP($D162,素材!$1:$1016,COLUMN($F$1),FALSE))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R162">
        <f>IF(ISNUMBER(SEARCH(SUBSTITUTE(AR$1,RIGHT(AR$1,2),""),VLOOKUP($D162,素材!$1:$1016,COLUMN($F$1),FALSE))),VLOOKUP($C162,武器!$1:$998,COLUMN($O$1),FALSE)*VLOOKUP($D162,素材!$1:$1016,COLUMN($E$1),FALSE)/(LEN(VLOOKUP($D162,素材!$1:$1016,COLUMN($F$1),FALSE))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S162">
        <f>IF(ISNUMBER(SEARCH(SUBSTITUTE(AS$1,RIGHT(AS$1,2),""),VLOOKUP($D162,素材!$1:$1016,COLUMN($F$1),FALSE))),VLOOKUP($C162,武器!$1:$998,COLUMN($O$1),FALSE)*VLOOKUP($D162,素材!$1:$1016,COLUMN($E$1),FALSE)/(LEN(VLOOKUP($D162,素材!$1:$1016,COLUMN($F$1),FALSE))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T162">
        <f>IF(ISNUMBER(SEARCH(SUBSTITUTE(AT$1,RIGHT(AT$1,2),""),VLOOKUP($D162,素材!$1:$1016,COLUMN($F$1),FALSE))),VLOOKUP($C162,武器!$1:$998,COLUMN($O$1),FALSE)*VLOOKUP($D162,素材!$1:$1016,COLUMN($E$1),FALSE)/(LEN(VLOOKUP($D162,素材!$1:$1016,COLUMN($F$1),FALSE))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U162">
        <f>IF(ISNUMBER(SEARCH(SUBSTITUTE(AU$1,RIGHT(AU$1,2),""),VLOOKUP($D162,素材!$1:$1016,COLUMN($F$1),FALSE))),VLOOKUP($C162,武器!$1:$998,COLUMN($O$1),FALSE)*VLOOKUP($D162,素材!$1:$1016,COLUMN($E$1),FALSE)/(LEN(VLOOKUP($D162,素材!$1:$1016,COLUMN($F$1),FALSE))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V162">
        <f>IF(ISNUMBER(SEARCH(SUBSTITUTE(AV$1,RIGHT(AV$1,2),""),VLOOKUP($D162,素材!$1:$1016,COLUMN($F$1),FALSE))),VLOOKUP($C162,武器!$1:$998,COLUMN($O$1),FALSE)*VLOOKUP($D162,素材!$1:$1016,COLUMN($E$1),FALSE)/(LEN(VLOOKUP($D162,素材!$1:$1016,COLUMN($F$1),FALSE))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W162">
        <f>IF(ISNUMBER(SEARCH(SUBSTITUTE(AW$1,RIGHT(AW$1,2),""),VLOOKUP($D162,素材!$1:$1016,COLUMN($F$1),FALSE))),VLOOKUP($C162,武器!$1:$998,COLUMN($O$1),FALSE)*VLOOKUP($D162,素材!$1:$1016,COLUMN($E$1),FALSE)/(LEN(VLOOKUP($D162,素材!$1:$1016,COLUMN($F$1),FALSE))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X162">
        <f>IF(ISNUMBER(SEARCH(SUBSTITUTE(AX$1,RIGHT(AX$1,2),""),VLOOKUP($D162,素材!$1:$1016,COLUMN($F$1),FALSE))),VLOOKUP($C162,武器!$1:$998,COLUMN($O$1),FALSE)*VLOOKUP($D162,素材!$1:$1016,COLUMN($E$1),FALSE)/(LEN(VLOOKUP($D162,素材!$1:$1016,COLUMN($F$1),FALSE))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Y162">
        <f>IF(ISNUMBER(SEARCH(SUBSTITUTE(AY$1,RIGHT(AY$1,2),""),VLOOKUP($D162,素材!$1:$1016,COLUMN($F$1),FALSE))),VLOOKUP($C162,武器!$1:$998,COLUMN($O$1),FALSE)*VLOOKUP($D162,素材!$1:$1016,COLUMN($E$1),FALSE)/(LEN(VLOOKUP($D162,素材!$1:$1016,COLUMN($F$1),FALSE))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AZ162">
        <f>IF(ISNUMBER(SEARCH(SUBSTITUTE(AZ$1,RIGHT(AZ$1,2),""),VLOOKUP($D162,素材!$1:$1016,COLUMN($F$1),FALSE))),VLOOKUP($C162,武器!$1:$998,COLUMN($O$1),FALSE)*VLOOKUP($D162,素材!$1:$1016,COLUMN($E$1),FALSE)/(LEN(VLOOKUP($D162,素材!$1:$1016,COLUMN($F$1),FALSE))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BA162">
        <f>IF(ISNUMBER(SEARCH(SUBSTITUTE(BA$1,RIGHT(BA$1,2),""),VLOOKUP($D162,素材!$1:$1016,COLUMN($F$1),FALSE))),VLOOKUP($C162,武器!$1:$998,COLUMN($O$1),FALSE)*VLOOKUP($D162,素材!$1:$1016,COLUMN($E$1),FALSE)/(LEN(VLOOKUP($D162,素材!$1:$1016,COLUMN($F$1),FALSE))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BB162">
        <f>IF(ISNUMBER(SEARCH(SUBSTITUTE(BB$1,RIGHT(BB$1,2),""),VLOOKUP($D162,素材!$1:$1016,COLUMN($F$1),FALSE))),VLOOKUP($C162,武器!$1:$998,COLUMN($O$1),FALSE)*VLOOKUP($D162,素材!$1:$1016,COLUMN($E$1),FALSE)/(LEN(VLOOKUP($D162,素材!$1:$1016,COLUMN($F$1),FALSE))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BC162">
        <f>IF(ISNUMBER(SEARCH(SUBSTITUTE(BC$1,RIGHT(BC$1,2),""),VLOOKUP($D162,素材!$1:$1016,COLUMN($F$1),FALSE))),VLOOKUP($C162,武器!$1:$998,COLUMN($O$1),FALSE)*VLOOKUP($D162,素材!$1:$1016,COLUMN($E$1),FALSE)/(LEN(VLOOKUP($D162,素材!$1:$1016,COLUMN($F$1),FALSE))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BD162">
        <f>IF(ISNUMBER(SEARCH(SUBSTITUTE(BD$1,RIGHT(BD$1,2),""),VLOOKUP($D162,素材!$1:$1016,COLUMN($F$1),FALSE))),VLOOKUP($C162,武器!$1:$998,COLUMN($O$1),FALSE)*VLOOKUP($D162,素材!$1:$1016,COLUMN($E$1),FALSE)/(LEN(VLOOKUP($D162,素材!$1:$1016,COLUMN($F$1),FALSE))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BE162">
        <f>IF(ISNUMBER(SEARCH(SUBSTITUTE(BE$1,RIGHT(BE$1,2),""),VLOOKUP($D162,素材!$1:$1016,COLUMN($F$1),FALSE))),VLOOKUP($C162,武器!$1:$998,COLUMN($O$1),FALSE)*VLOOKUP($D162,素材!$1:$1016,COLUMN($E$1),FALSE)/(LEN(VLOOKUP($D162,素材!$1:$1016,COLUMN($F$1),FALSE))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BF162">
        <f>IF(ISNUMBER(SEARCH(SUBSTITUTE(BF$1,RIGHT(BF$1,2),""),VLOOKUP($D162,素材!$1:$1016,COLUMN($F$1),FALSE))),VLOOKUP($C162,武器!$1:$998,COLUMN($O$1),FALSE)*VLOOKUP($D162,素材!$1:$1016,COLUMN($E$1),FALSE)/(LEN(VLOOKUP($D162,素材!$1:$1016,COLUMN($F$1),FALSE)) - LEN(SUBSTITUTE(VLOOKUP($D162,素材!$1:$1016,COLUMN($F$1),FALSE), "・", 0)) + 1), 0)</f>
        <v>0</v>
      </c>
      <c r="CM162">
        <f t="shared" si="19"/>
        <v>25</v>
      </c>
      <c r="CN162" s="22" t="str">
        <f>IF(E162="武器",IF(J162-1&gt;SUM(G162:I162),"盾",IF(MAX(G162:I162)=G162,"切断",IF(MAX(G162:I162)=H162,"貫通",IF(MAX(G162:I162)=I162,"打撃","射撃")))),E162)&amp;".webp"</f>
        <v>貫通.webp</v>
      </c>
      <c r="CO162">
        <f>IFERROR(VLOOKUP($C162,武器!$1:$998,COLUMN(V$1),FALSE)*VLOOKUP($D162,素材!$1:$1016,COLUMN(N$1),FALSE)+IF(CJ162="",0,VLOOKUP($CJ162,装強!$1:$1008,COLUMN($CL$1),FALSE)),"")</f>
        <v>2250</v>
      </c>
      <c r="CP162">
        <f>VLOOKUP(D162,素材!$A:$O,COLUMN(素材!O$1),FALSE)</f>
        <v>0</v>
      </c>
      <c r="CQ162" t="str">
        <f>VLOOKUP(C162,武器!$A:$W,COLUMN(武器!W$1),FALSE)</f>
        <v>短槍。短く扱いやすい槍で、投擲にも対応。</v>
      </c>
      <c r="CS162" t="str">
        <f t="shared" si="21"/>
        <v>e_162</v>
      </c>
      <c r="CT162">
        <f t="shared" si="24"/>
        <v>225000</v>
      </c>
    </row>
    <row r="163" spans="1:98" outlineLevel="1" x14ac:dyDescent="0.4">
      <c r="A163" t="str">
        <f t="shared" si="29"/>
        <v>黒鋼鉄の槍</v>
      </c>
      <c r="B163" t="str">
        <f>IFERROR(VLOOKUP($D163,素材!$1:$1016,COLUMN($B$1),FALSE)&amp;"・"&amp;VLOOKUP($C163,武器!$1:$998,COLUMN(B$1),FALSE),"")</f>
        <v>ブラックスティール・スピア</v>
      </c>
      <c r="C163" s="24" t="s">
        <v>233</v>
      </c>
      <c r="D163" s="24" t="s">
        <v>244</v>
      </c>
      <c r="E163" t="str">
        <f>IFERROR(VLOOKUP(C163,武器!$1:$998,COLUMN(C$1),FALSE),"")</f>
        <v>武器</v>
      </c>
      <c r="F163">
        <f>IFERROR(ROUNDDOWN((VLOOKUP($C163,武器!$1:$998,COLUMN(D$1),FALSE)+IFERROR(VLOOKUP($CJ163,装強!$1:$999,COLUMN(F$1),FALSE),0))*VLOOKUP($D163,素材!$1:$1016,COLUMN(D$1),FALSE),0),"")</f>
        <v>115</v>
      </c>
      <c r="G163">
        <f>IFERROR(ROUNDDOWN((VLOOKUP($C163,武器!$1:$998,COLUMN(E$1),FALSE)+IFERROR(VLOOKUP($CJ163,装強!$1:$999,COLUMN(G$1),FALSE),0))*VLOOKUP($D163,素材!$1:$1016,COLUMN($E$1),FALSE),0),"")</f>
        <v>8</v>
      </c>
      <c r="H163">
        <f>IFERROR(ROUNDDOWN((VLOOKUP($C163,武器!$1:$998,COLUMN(F$1),FALSE)+IFERROR(VLOOKUP($CJ163,装強!$1:$999,COLUMN(H$1),FALSE),0))*VLOOKUP($D163,素材!$1:$1016,COLUMN($E$1),FALSE),0),"")</f>
        <v>16</v>
      </c>
      <c r="I163">
        <f>IFERROR(ROUNDDOWN((VLOOKUP($C163,武器!$1:$998,COLUMN(G$1),FALSE)+IFERROR(VLOOKUP($CJ163,装強!$1:$999,COLUMN(I$1),FALSE),0))*VLOOKUP($D163,素材!$1:$1016,COLUMN($E$1),FALSE),0),"")</f>
        <v>3</v>
      </c>
      <c r="J163">
        <f>IFERROR(ROUNDDOWN((VLOOKUP($C163,武器!$1:$998,COLUMN(H$1),FALSE)+IFERROR(VLOOKUP($CJ163,装強!$1:$999,COLUMN(J$1),FALSE),0))*VLOOKUP($D163,素材!$1:$1016,COLUMN($E$1),FALSE),0),"")</f>
        <v>17</v>
      </c>
      <c r="K163">
        <f>IFERROR(ROUNDDOWN((VLOOKUP($C163,武器!$1:$998,COLUMN(I$1),FALSE)+IFERROR(VLOOKUP($CJ163,装強!$1:$999,COLUMN(K$1),FALSE),0))*VLOOKUP($D163,素材!$1:$1016,COLUMN($E$1),FALSE),0),"")</f>
        <v>0</v>
      </c>
      <c r="L163" t="str">
        <f>IFERROR(VLOOKUP($D163,素材!$1:$1016,COLUMN($F$1),FALSE),"")</f>
        <v>雷</v>
      </c>
      <c r="M163">
        <f>IFERROR(VLOOKUP($C163,武器!$1:$998,COLUMN(AA$1),FALSE)*VLOOKUP($D163,素材!$1:$1016,COLUMN($G$1),FALSE),"")</f>
        <v>47.25</v>
      </c>
      <c r="N163">
        <f>IFERROR(VLOOKUP($C163,武器!$1:$998,COLUMN(I$1),FALSE),"")</f>
        <v>0</v>
      </c>
      <c r="O163" s="23">
        <f>IFERROR((VLOOKUP($C163,武器!$1:$998,COLUMN(K$1),FALSE)+VLOOKUP($D163,素材!$1:$1016,COLUMN(H$1),FALSE))*100+IFERROR(VLOOKUP($CJ163,装強!$1:$999,COLUMN(O$1),FALSE),0),"")</f>
        <v>10</v>
      </c>
      <c r="P163" s="23">
        <f>IFERROR((VLOOKUP($C163,武器!$1:$998,COLUMN(L$1),FALSE)+VLOOKUP($D163,素材!$1:$1016,COLUMN(I$1),FALSE))*100+IFERROR(VLOOKUP($CJ163,装強!$1:$999,COLUMN(P$1),FALSE),0),"")</f>
        <v>150</v>
      </c>
      <c r="Q163">
        <f>IFERROR(ROUNDUP(VLOOKUP($C163,武器!$1:$998,COLUMN(M$1),FALSE)*(VLOOKUP($D163,素材!$1:$1002,COLUMN(D$1),FALSE)/100),1),"")</f>
        <v>0</v>
      </c>
      <c r="R163">
        <f>IFERROR(ROUNDUP(VLOOKUP($C163,武器!$1:$998,COLUMN(N$1),FALSE)*(VLOOKUP($D163,素材!$1:$1002,COLUMN(D$1),FALSE)/100),1),"")</f>
        <v>-5</v>
      </c>
      <c r="S163">
        <f>IFERROR(VLOOKUP($C163,武器!$1:$998,COLUMN(P$1),FALSE),"")</f>
        <v>0</v>
      </c>
      <c r="T163">
        <f>IFERROR(VLOOKUP($C163,武器!$1:$998,COLUMN(Q$1),FALSE),"")</f>
        <v>0</v>
      </c>
      <c r="U163">
        <f>IFERROR(VLOOKUP($C163,武器!$1:$998,COLUMN(R$1),FALSE),"")</f>
        <v>0</v>
      </c>
      <c r="V163">
        <f>IFERROR(VLOOKUP($C163,武器!$1:$998,COLUMN(Q$1),FALSE),"")</f>
        <v>0</v>
      </c>
      <c r="W163" t="str">
        <f>IFERROR(VLOOKUP($C163,武器!$1:$998,COLUMN(T$1),FALSE),"")</f>
        <v>A</v>
      </c>
      <c r="Y163" t="str">
        <f>IFERROR(VLOOKUP($C163,武器!$1:$998,COLUMN(U$1),FALSE),"")</f>
        <v>投擲強化</v>
      </c>
      <c r="Z163">
        <f>IFERROR(ROUNDUP(VLOOKUP($C163,武器!$1:$998,COLUMN(O$1),FALSE)*VLOOKUP($D163,素材!$1:$1016,COLUMN(E$1),FALSE),1),"")</f>
        <v>0</v>
      </c>
      <c r="AA163">
        <f>IF(ISNUMBER(SEARCH(SUBSTITUTE(AA$1,RIGHT(AA$1,2),""),VLOOKUP($D163,素材!$1:$1016,COLUMN($F$1),FALSE))),VLOOKUP($C163,武器!$1:$998,COLUMN($O$1),FALSE)*VLOOKUP($D163,素材!$1:$1016,COLUMN($E$1),FALSE)/(LEN(VLOOKUP($D163,素材!$1:$1016,COLUMN($F$1),FALSE))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B163">
        <f>IF(ISNUMBER(SEARCH(SUBSTITUTE(AB$1,RIGHT(AB$1,2),""),VLOOKUP($D163,素材!$1:$1016,COLUMN($F$1),FALSE))),VLOOKUP($C163,武器!$1:$998,COLUMN($O$1),FALSE)*VLOOKUP($D163,素材!$1:$1016,COLUMN($E$1),FALSE)/(LEN(VLOOKUP($D163,素材!$1:$1016,COLUMN($F$1),FALSE))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C163">
        <f>IF(ISNUMBER(SEARCH(SUBSTITUTE(AC$1,RIGHT(AC$1,2),""),VLOOKUP($D163,素材!$1:$1016,COLUMN($F$1),FALSE))),VLOOKUP($C163,武器!$1:$998,COLUMN($O$1),FALSE)*VLOOKUP($D163,素材!$1:$1016,COLUMN($E$1),FALSE)/(LEN(VLOOKUP($D163,素材!$1:$1016,COLUMN($F$1),FALSE))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D163">
        <f>IF(ISNUMBER(SEARCH(SUBSTITUTE(AD$1,RIGHT(AD$1,2),""),VLOOKUP($D163,素材!$1:$1016,COLUMN($F$1),FALSE))),VLOOKUP($C163,武器!$1:$998,COLUMN($O$1),FALSE)*VLOOKUP($D163,素材!$1:$1016,COLUMN($E$1),FALSE)/(LEN(VLOOKUP($D163,素材!$1:$1016,COLUMN($F$1),FALSE))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E163">
        <f>IF(ISNUMBER(SEARCH(SUBSTITUTE(AE$1,RIGHT(AE$1,2),""),VLOOKUP($D163,素材!$1:$1016,COLUMN($F$1),FALSE))),VLOOKUP($C163,武器!$1:$998,COLUMN($O$1),FALSE)*VLOOKUP($D163,素材!$1:$1016,COLUMN($E$1),FALSE)/(LEN(VLOOKUP($D163,素材!$1:$1016,COLUMN($F$1),FALSE))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F163">
        <f>IF(ISNUMBER(SEARCH(SUBSTITUTE(AF$1,RIGHT(AF$1,2),""),VLOOKUP($D163,素材!$1:$1016,COLUMN($F$1),FALSE))),VLOOKUP($C163,武器!$1:$998,COLUMN($O$1),FALSE)*VLOOKUP($D163,素材!$1:$1016,COLUMN($E$1),FALSE)/(LEN(VLOOKUP($D163,素材!$1:$1016,COLUMN($F$1),FALSE))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G163">
        <f>IF(ISNUMBER(SEARCH(SUBSTITUTE(AG$1,RIGHT(AG$1,2),""),VLOOKUP($D163,素材!$1:$1016,COLUMN($F$1),FALSE))),VLOOKUP($C163,武器!$1:$998,COLUMN($O$1),FALSE)*VLOOKUP($D163,素材!$1:$1016,COLUMN($E$1),FALSE)/(LEN(VLOOKUP($D163,素材!$1:$1016,COLUMN($F$1),FALSE))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H163">
        <f>IF(ISNUMBER(SEARCH(SUBSTITUTE(AH$1,RIGHT(AH$1,2),""),VLOOKUP($D163,素材!$1:$1016,COLUMN($F$1),FALSE))),VLOOKUP($C163,武器!$1:$998,COLUMN($O$1),FALSE)*VLOOKUP($D163,素材!$1:$1016,COLUMN($E$1),FALSE)/(LEN(VLOOKUP($D163,素材!$1:$1016,COLUMN($F$1),FALSE))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I163">
        <f>IF(ISNUMBER(SEARCH(SUBSTITUTE(AI$1,RIGHT(AI$1,2),""),VLOOKUP($D163,素材!$1:$1016,COLUMN($F$1),FALSE))),VLOOKUP($C163,武器!$1:$998,COLUMN($O$1),FALSE)*VLOOKUP($D163,素材!$1:$1016,COLUMN($E$1),FALSE)/(LEN(VLOOKUP($D163,素材!$1:$1016,COLUMN($F$1),FALSE))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J163">
        <f>IF(ISNUMBER(SEARCH(SUBSTITUTE(AJ$1,RIGHT(AJ$1,2),""),VLOOKUP($D163,素材!$1:$1016,COLUMN($F$1),FALSE))),VLOOKUP($C163,武器!$1:$998,COLUMN($O$1),FALSE)*VLOOKUP($D163,素材!$1:$1016,COLUMN($E$1),FALSE)/(LEN(VLOOKUP($D163,素材!$1:$1016,COLUMN($F$1),FALSE))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K163">
        <f>IF(ISNUMBER(SEARCH(SUBSTITUTE(AK$1,RIGHT(AK$1,2),""),VLOOKUP($D163,素材!$1:$1016,COLUMN($F$1),FALSE))),VLOOKUP($C163,武器!$1:$998,COLUMN($O$1),FALSE)*VLOOKUP($D163,素材!$1:$1016,COLUMN($E$1),FALSE)/(LEN(VLOOKUP($D163,素材!$1:$1016,COLUMN($F$1),FALSE))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L163">
        <f>IF(ISNUMBER(SEARCH(SUBSTITUTE(AL$1,RIGHT(AL$1,2),""),VLOOKUP($D163,素材!$1:$1016,COLUMN($F$1),FALSE))),VLOOKUP($C163,武器!$1:$998,COLUMN($O$1),FALSE)*VLOOKUP($D163,素材!$1:$1016,COLUMN($E$1),FALSE)/(LEN(VLOOKUP($D163,素材!$1:$1016,COLUMN($F$1),FALSE))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M163">
        <f>IF(ISNUMBER(SEARCH(SUBSTITUTE(AM$1,RIGHT(AM$1,2),""),VLOOKUP($D163,素材!$1:$1016,COLUMN($F$1),FALSE))),VLOOKUP($C163,武器!$1:$998,COLUMN($O$1),FALSE)*VLOOKUP($D163,素材!$1:$1016,COLUMN($E$1),FALSE)/(LEN(VLOOKUP($D163,素材!$1:$1016,COLUMN($F$1),FALSE))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N163">
        <f>IF(ISNUMBER(SEARCH(SUBSTITUTE(AN$1,RIGHT(AN$1,2),""),VLOOKUP($D163,素材!$1:$1016,COLUMN($F$1),FALSE))),VLOOKUP($C163,武器!$1:$998,COLUMN($O$1),FALSE)*VLOOKUP($D163,素材!$1:$1016,COLUMN($E$1),FALSE)/(LEN(VLOOKUP($D163,素材!$1:$1016,COLUMN($F$1),FALSE))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O163">
        <f>IF(ISNUMBER(SEARCH(SUBSTITUTE(AO$1,RIGHT(AO$1,2),""),VLOOKUP($D163,素材!$1:$1016,COLUMN($F$1),FALSE))),VLOOKUP($C163,武器!$1:$998,COLUMN($O$1),FALSE)*VLOOKUP($D163,素材!$1:$1016,COLUMN($E$1),FALSE)/(LEN(VLOOKUP($D163,素材!$1:$1016,COLUMN($F$1),FALSE))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P163">
        <f>IF(ISNUMBER(SEARCH(SUBSTITUTE(AP$1,RIGHT(AP$1,2),""),VLOOKUP($D163,素材!$1:$1016,COLUMN($F$1),FALSE))),VLOOKUP($C163,武器!$1:$998,COLUMN($O$1),FALSE)*VLOOKUP($D163,素材!$1:$1016,COLUMN($E$1),FALSE)/(LEN(VLOOKUP($D163,素材!$1:$1016,COLUMN($F$1),FALSE))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Q163">
        <f>IF(ISNUMBER(SEARCH(SUBSTITUTE(AQ$1,RIGHT(AQ$1,2),""),VLOOKUP($D163,素材!$1:$1016,COLUMN($F$1),FALSE))),VLOOKUP($C163,武器!$1:$998,COLUMN($O$1),FALSE)*VLOOKUP($D163,素材!$1:$1016,COLUMN($E$1),FALSE)/(LEN(VLOOKUP($D163,素材!$1:$1016,COLUMN($F$1),FALSE))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R163">
        <f>IF(ISNUMBER(SEARCH(SUBSTITUTE(AR$1,RIGHT(AR$1,2),""),VLOOKUP($D163,素材!$1:$1016,COLUMN($F$1),FALSE))),VLOOKUP($C163,武器!$1:$998,COLUMN($O$1),FALSE)*VLOOKUP($D163,素材!$1:$1016,COLUMN($E$1),FALSE)/(LEN(VLOOKUP($D163,素材!$1:$1016,COLUMN($F$1),FALSE))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S163">
        <f>IF(ISNUMBER(SEARCH(SUBSTITUTE(AS$1,RIGHT(AS$1,2),""),VLOOKUP($D163,素材!$1:$1016,COLUMN($F$1),FALSE))),VLOOKUP($C163,武器!$1:$998,COLUMN($O$1),FALSE)*VLOOKUP($D163,素材!$1:$1016,COLUMN($E$1),FALSE)/(LEN(VLOOKUP($D163,素材!$1:$1016,COLUMN($F$1),FALSE))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T163">
        <f>IF(ISNUMBER(SEARCH(SUBSTITUTE(AT$1,RIGHT(AT$1,2),""),VLOOKUP($D163,素材!$1:$1016,COLUMN($F$1),FALSE))),VLOOKUP($C163,武器!$1:$998,COLUMN($O$1),FALSE)*VLOOKUP($D163,素材!$1:$1016,COLUMN($E$1),FALSE)/(LEN(VLOOKUP($D163,素材!$1:$1016,COLUMN($F$1),FALSE))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U163">
        <f>IF(ISNUMBER(SEARCH(SUBSTITUTE(AU$1,RIGHT(AU$1,2),""),VLOOKUP($D163,素材!$1:$1016,COLUMN($F$1),FALSE))),VLOOKUP($C163,武器!$1:$998,COLUMN($O$1),FALSE)*VLOOKUP($D163,素材!$1:$1016,COLUMN($E$1),FALSE)/(LEN(VLOOKUP($D163,素材!$1:$1016,COLUMN($F$1),FALSE))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V163">
        <f>IF(ISNUMBER(SEARCH(SUBSTITUTE(AV$1,RIGHT(AV$1,2),""),VLOOKUP($D163,素材!$1:$1016,COLUMN($F$1),FALSE))),VLOOKUP($C163,武器!$1:$998,COLUMN($O$1),FALSE)*VLOOKUP($D163,素材!$1:$1016,COLUMN($E$1),FALSE)/(LEN(VLOOKUP($D163,素材!$1:$1016,COLUMN($F$1),FALSE))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W163">
        <f>IF(ISNUMBER(SEARCH(SUBSTITUTE(AW$1,RIGHT(AW$1,2),""),VLOOKUP($D163,素材!$1:$1016,COLUMN($F$1),FALSE))),VLOOKUP($C163,武器!$1:$998,COLUMN($O$1),FALSE)*VLOOKUP($D163,素材!$1:$1016,COLUMN($E$1),FALSE)/(LEN(VLOOKUP($D163,素材!$1:$1016,COLUMN($F$1),FALSE))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X163">
        <f>IF(ISNUMBER(SEARCH(SUBSTITUTE(AX$1,RIGHT(AX$1,2),""),VLOOKUP($D163,素材!$1:$1016,COLUMN($F$1),FALSE))),VLOOKUP($C163,武器!$1:$998,COLUMN($O$1),FALSE)*VLOOKUP($D163,素材!$1:$1016,COLUMN($E$1),FALSE)/(LEN(VLOOKUP($D163,素材!$1:$1016,COLUMN($F$1),FALSE))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Y163">
        <f>IF(ISNUMBER(SEARCH(SUBSTITUTE(AY$1,RIGHT(AY$1,2),""),VLOOKUP($D163,素材!$1:$1016,COLUMN($F$1),FALSE))),VLOOKUP($C163,武器!$1:$998,COLUMN($O$1),FALSE)*VLOOKUP($D163,素材!$1:$1016,COLUMN($E$1),FALSE)/(LEN(VLOOKUP($D163,素材!$1:$1016,COLUMN($F$1),FALSE))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AZ163">
        <f>IF(ISNUMBER(SEARCH(SUBSTITUTE(AZ$1,RIGHT(AZ$1,2),""),VLOOKUP($D163,素材!$1:$1016,COLUMN($F$1),FALSE))),VLOOKUP($C163,武器!$1:$998,COLUMN($O$1),FALSE)*VLOOKUP($D163,素材!$1:$1016,COLUMN($E$1),FALSE)/(LEN(VLOOKUP($D163,素材!$1:$1016,COLUMN($F$1),FALSE))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BA163">
        <f>IF(ISNUMBER(SEARCH(SUBSTITUTE(BA$1,RIGHT(BA$1,2),""),VLOOKUP($D163,素材!$1:$1016,COLUMN($F$1),FALSE))),VLOOKUP($C163,武器!$1:$998,COLUMN($O$1),FALSE)*VLOOKUP($D163,素材!$1:$1016,COLUMN($E$1),FALSE)/(LEN(VLOOKUP($D163,素材!$1:$1016,COLUMN($F$1),FALSE))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BB163">
        <f>IF(ISNUMBER(SEARCH(SUBSTITUTE(BB$1,RIGHT(BB$1,2),""),VLOOKUP($D163,素材!$1:$1016,COLUMN($F$1),FALSE))),VLOOKUP($C163,武器!$1:$998,COLUMN($O$1),FALSE)*VLOOKUP($D163,素材!$1:$1016,COLUMN($E$1),FALSE)/(LEN(VLOOKUP($D163,素材!$1:$1016,COLUMN($F$1),FALSE))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BC163">
        <f>IF(ISNUMBER(SEARCH(SUBSTITUTE(BC$1,RIGHT(BC$1,2),""),VLOOKUP($D163,素材!$1:$1016,COLUMN($F$1),FALSE))),VLOOKUP($C163,武器!$1:$998,COLUMN($O$1),FALSE)*VLOOKUP($D163,素材!$1:$1016,COLUMN($E$1),FALSE)/(LEN(VLOOKUP($D163,素材!$1:$1016,COLUMN($F$1),FALSE))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BD163">
        <f>IF(ISNUMBER(SEARCH(SUBSTITUTE(BD$1,RIGHT(BD$1,2),""),VLOOKUP($D163,素材!$1:$1016,COLUMN($F$1),FALSE))),VLOOKUP($C163,武器!$1:$998,COLUMN($O$1),FALSE)*VLOOKUP($D163,素材!$1:$1016,COLUMN($E$1),FALSE)/(LEN(VLOOKUP($D163,素材!$1:$1016,COLUMN($F$1),FALSE))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BE163">
        <f>IF(ISNUMBER(SEARCH(SUBSTITUTE(BE$1,RIGHT(BE$1,2),""),VLOOKUP($D163,素材!$1:$1016,COLUMN($F$1),FALSE))),VLOOKUP($C163,武器!$1:$998,COLUMN($O$1),FALSE)*VLOOKUP($D163,素材!$1:$1016,COLUMN($E$1),FALSE)/(LEN(VLOOKUP($D163,素材!$1:$1016,COLUMN($F$1),FALSE))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BF163">
        <f>IF(ISNUMBER(SEARCH(SUBSTITUTE(BF$1,RIGHT(BF$1,2),""),VLOOKUP($D163,素材!$1:$1016,COLUMN($F$1),FALSE))),VLOOKUP($C163,武器!$1:$998,COLUMN($O$1),FALSE)*VLOOKUP($D163,素材!$1:$1016,COLUMN($E$1),FALSE)/(LEN(VLOOKUP($D163,素材!$1:$1016,COLUMN($F$1),FALSE)) - LEN(SUBSTITUTE(VLOOKUP($D163,素材!$1:$1016,COLUMN($F$1),FALSE), "・", 0)) + 1), 0)</f>
        <v>0</v>
      </c>
      <c r="CM163">
        <f t="shared" si="19"/>
        <v>27</v>
      </c>
      <c r="CN163" s="22" t="str">
        <f>IF(E163="武器",IF(J163-1&gt;SUM(G163:I163),"盾",IF(MAX(G163:I163)=G163,"切断",IF(MAX(G163:I163)=H163,"貫通",IF(MAX(G163:I163)=I163,"打撃","射撃")))),E163)&amp;".webp"</f>
        <v>貫通.webp</v>
      </c>
      <c r="CO163">
        <f>IFERROR(VLOOKUP($C163,武器!$1:$998,COLUMN(V$1),FALSE)*VLOOKUP($D163,素材!$1:$1016,COLUMN(N$1),FALSE)+IF(CJ163="",0,VLOOKUP($CJ163,装強!$1:$1008,COLUMN($CL$1),FALSE)),"")</f>
        <v>3000</v>
      </c>
      <c r="CP163">
        <f>VLOOKUP(D163,素材!$A:$O,COLUMN(素材!O$1),FALSE)</f>
        <v>0</v>
      </c>
      <c r="CQ163" t="str">
        <f>VLOOKUP(C163,武器!$A:$W,COLUMN(武器!W$1),FALSE)</f>
        <v>槍。リーチが長く、刺突に優れる武器。</v>
      </c>
      <c r="CS163" t="str">
        <f t="shared" si="21"/>
        <v>e_163</v>
      </c>
      <c r="CT163">
        <f t="shared" si="24"/>
        <v>300000</v>
      </c>
    </row>
    <row r="164" spans="1:98" outlineLevel="1" x14ac:dyDescent="0.4">
      <c r="A164" t="str">
        <f t="shared" si="29"/>
        <v>黒鋼鉄の騎士槍</v>
      </c>
      <c r="B164" t="str">
        <f>IFERROR(VLOOKUP($D164,素材!$1:$1016,COLUMN($B$1),FALSE)&amp;"・"&amp;VLOOKUP($C164,武器!$1:$998,COLUMN(B$1),FALSE),"")</f>
        <v>ブラックスティール・ランス</v>
      </c>
      <c r="C164" s="24" t="s">
        <v>232</v>
      </c>
      <c r="D164" s="24" t="s">
        <v>244</v>
      </c>
      <c r="E164" t="str">
        <f>IFERROR(VLOOKUP(C164,武器!$1:$998,COLUMN(C$1),FALSE),"")</f>
        <v>武器</v>
      </c>
      <c r="F164">
        <f>IFERROR(ROUNDDOWN((VLOOKUP($C164,武器!$1:$998,COLUMN(D$1),FALSE)+IFERROR(VLOOKUP($CJ164,装強!$1:$999,COLUMN(F$1),FALSE),0))*VLOOKUP($D164,素材!$1:$1016,COLUMN(D$1),FALSE),0),"")</f>
        <v>115</v>
      </c>
      <c r="G164">
        <f>IFERROR(ROUNDDOWN((VLOOKUP($C164,武器!$1:$998,COLUMN(E$1),FALSE)+IFERROR(VLOOKUP($CJ164,装強!$1:$999,COLUMN(G$1),FALSE),0))*VLOOKUP($D164,素材!$1:$1016,COLUMN($E$1),FALSE),0),"")</f>
        <v>0</v>
      </c>
      <c r="H164">
        <f>IFERROR(ROUNDDOWN((VLOOKUP($C164,武器!$1:$998,COLUMN(F$1),FALSE)+IFERROR(VLOOKUP($CJ164,装強!$1:$999,COLUMN(H$1),FALSE),0))*VLOOKUP($D164,素材!$1:$1016,COLUMN($E$1),FALSE),0),"")</f>
        <v>19</v>
      </c>
      <c r="I164">
        <f>IFERROR(ROUNDDOWN((VLOOKUP($C164,武器!$1:$998,COLUMN(G$1),FALSE)+IFERROR(VLOOKUP($CJ164,装強!$1:$999,COLUMN(I$1),FALSE),0))*VLOOKUP($D164,素材!$1:$1016,COLUMN($E$1),FALSE),0),"")</f>
        <v>9</v>
      </c>
      <c r="J164">
        <f>IFERROR(ROUNDDOWN((VLOOKUP($C164,武器!$1:$998,COLUMN(H$1),FALSE)+IFERROR(VLOOKUP($CJ164,装強!$1:$999,COLUMN(J$1),FALSE),0))*VLOOKUP($D164,素材!$1:$1016,COLUMN($E$1),FALSE),0),"")</f>
        <v>20</v>
      </c>
      <c r="K164">
        <f>IFERROR(ROUNDDOWN((VLOOKUP($C164,武器!$1:$998,COLUMN(I$1),FALSE)+IFERROR(VLOOKUP($CJ164,装強!$1:$999,COLUMN(K$1),FALSE),0))*VLOOKUP($D164,素材!$1:$1016,COLUMN($E$1),FALSE),0),"")</f>
        <v>0</v>
      </c>
      <c r="L164" t="str">
        <f>IFERROR(VLOOKUP($D164,素材!$1:$1016,COLUMN($F$1),FALSE),"")</f>
        <v>雷</v>
      </c>
      <c r="M164">
        <f>IFERROR(VLOOKUP($C164,武器!$1:$998,COLUMN(AA$1),FALSE)*VLOOKUP($D164,素材!$1:$1016,COLUMN($G$1),FALSE),"")</f>
        <v>49</v>
      </c>
      <c r="N164">
        <f>IFERROR(VLOOKUP($C164,武器!$1:$998,COLUMN(I$1),FALSE),"")</f>
        <v>0</v>
      </c>
      <c r="O164" s="23">
        <f>IFERROR((VLOOKUP($C164,武器!$1:$998,COLUMN(K$1),FALSE)+VLOOKUP($D164,素材!$1:$1016,COLUMN(H$1),FALSE))*100+IFERROR(VLOOKUP($CJ164,装強!$1:$999,COLUMN(O$1),FALSE),0),"")</f>
        <v>5</v>
      </c>
      <c r="P164" s="23">
        <f>IFERROR((VLOOKUP($C164,武器!$1:$998,COLUMN(L$1),FALSE)+VLOOKUP($D164,素材!$1:$1016,COLUMN(I$1),FALSE))*100+IFERROR(VLOOKUP($CJ164,装強!$1:$999,COLUMN(P$1),FALSE),0),"")</f>
        <v>175</v>
      </c>
      <c r="Q164">
        <f>IFERROR(ROUNDUP(VLOOKUP($C164,武器!$1:$998,COLUMN(M$1),FALSE)*(VLOOKUP($D164,素材!$1:$1002,COLUMN(D$1),FALSE)/100),1),"")</f>
        <v>-5</v>
      </c>
      <c r="R164">
        <f>IFERROR(ROUNDUP(VLOOKUP($C164,武器!$1:$998,COLUMN(N$1),FALSE)*(VLOOKUP($D164,素材!$1:$1002,COLUMN(D$1),FALSE)/100),1),"")</f>
        <v>-5</v>
      </c>
      <c r="S164">
        <f>IFERROR(VLOOKUP($C164,武器!$1:$998,COLUMN(P$1),FALSE),"")</f>
        <v>0</v>
      </c>
      <c r="T164">
        <f>IFERROR(VLOOKUP($C164,武器!$1:$998,COLUMN(Q$1),FALSE),"")</f>
        <v>0</v>
      </c>
      <c r="U164">
        <f>IFERROR(VLOOKUP($C164,武器!$1:$998,COLUMN(R$1),FALSE),"")</f>
        <v>0</v>
      </c>
      <c r="V164">
        <f>IFERROR(VLOOKUP($C164,武器!$1:$998,COLUMN(Q$1),FALSE),"")</f>
        <v>0</v>
      </c>
      <c r="W164" t="str">
        <f>IFERROR(VLOOKUP($C164,武器!$1:$998,COLUMN(T$1),FALSE),"")</f>
        <v>A</v>
      </c>
      <c r="Y164" t="str">
        <f>IFERROR(VLOOKUP($C164,武器!$1:$998,COLUMN(U$1),FALSE),"")</f>
        <v>突撃強化</v>
      </c>
      <c r="Z164">
        <f>IFERROR(ROUNDUP(VLOOKUP($C164,武器!$1:$998,COLUMN(O$1),FALSE)*VLOOKUP($D164,素材!$1:$1016,COLUMN(E$1),FALSE),1),"")</f>
        <v>0</v>
      </c>
      <c r="AA164">
        <f>IF(ISNUMBER(SEARCH(SUBSTITUTE(AA$1,RIGHT(AA$1,2),""),VLOOKUP($D164,素材!$1:$1016,COLUMN($F$1),FALSE))),VLOOKUP($C164,武器!$1:$998,COLUMN($O$1),FALSE)*VLOOKUP($D164,素材!$1:$1016,COLUMN($E$1),FALSE)/(LEN(VLOOKUP($D164,素材!$1:$1016,COLUMN($F$1),FALSE))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B164">
        <f>IF(ISNUMBER(SEARCH(SUBSTITUTE(AB$1,RIGHT(AB$1,2),""),VLOOKUP($D164,素材!$1:$1016,COLUMN($F$1),FALSE))),VLOOKUP($C164,武器!$1:$998,COLUMN($O$1),FALSE)*VLOOKUP($D164,素材!$1:$1016,COLUMN($E$1),FALSE)/(LEN(VLOOKUP($D164,素材!$1:$1016,COLUMN($F$1),FALSE))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C164">
        <f>IF(ISNUMBER(SEARCH(SUBSTITUTE(AC$1,RIGHT(AC$1,2),""),VLOOKUP($D164,素材!$1:$1016,COLUMN($F$1),FALSE))),VLOOKUP($C164,武器!$1:$998,COLUMN($O$1),FALSE)*VLOOKUP($D164,素材!$1:$1016,COLUMN($E$1),FALSE)/(LEN(VLOOKUP($D164,素材!$1:$1016,COLUMN($F$1),FALSE))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D164">
        <f>IF(ISNUMBER(SEARCH(SUBSTITUTE(AD$1,RIGHT(AD$1,2),""),VLOOKUP($D164,素材!$1:$1016,COLUMN($F$1),FALSE))),VLOOKUP($C164,武器!$1:$998,COLUMN($O$1),FALSE)*VLOOKUP($D164,素材!$1:$1016,COLUMN($E$1),FALSE)/(LEN(VLOOKUP($D164,素材!$1:$1016,COLUMN($F$1),FALSE))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E164">
        <f>IF(ISNUMBER(SEARCH(SUBSTITUTE(AE$1,RIGHT(AE$1,2),""),VLOOKUP($D164,素材!$1:$1016,COLUMN($F$1),FALSE))),VLOOKUP($C164,武器!$1:$998,COLUMN($O$1),FALSE)*VLOOKUP($D164,素材!$1:$1016,COLUMN($E$1),FALSE)/(LEN(VLOOKUP($D164,素材!$1:$1016,COLUMN($F$1),FALSE))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F164">
        <f>IF(ISNUMBER(SEARCH(SUBSTITUTE(AF$1,RIGHT(AF$1,2),""),VLOOKUP($D164,素材!$1:$1016,COLUMN($F$1),FALSE))),VLOOKUP($C164,武器!$1:$998,COLUMN($O$1),FALSE)*VLOOKUP($D164,素材!$1:$1016,COLUMN($E$1),FALSE)/(LEN(VLOOKUP($D164,素材!$1:$1016,COLUMN($F$1),FALSE))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G164">
        <f>IF(ISNUMBER(SEARCH(SUBSTITUTE(AG$1,RIGHT(AG$1,2),""),VLOOKUP($D164,素材!$1:$1016,COLUMN($F$1),FALSE))),VLOOKUP($C164,武器!$1:$998,COLUMN($O$1),FALSE)*VLOOKUP($D164,素材!$1:$1016,COLUMN($E$1),FALSE)/(LEN(VLOOKUP($D164,素材!$1:$1016,COLUMN($F$1),FALSE))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H164">
        <f>IF(ISNUMBER(SEARCH(SUBSTITUTE(AH$1,RIGHT(AH$1,2),""),VLOOKUP($D164,素材!$1:$1016,COLUMN($F$1),FALSE))),VLOOKUP($C164,武器!$1:$998,COLUMN($O$1),FALSE)*VLOOKUP($D164,素材!$1:$1016,COLUMN($E$1),FALSE)/(LEN(VLOOKUP($D164,素材!$1:$1016,COLUMN($F$1),FALSE))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I164">
        <f>IF(ISNUMBER(SEARCH(SUBSTITUTE(AI$1,RIGHT(AI$1,2),""),VLOOKUP($D164,素材!$1:$1016,COLUMN($F$1),FALSE))),VLOOKUP($C164,武器!$1:$998,COLUMN($O$1),FALSE)*VLOOKUP($D164,素材!$1:$1016,COLUMN($E$1),FALSE)/(LEN(VLOOKUP($D164,素材!$1:$1016,COLUMN($F$1),FALSE))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J164">
        <f>IF(ISNUMBER(SEARCH(SUBSTITUTE(AJ$1,RIGHT(AJ$1,2),""),VLOOKUP($D164,素材!$1:$1016,COLUMN($F$1),FALSE))),VLOOKUP($C164,武器!$1:$998,COLUMN($O$1),FALSE)*VLOOKUP($D164,素材!$1:$1016,COLUMN($E$1),FALSE)/(LEN(VLOOKUP($D164,素材!$1:$1016,COLUMN($F$1),FALSE))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K164">
        <f>IF(ISNUMBER(SEARCH(SUBSTITUTE(AK$1,RIGHT(AK$1,2),""),VLOOKUP($D164,素材!$1:$1016,COLUMN($F$1),FALSE))),VLOOKUP($C164,武器!$1:$998,COLUMN($O$1),FALSE)*VLOOKUP($D164,素材!$1:$1016,COLUMN($E$1),FALSE)/(LEN(VLOOKUP($D164,素材!$1:$1016,COLUMN($F$1),FALSE))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L164">
        <f>IF(ISNUMBER(SEARCH(SUBSTITUTE(AL$1,RIGHT(AL$1,2),""),VLOOKUP($D164,素材!$1:$1016,COLUMN($F$1),FALSE))),VLOOKUP($C164,武器!$1:$998,COLUMN($O$1),FALSE)*VLOOKUP($D164,素材!$1:$1016,COLUMN($E$1),FALSE)/(LEN(VLOOKUP($D164,素材!$1:$1016,COLUMN($F$1),FALSE))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M164">
        <f>IF(ISNUMBER(SEARCH(SUBSTITUTE(AM$1,RIGHT(AM$1,2),""),VLOOKUP($D164,素材!$1:$1016,COLUMN($F$1),FALSE))),VLOOKUP($C164,武器!$1:$998,COLUMN($O$1),FALSE)*VLOOKUP($D164,素材!$1:$1016,COLUMN($E$1),FALSE)/(LEN(VLOOKUP($D164,素材!$1:$1016,COLUMN($F$1),FALSE))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N164">
        <f>IF(ISNUMBER(SEARCH(SUBSTITUTE(AN$1,RIGHT(AN$1,2),""),VLOOKUP($D164,素材!$1:$1016,COLUMN($F$1),FALSE))),VLOOKUP($C164,武器!$1:$998,COLUMN($O$1),FALSE)*VLOOKUP($D164,素材!$1:$1016,COLUMN($E$1),FALSE)/(LEN(VLOOKUP($D164,素材!$1:$1016,COLUMN($F$1),FALSE))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O164">
        <f>IF(ISNUMBER(SEARCH(SUBSTITUTE(AO$1,RIGHT(AO$1,2),""),VLOOKUP($D164,素材!$1:$1016,COLUMN($F$1),FALSE))),VLOOKUP($C164,武器!$1:$998,COLUMN($O$1),FALSE)*VLOOKUP($D164,素材!$1:$1016,COLUMN($E$1),FALSE)/(LEN(VLOOKUP($D164,素材!$1:$1016,COLUMN($F$1),FALSE))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P164">
        <f>IF(ISNUMBER(SEARCH(SUBSTITUTE(AP$1,RIGHT(AP$1,2),""),VLOOKUP($D164,素材!$1:$1016,COLUMN($F$1),FALSE))),VLOOKUP($C164,武器!$1:$998,COLUMN($O$1),FALSE)*VLOOKUP($D164,素材!$1:$1016,COLUMN($E$1),FALSE)/(LEN(VLOOKUP($D164,素材!$1:$1016,COLUMN($F$1),FALSE))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Q164">
        <f>IF(ISNUMBER(SEARCH(SUBSTITUTE(AQ$1,RIGHT(AQ$1,2),""),VLOOKUP($D164,素材!$1:$1016,COLUMN($F$1),FALSE))),VLOOKUP($C164,武器!$1:$998,COLUMN($O$1),FALSE)*VLOOKUP($D164,素材!$1:$1016,COLUMN($E$1),FALSE)/(LEN(VLOOKUP($D164,素材!$1:$1016,COLUMN($F$1),FALSE))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R164">
        <f>IF(ISNUMBER(SEARCH(SUBSTITUTE(AR$1,RIGHT(AR$1,2),""),VLOOKUP($D164,素材!$1:$1016,COLUMN($F$1),FALSE))),VLOOKUP($C164,武器!$1:$998,COLUMN($O$1),FALSE)*VLOOKUP($D164,素材!$1:$1016,COLUMN($E$1),FALSE)/(LEN(VLOOKUP($D164,素材!$1:$1016,COLUMN($F$1),FALSE))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S164">
        <f>IF(ISNUMBER(SEARCH(SUBSTITUTE(AS$1,RIGHT(AS$1,2),""),VLOOKUP($D164,素材!$1:$1016,COLUMN($F$1),FALSE))),VLOOKUP($C164,武器!$1:$998,COLUMN($O$1),FALSE)*VLOOKUP($D164,素材!$1:$1016,COLUMN($E$1),FALSE)/(LEN(VLOOKUP($D164,素材!$1:$1016,COLUMN($F$1),FALSE))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T164">
        <f>IF(ISNUMBER(SEARCH(SUBSTITUTE(AT$1,RIGHT(AT$1,2),""),VLOOKUP($D164,素材!$1:$1016,COLUMN($F$1),FALSE))),VLOOKUP($C164,武器!$1:$998,COLUMN($O$1),FALSE)*VLOOKUP($D164,素材!$1:$1016,COLUMN($E$1),FALSE)/(LEN(VLOOKUP($D164,素材!$1:$1016,COLUMN($F$1),FALSE))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U164">
        <f>IF(ISNUMBER(SEARCH(SUBSTITUTE(AU$1,RIGHT(AU$1,2),""),VLOOKUP($D164,素材!$1:$1016,COLUMN($F$1),FALSE))),VLOOKUP($C164,武器!$1:$998,COLUMN($O$1),FALSE)*VLOOKUP($D164,素材!$1:$1016,COLUMN($E$1),FALSE)/(LEN(VLOOKUP($D164,素材!$1:$1016,COLUMN($F$1),FALSE))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V164">
        <f>IF(ISNUMBER(SEARCH(SUBSTITUTE(AV$1,RIGHT(AV$1,2),""),VLOOKUP($D164,素材!$1:$1016,COLUMN($F$1),FALSE))),VLOOKUP($C164,武器!$1:$998,COLUMN($O$1),FALSE)*VLOOKUP($D164,素材!$1:$1016,COLUMN($E$1),FALSE)/(LEN(VLOOKUP($D164,素材!$1:$1016,COLUMN($F$1),FALSE))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W164">
        <f>IF(ISNUMBER(SEARCH(SUBSTITUTE(AW$1,RIGHT(AW$1,2),""),VLOOKUP($D164,素材!$1:$1016,COLUMN($F$1),FALSE))),VLOOKUP($C164,武器!$1:$998,COLUMN($O$1),FALSE)*VLOOKUP($D164,素材!$1:$1016,COLUMN($E$1),FALSE)/(LEN(VLOOKUP($D164,素材!$1:$1016,COLUMN($F$1),FALSE))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X164">
        <f>IF(ISNUMBER(SEARCH(SUBSTITUTE(AX$1,RIGHT(AX$1,2),""),VLOOKUP($D164,素材!$1:$1016,COLUMN($F$1),FALSE))),VLOOKUP($C164,武器!$1:$998,COLUMN($O$1),FALSE)*VLOOKUP($D164,素材!$1:$1016,COLUMN($E$1),FALSE)/(LEN(VLOOKUP($D164,素材!$1:$1016,COLUMN($F$1),FALSE))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Y164">
        <f>IF(ISNUMBER(SEARCH(SUBSTITUTE(AY$1,RIGHT(AY$1,2),""),VLOOKUP($D164,素材!$1:$1016,COLUMN($F$1),FALSE))),VLOOKUP($C164,武器!$1:$998,COLUMN($O$1),FALSE)*VLOOKUP($D164,素材!$1:$1016,COLUMN($E$1),FALSE)/(LEN(VLOOKUP($D164,素材!$1:$1016,COLUMN($F$1),FALSE))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AZ164">
        <f>IF(ISNUMBER(SEARCH(SUBSTITUTE(AZ$1,RIGHT(AZ$1,2),""),VLOOKUP($D164,素材!$1:$1016,COLUMN($F$1),FALSE))),VLOOKUP($C164,武器!$1:$998,COLUMN($O$1),FALSE)*VLOOKUP($D164,素材!$1:$1016,COLUMN($E$1),FALSE)/(LEN(VLOOKUP($D164,素材!$1:$1016,COLUMN($F$1),FALSE))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BA164">
        <f>IF(ISNUMBER(SEARCH(SUBSTITUTE(BA$1,RIGHT(BA$1,2),""),VLOOKUP($D164,素材!$1:$1016,COLUMN($F$1),FALSE))),VLOOKUP($C164,武器!$1:$998,COLUMN($O$1),FALSE)*VLOOKUP($D164,素材!$1:$1016,COLUMN($E$1),FALSE)/(LEN(VLOOKUP($D164,素材!$1:$1016,COLUMN($F$1),FALSE))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BB164">
        <f>IF(ISNUMBER(SEARCH(SUBSTITUTE(BB$1,RIGHT(BB$1,2),""),VLOOKUP($D164,素材!$1:$1016,COLUMN($F$1),FALSE))),VLOOKUP($C164,武器!$1:$998,COLUMN($O$1),FALSE)*VLOOKUP($D164,素材!$1:$1016,COLUMN($E$1),FALSE)/(LEN(VLOOKUP($D164,素材!$1:$1016,COLUMN($F$1),FALSE))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BC164">
        <f>IF(ISNUMBER(SEARCH(SUBSTITUTE(BC$1,RIGHT(BC$1,2),""),VLOOKUP($D164,素材!$1:$1016,COLUMN($F$1),FALSE))),VLOOKUP($C164,武器!$1:$998,COLUMN($O$1),FALSE)*VLOOKUP($D164,素材!$1:$1016,COLUMN($E$1),FALSE)/(LEN(VLOOKUP($D164,素材!$1:$1016,COLUMN($F$1),FALSE))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BD164">
        <f>IF(ISNUMBER(SEARCH(SUBSTITUTE(BD$1,RIGHT(BD$1,2),""),VLOOKUP($D164,素材!$1:$1016,COLUMN($F$1),FALSE))),VLOOKUP($C164,武器!$1:$998,COLUMN($O$1),FALSE)*VLOOKUP($D164,素材!$1:$1016,COLUMN($E$1),FALSE)/(LEN(VLOOKUP($D164,素材!$1:$1016,COLUMN($F$1),FALSE))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BE164">
        <f>IF(ISNUMBER(SEARCH(SUBSTITUTE(BE$1,RIGHT(BE$1,2),""),VLOOKUP($D164,素材!$1:$1016,COLUMN($F$1),FALSE))),VLOOKUP($C164,武器!$1:$998,COLUMN($O$1),FALSE)*VLOOKUP($D164,素材!$1:$1016,COLUMN($E$1),FALSE)/(LEN(VLOOKUP($D164,素材!$1:$1016,COLUMN($F$1),FALSE))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BF164">
        <f>IF(ISNUMBER(SEARCH(SUBSTITUTE(BF$1,RIGHT(BF$1,2),""),VLOOKUP($D164,素材!$1:$1016,COLUMN($F$1),FALSE))),VLOOKUP($C164,武器!$1:$998,COLUMN($O$1),FALSE)*VLOOKUP($D164,素材!$1:$1016,COLUMN($E$1),FALSE)/(LEN(VLOOKUP($D164,素材!$1:$1016,COLUMN($F$1),FALSE)) - LEN(SUBSTITUTE(VLOOKUP($D164,素材!$1:$1016,COLUMN($F$1),FALSE), "・", 0)) + 1), 0)</f>
        <v>0</v>
      </c>
      <c r="CM164">
        <f t="shared" si="19"/>
        <v>28</v>
      </c>
      <c r="CN164" s="22" t="str">
        <f>IF(E164="武器",IF(J164-1&gt;SUM(G164:I164),"盾",IF(MAX(G164:I164)=G164,"切断",IF(MAX(G164:I164)=H164,"貫通",IF(MAX(G164:I164)=I164,"打撃","射撃")))),E164)&amp;".webp"</f>
        <v>貫通.webp</v>
      </c>
      <c r="CO164">
        <f>IFERROR(VLOOKUP($C164,武器!$1:$998,COLUMN(V$1),FALSE)*VLOOKUP($D164,素材!$1:$1016,COLUMN(N$1),FALSE)+IF(CJ164="",0,VLOOKUP($CJ164,装強!$1:$1008,COLUMN($CL$1),FALSE)),"")</f>
        <v>4500</v>
      </c>
      <c r="CP164">
        <f>VLOOKUP(D164,素材!$A:$O,COLUMN(素材!O$1),FALSE)</f>
        <v>0</v>
      </c>
      <c r="CQ164" t="str">
        <f>VLOOKUP(C164,武器!$A:$W,COLUMN(武器!W$1),FALSE)</f>
        <v>騎士槍。突撃に特化した武器で、高い攻撃力を誇る。</v>
      </c>
      <c r="CS164" t="str">
        <f t="shared" si="21"/>
        <v>e_164</v>
      </c>
      <c r="CT164">
        <f t="shared" si="24"/>
        <v>450000</v>
      </c>
    </row>
    <row r="165" spans="1:98" outlineLevel="1" x14ac:dyDescent="0.4">
      <c r="A165" t="str">
        <f t="shared" si="29"/>
        <v>黒鋼鉄の斧槍</v>
      </c>
      <c r="B165" t="str">
        <f>IFERROR(VLOOKUP($D165,素材!$1:$1016,COLUMN($B$1),FALSE)&amp;"・"&amp;VLOOKUP($C165,武器!$1:$998,COLUMN(B$1),FALSE),"")</f>
        <v>ブラックスティール・ハルバート</v>
      </c>
      <c r="C165" s="24" t="s">
        <v>231</v>
      </c>
      <c r="D165" s="24" t="s">
        <v>244</v>
      </c>
      <c r="E165" t="str">
        <f>IFERROR(VLOOKUP(C165,武器!$1:$998,COLUMN(C$1),FALSE),"")</f>
        <v>武器</v>
      </c>
      <c r="F165">
        <f>IFERROR(ROUNDDOWN((VLOOKUP($C165,武器!$1:$998,COLUMN(D$1),FALSE)+IFERROR(VLOOKUP($CJ165,装強!$1:$999,COLUMN(F$1),FALSE),0))*VLOOKUP($D165,素材!$1:$1016,COLUMN(D$1),FALSE),0),"")</f>
        <v>110</v>
      </c>
      <c r="G165">
        <f>IFERROR(ROUNDDOWN((VLOOKUP($C165,武器!$1:$998,COLUMN(E$1),FALSE)+IFERROR(VLOOKUP($CJ165,装強!$1:$999,COLUMN(G$1),FALSE),0))*VLOOKUP($D165,素材!$1:$1016,COLUMN($E$1),FALSE),0),"")</f>
        <v>8</v>
      </c>
      <c r="H165">
        <f>IFERROR(ROUNDDOWN((VLOOKUP($C165,武器!$1:$998,COLUMN(F$1),FALSE)+IFERROR(VLOOKUP($CJ165,装強!$1:$999,COLUMN(H$1),FALSE),0))*VLOOKUP($D165,素材!$1:$1016,COLUMN($E$1),FALSE),0),"")</f>
        <v>10</v>
      </c>
      <c r="I165">
        <f>IFERROR(ROUNDDOWN((VLOOKUP($C165,武器!$1:$998,COLUMN(G$1),FALSE)+IFERROR(VLOOKUP($CJ165,装強!$1:$999,COLUMN(I$1),FALSE),0))*VLOOKUP($D165,素材!$1:$1016,COLUMN($E$1),FALSE),0),"")</f>
        <v>6</v>
      </c>
      <c r="J165">
        <f>IFERROR(ROUNDDOWN((VLOOKUP($C165,武器!$1:$998,COLUMN(H$1),FALSE)+IFERROR(VLOOKUP($CJ165,装強!$1:$999,COLUMN(J$1),FALSE),0))*VLOOKUP($D165,素材!$1:$1016,COLUMN($E$1),FALSE),0),"")</f>
        <v>19</v>
      </c>
      <c r="K165">
        <f>IFERROR(ROUNDDOWN((VLOOKUP($C165,武器!$1:$998,COLUMN(I$1),FALSE)+IFERROR(VLOOKUP($CJ165,装強!$1:$999,COLUMN(K$1),FALSE),0))*VLOOKUP($D165,素材!$1:$1016,COLUMN($E$1),FALSE),0),"")</f>
        <v>0</v>
      </c>
      <c r="L165" t="str">
        <f>IFERROR(VLOOKUP($D165,素材!$1:$1016,COLUMN($F$1),FALSE),"")</f>
        <v>雷</v>
      </c>
      <c r="M165">
        <f>IFERROR(VLOOKUP($C165,武器!$1:$998,COLUMN(AA$1),FALSE)*VLOOKUP($D165,素材!$1:$1016,COLUMN($G$1),FALSE),"")</f>
        <v>42</v>
      </c>
      <c r="N165">
        <f>IFERROR(VLOOKUP($C165,武器!$1:$998,COLUMN(I$1),FALSE),"")</f>
        <v>0</v>
      </c>
      <c r="O165" s="23">
        <f>IFERROR((VLOOKUP($C165,武器!$1:$998,COLUMN(K$1),FALSE)+VLOOKUP($D165,素材!$1:$1016,COLUMN(H$1),FALSE))*100+IFERROR(VLOOKUP($CJ165,装強!$1:$999,COLUMN(O$1),FALSE),0),"")</f>
        <v>10</v>
      </c>
      <c r="P165" s="23">
        <f>IFERROR((VLOOKUP($C165,武器!$1:$998,COLUMN(L$1),FALSE)+VLOOKUP($D165,素材!$1:$1016,COLUMN(I$1),FALSE))*100+IFERROR(VLOOKUP($CJ165,装強!$1:$999,COLUMN(P$1),FALSE),0),"")</f>
        <v>150</v>
      </c>
      <c r="Q165">
        <f>IFERROR(ROUNDUP(VLOOKUP($C165,武器!$1:$998,COLUMN(M$1),FALSE)*(VLOOKUP($D165,素材!$1:$1002,COLUMN(D$1),FALSE)/100),1),"")</f>
        <v>-5</v>
      </c>
      <c r="R165">
        <f>IFERROR(ROUNDUP(VLOOKUP($C165,武器!$1:$998,COLUMN(N$1),FALSE)*(VLOOKUP($D165,素材!$1:$1002,COLUMN(D$1),FALSE)/100),1),"")</f>
        <v>-5</v>
      </c>
      <c r="S165">
        <f>IFERROR(VLOOKUP($C165,武器!$1:$998,COLUMN(P$1),FALSE),"")</f>
        <v>0</v>
      </c>
      <c r="T165">
        <f>IFERROR(VLOOKUP($C165,武器!$1:$998,COLUMN(Q$1),FALSE),"")</f>
        <v>0</v>
      </c>
      <c r="U165">
        <f>IFERROR(VLOOKUP($C165,武器!$1:$998,COLUMN(R$1),FALSE),"")</f>
        <v>0</v>
      </c>
      <c r="V165">
        <f>IFERROR(VLOOKUP($C165,武器!$1:$998,COLUMN(Q$1),FALSE),"")</f>
        <v>0</v>
      </c>
      <c r="W165" t="str">
        <f>IFERROR(VLOOKUP($C165,武器!$1:$998,COLUMN(T$1),FALSE),"")</f>
        <v>A</v>
      </c>
      <c r="Y165">
        <f>IFERROR(VLOOKUP($C165,武器!$1:$998,COLUMN(U$1),FALSE),"")</f>
        <v>0</v>
      </c>
      <c r="Z165">
        <f>IFERROR(ROUNDUP(VLOOKUP($C165,武器!$1:$998,COLUMN(O$1),FALSE)*VLOOKUP($D165,素材!$1:$1016,COLUMN(E$1),FALSE),1),"")</f>
        <v>0</v>
      </c>
      <c r="AA165">
        <f>IF(ISNUMBER(SEARCH(SUBSTITUTE(AA$1,RIGHT(AA$1,2),""),VLOOKUP($D165,素材!$1:$1016,COLUMN($F$1),FALSE))),VLOOKUP($C165,武器!$1:$998,COLUMN($O$1),FALSE)*VLOOKUP($D165,素材!$1:$1016,COLUMN($E$1),FALSE)/(LEN(VLOOKUP($D165,素材!$1:$1016,COLUMN($F$1),FALSE))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B165">
        <f>IF(ISNUMBER(SEARCH(SUBSTITUTE(AB$1,RIGHT(AB$1,2),""),VLOOKUP($D165,素材!$1:$1016,COLUMN($F$1),FALSE))),VLOOKUP($C165,武器!$1:$998,COLUMN($O$1),FALSE)*VLOOKUP($D165,素材!$1:$1016,COLUMN($E$1),FALSE)/(LEN(VLOOKUP($D165,素材!$1:$1016,COLUMN($F$1),FALSE))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C165">
        <f>IF(ISNUMBER(SEARCH(SUBSTITUTE(AC$1,RIGHT(AC$1,2),""),VLOOKUP($D165,素材!$1:$1016,COLUMN($F$1),FALSE))),VLOOKUP($C165,武器!$1:$998,COLUMN($O$1),FALSE)*VLOOKUP($D165,素材!$1:$1016,COLUMN($E$1),FALSE)/(LEN(VLOOKUP($D165,素材!$1:$1016,COLUMN($F$1),FALSE))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D165">
        <f>IF(ISNUMBER(SEARCH(SUBSTITUTE(AD$1,RIGHT(AD$1,2),""),VLOOKUP($D165,素材!$1:$1016,COLUMN($F$1),FALSE))),VLOOKUP($C165,武器!$1:$998,COLUMN($O$1),FALSE)*VLOOKUP($D165,素材!$1:$1016,COLUMN($E$1),FALSE)/(LEN(VLOOKUP($D165,素材!$1:$1016,COLUMN($F$1),FALSE))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E165">
        <f>IF(ISNUMBER(SEARCH(SUBSTITUTE(AE$1,RIGHT(AE$1,2),""),VLOOKUP($D165,素材!$1:$1016,COLUMN($F$1),FALSE))),VLOOKUP($C165,武器!$1:$998,COLUMN($O$1),FALSE)*VLOOKUP($D165,素材!$1:$1016,COLUMN($E$1),FALSE)/(LEN(VLOOKUP($D165,素材!$1:$1016,COLUMN($F$1),FALSE))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F165">
        <f>IF(ISNUMBER(SEARCH(SUBSTITUTE(AF$1,RIGHT(AF$1,2),""),VLOOKUP($D165,素材!$1:$1016,COLUMN($F$1),FALSE))),VLOOKUP($C165,武器!$1:$998,COLUMN($O$1),FALSE)*VLOOKUP($D165,素材!$1:$1016,COLUMN($E$1),FALSE)/(LEN(VLOOKUP($D165,素材!$1:$1016,COLUMN($F$1),FALSE))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G165">
        <f>IF(ISNUMBER(SEARCH(SUBSTITUTE(AG$1,RIGHT(AG$1,2),""),VLOOKUP($D165,素材!$1:$1016,COLUMN($F$1),FALSE))),VLOOKUP($C165,武器!$1:$998,COLUMN($O$1),FALSE)*VLOOKUP($D165,素材!$1:$1016,COLUMN($E$1),FALSE)/(LEN(VLOOKUP($D165,素材!$1:$1016,COLUMN($F$1),FALSE))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H165">
        <f>IF(ISNUMBER(SEARCH(SUBSTITUTE(AH$1,RIGHT(AH$1,2),""),VLOOKUP($D165,素材!$1:$1016,COLUMN($F$1),FALSE))),VLOOKUP($C165,武器!$1:$998,COLUMN($O$1),FALSE)*VLOOKUP($D165,素材!$1:$1016,COLUMN($E$1),FALSE)/(LEN(VLOOKUP($D165,素材!$1:$1016,COLUMN($F$1),FALSE))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I165">
        <f>IF(ISNUMBER(SEARCH(SUBSTITUTE(AI$1,RIGHT(AI$1,2),""),VLOOKUP($D165,素材!$1:$1016,COLUMN($F$1),FALSE))),VLOOKUP($C165,武器!$1:$998,COLUMN($O$1),FALSE)*VLOOKUP($D165,素材!$1:$1016,COLUMN($E$1),FALSE)/(LEN(VLOOKUP($D165,素材!$1:$1016,COLUMN($F$1),FALSE))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J165">
        <f>IF(ISNUMBER(SEARCH(SUBSTITUTE(AJ$1,RIGHT(AJ$1,2),""),VLOOKUP($D165,素材!$1:$1016,COLUMN($F$1),FALSE))),VLOOKUP($C165,武器!$1:$998,COLUMN($O$1),FALSE)*VLOOKUP($D165,素材!$1:$1016,COLUMN($E$1),FALSE)/(LEN(VLOOKUP($D165,素材!$1:$1016,COLUMN($F$1),FALSE))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K165">
        <f>IF(ISNUMBER(SEARCH(SUBSTITUTE(AK$1,RIGHT(AK$1,2),""),VLOOKUP($D165,素材!$1:$1016,COLUMN($F$1),FALSE))),VLOOKUP($C165,武器!$1:$998,COLUMN($O$1),FALSE)*VLOOKUP($D165,素材!$1:$1016,COLUMN($E$1),FALSE)/(LEN(VLOOKUP($D165,素材!$1:$1016,COLUMN($F$1),FALSE))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L165">
        <f>IF(ISNUMBER(SEARCH(SUBSTITUTE(AL$1,RIGHT(AL$1,2),""),VLOOKUP($D165,素材!$1:$1016,COLUMN($F$1),FALSE))),VLOOKUP($C165,武器!$1:$998,COLUMN($O$1),FALSE)*VLOOKUP($D165,素材!$1:$1016,COLUMN($E$1),FALSE)/(LEN(VLOOKUP($D165,素材!$1:$1016,COLUMN($F$1),FALSE))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M165">
        <f>IF(ISNUMBER(SEARCH(SUBSTITUTE(AM$1,RIGHT(AM$1,2),""),VLOOKUP($D165,素材!$1:$1016,COLUMN($F$1),FALSE))),VLOOKUP($C165,武器!$1:$998,COLUMN($O$1),FALSE)*VLOOKUP($D165,素材!$1:$1016,COLUMN($E$1),FALSE)/(LEN(VLOOKUP($D165,素材!$1:$1016,COLUMN($F$1),FALSE))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N165">
        <f>IF(ISNUMBER(SEARCH(SUBSTITUTE(AN$1,RIGHT(AN$1,2),""),VLOOKUP($D165,素材!$1:$1016,COLUMN($F$1),FALSE))),VLOOKUP($C165,武器!$1:$998,COLUMN($O$1),FALSE)*VLOOKUP($D165,素材!$1:$1016,COLUMN($E$1),FALSE)/(LEN(VLOOKUP($D165,素材!$1:$1016,COLUMN($F$1),FALSE))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O165">
        <f>IF(ISNUMBER(SEARCH(SUBSTITUTE(AO$1,RIGHT(AO$1,2),""),VLOOKUP($D165,素材!$1:$1016,COLUMN($F$1),FALSE))),VLOOKUP($C165,武器!$1:$998,COLUMN($O$1),FALSE)*VLOOKUP($D165,素材!$1:$1016,COLUMN($E$1),FALSE)/(LEN(VLOOKUP($D165,素材!$1:$1016,COLUMN($F$1),FALSE))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P165">
        <f>IF(ISNUMBER(SEARCH(SUBSTITUTE(AP$1,RIGHT(AP$1,2),""),VLOOKUP($D165,素材!$1:$1016,COLUMN($F$1),FALSE))),VLOOKUP($C165,武器!$1:$998,COLUMN($O$1),FALSE)*VLOOKUP($D165,素材!$1:$1016,COLUMN($E$1),FALSE)/(LEN(VLOOKUP($D165,素材!$1:$1016,COLUMN($F$1),FALSE))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Q165">
        <f>IF(ISNUMBER(SEARCH(SUBSTITUTE(AQ$1,RIGHT(AQ$1,2),""),VLOOKUP($D165,素材!$1:$1016,COLUMN($F$1),FALSE))),VLOOKUP($C165,武器!$1:$998,COLUMN($O$1),FALSE)*VLOOKUP($D165,素材!$1:$1016,COLUMN($E$1),FALSE)/(LEN(VLOOKUP($D165,素材!$1:$1016,COLUMN($F$1),FALSE))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R165">
        <f>IF(ISNUMBER(SEARCH(SUBSTITUTE(AR$1,RIGHT(AR$1,2),""),VLOOKUP($D165,素材!$1:$1016,COLUMN($F$1),FALSE))),VLOOKUP($C165,武器!$1:$998,COLUMN($O$1),FALSE)*VLOOKUP($D165,素材!$1:$1016,COLUMN($E$1),FALSE)/(LEN(VLOOKUP($D165,素材!$1:$1016,COLUMN($F$1),FALSE))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S165">
        <f>IF(ISNUMBER(SEARCH(SUBSTITUTE(AS$1,RIGHT(AS$1,2),""),VLOOKUP($D165,素材!$1:$1016,COLUMN($F$1),FALSE))),VLOOKUP($C165,武器!$1:$998,COLUMN($O$1),FALSE)*VLOOKUP($D165,素材!$1:$1016,COLUMN($E$1),FALSE)/(LEN(VLOOKUP($D165,素材!$1:$1016,COLUMN($F$1),FALSE))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T165">
        <f>IF(ISNUMBER(SEARCH(SUBSTITUTE(AT$1,RIGHT(AT$1,2),""),VLOOKUP($D165,素材!$1:$1016,COLUMN($F$1),FALSE))),VLOOKUP($C165,武器!$1:$998,COLUMN($O$1),FALSE)*VLOOKUP($D165,素材!$1:$1016,COLUMN($E$1),FALSE)/(LEN(VLOOKUP($D165,素材!$1:$1016,COLUMN($F$1),FALSE))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U165">
        <f>IF(ISNUMBER(SEARCH(SUBSTITUTE(AU$1,RIGHT(AU$1,2),""),VLOOKUP($D165,素材!$1:$1016,COLUMN($F$1),FALSE))),VLOOKUP($C165,武器!$1:$998,COLUMN($O$1),FALSE)*VLOOKUP($D165,素材!$1:$1016,COLUMN($E$1),FALSE)/(LEN(VLOOKUP($D165,素材!$1:$1016,COLUMN($F$1),FALSE))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V165">
        <f>IF(ISNUMBER(SEARCH(SUBSTITUTE(AV$1,RIGHT(AV$1,2),""),VLOOKUP($D165,素材!$1:$1016,COLUMN($F$1),FALSE))),VLOOKUP($C165,武器!$1:$998,COLUMN($O$1),FALSE)*VLOOKUP($D165,素材!$1:$1016,COLUMN($E$1),FALSE)/(LEN(VLOOKUP($D165,素材!$1:$1016,COLUMN($F$1),FALSE))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W165">
        <f>IF(ISNUMBER(SEARCH(SUBSTITUTE(AW$1,RIGHT(AW$1,2),""),VLOOKUP($D165,素材!$1:$1016,COLUMN($F$1),FALSE))),VLOOKUP($C165,武器!$1:$998,COLUMN($O$1),FALSE)*VLOOKUP($D165,素材!$1:$1016,COLUMN($E$1),FALSE)/(LEN(VLOOKUP($D165,素材!$1:$1016,COLUMN($F$1),FALSE))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X165">
        <f>IF(ISNUMBER(SEARCH(SUBSTITUTE(AX$1,RIGHT(AX$1,2),""),VLOOKUP($D165,素材!$1:$1016,COLUMN($F$1),FALSE))),VLOOKUP($C165,武器!$1:$998,COLUMN($O$1),FALSE)*VLOOKUP($D165,素材!$1:$1016,COLUMN($E$1),FALSE)/(LEN(VLOOKUP($D165,素材!$1:$1016,COLUMN($F$1),FALSE))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Y165">
        <f>IF(ISNUMBER(SEARCH(SUBSTITUTE(AY$1,RIGHT(AY$1,2),""),VLOOKUP($D165,素材!$1:$1016,COLUMN($F$1),FALSE))),VLOOKUP($C165,武器!$1:$998,COLUMN($O$1),FALSE)*VLOOKUP($D165,素材!$1:$1016,COLUMN($E$1),FALSE)/(LEN(VLOOKUP($D165,素材!$1:$1016,COLUMN($F$1),FALSE))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AZ165">
        <f>IF(ISNUMBER(SEARCH(SUBSTITUTE(AZ$1,RIGHT(AZ$1,2),""),VLOOKUP($D165,素材!$1:$1016,COLUMN($F$1),FALSE))),VLOOKUP($C165,武器!$1:$998,COLUMN($O$1),FALSE)*VLOOKUP($D165,素材!$1:$1016,COLUMN($E$1),FALSE)/(LEN(VLOOKUP($D165,素材!$1:$1016,COLUMN($F$1),FALSE))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BA165">
        <f>IF(ISNUMBER(SEARCH(SUBSTITUTE(BA$1,RIGHT(BA$1,2),""),VLOOKUP($D165,素材!$1:$1016,COLUMN($F$1),FALSE))),VLOOKUP($C165,武器!$1:$998,COLUMN($O$1),FALSE)*VLOOKUP($D165,素材!$1:$1016,COLUMN($E$1),FALSE)/(LEN(VLOOKUP($D165,素材!$1:$1016,COLUMN($F$1),FALSE))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BB165">
        <f>IF(ISNUMBER(SEARCH(SUBSTITUTE(BB$1,RIGHT(BB$1,2),""),VLOOKUP($D165,素材!$1:$1016,COLUMN($F$1),FALSE))),VLOOKUP($C165,武器!$1:$998,COLUMN($O$1),FALSE)*VLOOKUP($D165,素材!$1:$1016,COLUMN($E$1),FALSE)/(LEN(VLOOKUP($D165,素材!$1:$1016,COLUMN($F$1),FALSE))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BC165">
        <f>IF(ISNUMBER(SEARCH(SUBSTITUTE(BC$1,RIGHT(BC$1,2),""),VLOOKUP($D165,素材!$1:$1016,COLUMN($F$1),FALSE))),VLOOKUP($C165,武器!$1:$998,COLUMN($O$1),FALSE)*VLOOKUP($D165,素材!$1:$1016,COLUMN($E$1),FALSE)/(LEN(VLOOKUP($D165,素材!$1:$1016,COLUMN($F$1),FALSE))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BD165">
        <f>IF(ISNUMBER(SEARCH(SUBSTITUTE(BD$1,RIGHT(BD$1,2),""),VLOOKUP($D165,素材!$1:$1016,COLUMN($F$1),FALSE))),VLOOKUP($C165,武器!$1:$998,COLUMN($O$1),FALSE)*VLOOKUP($D165,素材!$1:$1016,COLUMN($E$1),FALSE)/(LEN(VLOOKUP($D165,素材!$1:$1016,COLUMN($F$1),FALSE))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BE165">
        <f>IF(ISNUMBER(SEARCH(SUBSTITUTE(BE$1,RIGHT(BE$1,2),""),VLOOKUP($D165,素材!$1:$1016,COLUMN($F$1),FALSE))),VLOOKUP($C165,武器!$1:$998,COLUMN($O$1),FALSE)*VLOOKUP($D165,素材!$1:$1016,COLUMN($E$1),FALSE)/(LEN(VLOOKUP($D165,素材!$1:$1016,COLUMN($F$1),FALSE))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BF165">
        <f>IF(ISNUMBER(SEARCH(SUBSTITUTE(BF$1,RIGHT(BF$1,2),""),VLOOKUP($D165,素材!$1:$1016,COLUMN($F$1),FALSE))),VLOOKUP($C165,武器!$1:$998,COLUMN($O$1),FALSE)*VLOOKUP($D165,素材!$1:$1016,COLUMN($E$1),FALSE)/(LEN(VLOOKUP($D165,素材!$1:$1016,COLUMN($F$1),FALSE)) - LEN(SUBSTITUTE(VLOOKUP($D165,素材!$1:$1016,COLUMN($F$1),FALSE), "・", 0)) + 1), 0)</f>
        <v>0</v>
      </c>
      <c r="CM165">
        <f t="shared" si="19"/>
        <v>24</v>
      </c>
      <c r="CN165" s="22" t="str">
        <f>IF(E165="武器",IF(J165-1&gt;SUM(G165:I165),"盾",IF(MAX(G165:I165)=G165,"切断",IF(MAX(G165:I165)=H165,"貫通",IF(MAX(G165:I165)=I165,"打撃","射撃")))),E165)&amp;".webp"</f>
        <v>貫通.webp</v>
      </c>
      <c r="CO165">
        <f>IFERROR(VLOOKUP($C165,武器!$1:$998,COLUMN(V$1),FALSE)*VLOOKUP($D165,素材!$1:$1016,COLUMN(N$1),FALSE)+IF(CJ165="",0,VLOOKUP($CJ165,装強!$1:$1008,COLUMN($CL$1),FALSE)),"")</f>
        <v>3750</v>
      </c>
      <c r="CP165">
        <f>VLOOKUP(D165,素材!$A:$O,COLUMN(素材!O$1),FALSE)</f>
        <v>0</v>
      </c>
      <c r="CQ165" t="str">
        <f>VLOOKUP(C165,武器!$A:$W,COLUMN(武器!W$1),FALSE)</f>
        <v>斧槍。全力時に威力が高く斬撃と突撃の両方に対応できる武器。</v>
      </c>
      <c r="CS165" t="str">
        <f t="shared" si="21"/>
        <v>e_165</v>
      </c>
      <c r="CT165">
        <f t="shared" si="24"/>
        <v>375000</v>
      </c>
    </row>
    <row r="166" spans="1:98" outlineLevel="1" x14ac:dyDescent="0.4">
      <c r="A166" t="str">
        <f t="shared" si="29"/>
        <v>黒鋼鉄の棍棒</v>
      </c>
      <c r="B166" t="str">
        <f>IFERROR(VLOOKUP($D166,素材!$1:$1016,COLUMN($B$1),FALSE)&amp;"・"&amp;VLOOKUP($C166,武器!$1:$998,COLUMN(B$1),FALSE),"")</f>
        <v>ブラックスティール・クラブ</v>
      </c>
      <c r="C166" s="24" t="s">
        <v>230</v>
      </c>
      <c r="D166" s="24" t="s">
        <v>244</v>
      </c>
      <c r="E166" t="str">
        <f>IFERROR(VLOOKUP(C166,武器!$1:$998,COLUMN(C$1),FALSE),"")</f>
        <v>武器</v>
      </c>
      <c r="F166">
        <f>IFERROR(ROUNDDOWN((VLOOKUP($C166,武器!$1:$998,COLUMN(D$1),FALSE)+IFERROR(VLOOKUP($CJ166,装強!$1:$999,COLUMN(F$1),FALSE),0))*VLOOKUP($D166,素材!$1:$1016,COLUMN(D$1),FALSE),0),"")</f>
        <v>105</v>
      </c>
      <c r="G166">
        <f>IFERROR(ROUNDDOWN((VLOOKUP($C166,武器!$1:$998,COLUMN(E$1),FALSE)+IFERROR(VLOOKUP($CJ166,装強!$1:$999,COLUMN(G$1),FALSE),0))*VLOOKUP($D166,素材!$1:$1016,COLUMN($E$1),FALSE),0),"")</f>
        <v>0</v>
      </c>
      <c r="H166">
        <f>IFERROR(ROUNDDOWN((VLOOKUP($C166,武器!$1:$998,COLUMN(F$1),FALSE)+IFERROR(VLOOKUP($CJ166,装強!$1:$999,COLUMN(H$1),FALSE),0))*VLOOKUP($D166,素材!$1:$1016,COLUMN($E$1),FALSE),0),"")</f>
        <v>0</v>
      </c>
      <c r="I166">
        <f>IFERROR(ROUNDDOWN((VLOOKUP($C166,武器!$1:$998,COLUMN(G$1),FALSE)+IFERROR(VLOOKUP($CJ166,装強!$1:$999,COLUMN(I$1),FALSE),0))*VLOOKUP($D166,素材!$1:$1016,COLUMN($E$1),FALSE),0),"")</f>
        <v>22</v>
      </c>
      <c r="J166">
        <f>IFERROR(ROUNDDOWN((VLOOKUP($C166,武器!$1:$998,COLUMN(H$1),FALSE)+IFERROR(VLOOKUP($CJ166,装強!$1:$999,COLUMN(J$1),FALSE),0))*VLOOKUP($D166,素材!$1:$1016,COLUMN($E$1),FALSE),0),"")</f>
        <v>19</v>
      </c>
      <c r="K166">
        <f>IFERROR(ROUNDDOWN((VLOOKUP($C166,武器!$1:$998,COLUMN(I$1),FALSE)+IFERROR(VLOOKUP($CJ166,装強!$1:$999,COLUMN(K$1),FALSE),0))*VLOOKUP($D166,素材!$1:$1016,COLUMN($E$1),FALSE),0),"")</f>
        <v>0</v>
      </c>
      <c r="L166" t="str">
        <f>IFERROR(VLOOKUP($D166,素材!$1:$1016,COLUMN($F$1),FALSE),"")</f>
        <v>雷</v>
      </c>
      <c r="M166">
        <f>IFERROR(VLOOKUP($C166,武器!$1:$998,COLUMN(AA$1),FALSE)*VLOOKUP($D166,素材!$1:$1016,COLUMN($G$1),FALSE),"")</f>
        <v>38.5</v>
      </c>
      <c r="N166">
        <f>IFERROR(VLOOKUP($C166,武器!$1:$998,COLUMN(I$1),FALSE),"")</f>
        <v>0</v>
      </c>
      <c r="O166" s="23">
        <f>IFERROR((VLOOKUP($C166,武器!$1:$998,COLUMN(K$1),FALSE)+VLOOKUP($D166,素材!$1:$1016,COLUMN(H$1),FALSE))*100+IFERROR(VLOOKUP($CJ166,装強!$1:$999,COLUMN(O$1),FALSE),0),"")</f>
        <v>5</v>
      </c>
      <c r="P166" s="23">
        <f>IFERROR((VLOOKUP($C166,武器!$1:$998,COLUMN(L$1),FALSE)+VLOOKUP($D166,素材!$1:$1016,COLUMN(I$1),FALSE))*100+IFERROR(VLOOKUP($CJ166,装強!$1:$999,COLUMN(P$1),FALSE),0),"")</f>
        <v>150</v>
      </c>
      <c r="Q166">
        <f>IFERROR(ROUNDUP(VLOOKUP($C166,武器!$1:$998,COLUMN(M$1),FALSE)*(VLOOKUP($D166,素材!$1:$1002,COLUMN(D$1),FALSE)/100),1),"")</f>
        <v>0</v>
      </c>
      <c r="R166">
        <f>IFERROR(ROUNDUP(VLOOKUP($C166,武器!$1:$998,COLUMN(N$1),FALSE)*(VLOOKUP($D166,素材!$1:$1002,COLUMN(D$1),FALSE)/100),1),"")</f>
        <v>0</v>
      </c>
      <c r="S166">
        <f>IFERROR(VLOOKUP($C166,武器!$1:$998,COLUMN(P$1),FALSE),"")</f>
        <v>0</v>
      </c>
      <c r="T166">
        <f>IFERROR(VLOOKUP($C166,武器!$1:$998,COLUMN(Q$1),FALSE),"")</f>
        <v>0</v>
      </c>
      <c r="U166">
        <f>IFERROR(VLOOKUP($C166,武器!$1:$998,COLUMN(R$1),FALSE),"")</f>
        <v>0</v>
      </c>
      <c r="V166">
        <f>IFERROR(VLOOKUP($C166,武器!$1:$998,COLUMN(Q$1),FALSE),"")</f>
        <v>0</v>
      </c>
      <c r="W166" t="str">
        <f>IFERROR(VLOOKUP($C166,武器!$1:$998,COLUMN(T$1),FALSE),"")</f>
        <v>A</v>
      </c>
      <c r="Y166" t="str">
        <f>IFERROR(VLOOKUP($C166,武器!$1:$998,COLUMN(U$1),FALSE),"")</f>
        <v>片手適性Ⅰ</v>
      </c>
      <c r="Z166">
        <f>IFERROR(ROUNDUP(VLOOKUP($C166,武器!$1:$998,COLUMN(O$1),FALSE)*VLOOKUP($D166,素材!$1:$1016,COLUMN(E$1),FALSE),1),"")</f>
        <v>0</v>
      </c>
      <c r="AA166">
        <f>IF(ISNUMBER(SEARCH(SUBSTITUTE(AA$1,RIGHT(AA$1,2),""),VLOOKUP($D166,素材!$1:$1016,COLUMN($F$1),FALSE))),VLOOKUP($C166,武器!$1:$998,COLUMN($O$1),FALSE)*VLOOKUP($D166,素材!$1:$1016,COLUMN($E$1),FALSE)/(LEN(VLOOKUP($D166,素材!$1:$1016,COLUMN($F$1),FALSE))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B166">
        <f>IF(ISNUMBER(SEARCH(SUBSTITUTE(AB$1,RIGHT(AB$1,2),""),VLOOKUP($D166,素材!$1:$1016,COLUMN($F$1),FALSE))),VLOOKUP($C166,武器!$1:$998,COLUMN($O$1),FALSE)*VLOOKUP($D166,素材!$1:$1016,COLUMN($E$1),FALSE)/(LEN(VLOOKUP($D166,素材!$1:$1016,COLUMN($F$1),FALSE))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C166">
        <f>IF(ISNUMBER(SEARCH(SUBSTITUTE(AC$1,RIGHT(AC$1,2),""),VLOOKUP($D166,素材!$1:$1016,COLUMN($F$1),FALSE))),VLOOKUP($C166,武器!$1:$998,COLUMN($O$1),FALSE)*VLOOKUP($D166,素材!$1:$1016,COLUMN($E$1),FALSE)/(LEN(VLOOKUP($D166,素材!$1:$1016,COLUMN($F$1),FALSE))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D166">
        <f>IF(ISNUMBER(SEARCH(SUBSTITUTE(AD$1,RIGHT(AD$1,2),""),VLOOKUP($D166,素材!$1:$1016,COLUMN($F$1),FALSE))),VLOOKUP($C166,武器!$1:$998,COLUMN($O$1),FALSE)*VLOOKUP($D166,素材!$1:$1016,COLUMN($E$1),FALSE)/(LEN(VLOOKUP($D166,素材!$1:$1016,COLUMN($F$1),FALSE))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E166">
        <f>IF(ISNUMBER(SEARCH(SUBSTITUTE(AE$1,RIGHT(AE$1,2),""),VLOOKUP($D166,素材!$1:$1016,COLUMN($F$1),FALSE))),VLOOKUP($C166,武器!$1:$998,COLUMN($O$1),FALSE)*VLOOKUP($D166,素材!$1:$1016,COLUMN($E$1),FALSE)/(LEN(VLOOKUP($D166,素材!$1:$1016,COLUMN($F$1),FALSE))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F166">
        <f>IF(ISNUMBER(SEARCH(SUBSTITUTE(AF$1,RIGHT(AF$1,2),""),VLOOKUP($D166,素材!$1:$1016,COLUMN($F$1),FALSE))),VLOOKUP($C166,武器!$1:$998,COLUMN($O$1),FALSE)*VLOOKUP($D166,素材!$1:$1016,COLUMN($E$1),FALSE)/(LEN(VLOOKUP($D166,素材!$1:$1016,COLUMN($F$1),FALSE))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G166">
        <f>IF(ISNUMBER(SEARCH(SUBSTITUTE(AG$1,RIGHT(AG$1,2),""),VLOOKUP($D166,素材!$1:$1016,COLUMN($F$1),FALSE))),VLOOKUP($C166,武器!$1:$998,COLUMN($O$1),FALSE)*VLOOKUP($D166,素材!$1:$1016,COLUMN($E$1),FALSE)/(LEN(VLOOKUP($D166,素材!$1:$1016,COLUMN($F$1),FALSE))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H166">
        <f>IF(ISNUMBER(SEARCH(SUBSTITUTE(AH$1,RIGHT(AH$1,2),""),VLOOKUP($D166,素材!$1:$1016,COLUMN($F$1),FALSE))),VLOOKUP($C166,武器!$1:$998,COLUMN($O$1),FALSE)*VLOOKUP($D166,素材!$1:$1016,COLUMN($E$1),FALSE)/(LEN(VLOOKUP($D166,素材!$1:$1016,COLUMN($F$1),FALSE))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I166">
        <f>IF(ISNUMBER(SEARCH(SUBSTITUTE(AI$1,RIGHT(AI$1,2),""),VLOOKUP($D166,素材!$1:$1016,COLUMN($F$1),FALSE))),VLOOKUP($C166,武器!$1:$998,COLUMN($O$1),FALSE)*VLOOKUP($D166,素材!$1:$1016,COLUMN($E$1),FALSE)/(LEN(VLOOKUP($D166,素材!$1:$1016,COLUMN($F$1),FALSE))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J166">
        <f>IF(ISNUMBER(SEARCH(SUBSTITUTE(AJ$1,RIGHT(AJ$1,2),""),VLOOKUP($D166,素材!$1:$1016,COLUMN($F$1),FALSE))),VLOOKUP($C166,武器!$1:$998,COLUMN($O$1),FALSE)*VLOOKUP($D166,素材!$1:$1016,COLUMN($E$1),FALSE)/(LEN(VLOOKUP($D166,素材!$1:$1016,COLUMN($F$1),FALSE))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K166">
        <f>IF(ISNUMBER(SEARCH(SUBSTITUTE(AK$1,RIGHT(AK$1,2),""),VLOOKUP($D166,素材!$1:$1016,COLUMN($F$1),FALSE))),VLOOKUP($C166,武器!$1:$998,COLUMN($O$1),FALSE)*VLOOKUP($D166,素材!$1:$1016,COLUMN($E$1),FALSE)/(LEN(VLOOKUP($D166,素材!$1:$1016,COLUMN($F$1),FALSE))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L166">
        <f>IF(ISNUMBER(SEARCH(SUBSTITUTE(AL$1,RIGHT(AL$1,2),""),VLOOKUP($D166,素材!$1:$1016,COLUMN($F$1),FALSE))),VLOOKUP($C166,武器!$1:$998,COLUMN($O$1),FALSE)*VLOOKUP($D166,素材!$1:$1016,COLUMN($E$1),FALSE)/(LEN(VLOOKUP($D166,素材!$1:$1016,COLUMN($F$1),FALSE))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M166">
        <f>IF(ISNUMBER(SEARCH(SUBSTITUTE(AM$1,RIGHT(AM$1,2),""),VLOOKUP($D166,素材!$1:$1016,COLUMN($F$1),FALSE))),VLOOKUP($C166,武器!$1:$998,COLUMN($O$1),FALSE)*VLOOKUP($D166,素材!$1:$1016,COLUMN($E$1),FALSE)/(LEN(VLOOKUP($D166,素材!$1:$1016,COLUMN($F$1),FALSE))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N166">
        <f>IF(ISNUMBER(SEARCH(SUBSTITUTE(AN$1,RIGHT(AN$1,2),""),VLOOKUP($D166,素材!$1:$1016,COLUMN($F$1),FALSE))),VLOOKUP($C166,武器!$1:$998,COLUMN($O$1),FALSE)*VLOOKUP($D166,素材!$1:$1016,COLUMN($E$1),FALSE)/(LEN(VLOOKUP($D166,素材!$1:$1016,COLUMN($F$1),FALSE))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O166">
        <f>IF(ISNUMBER(SEARCH(SUBSTITUTE(AO$1,RIGHT(AO$1,2),""),VLOOKUP($D166,素材!$1:$1016,COLUMN($F$1),FALSE))),VLOOKUP($C166,武器!$1:$998,COLUMN($O$1),FALSE)*VLOOKUP($D166,素材!$1:$1016,COLUMN($E$1),FALSE)/(LEN(VLOOKUP($D166,素材!$1:$1016,COLUMN($F$1),FALSE))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P166">
        <f>IF(ISNUMBER(SEARCH(SUBSTITUTE(AP$1,RIGHT(AP$1,2),""),VLOOKUP($D166,素材!$1:$1016,COLUMN($F$1),FALSE))),VLOOKUP($C166,武器!$1:$998,COLUMN($O$1),FALSE)*VLOOKUP($D166,素材!$1:$1016,COLUMN($E$1),FALSE)/(LEN(VLOOKUP($D166,素材!$1:$1016,COLUMN($F$1),FALSE))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Q166">
        <f>IF(ISNUMBER(SEARCH(SUBSTITUTE(AQ$1,RIGHT(AQ$1,2),""),VLOOKUP($D166,素材!$1:$1016,COLUMN($F$1),FALSE))),VLOOKUP($C166,武器!$1:$998,COLUMN($O$1),FALSE)*VLOOKUP($D166,素材!$1:$1016,COLUMN($E$1),FALSE)/(LEN(VLOOKUP($D166,素材!$1:$1016,COLUMN($F$1),FALSE))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R166">
        <f>IF(ISNUMBER(SEARCH(SUBSTITUTE(AR$1,RIGHT(AR$1,2),""),VLOOKUP($D166,素材!$1:$1016,COLUMN($F$1),FALSE))),VLOOKUP($C166,武器!$1:$998,COLUMN($O$1),FALSE)*VLOOKUP($D166,素材!$1:$1016,COLUMN($E$1),FALSE)/(LEN(VLOOKUP($D166,素材!$1:$1016,COLUMN($F$1),FALSE))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S166">
        <f>IF(ISNUMBER(SEARCH(SUBSTITUTE(AS$1,RIGHT(AS$1,2),""),VLOOKUP($D166,素材!$1:$1016,COLUMN($F$1),FALSE))),VLOOKUP($C166,武器!$1:$998,COLUMN($O$1),FALSE)*VLOOKUP($D166,素材!$1:$1016,COLUMN($E$1),FALSE)/(LEN(VLOOKUP($D166,素材!$1:$1016,COLUMN($F$1),FALSE))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T166">
        <f>IF(ISNUMBER(SEARCH(SUBSTITUTE(AT$1,RIGHT(AT$1,2),""),VLOOKUP($D166,素材!$1:$1016,COLUMN($F$1),FALSE))),VLOOKUP($C166,武器!$1:$998,COLUMN($O$1),FALSE)*VLOOKUP($D166,素材!$1:$1016,COLUMN($E$1),FALSE)/(LEN(VLOOKUP($D166,素材!$1:$1016,COLUMN($F$1),FALSE))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U166">
        <f>IF(ISNUMBER(SEARCH(SUBSTITUTE(AU$1,RIGHT(AU$1,2),""),VLOOKUP($D166,素材!$1:$1016,COLUMN($F$1),FALSE))),VLOOKUP($C166,武器!$1:$998,COLUMN($O$1),FALSE)*VLOOKUP($D166,素材!$1:$1016,COLUMN($E$1),FALSE)/(LEN(VLOOKUP($D166,素材!$1:$1016,COLUMN($F$1),FALSE))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V166">
        <f>IF(ISNUMBER(SEARCH(SUBSTITUTE(AV$1,RIGHT(AV$1,2),""),VLOOKUP($D166,素材!$1:$1016,COLUMN($F$1),FALSE))),VLOOKUP($C166,武器!$1:$998,COLUMN($O$1),FALSE)*VLOOKUP($D166,素材!$1:$1016,COLUMN($E$1),FALSE)/(LEN(VLOOKUP($D166,素材!$1:$1016,COLUMN($F$1),FALSE))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W166">
        <f>IF(ISNUMBER(SEARCH(SUBSTITUTE(AW$1,RIGHT(AW$1,2),""),VLOOKUP($D166,素材!$1:$1016,COLUMN($F$1),FALSE))),VLOOKUP($C166,武器!$1:$998,COLUMN($O$1),FALSE)*VLOOKUP($D166,素材!$1:$1016,COLUMN($E$1),FALSE)/(LEN(VLOOKUP($D166,素材!$1:$1016,COLUMN($F$1),FALSE))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X166">
        <f>IF(ISNUMBER(SEARCH(SUBSTITUTE(AX$1,RIGHT(AX$1,2),""),VLOOKUP($D166,素材!$1:$1016,COLUMN($F$1),FALSE))),VLOOKUP($C166,武器!$1:$998,COLUMN($O$1),FALSE)*VLOOKUP($D166,素材!$1:$1016,COLUMN($E$1),FALSE)/(LEN(VLOOKUP($D166,素材!$1:$1016,COLUMN($F$1),FALSE))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Y166">
        <f>IF(ISNUMBER(SEARCH(SUBSTITUTE(AY$1,RIGHT(AY$1,2),""),VLOOKUP($D166,素材!$1:$1016,COLUMN($F$1),FALSE))),VLOOKUP($C166,武器!$1:$998,COLUMN($O$1),FALSE)*VLOOKUP($D166,素材!$1:$1016,COLUMN($E$1),FALSE)/(LEN(VLOOKUP($D166,素材!$1:$1016,COLUMN($F$1),FALSE))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AZ166">
        <f>IF(ISNUMBER(SEARCH(SUBSTITUTE(AZ$1,RIGHT(AZ$1,2),""),VLOOKUP($D166,素材!$1:$1016,COLUMN($F$1),FALSE))),VLOOKUP($C166,武器!$1:$998,COLUMN($O$1),FALSE)*VLOOKUP($D166,素材!$1:$1016,COLUMN($E$1),FALSE)/(LEN(VLOOKUP($D166,素材!$1:$1016,COLUMN($F$1),FALSE))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BA166">
        <f>IF(ISNUMBER(SEARCH(SUBSTITUTE(BA$1,RIGHT(BA$1,2),""),VLOOKUP($D166,素材!$1:$1016,COLUMN($F$1),FALSE))),VLOOKUP($C166,武器!$1:$998,COLUMN($O$1),FALSE)*VLOOKUP($D166,素材!$1:$1016,COLUMN($E$1),FALSE)/(LEN(VLOOKUP($D166,素材!$1:$1016,COLUMN($F$1),FALSE))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BB166">
        <f>IF(ISNUMBER(SEARCH(SUBSTITUTE(BB$1,RIGHT(BB$1,2),""),VLOOKUP($D166,素材!$1:$1016,COLUMN($F$1),FALSE))),VLOOKUP($C166,武器!$1:$998,COLUMN($O$1),FALSE)*VLOOKUP($D166,素材!$1:$1016,COLUMN($E$1),FALSE)/(LEN(VLOOKUP($D166,素材!$1:$1016,COLUMN($F$1),FALSE))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BC166">
        <f>IF(ISNUMBER(SEARCH(SUBSTITUTE(BC$1,RIGHT(BC$1,2),""),VLOOKUP($D166,素材!$1:$1016,COLUMN($F$1),FALSE))),VLOOKUP($C166,武器!$1:$998,COLUMN($O$1),FALSE)*VLOOKUP($D166,素材!$1:$1016,COLUMN($E$1),FALSE)/(LEN(VLOOKUP($D166,素材!$1:$1016,COLUMN($F$1),FALSE))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BD166">
        <f>IF(ISNUMBER(SEARCH(SUBSTITUTE(BD$1,RIGHT(BD$1,2),""),VLOOKUP($D166,素材!$1:$1016,COLUMN($F$1),FALSE))),VLOOKUP($C166,武器!$1:$998,COLUMN($O$1),FALSE)*VLOOKUP($D166,素材!$1:$1016,COLUMN($E$1),FALSE)/(LEN(VLOOKUP($D166,素材!$1:$1016,COLUMN($F$1),FALSE))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BE166">
        <f>IF(ISNUMBER(SEARCH(SUBSTITUTE(BE$1,RIGHT(BE$1,2),""),VLOOKUP($D166,素材!$1:$1016,COLUMN($F$1),FALSE))),VLOOKUP($C166,武器!$1:$998,COLUMN($O$1),FALSE)*VLOOKUP($D166,素材!$1:$1016,COLUMN($E$1),FALSE)/(LEN(VLOOKUP($D166,素材!$1:$1016,COLUMN($F$1),FALSE))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BF166">
        <f>IF(ISNUMBER(SEARCH(SUBSTITUTE(BF$1,RIGHT(BF$1,2),""),VLOOKUP($D166,素材!$1:$1016,COLUMN($F$1),FALSE))),VLOOKUP($C166,武器!$1:$998,COLUMN($O$1),FALSE)*VLOOKUP($D166,素材!$1:$1016,COLUMN($E$1),FALSE)/(LEN(VLOOKUP($D166,素材!$1:$1016,COLUMN($F$1),FALSE)) - LEN(SUBSTITUTE(VLOOKUP($D166,素材!$1:$1016,COLUMN($F$1),FALSE), "・", 0)) + 1), 0)</f>
        <v>0</v>
      </c>
      <c r="CM166">
        <f t="shared" si="19"/>
        <v>22</v>
      </c>
      <c r="CN166" s="22" t="str">
        <f>IF(E166="武器",IF(J166-1&gt;SUM(G166:I166),"盾",IF(MAX(G166:I166)=G166,"切断",IF(MAX(G166:I166)=H166,"貫通",IF(MAX(G166:I166)=I166,"打撃","射撃")))),E166)&amp;".webp"</f>
        <v>打撃.webp</v>
      </c>
      <c r="CO166">
        <f>IFERROR(VLOOKUP($C166,武器!$1:$998,COLUMN(V$1),FALSE)*VLOOKUP($D166,素材!$1:$1016,COLUMN(N$1),FALSE)+IF(CJ166="",0,VLOOKUP($CJ166,装強!$1:$1008,COLUMN($CL$1),FALSE)),"")</f>
        <v>2250</v>
      </c>
      <c r="CP166">
        <f>VLOOKUP(D166,素材!$A:$O,COLUMN(素材!O$1),FALSE)</f>
        <v>0</v>
      </c>
      <c r="CQ166" t="str">
        <f>VLOOKUP(C166,武器!$A:$W,COLUMN(武器!W$1),FALSE)</f>
        <v>棍棒。打撃に特化したシンプルな武器。</v>
      </c>
      <c r="CS166" t="str">
        <f t="shared" si="21"/>
        <v>e_166</v>
      </c>
      <c r="CT166">
        <f t="shared" si="24"/>
        <v>225000</v>
      </c>
    </row>
    <row r="167" spans="1:98" outlineLevel="1" x14ac:dyDescent="0.4">
      <c r="A167" t="str">
        <f t="shared" si="29"/>
        <v>黒鋼鉄の戦棍</v>
      </c>
      <c r="B167" t="str">
        <f>IFERROR(VLOOKUP($D167,素材!$1:$1016,COLUMN($B$1),FALSE)&amp;"・"&amp;VLOOKUP($C167,武器!$1:$998,COLUMN(B$1),FALSE),"")</f>
        <v>ブラックスティール・メイス</v>
      </c>
      <c r="C167" s="24" t="s">
        <v>229</v>
      </c>
      <c r="D167" s="24" t="s">
        <v>244</v>
      </c>
      <c r="E167" t="str">
        <f>IFERROR(VLOOKUP(C167,武器!$1:$998,COLUMN(C$1),FALSE),"")</f>
        <v>武器</v>
      </c>
      <c r="F167">
        <f>IFERROR(ROUNDDOWN((VLOOKUP($C167,武器!$1:$998,COLUMN(D$1),FALSE)+IFERROR(VLOOKUP($CJ167,装強!$1:$999,COLUMN(F$1),FALSE),0))*VLOOKUP($D167,素材!$1:$1016,COLUMN(D$1),FALSE),0),"")</f>
        <v>110</v>
      </c>
      <c r="G167">
        <f>IFERROR(ROUNDDOWN((VLOOKUP($C167,武器!$1:$998,COLUMN(E$1),FALSE)+IFERROR(VLOOKUP($CJ167,装強!$1:$999,COLUMN(G$1),FALSE),0))*VLOOKUP($D167,素材!$1:$1016,COLUMN($E$1),FALSE),0),"")</f>
        <v>0</v>
      </c>
      <c r="H167">
        <f>IFERROR(ROUNDDOWN((VLOOKUP($C167,武器!$1:$998,COLUMN(F$1),FALSE)+IFERROR(VLOOKUP($CJ167,装強!$1:$999,COLUMN(H$1),FALSE),0))*VLOOKUP($D167,素材!$1:$1016,COLUMN($E$1),FALSE),0),"")</f>
        <v>0</v>
      </c>
      <c r="I167">
        <f>IFERROR(ROUNDDOWN((VLOOKUP($C167,武器!$1:$998,COLUMN(G$1),FALSE)+IFERROR(VLOOKUP($CJ167,装強!$1:$999,COLUMN(I$1),FALSE),0))*VLOOKUP($D167,素材!$1:$1016,COLUMN($E$1),FALSE),0),"")</f>
        <v>23</v>
      </c>
      <c r="J167">
        <f>IFERROR(ROUNDDOWN((VLOOKUP($C167,武器!$1:$998,COLUMN(H$1),FALSE)+IFERROR(VLOOKUP($CJ167,装強!$1:$999,COLUMN(J$1),FALSE),0))*VLOOKUP($D167,素材!$1:$1016,COLUMN($E$1),FALSE),0),"")</f>
        <v>19</v>
      </c>
      <c r="K167">
        <f>IFERROR(ROUNDDOWN((VLOOKUP($C167,武器!$1:$998,COLUMN(I$1),FALSE)+IFERROR(VLOOKUP($CJ167,装強!$1:$999,COLUMN(K$1),FALSE),0))*VLOOKUP($D167,素材!$1:$1016,COLUMN($E$1),FALSE),0),"")</f>
        <v>0</v>
      </c>
      <c r="L167" t="str">
        <f>IFERROR(VLOOKUP($D167,素材!$1:$1016,COLUMN($F$1),FALSE),"")</f>
        <v>雷</v>
      </c>
      <c r="M167">
        <f>IFERROR(VLOOKUP($C167,武器!$1:$998,COLUMN(AA$1),FALSE)*VLOOKUP($D167,素材!$1:$1016,COLUMN($G$1),FALSE),"")</f>
        <v>40.25</v>
      </c>
      <c r="N167">
        <f>IFERROR(VLOOKUP($C167,武器!$1:$998,COLUMN(I$1),FALSE),"")</f>
        <v>0</v>
      </c>
      <c r="O167" s="23">
        <f>IFERROR((VLOOKUP($C167,武器!$1:$998,COLUMN(K$1),FALSE)+VLOOKUP($D167,素材!$1:$1016,COLUMN(H$1),FALSE))*100+IFERROR(VLOOKUP($CJ167,装強!$1:$999,COLUMN(O$1),FALSE),0),"")</f>
        <v>15</v>
      </c>
      <c r="P167" s="23">
        <f>IFERROR((VLOOKUP($C167,武器!$1:$998,COLUMN(L$1),FALSE)+VLOOKUP($D167,素材!$1:$1016,COLUMN(I$1),FALSE))*100+IFERROR(VLOOKUP($CJ167,装強!$1:$999,COLUMN(P$1),FALSE),0),"")</f>
        <v>125</v>
      </c>
      <c r="Q167">
        <f>IFERROR(ROUNDUP(VLOOKUP($C167,武器!$1:$998,COLUMN(M$1),FALSE)*(VLOOKUP($D167,素材!$1:$1002,COLUMN(D$1),FALSE)/100),1),"")</f>
        <v>0</v>
      </c>
      <c r="R167">
        <f>IFERROR(ROUNDUP(VLOOKUP($C167,武器!$1:$998,COLUMN(N$1),FALSE)*(VLOOKUP($D167,素材!$1:$1002,COLUMN(D$1),FALSE)/100),1),"")</f>
        <v>-2</v>
      </c>
      <c r="S167">
        <f>IFERROR(VLOOKUP($C167,武器!$1:$998,COLUMN(P$1),FALSE),"")</f>
        <v>0</v>
      </c>
      <c r="T167">
        <f>IFERROR(VLOOKUP($C167,武器!$1:$998,COLUMN(Q$1),FALSE),"")</f>
        <v>0</v>
      </c>
      <c r="U167">
        <f>IFERROR(VLOOKUP($C167,武器!$1:$998,COLUMN(R$1),FALSE),"")</f>
        <v>0</v>
      </c>
      <c r="V167">
        <f>IFERROR(VLOOKUP($C167,武器!$1:$998,COLUMN(Q$1),FALSE),"")</f>
        <v>0</v>
      </c>
      <c r="W167" t="str">
        <f>IFERROR(VLOOKUP($C167,武器!$1:$998,COLUMN(T$1),FALSE),"")</f>
        <v>A</v>
      </c>
      <c r="Y167">
        <f>IFERROR(VLOOKUP($C167,武器!$1:$998,COLUMN(U$1),FALSE),"")</f>
        <v>0</v>
      </c>
      <c r="Z167">
        <f>IFERROR(ROUNDUP(VLOOKUP($C167,武器!$1:$998,COLUMN(O$1),FALSE)*VLOOKUP($D167,素材!$1:$1016,COLUMN(E$1),FALSE),1),"")</f>
        <v>0</v>
      </c>
      <c r="AA167">
        <f>IF(ISNUMBER(SEARCH(SUBSTITUTE(AA$1,RIGHT(AA$1,2),""),VLOOKUP($D167,素材!$1:$1016,COLUMN($F$1),FALSE))),VLOOKUP($C167,武器!$1:$998,COLUMN($O$1),FALSE)*VLOOKUP($D167,素材!$1:$1016,COLUMN($E$1),FALSE)/(LEN(VLOOKUP($D167,素材!$1:$1016,COLUMN($F$1),FALSE))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B167">
        <f>IF(ISNUMBER(SEARCH(SUBSTITUTE(AB$1,RIGHT(AB$1,2),""),VLOOKUP($D167,素材!$1:$1016,COLUMN($F$1),FALSE))),VLOOKUP($C167,武器!$1:$998,COLUMN($O$1),FALSE)*VLOOKUP($D167,素材!$1:$1016,COLUMN($E$1),FALSE)/(LEN(VLOOKUP($D167,素材!$1:$1016,COLUMN($F$1),FALSE))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C167">
        <f>IF(ISNUMBER(SEARCH(SUBSTITUTE(AC$1,RIGHT(AC$1,2),""),VLOOKUP($D167,素材!$1:$1016,COLUMN($F$1),FALSE))),VLOOKUP($C167,武器!$1:$998,COLUMN($O$1),FALSE)*VLOOKUP($D167,素材!$1:$1016,COLUMN($E$1),FALSE)/(LEN(VLOOKUP($D167,素材!$1:$1016,COLUMN($F$1),FALSE))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D167">
        <f>IF(ISNUMBER(SEARCH(SUBSTITUTE(AD$1,RIGHT(AD$1,2),""),VLOOKUP($D167,素材!$1:$1016,COLUMN($F$1),FALSE))),VLOOKUP($C167,武器!$1:$998,COLUMN($O$1),FALSE)*VLOOKUP($D167,素材!$1:$1016,COLUMN($E$1),FALSE)/(LEN(VLOOKUP($D167,素材!$1:$1016,COLUMN($F$1),FALSE))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E167">
        <f>IF(ISNUMBER(SEARCH(SUBSTITUTE(AE$1,RIGHT(AE$1,2),""),VLOOKUP($D167,素材!$1:$1016,COLUMN($F$1),FALSE))),VLOOKUP($C167,武器!$1:$998,COLUMN($O$1),FALSE)*VLOOKUP($D167,素材!$1:$1016,COLUMN($E$1),FALSE)/(LEN(VLOOKUP($D167,素材!$1:$1016,COLUMN($F$1),FALSE))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F167">
        <f>IF(ISNUMBER(SEARCH(SUBSTITUTE(AF$1,RIGHT(AF$1,2),""),VLOOKUP($D167,素材!$1:$1016,COLUMN($F$1),FALSE))),VLOOKUP($C167,武器!$1:$998,COLUMN($O$1),FALSE)*VLOOKUP($D167,素材!$1:$1016,COLUMN($E$1),FALSE)/(LEN(VLOOKUP($D167,素材!$1:$1016,COLUMN($F$1),FALSE))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G167">
        <f>IF(ISNUMBER(SEARCH(SUBSTITUTE(AG$1,RIGHT(AG$1,2),""),VLOOKUP($D167,素材!$1:$1016,COLUMN($F$1),FALSE))),VLOOKUP($C167,武器!$1:$998,COLUMN($O$1),FALSE)*VLOOKUP($D167,素材!$1:$1016,COLUMN($E$1),FALSE)/(LEN(VLOOKUP($D167,素材!$1:$1016,COLUMN($F$1),FALSE))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H167">
        <f>IF(ISNUMBER(SEARCH(SUBSTITUTE(AH$1,RIGHT(AH$1,2),""),VLOOKUP($D167,素材!$1:$1016,COLUMN($F$1),FALSE))),VLOOKUP($C167,武器!$1:$998,COLUMN($O$1),FALSE)*VLOOKUP($D167,素材!$1:$1016,COLUMN($E$1),FALSE)/(LEN(VLOOKUP($D167,素材!$1:$1016,COLUMN($F$1),FALSE))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I167">
        <f>IF(ISNUMBER(SEARCH(SUBSTITUTE(AI$1,RIGHT(AI$1,2),""),VLOOKUP($D167,素材!$1:$1016,COLUMN($F$1),FALSE))),VLOOKUP($C167,武器!$1:$998,COLUMN($O$1),FALSE)*VLOOKUP($D167,素材!$1:$1016,COLUMN($E$1),FALSE)/(LEN(VLOOKUP($D167,素材!$1:$1016,COLUMN($F$1),FALSE))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J167">
        <f>IF(ISNUMBER(SEARCH(SUBSTITUTE(AJ$1,RIGHT(AJ$1,2),""),VLOOKUP($D167,素材!$1:$1016,COLUMN($F$1),FALSE))),VLOOKUP($C167,武器!$1:$998,COLUMN($O$1),FALSE)*VLOOKUP($D167,素材!$1:$1016,COLUMN($E$1),FALSE)/(LEN(VLOOKUP($D167,素材!$1:$1016,COLUMN($F$1),FALSE))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K167">
        <f>IF(ISNUMBER(SEARCH(SUBSTITUTE(AK$1,RIGHT(AK$1,2),""),VLOOKUP($D167,素材!$1:$1016,COLUMN($F$1),FALSE))),VLOOKUP($C167,武器!$1:$998,COLUMN($O$1),FALSE)*VLOOKUP($D167,素材!$1:$1016,COLUMN($E$1),FALSE)/(LEN(VLOOKUP($D167,素材!$1:$1016,COLUMN($F$1),FALSE))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L167">
        <f>IF(ISNUMBER(SEARCH(SUBSTITUTE(AL$1,RIGHT(AL$1,2),""),VLOOKUP($D167,素材!$1:$1016,COLUMN($F$1),FALSE))),VLOOKUP($C167,武器!$1:$998,COLUMN($O$1),FALSE)*VLOOKUP($D167,素材!$1:$1016,COLUMN($E$1),FALSE)/(LEN(VLOOKUP($D167,素材!$1:$1016,COLUMN($F$1),FALSE))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M167">
        <f>IF(ISNUMBER(SEARCH(SUBSTITUTE(AM$1,RIGHT(AM$1,2),""),VLOOKUP($D167,素材!$1:$1016,COLUMN($F$1),FALSE))),VLOOKUP($C167,武器!$1:$998,COLUMN($O$1),FALSE)*VLOOKUP($D167,素材!$1:$1016,COLUMN($E$1),FALSE)/(LEN(VLOOKUP($D167,素材!$1:$1016,COLUMN($F$1),FALSE))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N167">
        <f>IF(ISNUMBER(SEARCH(SUBSTITUTE(AN$1,RIGHT(AN$1,2),""),VLOOKUP($D167,素材!$1:$1016,COLUMN($F$1),FALSE))),VLOOKUP($C167,武器!$1:$998,COLUMN($O$1),FALSE)*VLOOKUP($D167,素材!$1:$1016,COLUMN($E$1),FALSE)/(LEN(VLOOKUP($D167,素材!$1:$1016,COLUMN($F$1),FALSE))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O167">
        <f>IF(ISNUMBER(SEARCH(SUBSTITUTE(AO$1,RIGHT(AO$1,2),""),VLOOKUP($D167,素材!$1:$1016,COLUMN($F$1),FALSE))),VLOOKUP($C167,武器!$1:$998,COLUMN($O$1),FALSE)*VLOOKUP($D167,素材!$1:$1016,COLUMN($E$1),FALSE)/(LEN(VLOOKUP($D167,素材!$1:$1016,COLUMN($F$1),FALSE))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P167">
        <f>IF(ISNUMBER(SEARCH(SUBSTITUTE(AP$1,RIGHT(AP$1,2),""),VLOOKUP($D167,素材!$1:$1016,COLUMN($F$1),FALSE))),VLOOKUP($C167,武器!$1:$998,COLUMN($O$1),FALSE)*VLOOKUP($D167,素材!$1:$1016,COLUMN($E$1),FALSE)/(LEN(VLOOKUP($D167,素材!$1:$1016,COLUMN($F$1),FALSE))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Q167">
        <f>IF(ISNUMBER(SEARCH(SUBSTITUTE(AQ$1,RIGHT(AQ$1,2),""),VLOOKUP($D167,素材!$1:$1016,COLUMN($F$1),FALSE))),VLOOKUP($C167,武器!$1:$998,COLUMN($O$1),FALSE)*VLOOKUP($D167,素材!$1:$1016,COLUMN($E$1),FALSE)/(LEN(VLOOKUP($D167,素材!$1:$1016,COLUMN($F$1),FALSE))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R167">
        <f>IF(ISNUMBER(SEARCH(SUBSTITUTE(AR$1,RIGHT(AR$1,2),""),VLOOKUP($D167,素材!$1:$1016,COLUMN($F$1),FALSE))),VLOOKUP($C167,武器!$1:$998,COLUMN($O$1),FALSE)*VLOOKUP($D167,素材!$1:$1016,COLUMN($E$1),FALSE)/(LEN(VLOOKUP($D167,素材!$1:$1016,COLUMN($F$1),FALSE))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S167">
        <f>IF(ISNUMBER(SEARCH(SUBSTITUTE(AS$1,RIGHT(AS$1,2),""),VLOOKUP($D167,素材!$1:$1016,COLUMN($F$1),FALSE))),VLOOKUP($C167,武器!$1:$998,COLUMN($O$1),FALSE)*VLOOKUP($D167,素材!$1:$1016,COLUMN($E$1),FALSE)/(LEN(VLOOKUP($D167,素材!$1:$1016,COLUMN($F$1),FALSE))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T167">
        <f>IF(ISNUMBER(SEARCH(SUBSTITUTE(AT$1,RIGHT(AT$1,2),""),VLOOKUP($D167,素材!$1:$1016,COLUMN($F$1),FALSE))),VLOOKUP($C167,武器!$1:$998,COLUMN($O$1),FALSE)*VLOOKUP($D167,素材!$1:$1016,COLUMN($E$1),FALSE)/(LEN(VLOOKUP($D167,素材!$1:$1016,COLUMN($F$1),FALSE))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U167">
        <f>IF(ISNUMBER(SEARCH(SUBSTITUTE(AU$1,RIGHT(AU$1,2),""),VLOOKUP($D167,素材!$1:$1016,COLUMN($F$1),FALSE))),VLOOKUP($C167,武器!$1:$998,COLUMN($O$1),FALSE)*VLOOKUP($D167,素材!$1:$1016,COLUMN($E$1),FALSE)/(LEN(VLOOKUP($D167,素材!$1:$1016,COLUMN($F$1),FALSE))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V167">
        <f>IF(ISNUMBER(SEARCH(SUBSTITUTE(AV$1,RIGHT(AV$1,2),""),VLOOKUP($D167,素材!$1:$1016,COLUMN($F$1),FALSE))),VLOOKUP($C167,武器!$1:$998,COLUMN($O$1),FALSE)*VLOOKUP($D167,素材!$1:$1016,COLUMN($E$1),FALSE)/(LEN(VLOOKUP($D167,素材!$1:$1016,COLUMN($F$1),FALSE))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W167">
        <f>IF(ISNUMBER(SEARCH(SUBSTITUTE(AW$1,RIGHT(AW$1,2),""),VLOOKUP($D167,素材!$1:$1016,COLUMN($F$1),FALSE))),VLOOKUP($C167,武器!$1:$998,COLUMN($O$1),FALSE)*VLOOKUP($D167,素材!$1:$1016,COLUMN($E$1),FALSE)/(LEN(VLOOKUP($D167,素材!$1:$1016,COLUMN($F$1),FALSE))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X167">
        <f>IF(ISNUMBER(SEARCH(SUBSTITUTE(AX$1,RIGHT(AX$1,2),""),VLOOKUP($D167,素材!$1:$1016,COLUMN($F$1),FALSE))),VLOOKUP($C167,武器!$1:$998,COLUMN($O$1),FALSE)*VLOOKUP($D167,素材!$1:$1016,COLUMN($E$1),FALSE)/(LEN(VLOOKUP($D167,素材!$1:$1016,COLUMN($F$1),FALSE))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Y167">
        <f>IF(ISNUMBER(SEARCH(SUBSTITUTE(AY$1,RIGHT(AY$1,2),""),VLOOKUP($D167,素材!$1:$1016,COLUMN($F$1),FALSE))),VLOOKUP($C167,武器!$1:$998,COLUMN($O$1),FALSE)*VLOOKUP($D167,素材!$1:$1016,COLUMN($E$1),FALSE)/(LEN(VLOOKUP($D167,素材!$1:$1016,COLUMN($F$1),FALSE))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AZ167">
        <f>IF(ISNUMBER(SEARCH(SUBSTITUTE(AZ$1,RIGHT(AZ$1,2),""),VLOOKUP($D167,素材!$1:$1016,COLUMN($F$1),FALSE))),VLOOKUP($C167,武器!$1:$998,COLUMN($O$1),FALSE)*VLOOKUP($D167,素材!$1:$1016,COLUMN($E$1),FALSE)/(LEN(VLOOKUP($D167,素材!$1:$1016,COLUMN($F$1),FALSE))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BA167">
        <f>IF(ISNUMBER(SEARCH(SUBSTITUTE(BA$1,RIGHT(BA$1,2),""),VLOOKUP($D167,素材!$1:$1016,COLUMN($F$1),FALSE))),VLOOKUP($C167,武器!$1:$998,COLUMN($O$1),FALSE)*VLOOKUP($D167,素材!$1:$1016,COLUMN($E$1),FALSE)/(LEN(VLOOKUP($D167,素材!$1:$1016,COLUMN($F$1),FALSE))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BB167">
        <f>IF(ISNUMBER(SEARCH(SUBSTITUTE(BB$1,RIGHT(BB$1,2),""),VLOOKUP($D167,素材!$1:$1016,COLUMN($F$1),FALSE))),VLOOKUP($C167,武器!$1:$998,COLUMN($O$1),FALSE)*VLOOKUP($D167,素材!$1:$1016,COLUMN($E$1),FALSE)/(LEN(VLOOKUP($D167,素材!$1:$1016,COLUMN($F$1),FALSE))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BC167">
        <f>IF(ISNUMBER(SEARCH(SUBSTITUTE(BC$1,RIGHT(BC$1,2),""),VLOOKUP($D167,素材!$1:$1016,COLUMN($F$1),FALSE))),VLOOKUP($C167,武器!$1:$998,COLUMN($O$1),FALSE)*VLOOKUP($D167,素材!$1:$1016,COLUMN($E$1),FALSE)/(LEN(VLOOKUP($D167,素材!$1:$1016,COLUMN($F$1),FALSE))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BD167">
        <f>IF(ISNUMBER(SEARCH(SUBSTITUTE(BD$1,RIGHT(BD$1,2),""),VLOOKUP($D167,素材!$1:$1016,COLUMN($F$1),FALSE))),VLOOKUP($C167,武器!$1:$998,COLUMN($O$1),FALSE)*VLOOKUP($D167,素材!$1:$1016,COLUMN($E$1),FALSE)/(LEN(VLOOKUP($D167,素材!$1:$1016,COLUMN($F$1),FALSE))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BE167">
        <f>IF(ISNUMBER(SEARCH(SUBSTITUTE(BE$1,RIGHT(BE$1,2),""),VLOOKUP($D167,素材!$1:$1016,COLUMN($F$1),FALSE))),VLOOKUP($C167,武器!$1:$998,COLUMN($O$1),FALSE)*VLOOKUP($D167,素材!$1:$1016,COLUMN($E$1),FALSE)/(LEN(VLOOKUP($D167,素材!$1:$1016,COLUMN($F$1),FALSE))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BF167">
        <f>IF(ISNUMBER(SEARCH(SUBSTITUTE(BF$1,RIGHT(BF$1,2),""),VLOOKUP($D167,素材!$1:$1016,COLUMN($F$1),FALSE))),VLOOKUP($C167,武器!$1:$998,COLUMN($O$1),FALSE)*VLOOKUP($D167,素材!$1:$1016,COLUMN($E$1),FALSE)/(LEN(VLOOKUP($D167,素材!$1:$1016,COLUMN($F$1),FALSE)) - LEN(SUBSTITUTE(VLOOKUP($D167,素材!$1:$1016,COLUMN($F$1),FALSE), "・", 0)) + 1), 0)</f>
        <v>0</v>
      </c>
      <c r="CM167">
        <f t="shared" si="19"/>
        <v>23</v>
      </c>
      <c r="CN167" s="22" t="str">
        <f>IF(E167="武器",IF(J167-1&gt;SUM(G167:I167),"盾",IF(MAX(G167:I167)=G167,"切断",IF(MAX(G167:I167)=H167,"貫通",IF(MAX(G167:I167)=I167,"打撃","射撃")))),E167)&amp;".webp"</f>
        <v>打撃.webp</v>
      </c>
      <c r="CO167">
        <f>IFERROR(VLOOKUP($C167,武器!$1:$998,COLUMN(V$1),FALSE)*VLOOKUP($D167,素材!$1:$1016,COLUMN(N$1),FALSE)+IF(CJ167="",0,VLOOKUP($CJ167,装強!$1:$1008,COLUMN($CL$1),FALSE)),"")</f>
        <v>3000</v>
      </c>
      <c r="CP167">
        <f>VLOOKUP(D167,素材!$A:$O,COLUMN(素材!O$1),FALSE)</f>
        <v>0</v>
      </c>
      <c r="CQ167" t="str">
        <f>VLOOKUP(C167,武器!$A:$W,COLUMN(武器!W$1),FALSE)</f>
        <v>戦棍。打撃に優れた武器。Cr率が高い</v>
      </c>
      <c r="CS167" t="str">
        <f t="shared" si="21"/>
        <v>e_167</v>
      </c>
      <c r="CT167">
        <f t="shared" si="24"/>
        <v>300000</v>
      </c>
    </row>
    <row r="168" spans="1:98" outlineLevel="1" x14ac:dyDescent="0.4">
      <c r="A168" t="str">
        <f t="shared" si="29"/>
        <v>黒鋼鉄の棘棍</v>
      </c>
      <c r="B168" t="str">
        <f>IFERROR(VLOOKUP($D168,素材!$1:$1016,COLUMN($B$1),FALSE)&amp;"・"&amp;VLOOKUP($C168,武器!$1:$998,COLUMN(B$1),FALSE),"")</f>
        <v>ブラックスティール・モーニングスター</v>
      </c>
      <c r="C168" t="s">
        <v>228</v>
      </c>
      <c r="D168" s="24" t="s">
        <v>244</v>
      </c>
      <c r="E168" t="str">
        <f>IFERROR(VLOOKUP(C168,武器!$1:$998,COLUMN(C$1),FALSE),"")</f>
        <v>武器</v>
      </c>
      <c r="F168">
        <f>IFERROR(ROUNDDOWN((VLOOKUP($C168,武器!$1:$998,COLUMN(D$1),FALSE)+IFERROR(VLOOKUP($CJ168,装強!$1:$999,COLUMN(F$1),FALSE),0))*VLOOKUP($D168,素材!$1:$1016,COLUMN(D$1),FALSE),0),"")</f>
        <v>105</v>
      </c>
      <c r="G168">
        <f>IFERROR(ROUNDDOWN((VLOOKUP($C168,武器!$1:$998,COLUMN(E$1),FALSE)+IFERROR(VLOOKUP($CJ168,装強!$1:$999,COLUMN(G$1),FALSE),0))*VLOOKUP($D168,素材!$1:$1016,COLUMN($E$1),FALSE),0),"")</f>
        <v>0</v>
      </c>
      <c r="H168">
        <f>IFERROR(ROUNDDOWN((VLOOKUP($C168,武器!$1:$998,COLUMN(F$1),FALSE)+IFERROR(VLOOKUP($CJ168,装強!$1:$999,COLUMN(H$1),FALSE),0))*VLOOKUP($D168,素材!$1:$1016,COLUMN($E$1),FALSE),0),"")</f>
        <v>12</v>
      </c>
      <c r="I168">
        <f>IFERROR(ROUNDDOWN((VLOOKUP($C168,武器!$1:$998,COLUMN(G$1),FALSE)+IFERROR(VLOOKUP($CJ168,装強!$1:$999,COLUMN(I$1),FALSE),0))*VLOOKUP($D168,素材!$1:$1016,COLUMN($E$1),FALSE),0),"")</f>
        <v>12</v>
      </c>
      <c r="J168">
        <f>IFERROR(ROUNDDOWN((VLOOKUP($C168,武器!$1:$998,COLUMN(H$1),FALSE)+IFERROR(VLOOKUP($CJ168,装強!$1:$999,COLUMN(J$1),FALSE),0))*VLOOKUP($D168,素材!$1:$1016,COLUMN($E$1),FALSE),0),"")</f>
        <v>19</v>
      </c>
      <c r="K168">
        <f>IFERROR(ROUNDDOWN((VLOOKUP($C168,武器!$1:$998,COLUMN(I$1),FALSE)+IFERROR(VLOOKUP($CJ168,装強!$1:$999,COLUMN(K$1),FALSE),0))*VLOOKUP($D168,素材!$1:$1016,COLUMN($E$1),FALSE),0),"")</f>
        <v>0</v>
      </c>
      <c r="L168" t="str">
        <f>IFERROR(VLOOKUP($D168,素材!$1:$1016,COLUMN($F$1),FALSE),"")</f>
        <v>雷</v>
      </c>
      <c r="M168">
        <f>IFERROR(VLOOKUP($C168,武器!$1:$998,COLUMN(AA$1),FALSE)*VLOOKUP($D168,素材!$1:$1016,COLUMN($G$1),FALSE),"")</f>
        <v>42</v>
      </c>
      <c r="N168">
        <f>IFERROR(VLOOKUP($C168,武器!$1:$998,COLUMN(I$1),FALSE),"")</f>
        <v>0</v>
      </c>
      <c r="O168" s="23">
        <f>IFERROR((VLOOKUP($C168,武器!$1:$998,COLUMN(K$1),FALSE)+VLOOKUP($D168,素材!$1:$1016,COLUMN(H$1),FALSE))*100+IFERROR(VLOOKUP($CJ168,装強!$1:$999,COLUMN(O$1),FALSE),0),"")</f>
        <v>10</v>
      </c>
      <c r="P168" s="23">
        <f>IFERROR((VLOOKUP($C168,武器!$1:$998,COLUMN(L$1),FALSE)+VLOOKUP($D168,素材!$1:$1016,COLUMN(I$1),FALSE))*100+IFERROR(VLOOKUP($CJ168,装強!$1:$999,COLUMN(P$1),FALSE),0),"")</f>
        <v>125</v>
      </c>
      <c r="Q168">
        <f>IFERROR(ROUNDUP(VLOOKUP($C168,武器!$1:$998,COLUMN(M$1),FALSE)*(VLOOKUP($D168,素材!$1:$1002,COLUMN(D$1),FALSE)/100),1),"")</f>
        <v>-2.5</v>
      </c>
      <c r="R168">
        <f>IFERROR(ROUNDUP(VLOOKUP($C168,武器!$1:$998,COLUMN(N$1),FALSE)*(VLOOKUP($D168,素材!$1:$1002,COLUMN(D$1),FALSE)/100),1),"")</f>
        <v>-2.5</v>
      </c>
      <c r="S168">
        <f>IFERROR(VLOOKUP($C168,武器!$1:$998,COLUMN(P$1),FALSE),"")</f>
        <v>0</v>
      </c>
      <c r="T168">
        <f>IFERROR(VLOOKUP($C168,武器!$1:$998,COLUMN(Q$1),FALSE),"")</f>
        <v>0</v>
      </c>
      <c r="U168">
        <f>IFERROR(VLOOKUP($C168,武器!$1:$998,COLUMN(R$1),FALSE),"")</f>
        <v>0</v>
      </c>
      <c r="V168">
        <f>IFERROR(VLOOKUP($C168,武器!$1:$998,COLUMN(Q$1),FALSE),"")</f>
        <v>0</v>
      </c>
      <c r="W168" t="str">
        <f>IFERROR(VLOOKUP($C168,武器!$1:$998,COLUMN(T$1),FALSE),"")</f>
        <v>A</v>
      </c>
      <c r="Y168">
        <f>IFERROR(VLOOKUP($C168,武器!$1:$998,COLUMN(U$1),FALSE),"")</f>
        <v>0</v>
      </c>
      <c r="Z168">
        <f>IFERROR(ROUNDUP(VLOOKUP($C168,武器!$1:$998,COLUMN(O$1),FALSE)*VLOOKUP($D168,素材!$1:$1016,COLUMN(E$1),FALSE),1),"")</f>
        <v>0</v>
      </c>
      <c r="AA168">
        <f>IF(ISNUMBER(SEARCH(SUBSTITUTE(AA$1,RIGHT(AA$1,2),""),VLOOKUP($D168,素材!$1:$1016,COLUMN($F$1),FALSE))),VLOOKUP($C168,武器!$1:$998,COLUMN($O$1),FALSE)*VLOOKUP($D168,素材!$1:$1016,COLUMN($E$1),FALSE)/(LEN(VLOOKUP($D168,素材!$1:$1016,COLUMN($F$1),FALSE))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B168">
        <f>IF(ISNUMBER(SEARCH(SUBSTITUTE(AB$1,RIGHT(AB$1,2),""),VLOOKUP($D168,素材!$1:$1016,COLUMN($F$1),FALSE))),VLOOKUP($C168,武器!$1:$998,COLUMN($O$1),FALSE)*VLOOKUP($D168,素材!$1:$1016,COLUMN($E$1),FALSE)/(LEN(VLOOKUP($D168,素材!$1:$1016,COLUMN($F$1),FALSE))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C168">
        <f>IF(ISNUMBER(SEARCH(SUBSTITUTE(AC$1,RIGHT(AC$1,2),""),VLOOKUP($D168,素材!$1:$1016,COLUMN($F$1),FALSE))),VLOOKUP($C168,武器!$1:$998,COLUMN($O$1),FALSE)*VLOOKUP($D168,素材!$1:$1016,COLUMN($E$1),FALSE)/(LEN(VLOOKUP($D168,素材!$1:$1016,COLUMN($F$1),FALSE))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D168">
        <f>IF(ISNUMBER(SEARCH(SUBSTITUTE(AD$1,RIGHT(AD$1,2),""),VLOOKUP($D168,素材!$1:$1016,COLUMN($F$1),FALSE))),VLOOKUP($C168,武器!$1:$998,COLUMN($O$1),FALSE)*VLOOKUP($D168,素材!$1:$1016,COLUMN($E$1),FALSE)/(LEN(VLOOKUP($D168,素材!$1:$1016,COLUMN($F$1),FALSE))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E168">
        <f>IF(ISNUMBER(SEARCH(SUBSTITUTE(AE$1,RIGHT(AE$1,2),""),VLOOKUP($D168,素材!$1:$1016,COLUMN($F$1),FALSE))),VLOOKUP($C168,武器!$1:$998,COLUMN($O$1),FALSE)*VLOOKUP($D168,素材!$1:$1016,COLUMN($E$1),FALSE)/(LEN(VLOOKUP($D168,素材!$1:$1016,COLUMN($F$1),FALSE))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F168">
        <f>IF(ISNUMBER(SEARCH(SUBSTITUTE(AF$1,RIGHT(AF$1,2),""),VLOOKUP($D168,素材!$1:$1016,COLUMN($F$1),FALSE))),VLOOKUP($C168,武器!$1:$998,COLUMN($O$1),FALSE)*VLOOKUP($D168,素材!$1:$1016,COLUMN($E$1),FALSE)/(LEN(VLOOKUP($D168,素材!$1:$1016,COLUMN($F$1),FALSE))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G168">
        <f>IF(ISNUMBER(SEARCH(SUBSTITUTE(AG$1,RIGHT(AG$1,2),""),VLOOKUP($D168,素材!$1:$1016,COLUMN($F$1),FALSE))),VLOOKUP($C168,武器!$1:$998,COLUMN($O$1),FALSE)*VLOOKUP($D168,素材!$1:$1016,COLUMN($E$1),FALSE)/(LEN(VLOOKUP($D168,素材!$1:$1016,COLUMN($F$1),FALSE))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H168">
        <f>IF(ISNUMBER(SEARCH(SUBSTITUTE(AH$1,RIGHT(AH$1,2),""),VLOOKUP($D168,素材!$1:$1016,COLUMN($F$1),FALSE))),VLOOKUP($C168,武器!$1:$998,COLUMN($O$1),FALSE)*VLOOKUP($D168,素材!$1:$1016,COLUMN($E$1),FALSE)/(LEN(VLOOKUP($D168,素材!$1:$1016,COLUMN($F$1),FALSE))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I168">
        <f>IF(ISNUMBER(SEARCH(SUBSTITUTE(AI$1,RIGHT(AI$1,2),""),VLOOKUP($D168,素材!$1:$1016,COLUMN($F$1),FALSE))),VLOOKUP($C168,武器!$1:$998,COLUMN($O$1),FALSE)*VLOOKUP($D168,素材!$1:$1016,COLUMN($E$1),FALSE)/(LEN(VLOOKUP($D168,素材!$1:$1016,COLUMN($F$1),FALSE))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J168">
        <f>IF(ISNUMBER(SEARCH(SUBSTITUTE(AJ$1,RIGHT(AJ$1,2),""),VLOOKUP($D168,素材!$1:$1016,COLUMN($F$1),FALSE))),VLOOKUP($C168,武器!$1:$998,COLUMN($O$1),FALSE)*VLOOKUP($D168,素材!$1:$1016,COLUMN($E$1),FALSE)/(LEN(VLOOKUP($D168,素材!$1:$1016,COLUMN($F$1),FALSE))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K168">
        <f>IF(ISNUMBER(SEARCH(SUBSTITUTE(AK$1,RIGHT(AK$1,2),""),VLOOKUP($D168,素材!$1:$1016,COLUMN($F$1),FALSE))),VLOOKUP($C168,武器!$1:$998,COLUMN($O$1),FALSE)*VLOOKUP($D168,素材!$1:$1016,COLUMN($E$1),FALSE)/(LEN(VLOOKUP($D168,素材!$1:$1016,COLUMN($F$1),FALSE))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L168">
        <f>IF(ISNUMBER(SEARCH(SUBSTITUTE(AL$1,RIGHT(AL$1,2),""),VLOOKUP($D168,素材!$1:$1016,COLUMN($F$1),FALSE))),VLOOKUP($C168,武器!$1:$998,COLUMN($O$1),FALSE)*VLOOKUP($D168,素材!$1:$1016,COLUMN($E$1),FALSE)/(LEN(VLOOKUP($D168,素材!$1:$1016,COLUMN($F$1),FALSE))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M168">
        <f>IF(ISNUMBER(SEARCH(SUBSTITUTE(AM$1,RIGHT(AM$1,2),""),VLOOKUP($D168,素材!$1:$1016,COLUMN($F$1),FALSE))),VLOOKUP($C168,武器!$1:$998,COLUMN($O$1),FALSE)*VLOOKUP($D168,素材!$1:$1016,COLUMN($E$1),FALSE)/(LEN(VLOOKUP($D168,素材!$1:$1016,COLUMN($F$1),FALSE))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N168">
        <f>IF(ISNUMBER(SEARCH(SUBSTITUTE(AN$1,RIGHT(AN$1,2),""),VLOOKUP($D168,素材!$1:$1016,COLUMN($F$1),FALSE))),VLOOKUP($C168,武器!$1:$998,COLUMN($O$1),FALSE)*VLOOKUP($D168,素材!$1:$1016,COLUMN($E$1),FALSE)/(LEN(VLOOKUP($D168,素材!$1:$1016,COLUMN($F$1),FALSE))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O168">
        <f>IF(ISNUMBER(SEARCH(SUBSTITUTE(AO$1,RIGHT(AO$1,2),""),VLOOKUP($D168,素材!$1:$1016,COLUMN($F$1),FALSE))),VLOOKUP($C168,武器!$1:$998,COLUMN($O$1),FALSE)*VLOOKUP($D168,素材!$1:$1016,COLUMN($E$1),FALSE)/(LEN(VLOOKUP($D168,素材!$1:$1016,COLUMN($F$1),FALSE))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P168">
        <f>IF(ISNUMBER(SEARCH(SUBSTITUTE(AP$1,RIGHT(AP$1,2),""),VLOOKUP($D168,素材!$1:$1016,COLUMN($F$1),FALSE))),VLOOKUP($C168,武器!$1:$998,COLUMN($O$1),FALSE)*VLOOKUP($D168,素材!$1:$1016,COLUMN($E$1),FALSE)/(LEN(VLOOKUP($D168,素材!$1:$1016,COLUMN($F$1),FALSE))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Q168">
        <f>IF(ISNUMBER(SEARCH(SUBSTITUTE(AQ$1,RIGHT(AQ$1,2),""),VLOOKUP($D168,素材!$1:$1016,COLUMN($F$1),FALSE))),VLOOKUP($C168,武器!$1:$998,COLUMN($O$1),FALSE)*VLOOKUP($D168,素材!$1:$1016,COLUMN($E$1),FALSE)/(LEN(VLOOKUP($D168,素材!$1:$1016,COLUMN($F$1),FALSE))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R168">
        <f>IF(ISNUMBER(SEARCH(SUBSTITUTE(AR$1,RIGHT(AR$1,2),""),VLOOKUP($D168,素材!$1:$1016,COLUMN($F$1),FALSE))),VLOOKUP($C168,武器!$1:$998,COLUMN($O$1),FALSE)*VLOOKUP($D168,素材!$1:$1016,COLUMN($E$1),FALSE)/(LEN(VLOOKUP($D168,素材!$1:$1016,COLUMN($F$1),FALSE))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S168">
        <f>IF(ISNUMBER(SEARCH(SUBSTITUTE(AS$1,RIGHT(AS$1,2),""),VLOOKUP($D168,素材!$1:$1016,COLUMN($F$1),FALSE))),VLOOKUP($C168,武器!$1:$998,COLUMN($O$1),FALSE)*VLOOKUP($D168,素材!$1:$1016,COLUMN($E$1),FALSE)/(LEN(VLOOKUP($D168,素材!$1:$1016,COLUMN($F$1),FALSE))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T168">
        <f>IF(ISNUMBER(SEARCH(SUBSTITUTE(AT$1,RIGHT(AT$1,2),""),VLOOKUP($D168,素材!$1:$1016,COLUMN($F$1),FALSE))),VLOOKUP($C168,武器!$1:$998,COLUMN($O$1),FALSE)*VLOOKUP($D168,素材!$1:$1016,COLUMN($E$1),FALSE)/(LEN(VLOOKUP($D168,素材!$1:$1016,COLUMN($F$1),FALSE))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U168">
        <f>IF(ISNUMBER(SEARCH(SUBSTITUTE(AU$1,RIGHT(AU$1,2),""),VLOOKUP($D168,素材!$1:$1016,COLUMN($F$1),FALSE))),VLOOKUP($C168,武器!$1:$998,COLUMN($O$1),FALSE)*VLOOKUP($D168,素材!$1:$1016,COLUMN($E$1),FALSE)/(LEN(VLOOKUP($D168,素材!$1:$1016,COLUMN($F$1),FALSE))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V168">
        <f>IF(ISNUMBER(SEARCH(SUBSTITUTE(AV$1,RIGHT(AV$1,2),""),VLOOKUP($D168,素材!$1:$1016,COLUMN($F$1),FALSE))),VLOOKUP($C168,武器!$1:$998,COLUMN($O$1),FALSE)*VLOOKUP($D168,素材!$1:$1016,COLUMN($E$1),FALSE)/(LEN(VLOOKUP($D168,素材!$1:$1016,COLUMN($F$1),FALSE))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W168">
        <f>IF(ISNUMBER(SEARCH(SUBSTITUTE(AW$1,RIGHT(AW$1,2),""),VLOOKUP($D168,素材!$1:$1016,COLUMN($F$1),FALSE))),VLOOKUP($C168,武器!$1:$998,COLUMN($O$1),FALSE)*VLOOKUP($D168,素材!$1:$1016,COLUMN($E$1),FALSE)/(LEN(VLOOKUP($D168,素材!$1:$1016,COLUMN($F$1),FALSE))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X168">
        <f>IF(ISNUMBER(SEARCH(SUBSTITUTE(AX$1,RIGHT(AX$1,2),""),VLOOKUP($D168,素材!$1:$1016,COLUMN($F$1),FALSE))),VLOOKUP($C168,武器!$1:$998,COLUMN($O$1),FALSE)*VLOOKUP($D168,素材!$1:$1016,COLUMN($E$1),FALSE)/(LEN(VLOOKUP($D168,素材!$1:$1016,COLUMN($F$1),FALSE))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Y168">
        <f>IF(ISNUMBER(SEARCH(SUBSTITUTE(AY$1,RIGHT(AY$1,2),""),VLOOKUP($D168,素材!$1:$1016,COLUMN($F$1),FALSE))),VLOOKUP($C168,武器!$1:$998,COLUMN($O$1),FALSE)*VLOOKUP($D168,素材!$1:$1016,COLUMN($E$1),FALSE)/(LEN(VLOOKUP($D168,素材!$1:$1016,COLUMN($F$1),FALSE))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AZ168">
        <f>IF(ISNUMBER(SEARCH(SUBSTITUTE(AZ$1,RIGHT(AZ$1,2),""),VLOOKUP($D168,素材!$1:$1016,COLUMN($F$1),FALSE))),VLOOKUP($C168,武器!$1:$998,COLUMN($O$1),FALSE)*VLOOKUP($D168,素材!$1:$1016,COLUMN($E$1),FALSE)/(LEN(VLOOKUP($D168,素材!$1:$1016,COLUMN($F$1),FALSE))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BA168">
        <f>IF(ISNUMBER(SEARCH(SUBSTITUTE(BA$1,RIGHT(BA$1,2),""),VLOOKUP($D168,素材!$1:$1016,COLUMN($F$1),FALSE))),VLOOKUP($C168,武器!$1:$998,COLUMN($O$1),FALSE)*VLOOKUP($D168,素材!$1:$1016,COLUMN($E$1),FALSE)/(LEN(VLOOKUP($D168,素材!$1:$1016,COLUMN($F$1),FALSE))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BB168">
        <f>IF(ISNUMBER(SEARCH(SUBSTITUTE(BB$1,RIGHT(BB$1,2),""),VLOOKUP($D168,素材!$1:$1016,COLUMN($F$1),FALSE))),VLOOKUP($C168,武器!$1:$998,COLUMN($O$1),FALSE)*VLOOKUP($D168,素材!$1:$1016,COLUMN($E$1),FALSE)/(LEN(VLOOKUP($D168,素材!$1:$1016,COLUMN($F$1),FALSE))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BC168">
        <f>IF(ISNUMBER(SEARCH(SUBSTITUTE(BC$1,RIGHT(BC$1,2),""),VLOOKUP($D168,素材!$1:$1016,COLUMN($F$1),FALSE))),VLOOKUP($C168,武器!$1:$998,COLUMN($O$1),FALSE)*VLOOKUP($D168,素材!$1:$1016,COLUMN($E$1),FALSE)/(LEN(VLOOKUP($D168,素材!$1:$1016,COLUMN($F$1),FALSE))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BD168">
        <f>IF(ISNUMBER(SEARCH(SUBSTITUTE(BD$1,RIGHT(BD$1,2),""),VLOOKUP($D168,素材!$1:$1016,COLUMN($F$1),FALSE))),VLOOKUP($C168,武器!$1:$998,COLUMN($O$1),FALSE)*VLOOKUP($D168,素材!$1:$1016,COLUMN($E$1),FALSE)/(LEN(VLOOKUP($D168,素材!$1:$1016,COLUMN($F$1),FALSE))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BE168">
        <f>IF(ISNUMBER(SEARCH(SUBSTITUTE(BE$1,RIGHT(BE$1,2),""),VLOOKUP($D168,素材!$1:$1016,COLUMN($F$1),FALSE))),VLOOKUP($C168,武器!$1:$998,COLUMN($O$1),FALSE)*VLOOKUP($D168,素材!$1:$1016,COLUMN($E$1),FALSE)/(LEN(VLOOKUP($D168,素材!$1:$1016,COLUMN($F$1),FALSE))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BF168">
        <f>IF(ISNUMBER(SEARCH(SUBSTITUTE(BF$1,RIGHT(BF$1,2),""),VLOOKUP($D168,素材!$1:$1016,COLUMN($F$1),FALSE))),VLOOKUP($C168,武器!$1:$998,COLUMN($O$1),FALSE)*VLOOKUP($D168,素材!$1:$1016,COLUMN($E$1),FALSE)/(LEN(VLOOKUP($D168,素材!$1:$1016,COLUMN($F$1),FALSE)) - LEN(SUBSTITUTE(VLOOKUP($D168,素材!$1:$1016,COLUMN($F$1),FALSE), "・", 0)) + 1), 0)</f>
        <v>0</v>
      </c>
      <c r="CM168">
        <f t="shared" si="19"/>
        <v>24</v>
      </c>
      <c r="CN168" s="22" t="str">
        <f>IF(E168="武器",IF(J168-1&gt;SUM(G168:I168),"盾",IF(MAX(G168:I168)=G168,"切断",IF(MAX(G168:I168)=H168,"貫通",IF(MAX(G168:I168)=I168,"打撃","射撃")))),E168)&amp;".webp"</f>
        <v>貫通.webp</v>
      </c>
      <c r="CO168">
        <f>IFERROR(VLOOKUP($C168,武器!$1:$998,COLUMN(V$1),FALSE)*VLOOKUP($D168,素材!$1:$1016,COLUMN(N$1),FALSE)+IF(CJ168="",0,VLOOKUP($CJ168,装強!$1:$1008,COLUMN($CL$1),FALSE)),"")</f>
        <v>3000</v>
      </c>
      <c r="CP168">
        <f>VLOOKUP(D168,素材!$A:$O,COLUMN(素材!O$1),FALSE)</f>
        <v>0</v>
      </c>
      <c r="CQ168" t="str">
        <f>VLOOKUP(C168,武器!$A:$W,COLUMN(武器!W$1),FALSE)</f>
        <v>棘棍。打撃と刺突を兼ね備えた武器。</v>
      </c>
      <c r="CS168" t="str">
        <f t="shared" si="21"/>
        <v>e_168</v>
      </c>
      <c r="CT168">
        <f t="shared" si="24"/>
        <v>300000</v>
      </c>
    </row>
    <row r="169" spans="1:98" outlineLevel="1" x14ac:dyDescent="0.4">
      <c r="A169" t="str">
        <f t="shared" si="29"/>
        <v>黒鋼鉄の鎚</v>
      </c>
      <c r="B169" t="str">
        <f>IFERROR(VLOOKUP($D169,素材!$1:$1016,COLUMN($B$1),FALSE)&amp;"・"&amp;VLOOKUP($C169,武器!$1:$998,COLUMN(B$1),FALSE),"")</f>
        <v>ブラックスティール・ハンマー</v>
      </c>
      <c r="C169" t="s">
        <v>227</v>
      </c>
      <c r="D169" s="24" t="s">
        <v>244</v>
      </c>
      <c r="E169" t="str">
        <f>IFERROR(VLOOKUP(C169,武器!$1:$998,COLUMN(C$1),FALSE),"")</f>
        <v>武器</v>
      </c>
      <c r="F169">
        <f>IFERROR(ROUNDDOWN((VLOOKUP($C169,武器!$1:$998,COLUMN(D$1),FALSE)+IFERROR(VLOOKUP($CJ169,装強!$1:$999,COLUMN(F$1),FALSE),0))*VLOOKUP($D169,素材!$1:$1016,COLUMN(D$1),FALSE),0),"")</f>
        <v>110</v>
      </c>
      <c r="G169">
        <f>IFERROR(ROUNDDOWN((VLOOKUP($C169,武器!$1:$998,COLUMN(E$1),FALSE)+IFERROR(VLOOKUP($CJ169,装強!$1:$999,COLUMN(G$1),FALSE),0))*VLOOKUP($D169,素材!$1:$1016,COLUMN($E$1),FALSE),0),"")</f>
        <v>0</v>
      </c>
      <c r="H169">
        <f>IFERROR(ROUNDDOWN((VLOOKUP($C169,武器!$1:$998,COLUMN(F$1),FALSE)+IFERROR(VLOOKUP($CJ169,装強!$1:$999,COLUMN(H$1),FALSE),0))*VLOOKUP($D169,素材!$1:$1016,COLUMN($E$1),FALSE),0),"")</f>
        <v>0</v>
      </c>
      <c r="I169">
        <f>IFERROR(ROUNDDOWN((VLOOKUP($C169,武器!$1:$998,COLUMN(G$1),FALSE)+IFERROR(VLOOKUP($CJ169,装強!$1:$999,COLUMN(I$1),FALSE),0))*VLOOKUP($D169,素材!$1:$1016,COLUMN($E$1),FALSE),0),"")</f>
        <v>22</v>
      </c>
      <c r="J169">
        <f>IFERROR(ROUNDDOWN((VLOOKUP($C169,武器!$1:$998,COLUMN(H$1),FALSE)+IFERROR(VLOOKUP($CJ169,装強!$1:$999,COLUMN(J$1),FALSE),0))*VLOOKUP($D169,素材!$1:$1016,COLUMN($E$1),FALSE),0),"")</f>
        <v>19</v>
      </c>
      <c r="K169">
        <f>IFERROR(ROUNDDOWN((VLOOKUP($C169,武器!$1:$998,COLUMN(I$1),FALSE)+IFERROR(VLOOKUP($CJ169,装強!$1:$999,COLUMN(K$1),FALSE),0))*VLOOKUP($D169,素材!$1:$1016,COLUMN($E$1),FALSE),0),"")</f>
        <v>0</v>
      </c>
      <c r="L169" t="str">
        <f>IFERROR(VLOOKUP($D169,素材!$1:$1016,COLUMN($F$1),FALSE),"")</f>
        <v>雷</v>
      </c>
      <c r="M169">
        <f>IFERROR(VLOOKUP($C169,武器!$1:$998,COLUMN(AA$1),FALSE)*VLOOKUP($D169,素材!$1:$1016,COLUMN($G$1),FALSE),"")</f>
        <v>38.5</v>
      </c>
      <c r="N169">
        <f>IFERROR(VLOOKUP($C169,武器!$1:$998,COLUMN(I$1),FALSE),"")</f>
        <v>0</v>
      </c>
      <c r="O169" s="23">
        <f>IFERROR((VLOOKUP($C169,武器!$1:$998,COLUMN(K$1),FALSE)+VLOOKUP($D169,素材!$1:$1016,COLUMN(H$1),FALSE))*100+IFERROR(VLOOKUP($CJ169,装強!$1:$999,COLUMN(O$1),FALSE),0),"")</f>
        <v>10</v>
      </c>
      <c r="P169" s="23">
        <f>IFERROR((VLOOKUP($C169,武器!$1:$998,COLUMN(L$1),FALSE)+VLOOKUP($D169,素材!$1:$1016,COLUMN(I$1),FALSE))*100+IFERROR(VLOOKUP($CJ169,装強!$1:$999,COLUMN(P$1),FALSE),0),"")</f>
        <v>150</v>
      </c>
      <c r="Q169">
        <f>IFERROR(ROUNDUP(VLOOKUP($C169,武器!$1:$998,COLUMN(M$1),FALSE)*(VLOOKUP($D169,素材!$1:$1002,COLUMN(D$1),FALSE)/100),1),"")</f>
        <v>-2.5</v>
      </c>
      <c r="R169">
        <f>IFERROR(ROUNDUP(VLOOKUP($C169,武器!$1:$998,COLUMN(N$1),FALSE)*(VLOOKUP($D169,素材!$1:$1002,COLUMN(D$1),FALSE)/100),1),"")</f>
        <v>0</v>
      </c>
      <c r="S169">
        <f>IFERROR(VLOOKUP($C169,武器!$1:$998,COLUMN(P$1),FALSE),"")</f>
        <v>0</v>
      </c>
      <c r="T169">
        <f>IFERROR(VLOOKUP($C169,武器!$1:$998,COLUMN(Q$1),FALSE),"")</f>
        <v>0</v>
      </c>
      <c r="U169">
        <f>IFERROR(VLOOKUP($C169,武器!$1:$998,COLUMN(R$1),FALSE),"")</f>
        <v>0</v>
      </c>
      <c r="V169">
        <f>IFERROR(VLOOKUP($C169,武器!$1:$998,COLUMN(Q$1),FALSE),"")</f>
        <v>0</v>
      </c>
      <c r="W169" t="str">
        <f>IFERROR(VLOOKUP($C169,武器!$1:$998,COLUMN(T$1),FALSE),"")</f>
        <v>A</v>
      </c>
      <c r="Y169" t="str">
        <f>IFERROR(VLOOKUP($C169,武器!$1:$998,COLUMN(U$1),FALSE),"")</f>
        <v>投擲強化</v>
      </c>
      <c r="Z169">
        <f>IFERROR(ROUNDUP(VLOOKUP($C169,武器!$1:$998,COLUMN(O$1),FALSE)*VLOOKUP($D169,素材!$1:$1016,COLUMN(E$1),FALSE),1),"")</f>
        <v>0</v>
      </c>
      <c r="AA169">
        <f>IF(ISNUMBER(SEARCH(SUBSTITUTE(AA$1,RIGHT(AA$1,2),""),VLOOKUP($D169,素材!$1:$1016,COLUMN($F$1),FALSE))),VLOOKUP($C169,武器!$1:$998,COLUMN($O$1),FALSE)*VLOOKUP($D169,素材!$1:$1016,COLUMN($E$1),FALSE)/(LEN(VLOOKUP($D169,素材!$1:$1016,COLUMN($F$1),FALSE))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B169">
        <f>IF(ISNUMBER(SEARCH(SUBSTITUTE(AB$1,RIGHT(AB$1,2),""),VLOOKUP($D169,素材!$1:$1016,COLUMN($F$1),FALSE))),VLOOKUP($C169,武器!$1:$998,COLUMN($O$1),FALSE)*VLOOKUP($D169,素材!$1:$1016,COLUMN($E$1),FALSE)/(LEN(VLOOKUP($D169,素材!$1:$1016,COLUMN($F$1),FALSE))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C169">
        <f>IF(ISNUMBER(SEARCH(SUBSTITUTE(AC$1,RIGHT(AC$1,2),""),VLOOKUP($D169,素材!$1:$1016,COLUMN($F$1),FALSE))),VLOOKUP($C169,武器!$1:$998,COLUMN($O$1),FALSE)*VLOOKUP($D169,素材!$1:$1016,COLUMN($E$1),FALSE)/(LEN(VLOOKUP($D169,素材!$1:$1016,COLUMN($F$1),FALSE))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D169">
        <f>IF(ISNUMBER(SEARCH(SUBSTITUTE(AD$1,RIGHT(AD$1,2),""),VLOOKUP($D169,素材!$1:$1016,COLUMN($F$1),FALSE))),VLOOKUP($C169,武器!$1:$998,COLUMN($O$1),FALSE)*VLOOKUP($D169,素材!$1:$1016,COLUMN($E$1),FALSE)/(LEN(VLOOKUP($D169,素材!$1:$1016,COLUMN($F$1),FALSE))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E169">
        <f>IF(ISNUMBER(SEARCH(SUBSTITUTE(AE$1,RIGHT(AE$1,2),""),VLOOKUP($D169,素材!$1:$1016,COLUMN($F$1),FALSE))),VLOOKUP($C169,武器!$1:$998,COLUMN($O$1),FALSE)*VLOOKUP($D169,素材!$1:$1016,COLUMN($E$1),FALSE)/(LEN(VLOOKUP($D169,素材!$1:$1016,COLUMN($F$1),FALSE))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F169">
        <f>IF(ISNUMBER(SEARCH(SUBSTITUTE(AF$1,RIGHT(AF$1,2),""),VLOOKUP($D169,素材!$1:$1016,COLUMN($F$1),FALSE))),VLOOKUP($C169,武器!$1:$998,COLUMN($O$1),FALSE)*VLOOKUP($D169,素材!$1:$1016,COLUMN($E$1),FALSE)/(LEN(VLOOKUP($D169,素材!$1:$1016,COLUMN($F$1),FALSE))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G169">
        <f>IF(ISNUMBER(SEARCH(SUBSTITUTE(AG$1,RIGHT(AG$1,2),""),VLOOKUP($D169,素材!$1:$1016,COLUMN($F$1),FALSE))),VLOOKUP($C169,武器!$1:$998,COLUMN($O$1),FALSE)*VLOOKUP($D169,素材!$1:$1016,COLUMN($E$1),FALSE)/(LEN(VLOOKUP($D169,素材!$1:$1016,COLUMN($F$1),FALSE))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H169">
        <f>IF(ISNUMBER(SEARCH(SUBSTITUTE(AH$1,RIGHT(AH$1,2),""),VLOOKUP($D169,素材!$1:$1016,COLUMN($F$1),FALSE))),VLOOKUP($C169,武器!$1:$998,COLUMN($O$1),FALSE)*VLOOKUP($D169,素材!$1:$1016,COLUMN($E$1),FALSE)/(LEN(VLOOKUP($D169,素材!$1:$1016,COLUMN($F$1),FALSE))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I169">
        <f>IF(ISNUMBER(SEARCH(SUBSTITUTE(AI$1,RIGHT(AI$1,2),""),VLOOKUP($D169,素材!$1:$1016,COLUMN($F$1),FALSE))),VLOOKUP($C169,武器!$1:$998,COLUMN($O$1),FALSE)*VLOOKUP($D169,素材!$1:$1016,COLUMN($E$1),FALSE)/(LEN(VLOOKUP($D169,素材!$1:$1016,COLUMN($F$1),FALSE))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J169">
        <f>IF(ISNUMBER(SEARCH(SUBSTITUTE(AJ$1,RIGHT(AJ$1,2),""),VLOOKUP($D169,素材!$1:$1016,COLUMN($F$1),FALSE))),VLOOKUP($C169,武器!$1:$998,COLUMN($O$1),FALSE)*VLOOKUP($D169,素材!$1:$1016,COLUMN($E$1),FALSE)/(LEN(VLOOKUP($D169,素材!$1:$1016,COLUMN($F$1),FALSE))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K169">
        <f>IF(ISNUMBER(SEARCH(SUBSTITUTE(AK$1,RIGHT(AK$1,2),""),VLOOKUP($D169,素材!$1:$1016,COLUMN($F$1),FALSE))),VLOOKUP($C169,武器!$1:$998,COLUMN($O$1),FALSE)*VLOOKUP($D169,素材!$1:$1016,COLUMN($E$1),FALSE)/(LEN(VLOOKUP($D169,素材!$1:$1016,COLUMN($F$1),FALSE))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L169">
        <f>IF(ISNUMBER(SEARCH(SUBSTITUTE(AL$1,RIGHT(AL$1,2),""),VLOOKUP($D169,素材!$1:$1016,COLUMN($F$1),FALSE))),VLOOKUP($C169,武器!$1:$998,COLUMN($O$1),FALSE)*VLOOKUP($D169,素材!$1:$1016,COLUMN($E$1),FALSE)/(LEN(VLOOKUP($D169,素材!$1:$1016,COLUMN($F$1),FALSE))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M169">
        <f>IF(ISNUMBER(SEARCH(SUBSTITUTE(AM$1,RIGHT(AM$1,2),""),VLOOKUP($D169,素材!$1:$1016,COLUMN($F$1),FALSE))),VLOOKUP($C169,武器!$1:$998,COLUMN($O$1),FALSE)*VLOOKUP($D169,素材!$1:$1016,COLUMN($E$1),FALSE)/(LEN(VLOOKUP($D169,素材!$1:$1016,COLUMN($F$1),FALSE))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N169">
        <f>IF(ISNUMBER(SEARCH(SUBSTITUTE(AN$1,RIGHT(AN$1,2),""),VLOOKUP($D169,素材!$1:$1016,COLUMN($F$1),FALSE))),VLOOKUP($C169,武器!$1:$998,COLUMN($O$1),FALSE)*VLOOKUP($D169,素材!$1:$1016,COLUMN($E$1),FALSE)/(LEN(VLOOKUP($D169,素材!$1:$1016,COLUMN($F$1),FALSE))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O169">
        <f>IF(ISNUMBER(SEARCH(SUBSTITUTE(AO$1,RIGHT(AO$1,2),""),VLOOKUP($D169,素材!$1:$1016,COLUMN($F$1),FALSE))),VLOOKUP($C169,武器!$1:$998,COLUMN($O$1),FALSE)*VLOOKUP($D169,素材!$1:$1016,COLUMN($E$1),FALSE)/(LEN(VLOOKUP($D169,素材!$1:$1016,COLUMN($F$1),FALSE))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P169">
        <f>IF(ISNUMBER(SEARCH(SUBSTITUTE(AP$1,RIGHT(AP$1,2),""),VLOOKUP($D169,素材!$1:$1016,COLUMN($F$1),FALSE))),VLOOKUP($C169,武器!$1:$998,COLUMN($O$1),FALSE)*VLOOKUP($D169,素材!$1:$1016,COLUMN($E$1),FALSE)/(LEN(VLOOKUP($D169,素材!$1:$1016,COLUMN($F$1),FALSE))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Q169">
        <f>IF(ISNUMBER(SEARCH(SUBSTITUTE(AQ$1,RIGHT(AQ$1,2),""),VLOOKUP($D169,素材!$1:$1016,COLUMN($F$1),FALSE))),VLOOKUP($C169,武器!$1:$998,COLUMN($O$1),FALSE)*VLOOKUP($D169,素材!$1:$1016,COLUMN($E$1),FALSE)/(LEN(VLOOKUP($D169,素材!$1:$1016,COLUMN($F$1),FALSE))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R169">
        <f>IF(ISNUMBER(SEARCH(SUBSTITUTE(AR$1,RIGHT(AR$1,2),""),VLOOKUP($D169,素材!$1:$1016,COLUMN($F$1),FALSE))),VLOOKUP($C169,武器!$1:$998,COLUMN($O$1),FALSE)*VLOOKUP($D169,素材!$1:$1016,COLUMN($E$1),FALSE)/(LEN(VLOOKUP($D169,素材!$1:$1016,COLUMN($F$1),FALSE))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S169">
        <f>IF(ISNUMBER(SEARCH(SUBSTITUTE(AS$1,RIGHT(AS$1,2),""),VLOOKUP($D169,素材!$1:$1016,COLUMN($F$1),FALSE))),VLOOKUP($C169,武器!$1:$998,COLUMN($O$1),FALSE)*VLOOKUP($D169,素材!$1:$1016,COLUMN($E$1),FALSE)/(LEN(VLOOKUP($D169,素材!$1:$1016,COLUMN($F$1),FALSE))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T169">
        <f>IF(ISNUMBER(SEARCH(SUBSTITUTE(AT$1,RIGHT(AT$1,2),""),VLOOKUP($D169,素材!$1:$1016,COLUMN($F$1),FALSE))),VLOOKUP($C169,武器!$1:$998,COLUMN($O$1),FALSE)*VLOOKUP($D169,素材!$1:$1016,COLUMN($E$1),FALSE)/(LEN(VLOOKUP($D169,素材!$1:$1016,COLUMN($F$1),FALSE))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U169">
        <f>IF(ISNUMBER(SEARCH(SUBSTITUTE(AU$1,RIGHT(AU$1,2),""),VLOOKUP($D169,素材!$1:$1016,COLUMN($F$1),FALSE))),VLOOKUP($C169,武器!$1:$998,COLUMN($O$1),FALSE)*VLOOKUP($D169,素材!$1:$1016,COLUMN($E$1),FALSE)/(LEN(VLOOKUP($D169,素材!$1:$1016,COLUMN($F$1),FALSE))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V169">
        <f>IF(ISNUMBER(SEARCH(SUBSTITUTE(AV$1,RIGHT(AV$1,2),""),VLOOKUP($D169,素材!$1:$1016,COLUMN($F$1),FALSE))),VLOOKUP($C169,武器!$1:$998,COLUMN($O$1),FALSE)*VLOOKUP($D169,素材!$1:$1016,COLUMN($E$1),FALSE)/(LEN(VLOOKUP($D169,素材!$1:$1016,COLUMN($F$1),FALSE))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W169">
        <f>IF(ISNUMBER(SEARCH(SUBSTITUTE(AW$1,RIGHT(AW$1,2),""),VLOOKUP($D169,素材!$1:$1016,COLUMN($F$1),FALSE))),VLOOKUP($C169,武器!$1:$998,COLUMN($O$1),FALSE)*VLOOKUP($D169,素材!$1:$1016,COLUMN($E$1),FALSE)/(LEN(VLOOKUP($D169,素材!$1:$1016,COLUMN($F$1),FALSE))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X169">
        <f>IF(ISNUMBER(SEARCH(SUBSTITUTE(AX$1,RIGHT(AX$1,2),""),VLOOKUP($D169,素材!$1:$1016,COLUMN($F$1),FALSE))),VLOOKUP($C169,武器!$1:$998,COLUMN($O$1),FALSE)*VLOOKUP($D169,素材!$1:$1016,COLUMN($E$1),FALSE)/(LEN(VLOOKUP($D169,素材!$1:$1016,COLUMN($F$1),FALSE))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Y169">
        <f>IF(ISNUMBER(SEARCH(SUBSTITUTE(AY$1,RIGHT(AY$1,2),""),VLOOKUP($D169,素材!$1:$1016,COLUMN($F$1),FALSE))),VLOOKUP($C169,武器!$1:$998,COLUMN($O$1),FALSE)*VLOOKUP($D169,素材!$1:$1016,COLUMN($E$1),FALSE)/(LEN(VLOOKUP($D169,素材!$1:$1016,COLUMN($F$1),FALSE))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AZ169">
        <f>IF(ISNUMBER(SEARCH(SUBSTITUTE(AZ$1,RIGHT(AZ$1,2),""),VLOOKUP($D169,素材!$1:$1016,COLUMN($F$1),FALSE))),VLOOKUP($C169,武器!$1:$998,COLUMN($O$1),FALSE)*VLOOKUP($D169,素材!$1:$1016,COLUMN($E$1),FALSE)/(LEN(VLOOKUP($D169,素材!$1:$1016,COLUMN($F$1),FALSE))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BA169">
        <f>IF(ISNUMBER(SEARCH(SUBSTITUTE(BA$1,RIGHT(BA$1,2),""),VLOOKUP($D169,素材!$1:$1016,COLUMN($F$1),FALSE))),VLOOKUP($C169,武器!$1:$998,COLUMN($O$1),FALSE)*VLOOKUP($D169,素材!$1:$1016,COLUMN($E$1),FALSE)/(LEN(VLOOKUP($D169,素材!$1:$1016,COLUMN($F$1),FALSE))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BB169">
        <f>IF(ISNUMBER(SEARCH(SUBSTITUTE(BB$1,RIGHT(BB$1,2),""),VLOOKUP($D169,素材!$1:$1016,COLUMN($F$1),FALSE))),VLOOKUP($C169,武器!$1:$998,COLUMN($O$1),FALSE)*VLOOKUP($D169,素材!$1:$1016,COLUMN($E$1),FALSE)/(LEN(VLOOKUP($D169,素材!$1:$1016,COLUMN($F$1),FALSE))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BC169">
        <f>IF(ISNUMBER(SEARCH(SUBSTITUTE(BC$1,RIGHT(BC$1,2),""),VLOOKUP($D169,素材!$1:$1016,COLUMN($F$1),FALSE))),VLOOKUP($C169,武器!$1:$998,COLUMN($O$1),FALSE)*VLOOKUP($D169,素材!$1:$1016,COLUMN($E$1),FALSE)/(LEN(VLOOKUP($D169,素材!$1:$1016,COLUMN($F$1),FALSE))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BD169">
        <f>IF(ISNUMBER(SEARCH(SUBSTITUTE(BD$1,RIGHT(BD$1,2),""),VLOOKUP($D169,素材!$1:$1016,COLUMN($F$1),FALSE))),VLOOKUP($C169,武器!$1:$998,COLUMN($O$1),FALSE)*VLOOKUP($D169,素材!$1:$1016,COLUMN($E$1),FALSE)/(LEN(VLOOKUP($D169,素材!$1:$1016,COLUMN($F$1),FALSE))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BE169">
        <f>IF(ISNUMBER(SEARCH(SUBSTITUTE(BE$1,RIGHT(BE$1,2),""),VLOOKUP($D169,素材!$1:$1016,COLUMN($F$1),FALSE))),VLOOKUP($C169,武器!$1:$998,COLUMN($O$1),FALSE)*VLOOKUP($D169,素材!$1:$1016,COLUMN($E$1),FALSE)/(LEN(VLOOKUP($D169,素材!$1:$1016,COLUMN($F$1),FALSE))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BF169">
        <f>IF(ISNUMBER(SEARCH(SUBSTITUTE(BF$1,RIGHT(BF$1,2),""),VLOOKUP($D169,素材!$1:$1016,COLUMN($F$1),FALSE))),VLOOKUP($C169,武器!$1:$998,COLUMN($O$1),FALSE)*VLOOKUP($D169,素材!$1:$1016,COLUMN($E$1),FALSE)/(LEN(VLOOKUP($D169,素材!$1:$1016,COLUMN($F$1),FALSE)) - LEN(SUBSTITUTE(VLOOKUP($D169,素材!$1:$1016,COLUMN($F$1),FALSE), "・", 0)) + 1), 0)</f>
        <v>0</v>
      </c>
      <c r="CM169">
        <f t="shared" si="19"/>
        <v>22</v>
      </c>
      <c r="CN169" s="22" t="str">
        <f>IF(E169="武器",IF(J169-1&gt;SUM(G169:I169),"盾",IF(MAX(G169:I169)=G169,"切断",IF(MAX(G169:I169)=H169,"貫通",IF(MAX(G169:I169)=I169,"打撃","射撃")))),E169)&amp;".webp"</f>
        <v>打撃.webp</v>
      </c>
      <c r="CO169">
        <f>IFERROR(VLOOKUP($C169,武器!$1:$998,COLUMN(V$1),FALSE)*VLOOKUP($D169,素材!$1:$1016,COLUMN(N$1),FALSE)+IF(CJ169="",0,VLOOKUP($CJ169,装強!$1:$1008,COLUMN($CL$1),FALSE)),"")</f>
        <v>3000</v>
      </c>
      <c r="CP169">
        <f>VLOOKUP(D169,素材!$A:$O,COLUMN(素材!O$1),FALSE)</f>
        <v>0</v>
      </c>
      <c r="CQ169" t="str">
        <f>VLOOKUP(C169,武器!$A:$W,COLUMN(武器!W$1),FALSE)</f>
        <v>鎚。打撃力に優れ、投擲にも対応。</v>
      </c>
      <c r="CS169" t="str">
        <f t="shared" si="21"/>
        <v>e_169</v>
      </c>
      <c r="CT169">
        <f t="shared" si="24"/>
        <v>300000</v>
      </c>
    </row>
    <row r="170" spans="1:98" outlineLevel="1" x14ac:dyDescent="0.4">
      <c r="A170" t="str">
        <f t="shared" si="29"/>
        <v>黒鋼鉄の戦鎚</v>
      </c>
      <c r="B170" t="str">
        <f>IFERROR(VLOOKUP($D170,素材!$1:$1016,COLUMN($B$1),FALSE)&amp;"・"&amp;VLOOKUP($C170,武器!$1:$998,COLUMN(B$1),FALSE),"")</f>
        <v>ブラックスティール・ウォーハンマー</v>
      </c>
      <c r="C170" t="s">
        <v>226</v>
      </c>
      <c r="D170" s="24" t="s">
        <v>244</v>
      </c>
      <c r="E170" t="str">
        <f>IFERROR(VLOOKUP(C170,武器!$1:$998,COLUMN(C$1),FALSE),"")</f>
        <v>武器</v>
      </c>
      <c r="F170">
        <f>IFERROR(ROUNDDOWN((VLOOKUP($C170,武器!$1:$998,COLUMN(D$1),FALSE)+IFERROR(VLOOKUP($CJ170,装強!$1:$999,COLUMN(F$1),FALSE),0))*VLOOKUP($D170,素材!$1:$1016,COLUMN(D$1),FALSE),0),"")</f>
        <v>125</v>
      </c>
      <c r="G170">
        <f>IFERROR(ROUNDDOWN((VLOOKUP($C170,武器!$1:$998,COLUMN(E$1),FALSE)+IFERROR(VLOOKUP($CJ170,装強!$1:$999,COLUMN(G$1),FALSE),0))*VLOOKUP($D170,素材!$1:$1016,COLUMN($E$1),FALSE),0),"")</f>
        <v>0</v>
      </c>
      <c r="H170">
        <f>IFERROR(ROUNDDOWN((VLOOKUP($C170,武器!$1:$998,COLUMN(F$1),FALSE)+IFERROR(VLOOKUP($CJ170,装強!$1:$999,COLUMN(H$1),FALSE),0))*VLOOKUP($D170,素材!$1:$1016,COLUMN($E$1),FALSE),0),"")</f>
        <v>0</v>
      </c>
      <c r="I170">
        <f>IFERROR(ROUNDDOWN((VLOOKUP($C170,武器!$1:$998,COLUMN(G$1),FALSE)+IFERROR(VLOOKUP($CJ170,装強!$1:$999,COLUMN(I$1),FALSE),0))*VLOOKUP($D170,素材!$1:$1016,COLUMN($E$1),FALSE),0),"")</f>
        <v>24</v>
      </c>
      <c r="J170">
        <f>IFERROR(ROUNDDOWN((VLOOKUP($C170,武器!$1:$998,COLUMN(H$1),FALSE)+IFERROR(VLOOKUP($CJ170,装強!$1:$999,COLUMN(J$1),FALSE),0))*VLOOKUP($D170,素材!$1:$1016,COLUMN($E$1),FALSE),0),"")</f>
        <v>21</v>
      </c>
      <c r="K170">
        <f>IFERROR(ROUNDDOWN((VLOOKUP($C170,武器!$1:$998,COLUMN(I$1),FALSE)+IFERROR(VLOOKUP($CJ170,装強!$1:$999,COLUMN(K$1),FALSE),0))*VLOOKUP($D170,素材!$1:$1016,COLUMN($E$1),FALSE),0),"")</f>
        <v>0</v>
      </c>
      <c r="L170" t="str">
        <f>IFERROR(VLOOKUP($D170,素材!$1:$1016,COLUMN($F$1),FALSE),"")</f>
        <v>雷</v>
      </c>
      <c r="M170">
        <f>IFERROR(VLOOKUP($C170,武器!$1:$998,COLUMN(AA$1),FALSE)*VLOOKUP($D170,素材!$1:$1016,COLUMN($G$1),FALSE),"")</f>
        <v>42</v>
      </c>
      <c r="N170">
        <f>IFERROR(VLOOKUP($C170,武器!$1:$998,COLUMN(I$1),FALSE),"")</f>
        <v>0</v>
      </c>
      <c r="O170" s="23">
        <f>IFERROR((VLOOKUP($C170,武器!$1:$998,COLUMN(K$1),FALSE)+VLOOKUP($D170,素材!$1:$1016,COLUMN(H$1),FALSE))*100+IFERROR(VLOOKUP($CJ170,装強!$1:$999,COLUMN(O$1),FALSE),0),"")</f>
        <v>10</v>
      </c>
      <c r="P170" s="23">
        <f>IFERROR((VLOOKUP($C170,武器!$1:$998,COLUMN(L$1),FALSE)+VLOOKUP($D170,素材!$1:$1016,COLUMN(I$1),FALSE))*100+IFERROR(VLOOKUP($CJ170,装強!$1:$999,COLUMN(P$1),FALSE),0),"")</f>
        <v>150</v>
      </c>
      <c r="Q170">
        <f>IFERROR(ROUNDUP(VLOOKUP($C170,武器!$1:$998,COLUMN(M$1),FALSE)*(VLOOKUP($D170,素材!$1:$1002,COLUMN(D$1),FALSE)/100),1),"")</f>
        <v>-5</v>
      </c>
      <c r="R170">
        <f>IFERROR(ROUNDUP(VLOOKUP($C170,武器!$1:$998,COLUMN(N$1),FALSE)*(VLOOKUP($D170,素材!$1:$1002,COLUMN(D$1),FALSE)/100),1),"")</f>
        <v>-5</v>
      </c>
      <c r="S170">
        <f>IFERROR(VLOOKUP($C170,武器!$1:$998,COLUMN(P$1),FALSE),"")</f>
        <v>0</v>
      </c>
      <c r="T170">
        <f>IFERROR(VLOOKUP($C170,武器!$1:$998,COLUMN(Q$1),FALSE),"")</f>
        <v>0</v>
      </c>
      <c r="U170">
        <f>IFERROR(VLOOKUP($C170,武器!$1:$998,COLUMN(R$1),FALSE),"")</f>
        <v>0</v>
      </c>
      <c r="V170">
        <f>IFERROR(VLOOKUP($C170,武器!$1:$998,COLUMN(Q$1),FALSE),"")</f>
        <v>0</v>
      </c>
      <c r="W170" t="str">
        <f>IFERROR(VLOOKUP($C170,武器!$1:$998,COLUMN(T$1),FALSE),"")</f>
        <v>A</v>
      </c>
      <c r="Y170">
        <f>IFERROR(VLOOKUP($C170,武器!$1:$998,COLUMN(U$1),FALSE),"")</f>
        <v>0</v>
      </c>
      <c r="Z170">
        <f>IFERROR(ROUNDUP(VLOOKUP($C170,武器!$1:$998,COLUMN(O$1),FALSE)*VLOOKUP($D170,素材!$1:$1016,COLUMN(E$1),FALSE),1),"")</f>
        <v>0</v>
      </c>
      <c r="AA170">
        <f>IF(ISNUMBER(SEARCH(SUBSTITUTE(AA$1,RIGHT(AA$1,2),""),VLOOKUP($D170,素材!$1:$1016,COLUMN($F$1),FALSE))),VLOOKUP($C170,武器!$1:$998,COLUMN($O$1),FALSE)*VLOOKUP($D170,素材!$1:$1016,COLUMN($E$1),FALSE)/(LEN(VLOOKUP($D170,素材!$1:$1016,COLUMN($F$1),FALSE))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B170">
        <f>IF(ISNUMBER(SEARCH(SUBSTITUTE(AB$1,RIGHT(AB$1,2),""),VLOOKUP($D170,素材!$1:$1016,COLUMN($F$1),FALSE))),VLOOKUP($C170,武器!$1:$998,COLUMN($O$1),FALSE)*VLOOKUP($D170,素材!$1:$1016,COLUMN($E$1),FALSE)/(LEN(VLOOKUP($D170,素材!$1:$1016,COLUMN($F$1),FALSE))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C170">
        <f>IF(ISNUMBER(SEARCH(SUBSTITUTE(AC$1,RIGHT(AC$1,2),""),VLOOKUP($D170,素材!$1:$1016,COLUMN($F$1),FALSE))),VLOOKUP($C170,武器!$1:$998,COLUMN($O$1),FALSE)*VLOOKUP($D170,素材!$1:$1016,COLUMN($E$1),FALSE)/(LEN(VLOOKUP($D170,素材!$1:$1016,COLUMN($F$1),FALSE))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D170">
        <f>IF(ISNUMBER(SEARCH(SUBSTITUTE(AD$1,RIGHT(AD$1,2),""),VLOOKUP($D170,素材!$1:$1016,COLUMN($F$1),FALSE))),VLOOKUP($C170,武器!$1:$998,COLUMN($O$1),FALSE)*VLOOKUP($D170,素材!$1:$1016,COLUMN($E$1),FALSE)/(LEN(VLOOKUP($D170,素材!$1:$1016,COLUMN($F$1),FALSE))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E170">
        <f>IF(ISNUMBER(SEARCH(SUBSTITUTE(AE$1,RIGHT(AE$1,2),""),VLOOKUP($D170,素材!$1:$1016,COLUMN($F$1),FALSE))),VLOOKUP($C170,武器!$1:$998,COLUMN($O$1),FALSE)*VLOOKUP($D170,素材!$1:$1016,COLUMN($E$1),FALSE)/(LEN(VLOOKUP($D170,素材!$1:$1016,COLUMN($F$1),FALSE))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F170">
        <f>IF(ISNUMBER(SEARCH(SUBSTITUTE(AF$1,RIGHT(AF$1,2),""),VLOOKUP($D170,素材!$1:$1016,COLUMN($F$1),FALSE))),VLOOKUP($C170,武器!$1:$998,COLUMN($O$1),FALSE)*VLOOKUP($D170,素材!$1:$1016,COLUMN($E$1),FALSE)/(LEN(VLOOKUP($D170,素材!$1:$1016,COLUMN($F$1),FALSE))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G170">
        <f>IF(ISNUMBER(SEARCH(SUBSTITUTE(AG$1,RIGHT(AG$1,2),""),VLOOKUP($D170,素材!$1:$1016,COLUMN($F$1),FALSE))),VLOOKUP($C170,武器!$1:$998,COLUMN($O$1),FALSE)*VLOOKUP($D170,素材!$1:$1016,COLUMN($E$1),FALSE)/(LEN(VLOOKUP($D170,素材!$1:$1016,COLUMN($F$1),FALSE))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H170">
        <f>IF(ISNUMBER(SEARCH(SUBSTITUTE(AH$1,RIGHT(AH$1,2),""),VLOOKUP($D170,素材!$1:$1016,COLUMN($F$1),FALSE))),VLOOKUP($C170,武器!$1:$998,COLUMN($O$1),FALSE)*VLOOKUP($D170,素材!$1:$1016,COLUMN($E$1),FALSE)/(LEN(VLOOKUP($D170,素材!$1:$1016,COLUMN($F$1),FALSE))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I170">
        <f>IF(ISNUMBER(SEARCH(SUBSTITUTE(AI$1,RIGHT(AI$1,2),""),VLOOKUP($D170,素材!$1:$1016,COLUMN($F$1),FALSE))),VLOOKUP($C170,武器!$1:$998,COLUMN($O$1),FALSE)*VLOOKUP($D170,素材!$1:$1016,COLUMN($E$1),FALSE)/(LEN(VLOOKUP($D170,素材!$1:$1016,COLUMN($F$1),FALSE))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J170">
        <f>IF(ISNUMBER(SEARCH(SUBSTITUTE(AJ$1,RIGHT(AJ$1,2),""),VLOOKUP($D170,素材!$1:$1016,COLUMN($F$1),FALSE))),VLOOKUP($C170,武器!$1:$998,COLUMN($O$1),FALSE)*VLOOKUP($D170,素材!$1:$1016,COLUMN($E$1),FALSE)/(LEN(VLOOKUP($D170,素材!$1:$1016,COLUMN($F$1),FALSE))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K170">
        <f>IF(ISNUMBER(SEARCH(SUBSTITUTE(AK$1,RIGHT(AK$1,2),""),VLOOKUP($D170,素材!$1:$1016,COLUMN($F$1),FALSE))),VLOOKUP($C170,武器!$1:$998,COLUMN($O$1),FALSE)*VLOOKUP($D170,素材!$1:$1016,COLUMN($E$1),FALSE)/(LEN(VLOOKUP($D170,素材!$1:$1016,COLUMN($F$1),FALSE))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L170">
        <f>IF(ISNUMBER(SEARCH(SUBSTITUTE(AL$1,RIGHT(AL$1,2),""),VLOOKUP($D170,素材!$1:$1016,COLUMN($F$1),FALSE))),VLOOKUP($C170,武器!$1:$998,COLUMN($O$1),FALSE)*VLOOKUP($D170,素材!$1:$1016,COLUMN($E$1),FALSE)/(LEN(VLOOKUP($D170,素材!$1:$1016,COLUMN($F$1),FALSE))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M170">
        <f>IF(ISNUMBER(SEARCH(SUBSTITUTE(AM$1,RIGHT(AM$1,2),""),VLOOKUP($D170,素材!$1:$1016,COLUMN($F$1),FALSE))),VLOOKUP($C170,武器!$1:$998,COLUMN($O$1),FALSE)*VLOOKUP($D170,素材!$1:$1016,COLUMN($E$1),FALSE)/(LEN(VLOOKUP($D170,素材!$1:$1016,COLUMN($F$1),FALSE))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N170">
        <f>IF(ISNUMBER(SEARCH(SUBSTITUTE(AN$1,RIGHT(AN$1,2),""),VLOOKUP($D170,素材!$1:$1016,COLUMN($F$1),FALSE))),VLOOKUP($C170,武器!$1:$998,COLUMN($O$1),FALSE)*VLOOKUP($D170,素材!$1:$1016,COLUMN($E$1),FALSE)/(LEN(VLOOKUP($D170,素材!$1:$1016,COLUMN($F$1),FALSE))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O170">
        <f>IF(ISNUMBER(SEARCH(SUBSTITUTE(AO$1,RIGHT(AO$1,2),""),VLOOKUP($D170,素材!$1:$1016,COLUMN($F$1),FALSE))),VLOOKUP($C170,武器!$1:$998,COLUMN($O$1),FALSE)*VLOOKUP($D170,素材!$1:$1016,COLUMN($E$1),FALSE)/(LEN(VLOOKUP($D170,素材!$1:$1016,COLUMN($F$1),FALSE))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P170">
        <f>IF(ISNUMBER(SEARCH(SUBSTITUTE(AP$1,RIGHT(AP$1,2),""),VLOOKUP($D170,素材!$1:$1016,COLUMN($F$1),FALSE))),VLOOKUP($C170,武器!$1:$998,COLUMN($O$1),FALSE)*VLOOKUP($D170,素材!$1:$1016,COLUMN($E$1),FALSE)/(LEN(VLOOKUP($D170,素材!$1:$1016,COLUMN($F$1),FALSE))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Q170">
        <f>IF(ISNUMBER(SEARCH(SUBSTITUTE(AQ$1,RIGHT(AQ$1,2),""),VLOOKUP($D170,素材!$1:$1016,COLUMN($F$1),FALSE))),VLOOKUP($C170,武器!$1:$998,COLUMN($O$1),FALSE)*VLOOKUP($D170,素材!$1:$1016,COLUMN($E$1),FALSE)/(LEN(VLOOKUP($D170,素材!$1:$1016,COLUMN($F$1),FALSE))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R170">
        <f>IF(ISNUMBER(SEARCH(SUBSTITUTE(AR$1,RIGHT(AR$1,2),""),VLOOKUP($D170,素材!$1:$1016,COLUMN($F$1),FALSE))),VLOOKUP($C170,武器!$1:$998,COLUMN($O$1),FALSE)*VLOOKUP($D170,素材!$1:$1016,COLUMN($E$1),FALSE)/(LEN(VLOOKUP($D170,素材!$1:$1016,COLUMN($F$1),FALSE))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S170">
        <f>IF(ISNUMBER(SEARCH(SUBSTITUTE(AS$1,RIGHT(AS$1,2),""),VLOOKUP($D170,素材!$1:$1016,COLUMN($F$1),FALSE))),VLOOKUP($C170,武器!$1:$998,COLUMN($O$1),FALSE)*VLOOKUP($D170,素材!$1:$1016,COLUMN($E$1),FALSE)/(LEN(VLOOKUP($D170,素材!$1:$1016,COLUMN($F$1),FALSE))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T170">
        <f>IF(ISNUMBER(SEARCH(SUBSTITUTE(AT$1,RIGHT(AT$1,2),""),VLOOKUP($D170,素材!$1:$1016,COLUMN($F$1),FALSE))),VLOOKUP($C170,武器!$1:$998,COLUMN($O$1),FALSE)*VLOOKUP($D170,素材!$1:$1016,COLUMN($E$1),FALSE)/(LEN(VLOOKUP($D170,素材!$1:$1016,COLUMN($F$1),FALSE))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U170">
        <f>IF(ISNUMBER(SEARCH(SUBSTITUTE(AU$1,RIGHT(AU$1,2),""),VLOOKUP($D170,素材!$1:$1016,COLUMN($F$1),FALSE))),VLOOKUP($C170,武器!$1:$998,COLUMN($O$1),FALSE)*VLOOKUP($D170,素材!$1:$1016,COLUMN($E$1),FALSE)/(LEN(VLOOKUP($D170,素材!$1:$1016,COLUMN($F$1),FALSE))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V170">
        <f>IF(ISNUMBER(SEARCH(SUBSTITUTE(AV$1,RIGHT(AV$1,2),""),VLOOKUP($D170,素材!$1:$1016,COLUMN($F$1),FALSE))),VLOOKUP($C170,武器!$1:$998,COLUMN($O$1),FALSE)*VLOOKUP($D170,素材!$1:$1016,COLUMN($E$1),FALSE)/(LEN(VLOOKUP($D170,素材!$1:$1016,COLUMN($F$1),FALSE))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W170">
        <f>IF(ISNUMBER(SEARCH(SUBSTITUTE(AW$1,RIGHT(AW$1,2),""),VLOOKUP($D170,素材!$1:$1016,COLUMN($F$1),FALSE))),VLOOKUP($C170,武器!$1:$998,COLUMN($O$1),FALSE)*VLOOKUP($D170,素材!$1:$1016,COLUMN($E$1),FALSE)/(LEN(VLOOKUP($D170,素材!$1:$1016,COLUMN($F$1),FALSE))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X170">
        <f>IF(ISNUMBER(SEARCH(SUBSTITUTE(AX$1,RIGHT(AX$1,2),""),VLOOKUP($D170,素材!$1:$1016,COLUMN($F$1),FALSE))),VLOOKUP($C170,武器!$1:$998,COLUMN($O$1),FALSE)*VLOOKUP($D170,素材!$1:$1016,COLUMN($E$1),FALSE)/(LEN(VLOOKUP($D170,素材!$1:$1016,COLUMN($F$1),FALSE))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Y170">
        <f>IF(ISNUMBER(SEARCH(SUBSTITUTE(AY$1,RIGHT(AY$1,2),""),VLOOKUP($D170,素材!$1:$1016,COLUMN($F$1),FALSE))),VLOOKUP($C170,武器!$1:$998,COLUMN($O$1),FALSE)*VLOOKUP($D170,素材!$1:$1016,COLUMN($E$1),FALSE)/(LEN(VLOOKUP($D170,素材!$1:$1016,COLUMN($F$1),FALSE))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AZ170">
        <f>IF(ISNUMBER(SEARCH(SUBSTITUTE(AZ$1,RIGHT(AZ$1,2),""),VLOOKUP($D170,素材!$1:$1016,COLUMN($F$1),FALSE))),VLOOKUP($C170,武器!$1:$998,COLUMN($O$1),FALSE)*VLOOKUP($D170,素材!$1:$1016,COLUMN($E$1),FALSE)/(LEN(VLOOKUP($D170,素材!$1:$1016,COLUMN($F$1),FALSE))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BA170">
        <f>IF(ISNUMBER(SEARCH(SUBSTITUTE(BA$1,RIGHT(BA$1,2),""),VLOOKUP($D170,素材!$1:$1016,COLUMN($F$1),FALSE))),VLOOKUP($C170,武器!$1:$998,COLUMN($O$1),FALSE)*VLOOKUP($D170,素材!$1:$1016,COLUMN($E$1),FALSE)/(LEN(VLOOKUP($D170,素材!$1:$1016,COLUMN($F$1),FALSE))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BB170">
        <f>IF(ISNUMBER(SEARCH(SUBSTITUTE(BB$1,RIGHT(BB$1,2),""),VLOOKUP($D170,素材!$1:$1016,COLUMN($F$1),FALSE))),VLOOKUP($C170,武器!$1:$998,COLUMN($O$1),FALSE)*VLOOKUP($D170,素材!$1:$1016,COLUMN($E$1),FALSE)/(LEN(VLOOKUP($D170,素材!$1:$1016,COLUMN($F$1),FALSE))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BC170">
        <f>IF(ISNUMBER(SEARCH(SUBSTITUTE(BC$1,RIGHT(BC$1,2),""),VLOOKUP($D170,素材!$1:$1016,COLUMN($F$1),FALSE))),VLOOKUP($C170,武器!$1:$998,COLUMN($O$1),FALSE)*VLOOKUP($D170,素材!$1:$1016,COLUMN($E$1),FALSE)/(LEN(VLOOKUP($D170,素材!$1:$1016,COLUMN($F$1),FALSE))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BD170">
        <f>IF(ISNUMBER(SEARCH(SUBSTITUTE(BD$1,RIGHT(BD$1,2),""),VLOOKUP($D170,素材!$1:$1016,COLUMN($F$1),FALSE))),VLOOKUP($C170,武器!$1:$998,COLUMN($O$1),FALSE)*VLOOKUP($D170,素材!$1:$1016,COLUMN($E$1),FALSE)/(LEN(VLOOKUP($D170,素材!$1:$1016,COLUMN($F$1),FALSE))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BE170">
        <f>IF(ISNUMBER(SEARCH(SUBSTITUTE(BE$1,RIGHT(BE$1,2),""),VLOOKUP($D170,素材!$1:$1016,COLUMN($F$1),FALSE))),VLOOKUP($C170,武器!$1:$998,COLUMN($O$1),FALSE)*VLOOKUP($D170,素材!$1:$1016,COLUMN($E$1),FALSE)/(LEN(VLOOKUP($D170,素材!$1:$1016,COLUMN($F$1),FALSE))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BF170">
        <f>IF(ISNUMBER(SEARCH(SUBSTITUTE(BF$1,RIGHT(BF$1,2),""),VLOOKUP($D170,素材!$1:$1016,COLUMN($F$1),FALSE))),VLOOKUP($C170,武器!$1:$998,COLUMN($O$1),FALSE)*VLOOKUP($D170,素材!$1:$1016,COLUMN($E$1),FALSE)/(LEN(VLOOKUP($D170,素材!$1:$1016,COLUMN($F$1),FALSE)) - LEN(SUBSTITUTE(VLOOKUP($D170,素材!$1:$1016,COLUMN($F$1),FALSE), "・", 0)) + 1), 0)</f>
        <v>0</v>
      </c>
      <c r="CM170">
        <f t="shared" si="19"/>
        <v>24</v>
      </c>
      <c r="CN170" s="22" t="str">
        <f>IF(E170="武器",IF(J170-1&gt;SUM(G170:I170),"盾",IF(MAX(G170:I170)=G170,"切断",IF(MAX(G170:I170)=H170,"貫通",IF(MAX(G170:I170)=I170,"打撃","射撃")))),E170)&amp;".webp"</f>
        <v>打撃.webp</v>
      </c>
      <c r="CO170">
        <f>IFERROR(VLOOKUP($C170,武器!$1:$998,COLUMN(V$1),FALSE)*VLOOKUP($D170,素材!$1:$1016,COLUMN(N$1),FALSE)+IF(CJ170="",0,VLOOKUP($CJ170,装強!$1:$1008,COLUMN($CL$1),FALSE)),"")</f>
        <v>3750</v>
      </c>
      <c r="CP170">
        <f>VLOOKUP(D170,素材!$A:$O,COLUMN(素材!O$1),FALSE)</f>
        <v>0</v>
      </c>
      <c r="CQ170" t="str">
        <f>VLOOKUP(C170,武器!$A:$W,COLUMN(武器!W$1),FALSE)</f>
        <v>戦鎚。重い打撃を与える強力な武器。</v>
      </c>
      <c r="CS170" t="str">
        <f t="shared" si="21"/>
        <v>e_170</v>
      </c>
      <c r="CT170">
        <f t="shared" si="24"/>
        <v>375000</v>
      </c>
    </row>
    <row r="171" spans="1:98" outlineLevel="1" x14ac:dyDescent="0.4">
      <c r="A171" t="str">
        <f t="shared" si="29"/>
        <v>黒鋼鉄の鎌</v>
      </c>
      <c r="B171" t="str">
        <f>IFERROR(VLOOKUP($D171,素材!$1:$1016,COLUMN($B$1),FALSE)&amp;"・"&amp;VLOOKUP($C171,武器!$1:$998,COLUMN(B$1),FALSE),"")</f>
        <v>ブラックスティール・シックル</v>
      </c>
      <c r="C171" t="s">
        <v>225</v>
      </c>
      <c r="D171" s="24" t="s">
        <v>244</v>
      </c>
      <c r="E171" t="str">
        <f>IFERROR(VLOOKUP(C171,武器!$1:$998,COLUMN(C$1),FALSE),"")</f>
        <v>武器</v>
      </c>
      <c r="F171">
        <f>IFERROR(ROUNDDOWN((VLOOKUP($C171,武器!$1:$998,COLUMN(D$1),FALSE)+IFERROR(VLOOKUP($CJ171,装強!$1:$999,COLUMN(F$1),FALSE),0))*VLOOKUP($D171,素材!$1:$1016,COLUMN(D$1),FALSE),0),"")</f>
        <v>125</v>
      </c>
      <c r="G171">
        <f>IFERROR(ROUNDDOWN((VLOOKUP($C171,武器!$1:$998,COLUMN(E$1),FALSE)+IFERROR(VLOOKUP($CJ171,装強!$1:$999,COLUMN(G$1),FALSE),0))*VLOOKUP($D171,素材!$1:$1016,COLUMN($E$1),FALSE),0),"")</f>
        <v>9</v>
      </c>
      <c r="H171">
        <f>IFERROR(ROUNDDOWN((VLOOKUP($C171,武器!$1:$998,COLUMN(F$1),FALSE)+IFERROR(VLOOKUP($CJ171,装強!$1:$999,COLUMN(H$1),FALSE),0))*VLOOKUP($D171,素材!$1:$1016,COLUMN($E$1),FALSE),0),"")</f>
        <v>11</v>
      </c>
      <c r="I171">
        <f>IFERROR(ROUNDDOWN((VLOOKUP($C171,武器!$1:$998,COLUMN(G$1),FALSE)+IFERROR(VLOOKUP($CJ171,装強!$1:$999,COLUMN(I$1),FALSE),0))*VLOOKUP($D171,素材!$1:$1016,COLUMN($E$1),FALSE),0),"")</f>
        <v>1</v>
      </c>
      <c r="J171">
        <f>IFERROR(ROUNDDOWN((VLOOKUP($C171,武器!$1:$998,COLUMN(H$1),FALSE)+IFERROR(VLOOKUP($CJ171,装強!$1:$999,COLUMN(J$1),FALSE),0))*VLOOKUP($D171,素材!$1:$1016,COLUMN($E$1),FALSE),0),"")</f>
        <v>17</v>
      </c>
      <c r="K171">
        <f>IFERROR(ROUNDDOWN((VLOOKUP($C171,武器!$1:$998,COLUMN(I$1),FALSE)+IFERROR(VLOOKUP($CJ171,装強!$1:$999,COLUMN(K$1),FALSE),0))*VLOOKUP($D171,素材!$1:$1016,COLUMN($E$1),FALSE),0),"")</f>
        <v>0</v>
      </c>
      <c r="L171" t="str">
        <f>IFERROR(VLOOKUP($D171,素材!$1:$1016,COLUMN($F$1),FALSE),"")</f>
        <v>雷</v>
      </c>
      <c r="M171">
        <f>IFERROR(VLOOKUP($C171,武器!$1:$998,COLUMN(AA$1),FALSE)*VLOOKUP($D171,素材!$1:$1016,COLUMN($G$1),FALSE),"")</f>
        <v>36.75</v>
      </c>
      <c r="N171">
        <f>IFERROR(VLOOKUP($C171,武器!$1:$998,COLUMN(I$1),FALSE),"")</f>
        <v>0</v>
      </c>
      <c r="O171" s="23">
        <f>IFERROR((VLOOKUP($C171,武器!$1:$998,COLUMN(K$1),FALSE)+VLOOKUP($D171,素材!$1:$1016,COLUMN(H$1),FALSE))*100+IFERROR(VLOOKUP($CJ171,装強!$1:$999,COLUMN(O$1),FALSE),0),"")</f>
        <v>5</v>
      </c>
      <c r="P171" s="23">
        <f>IFERROR((VLOOKUP($C171,武器!$1:$998,COLUMN(L$1),FALSE)+VLOOKUP($D171,素材!$1:$1016,COLUMN(I$1),FALSE))*100+IFERROR(VLOOKUP($CJ171,装強!$1:$999,COLUMN(P$1),FALSE),0),"")</f>
        <v>200</v>
      </c>
      <c r="Q171">
        <f>IFERROR(ROUNDUP(VLOOKUP($C171,武器!$1:$998,COLUMN(M$1),FALSE)*(VLOOKUP($D171,素材!$1:$1002,COLUMN(D$1),FALSE)/100),1),"")</f>
        <v>0</v>
      </c>
      <c r="R171">
        <f>IFERROR(ROUNDUP(VLOOKUP($C171,武器!$1:$998,COLUMN(N$1),FALSE)*(VLOOKUP($D171,素材!$1:$1002,COLUMN(D$1),FALSE)/100),1),"")</f>
        <v>0</v>
      </c>
      <c r="S171">
        <f>IFERROR(VLOOKUP($C171,武器!$1:$998,COLUMN(P$1),FALSE),"")</f>
        <v>0</v>
      </c>
      <c r="T171">
        <f>IFERROR(VLOOKUP($C171,武器!$1:$998,COLUMN(Q$1),FALSE),"")</f>
        <v>0</v>
      </c>
      <c r="U171">
        <f>IFERROR(VLOOKUP($C171,武器!$1:$998,COLUMN(R$1),FALSE),"")</f>
        <v>0</v>
      </c>
      <c r="V171">
        <f>IFERROR(VLOOKUP($C171,武器!$1:$998,COLUMN(Q$1),FALSE),"")</f>
        <v>0</v>
      </c>
      <c r="W171" t="str">
        <f>IFERROR(VLOOKUP($C171,武器!$1:$998,COLUMN(T$1),FALSE),"")</f>
        <v>A</v>
      </c>
      <c r="Y171" t="str">
        <f>IFERROR(VLOOKUP($C171,武器!$1:$998,COLUMN(U$1),FALSE),"")</f>
        <v>投擲強化、片手適性Ⅰ</v>
      </c>
      <c r="Z171">
        <f>IFERROR(ROUNDUP(VLOOKUP($C171,武器!$1:$998,COLUMN(O$1),FALSE)*VLOOKUP($D171,素材!$1:$1016,COLUMN(E$1),FALSE),1),"")</f>
        <v>0</v>
      </c>
      <c r="AA171">
        <f>IF(ISNUMBER(SEARCH(SUBSTITUTE(AA$1,RIGHT(AA$1,2),""),VLOOKUP($D171,素材!$1:$1016,COLUMN($F$1),FALSE))),VLOOKUP($C171,武器!$1:$998,COLUMN($O$1),FALSE)*VLOOKUP($D171,素材!$1:$1016,COLUMN($E$1),FALSE)/(LEN(VLOOKUP($D171,素材!$1:$1016,COLUMN($F$1),FALSE))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B171">
        <f>IF(ISNUMBER(SEARCH(SUBSTITUTE(AB$1,RIGHT(AB$1,2),""),VLOOKUP($D171,素材!$1:$1016,COLUMN($F$1),FALSE))),VLOOKUP($C171,武器!$1:$998,COLUMN($O$1),FALSE)*VLOOKUP($D171,素材!$1:$1016,COLUMN($E$1),FALSE)/(LEN(VLOOKUP($D171,素材!$1:$1016,COLUMN($F$1),FALSE))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C171">
        <f>IF(ISNUMBER(SEARCH(SUBSTITUTE(AC$1,RIGHT(AC$1,2),""),VLOOKUP($D171,素材!$1:$1016,COLUMN($F$1),FALSE))),VLOOKUP($C171,武器!$1:$998,COLUMN($O$1),FALSE)*VLOOKUP($D171,素材!$1:$1016,COLUMN($E$1),FALSE)/(LEN(VLOOKUP($D171,素材!$1:$1016,COLUMN($F$1),FALSE))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D171">
        <f>IF(ISNUMBER(SEARCH(SUBSTITUTE(AD$1,RIGHT(AD$1,2),""),VLOOKUP($D171,素材!$1:$1016,COLUMN($F$1),FALSE))),VLOOKUP($C171,武器!$1:$998,COLUMN($O$1),FALSE)*VLOOKUP($D171,素材!$1:$1016,COLUMN($E$1),FALSE)/(LEN(VLOOKUP($D171,素材!$1:$1016,COLUMN($F$1),FALSE))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E171">
        <f>IF(ISNUMBER(SEARCH(SUBSTITUTE(AE$1,RIGHT(AE$1,2),""),VLOOKUP($D171,素材!$1:$1016,COLUMN($F$1),FALSE))),VLOOKUP($C171,武器!$1:$998,COLUMN($O$1),FALSE)*VLOOKUP($D171,素材!$1:$1016,COLUMN($E$1),FALSE)/(LEN(VLOOKUP($D171,素材!$1:$1016,COLUMN($F$1),FALSE))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F171">
        <f>IF(ISNUMBER(SEARCH(SUBSTITUTE(AF$1,RIGHT(AF$1,2),""),VLOOKUP($D171,素材!$1:$1016,COLUMN($F$1),FALSE))),VLOOKUP($C171,武器!$1:$998,COLUMN($O$1),FALSE)*VLOOKUP($D171,素材!$1:$1016,COLUMN($E$1),FALSE)/(LEN(VLOOKUP($D171,素材!$1:$1016,COLUMN($F$1),FALSE))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G171">
        <f>IF(ISNUMBER(SEARCH(SUBSTITUTE(AG$1,RIGHT(AG$1,2),""),VLOOKUP($D171,素材!$1:$1016,COLUMN($F$1),FALSE))),VLOOKUP($C171,武器!$1:$998,COLUMN($O$1),FALSE)*VLOOKUP($D171,素材!$1:$1016,COLUMN($E$1),FALSE)/(LEN(VLOOKUP($D171,素材!$1:$1016,COLUMN($F$1),FALSE))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H171">
        <f>IF(ISNUMBER(SEARCH(SUBSTITUTE(AH$1,RIGHT(AH$1,2),""),VLOOKUP($D171,素材!$1:$1016,COLUMN($F$1),FALSE))),VLOOKUP($C171,武器!$1:$998,COLUMN($O$1),FALSE)*VLOOKUP($D171,素材!$1:$1016,COLUMN($E$1),FALSE)/(LEN(VLOOKUP($D171,素材!$1:$1016,COLUMN($F$1),FALSE))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I171">
        <f>IF(ISNUMBER(SEARCH(SUBSTITUTE(AI$1,RIGHT(AI$1,2),""),VLOOKUP($D171,素材!$1:$1016,COLUMN($F$1),FALSE))),VLOOKUP($C171,武器!$1:$998,COLUMN($O$1),FALSE)*VLOOKUP($D171,素材!$1:$1016,COLUMN($E$1),FALSE)/(LEN(VLOOKUP($D171,素材!$1:$1016,COLUMN($F$1),FALSE))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J171">
        <f>IF(ISNUMBER(SEARCH(SUBSTITUTE(AJ$1,RIGHT(AJ$1,2),""),VLOOKUP($D171,素材!$1:$1016,COLUMN($F$1),FALSE))),VLOOKUP($C171,武器!$1:$998,COLUMN($O$1),FALSE)*VLOOKUP($D171,素材!$1:$1016,COLUMN($E$1),FALSE)/(LEN(VLOOKUP($D171,素材!$1:$1016,COLUMN($F$1),FALSE))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K171">
        <f>IF(ISNUMBER(SEARCH(SUBSTITUTE(AK$1,RIGHT(AK$1,2),""),VLOOKUP($D171,素材!$1:$1016,COLUMN($F$1),FALSE))),VLOOKUP($C171,武器!$1:$998,COLUMN($O$1),FALSE)*VLOOKUP($D171,素材!$1:$1016,COLUMN($E$1),FALSE)/(LEN(VLOOKUP($D171,素材!$1:$1016,COLUMN($F$1),FALSE))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L171">
        <f>IF(ISNUMBER(SEARCH(SUBSTITUTE(AL$1,RIGHT(AL$1,2),""),VLOOKUP($D171,素材!$1:$1016,COLUMN($F$1),FALSE))),VLOOKUP($C171,武器!$1:$998,COLUMN($O$1),FALSE)*VLOOKUP($D171,素材!$1:$1016,COLUMN($E$1),FALSE)/(LEN(VLOOKUP($D171,素材!$1:$1016,COLUMN($F$1),FALSE))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M171">
        <f>IF(ISNUMBER(SEARCH(SUBSTITUTE(AM$1,RIGHT(AM$1,2),""),VLOOKUP($D171,素材!$1:$1016,COLUMN($F$1),FALSE))),VLOOKUP($C171,武器!$1:$998,COLUMN($O$1),FALSE)*VLOOKUP($D171,素材!$1:$1016,COLUMN($E$1),FALSE)/(LEN(VLOOKUP($D171,素材!$1:$1016,COLUMN($F$1),FALSE))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N171">
        <f>IF(ISNUMBER(SEARCH(SUBSTITUTE(AN$1,RIGHT(AN$1,2),""),VLOOKUP($D171,素材!$1:$1016,COLUMN($F$1),FALSE))),VLOOKUP($C171,武器!$1:$998,COLUMN($O$1),FALSE)*VLOOKUP($D171,素材!$1:$1016,COLUMN($E$1),FALSE)/(LEN(VLOOKUP($D171,素材!$1:$1016,COLUMN($F$1),FALSE))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O171">
        <f>IF(ISNUMBER(SEARCH(SUBSTITUTE(AO$1,RIGHT(AO$1,2),""),VLOOKUP($D171,素材!$1:$1016,COLUMN($F$1),FALSE))),VLOOKUP($C171,武器!$1:$998,COLUMN($O$1),FALSE)*VLOOKUP($D171,素材!$1:$1016,COLUMN($E$1),FALSE)/(LEN(VLOOKUP($D171,素材!$1:$1016,COLUMN($F$1),FALSE))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P171">
        <f>IF(ISNUMBER(SEARCH(SUBSTITUTE(AP$1,RIGHT(AP$1,2),""),VLOOKUP($D171,素材!$1:$1016,COLUMN($F$1),FALSE))),VLOOKUP($C171,武器!$1:$998,COLUMN($O$1),FALSE)*VLOOKUP($D171,素材!$1:$1016,COLUMN($E$1),FALSE)/(LEN(VLOOKUP($D171,素材!$1:$1016,COLUMN($F$1),FALSE))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Q171">
        <f>IF(ISNUMBER(SEARCH(SUBSTITUTE(AQ$1,RIGHT(AQ$1,2),""),VLOOKUP($D171,素材!$1:$1016,COLUMN($F$1),FALSE))),VLOOKUP($C171,武器!$1:$998,COLUMN($O$1),FALSE)*VLOOKUP($D171,素材!$1:$1016,COLUMN($E$1),FALSE)/(LEN(VLOOKUP($D171,素材!$1:$1016,COLUMN($F$1),FALSE))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R171">
        <f>IF(ISNUMBER(SEARCH(SUBSTITUTE(AR$1,RIGHT(AR$1,2),""),VLOOKUP($D171,素材!$1:$1016,COLUMN($F$1),FALSE))),VLOOKUP($C171,武器!$1:$998,COLUMN($O$1),FALSE)*VLOOKUP($D171,素材!$1:$1016,COLUMN($E$1),FALSE)/(LEN(VLOOKUP($D171,素材!$1:$1016,COLUMN($F$1),FALSE))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S171">
        <f>IF(ISNUMBER(SEARCH(SUBSTITUTE(AS$1,RIGHT(AS$1,2),""),VLOOKUP($D171,素材!$1:$1016,COLUMN($F$1),FALSE))),VLOOKUP($C171,武器!$1:$998,COLUMN($O$1),FALSE)*VLOOKUP($D171,素材!$1:$1016,COLUMN($E$1),FALSE)/(LEN(VLOOKUP($D171,素材!$1:$1016,COLUMN($F$1),FALSE))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T171">
        <f>IF(ISNUMBER(SEARCH(SUBSTITUTE(AT$1,RIGHT(AT$1,2),""),VLOOKUP($D171,素材!$1:$1016,COLUMN($F$1),FALSE))),VLOOKUP($C171,武器!$1:$998,COLUMN($O$1),FALSE)*VLOOKUP($D171,素材!$1:$1016,COLUMN($E$1),FALSE)/(LEN(VLOOKUP($D171,素材!$1:$1016,COLUMN($F$1),FALSE))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U171">
        <f>IF(ISNUMBER(SEARCH(SUBSTITUTE(AU$1,RIGHT(AU$1,2),""),VLOOKUP($D171,素材!$1:$1016,COLUMN($F$1),FALSE))),VLOOKUP($C171,武器!$1:$998,COLUMN($O$1),FALSE)*VLOOKUP($D171,素材!$1:$1016,COLUMN($E$1),FALSE)/(LEN(VLOOKUP($D171,素材!$1:$1016,COLUMN($F$1),FALSE))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V171">
        <f>IF(ISNUMBER(SEARCH(SUBSTITUTE(AV$1,RIGHT(AV$1,2),""),VLOOKUP($D171,素材!$1:$1016,COLUMN($F$1),FALSE))),VLOOKUP($C171,武器!$1:$998,COLUMN($O$1),FALSE)*VLOOKUP($D171,素材!$1:$1016,COLUMN($E$1),FALSE)/(LEN(VLOOKUP($D171,素材!$1:$1016,COLUMN($F$1),FALSE))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W171">
        <f>IF(ISNUMBER(SEARCH(SUBSTITUTE(AW$1,RIGHT(AW$1,2),""),VLOOKUP($D171,素材!$1:$1016,COLUMN($F$1),FALSE))),VLOOKUP($C171,武器!$1:$998,COLUMN($O$1),FALSE)*VLOOKUP($D171,素材!$1:$1016,COLUMN($E$1),FALSE)/(LEN(VLOOKUP($D171,素材!$1:$1016,COLUMN($F$1),FALSE))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X171">
        <f>IF(ISNUMBER(SEARCH(SUBSTITUTE(AX$1,RIGHT(AX$1,2),""),VLOOKUP($D171,素材!$1:$1016,COLUMN($F$1),FALSE))),VLOOKUP($C171,武器!$1:$998,COLUMN($O$1),FALSE)*VLOOKUP($D171,素材!$1:$1016,COLUMN($E$1),FALSE)/(LEN(VLOOKUP($D171,素材!$1:$1016,COLUMN($F$1),FALSE))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Y171">
        <f>IF(ISNUMBER(SEARCH(SUBSTITUTE(AY$1,RIGHT(AY$1,2),""),VLOOKUP($D171,素材!$1:$1016,COLUMN($F$1),FALSE))),VLOOKUP($C171,武器!$1:$998,COLUMN($O$1),FALSE)*VLOOKUP($D171,素材!$1:$1016,COLUMN($E$1),FALSE)/(LEN(VLOOKUP($D171,素材!$1:$1016,COLUMN($F$1),FALSE))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AZ171">
        <f>IF(ISNUMBER(SEARCH(SUBSTITUTE(AZ$1,RIGHT(AZ$1,2),""),VLOOKUP($D171,素材!$1:$1016,COLUMN($F$1),FALSE))),VLOOKUP($C171,武器!$1:$998,COLUMN($O$1),FALSE)*VLOOKUP($D171,素材!$1:$1016,COLUMN($E$1),FALSE)/(LEN(VLOOKUP($D171,素材!$1:$1016,COLUMN($F$1),FALSE))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BA171">
        <f>IF(ISNUMBER(SEARCH(SUBSTITUTE(BA$1,RIGHT(BA$1,2),""),VLOOKUP($D171,素材!$1:$1016,COLUMN($F$1),FALSE))),VLOOKUP($C171,武器!$1:$998,COLUMN($O$1),FALSE)*VLOOKUP($D171,素材!$1:$1016,COLUMN($E$1),FALSE)/(LEN(VLOOKUP($D171,素材!$1:$1016,COLUMN($F$1),FALSE))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BB171">
        <f>IF(ISNUMBER(SEARCH(SUBSTITUTE(BB$1,RIGHT(BB$1,2),""),VLOOKUP($D171,素材!$1:$1016,COLUMN($F$1),FALSE))),VLOOKUP($C171,武器!$1:$998,COLUMN($O$1),FALSE)*VLOOKUP($D171,素材!$1:$1016,COLUMN($E$1),FALSE)/(LEN(VLOOKUP($D171,素材!$1:$1016,COLUMN($F$1),FALSE))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BC171">
        <f>IF(ISNUMBER(SEARCH(SUBSTITUTE(BC$1,RIGHT(BC$1,2),""),VLOOKUP($D171,素材!$1:$1016,COLUMN($F$1),FALSE))),VLOOKUP($C171,武器!$1:$998,COLUMN($O$1),FALSE)*VLOOKUP($D171,素材!$1:$1016,COLUMN($E$1),FALSE)/(LEN(VLOOKUP($D171,素材!$1:$1016,COLUMN($F$1),FALSE))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BD171">
        <f>IF(ISNUMBER(SEARCH(SUBSTITUTE(BD$1,RIGHT(BD$1,2),""),VLOOKUP($D171,素材!$1:$1016,COLUMN($F$1),FALSE))),VLOOKUP($C171,武器!$1:$998,COLUMN($O$1),FALSE)*VLOOKUP($D171,素材!$1:$1016,COLUMN($E$1),FALSE)/(LEN(VLOOKUP($D171,素材!$1:$1016,COLUMN($F$1),FALSE))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BE171">
        <f>IF(ISNUMBER(SEARCH(SUBSTITUTE(BE$1,RIGHT(BE$1,2),""),VLOOKUP($D171,素材!$1:$1016,COLUMN($F$1),FALSE))),VLOOKUP($C171,武器!$1:$998,COLUMN($O$1),FALSE)*VLOOKUP($D171,素材!$1:$1016,COLUMN($E$1),FALSE)/(LEN(VLOOKUP($D171,素材!$1:$1016,COLUMN($F$1),FALSE))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BF171">
        <f>IF(ISNUMBER(SEARCH(SUBSTITUTE(BF$1,RIGHT(BF$1,2),""),VLOOKUP($D171,素材!$1:$1016,COLUMN($F$1),FALSE))),VLOOKUP($C171,武器!$1:$998,COLUMN($O$1),FALSE)*VLOOKUP($D171,素材!$1:$1016,COLUMN($E$1),FALSE)/(LEN(VLOOKUP($D171,素材!$1:$1016,COLUMN($F$1),FALSE)) - LEN(SUBSTITUTE(VLOOKUP($D171,素材!$1:$1016,COLUMN($F$1),FALSE), "・", 0)) + 1), 0)</f>
        <v>0</v>
      </c>
      <c r="CM171">
        <f t="shared" si="19"/>
        <v>21</v>
      </c>
      <c r="CN171" s="22" t="str">
        <f>IF(E171="武器",IF(J171-1&gt;SUM(G171:I171),"盾",IF(MAX(G171:I171)=G171,"切断",IF(MAX(G171:I171)=H171,"貫通",IF(MAX(G171:I171)=I171,"打撃","射撃")))),E171)&amp;".webp"</f>
        <v>貫通.webp</v>
      </c>
      <c r="CO171">
        <f>IFERROR(VLOOKUP($C171,武器!$1:$998,COLUMN(V$1),FALSE)*VLOOKUP($D171,素材!$1:$1016,COLUMN(N$1),FALSE)+IF(CJ171="",0,VLOOKUP($CJ171,装強!$1:$1008,COLUMN($CL$1),FALSE)),"")</f>
        <v>3000</v>
      </c>
      <c r="CP171">
        <f>VLOOKUP(D171,素材!$A:$O,COLUMN(素材!O$1),FALSE)</f>
        <v>0</v>
      </c>
      <c r="CQ171" t="str">
        <f>VLOOKUP(C171,武器!$A:$W,COLUMN(武器!W$1),FALSE)</f>
        <v>鎌。農具を転用した武器で、鋭い斬撃を与える。</v>
      </c>
      <c r="CS171" t="str">
        <f t="shared" si="21"/>
        <v>e_171</v>
      </c>
      <c r="CT171">
        <f t="shared" si="24"/>
        <v>300000</v>
      </c>
    </row>
    <row r="172" spans="1:98" outlineLevel="1" x14ac:dyDescent="0.4">
      <c r="A172" t="str">
        <f t="shared" si="29"/>
        <v>黒鋼鉄の戦斧</v>
      </c>
      <c r="B172" t="str">
        <f>IFERROR(VLOOKUP($D172,素材!$1:$1016,COLUMN($B$1),FALSE)&amp;"・"&amp;VLOOKUP($C172,武器!$1:$998,COLUMN(B$1),FALSE),"")</f>
        <v>ブラックスティール・バトルアックス</v>
      </c>
      <c r="C172" t="s">
        <v>224</v>
      </c>
      <c r="D172" s="24" t="s">
        <v>244</v>
      </c>
      <c r="E172" t="str">
        <f>IFERROR(VLOOKUP(C172,武器!$1:$998,COLUMN(C$1),FALSE),"")</f>
        <v>武器</v>
      </c>
      <c r="F172">
        <f>IFERROR(ROUNDDOWN((VLOOKUP($C172,武器!$1:$998,COLUMN(D$1),FALSE)+IFERROR(VLOOKUP($CJ172,装強!$1:$999,COLUMN(F$1),FALSE),0))*VLOOKUP($D172,素材!$1:$1016,COLUMN(D$1),FALSE),0),"")</f>
        <v>115</v>
      </c>
      <c r="G172">
        <f>IFERROR(ROUNDDOWN((VLOOKUP($C172,武器!$1:$998,COLUMN(E$1),FALSE)+IFERROR(VLOOKUP($CJ172,装強!$1:$999,COLUMN(G$1),FALSE),0))*VLOOKUP($D172,素材!$1:$1016,COLUMN($E$1),FALSE),0),"")</f>
        <v>19</v>
      </c>
      <c r="H172">
        <f>IFERROR(ROUNDDOWN((VLOOKUP($C172,武器!$1:$998,COLUMN(F$1),FALSE)+IFERROR(VLOOKUP($CJ172,装強!$1:$999,COLUMN(H$1),FALSE),0))*VLOOKUP($D172,素材!$1:$1016,COLUMN($E$1),FALSE),0),"")</f>
        <v>0</v>
      </c>
      <c r="I172">
        <f>IFERROR(ROUNDDOWN((VLOOKUP($C172,武器!$1:$998,COLUMN(G$1),FALSE)+IFERROR(VLOOKUP($CJ172,装強!$1:$999,COLUMN(I$1),FALSE),0))*VLOOKUP($D172,素材!$1:$1016,COLUMN($E$1),FALSE),0),"")</f>
        <v>6</v>
      </c>
      <c r="J172">
        <f>IFERROR(ROUNDDOWN((VLOOKUP($C172,武器!$1:$998,COLUMN(H$1),FALSE)+IFERROR(VLOOKUP($CJ172,装強!$1:$999,COLUMN(J$1),FALSE),0))*VLOOKUP($D172,素材!$1:$1016,COLUMN($E$1),FALSE),0),"")</f>
        <v>20</v>
      </c>
      <c r="K172">
        <f>IFERROR(ROUNDDOWN((VLOOKUP($C172,武器!$1:$998,COLUMN(I$1),FALSE)+IFERROR(VLOOKUP($CJ172,装強!$1:$999,COLUMN(K$1),FALSE),0))*VLOOKUP($D172,素材!$1:$1016,COLUMN($E$1),FALSE),0),"")</f>
        <v>0</v>
      </c>
      <c r="L172" t="str">
        <f>IFERROR(VLOOKUP($D172,素材!$1:$1016,COLUMN($F$1),FALSE),"")</f>
        <v>雷</v>
      </c>
      <c r="M172">
        <f>IFERROR(VLOOKUP($C172,武器!$1:$998,COLUMN(AA$1),FALSE)*VLOOKUP($D172,素材!$1:$1016,COLUMN($G$1),FALSE),"")</f>
        <v>43.75</v>
      </c>
      <c r="N172">
        <f>IFERROR(VLOOKUP($C172,武器!$1:$998,COLUMN(I$1),FALSE),"")</f>
        <v>0</v>
      </c>
      <c r="O172" s="23">
        <f>IFERROR((VLOOKUP($C172,武器!$1:$998,COLUMN(K$1),FALSE)+VLOOKUP($D172,素材!$1:$1016,COLUMN(H$1),FALSE))*100+IFERROR(VLOOKUP($CJ172,装強!$1:$999,COLUMN(O$1),FALSE),0),"")</f>
        <v>5</v>
      </c>
      <c r="P172" s="23">
        <f>IFERROR((VLOOKUP($C172,武器!$1:$998,COLUMN(L$1),FALSE)+VLOOKUP($D172,素材!$1:$1016,COLUMN(I$1),FALSE))*100+IFERROR(VLOOKUP($CJ172,装強!$1:$999,COLUMN(P$1),FALSE),0),"")</f>
        <v>175</v>
      </c>
      <c r="Q172">
        <f>IFERROR(ROUNDUP(VLOOKUP($C172,武器!$1:$998,COLUMN(M$1),FALSE)*(VLOOKUP($D172,素材!$1:$1002,COLUMN(D$1),FALSE)/100),1),"")</f>
        <v>-2.5</v>
      </c>
      <c r="R172">
        <f>IFERROR(ROUNDUP(VLOOKUP($C172,武器!$1:$998,COLUMN(N$1),FALSE)*(VLOOKUP($D172,素材!$1:$1002,COLUMN(D$1),FALSE)/100),1),"")</f>
        <v>0</v>
      </c>
      <c r="S172">
        <f>IFERROR(VLOOKUP($C172,武器!$1:$998,COLUMN(P$1),FALSE),"")</f>
        <v>0</v>
      </c>
      <c r="T172">
        <f>IFERROR(VLOOKUP($C172,武器!$1:$998,COLUMN(Q$1),FALSE),"")</f>
        <v>0</v>
      </c>
      <c r="U172">
        <f>IFERROR(VLOOKUP($C172,武器!$1:$998,COLUMN(R$1),FALSE),"")</f>
        <v>0</v>
      </c>
      <c r="V172">
        <f>IFERROR(VLOOKUP($C172,武器!$1:$998,COLUMN(Q$1),FALSE),"")</f>
        <v>0</v>
      </c>
      <c r="W172" t="str">
        <f>IFERROR(VLOOKUP($C172,武器!$1:$998,COLUMN(T$1),FALSE),"")</f>
        <v>A</v>
      </c>
      <c r="Y172">
        <f>IFERROR(VLOOKUP($C172,武器!$1:$998,COLUMN(U$1),FALSE),"")</f>
        <v>0</v>
      </c>
      <c r="Z172">
        <f>IFERROR(ROUNDUP(VLOOKUP($C172,武器!$1:$998,COLUMN(O$1),FALSE)*VLOOKUP($D172,素材!$1:$1016,COLUMN(E$1),FALSE),1),"")</f>
        <v>0</v>
      </c>
      <c r="AA172">
        <f>IF(ISNUMBER(SEARCH(SUBSTITUTE(AA$1,RIGHT(AA$1,2),""),VLOOKUP($D172,素材!$1:$1016,COLUMN($F$1),FALSE))),VLOOKUP($C172,武器!$1:$998,COLUMN($O$1),FALSE)*VLOOKUP($D172,素材!$1:$1016,COLUMN($E$1),FALSE)/(LEN(VLOOKUP($D172,素材!$1:$1016,COLUMN($F$1),FALSE))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B172">
        <f>IF(ISNUMBER(SEARCH(SUBSTITUTE(AB$1,RIGHT(AB$1,2),""),VLOOKUP($D172,素材!$1:$1016,COLUMN($F$1),FALSE))),VLOOKUP($C172,武器!$1:$998,COLUMN($O$1),FALSE)*VLOOKUP($D172,素材!$1:$1016,COLUMN($E$1),FALSE)/(LEN(VLOOKUP($D172,素材!$1:$1016,COLUMN($F$1),FALSE))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C172">
        <f>IF(ISNUMBER(SEARCH(SUBSTITUTE(AC$1,RIGHT(AC$1,2),""),VLOOKUP($D172,素材!$1:$1016,COLUMN($F$1),FALSE))),VLOOKUP($C172,武器!$1:$998,COLUMN($O$1),FALSE)*VLOOKUP($D172,素材!$1:$1016,COLUMN($E$1),FALSE)/(LEN(VLOOKUP($D172,素材!$1:$1016,COLUMN($F$1),FALSE))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D172">
        <f>IF(ISNUMBER(SEARCH(SUBSTITUTE(AD$1,RIGHT(AD$1,2),""),VLOOKUP($D172,素材!$1:$1016,COLUMN($F$1),FALSE))),VLOOKUP($C172,武器!$1:$998,COLUMN($O$1),FALSE)*VLOOKUP($D172,素材!$1:$1016,COLUMN($E$1),FALSE)/(LEN(VLOOKUP($D172,素材!$1:$1016,COLUMN($F$1),FALSE))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E172">
        <f>IF(ISNUMBER(SEARCH(SUBSTITUTE(AE$1,RIGHT(AE$1,2),""),VLOOKUP($D172,素材!$1:$1016,COLUMN($F$1),FALSE))),VLOOKUP($C172,武器!$1:$998,COLUMN($O$1),FALSE)*VLOOKUP($D172,素材!$1:$1016,COLUMN($E$1),FALSE)/(LEN(VLOOKUP($D172,素材!$1:$1016,COLUMN($F$1),FALSE))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F172">
        <f>IF(ISNUMBER(SEARCH(SUBSTITUTE(AF$1,RIGHT(AF$1,2),""),VLOOKUP($D172,素材!$1:$1016,COLUMN($F$1),FALSE))),VLOOKUP($C172,武器!$1:$998,COLUMN($O$1),FALSE)*VLOOKUP($D172,素材!$1:$1016,COLUMN($E$1),FALSE)/(LEN(VLOOKUP($D172,素材!$1:$1016,COLUMN($F$1),FALSE))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G172">
        <f>IF(ISNUMBER(SEARCH(SUBSTITUTE(AG$1,RIGHT(AG$1,2),""),VLOOKUP($D172,素材!$1:$1016,COLUMN($F$1),FALSE))),VLOOKUP($C172,武器!$1:$998,COLUMN($O$1),FALSE)*VLOOKUP($D172,素材!$1:$1016,COLUMN($E$1),FALSE)/(LEN(VLOOKUP($D172,素材!$1:$1016,COLUMN($F$1),FALSE))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H172">
        <f>IF(ISNUMBER(SEARCH(SUBSTITUTE(AH$1,RIGHT(AH$1,2),""),VLOOKUP($D172,素材!$1:$1016,COLUMN($F$1),FALSE))),VLOOKUP($C172,武器!$1:$998,COLUMN($O$1),FALSE)*VLOOKUP($D172,素材!$1:$1016,COLUMN($E$1),FALSE)/(LEN(VLOOKUP($D172,素材!$1:$1016,COLUMN($F$1),FALSE))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I172">
        <f>IF(ISNUMBER(SEARCH(SUBSTITUTE(AI$1,RIGHT(AI$1,2),""),VLOOKUP($D172,素材!$1:$1016,COLUMN($F$1),FALSE))),VLOOKUP($C172,武器!$1:$998,COLUMN($O$1),FALSE)*VLOOKUP($D172,素材!$1:$1016,COLUMN($E$1),FALSE)/(LEN(VLOOKUP($D172,素材!$1:$1016,COLUMN($F$1),FALSE))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J172">
        <f>IF(ISNUMBER(SEARCH(SUBSTITUTE(AJ$1,RIGHT(AJ$1,2),""),VLOOKUP($D172,素材!$1:$1016,COLUMN($F$1),FALSE))),VLOOKUP($C172,武器!$1:$998,COLUMN($O$1),FALSE)*VLOOKUP($D172,素材!$1:$1016,COLUMN($E$1),FALSE)/(LEN(VLOOKUP($D172,素材!$1:$1016,COLUMN($F$1),FALSE))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K172">
        <f>IF(ISNUMBER(SEARCH(SUBSTITUTE(AK$1,RIGHT(AK$1,2),""),VLOOKUP($D172,素材!$1:$1016,COLUMN($F$1),FALSE))),VLOOKUP($C172,武器!$1:$998,COLUMN($O$1),FALSE)*VLOOKUP($D172,素材!$1:$1016,COLUMN($E$1),FALSE)/(LEN(VLOOKUP($D172,素材!$1:$1016,COLUMN($F$1),FALSE))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L172">
        <f>IF(ISNUMBER(SEARCH(SUBSTITUTE(AL$1,RIGHT(AL$1,2),""),VLOOKUP($D172,素材!$1:$1016,COLUMN($F$1),FALSE))),VLOOKUP($C172,武器!$1:$998,COLUMN($O$1),FALSE)*VLOOKUP($D172,素材!$1:$1016,COLUMN($E$1),FALSE)/(LEN(VLOOKUP($D172,素材!$1:$1016,COLUMN($F$1),FALSE))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M172">
        <f>IF(ISNUMBER(SEARCH(SUBSTITUTE(AM$1,RIGHT(AM$1,2),""),VLOOKUP($D172,素材!$1:$1016,COLUMN($F$1),FALSE))),VLOOKUP($C172,武器!$1:$998,COLUMN($O$1),FALSE)*VLOOKUP($D172,素材!$1:$1016,COLUMN($E$1),FALSE)/(LEN(VLOOKUP($D172,素材!$1:$1016,COLUMN($F$1),FALSE))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N172">
        <f>IF(ISNUMBER(SEARCH(SUBSTITUTE(AN$1,RIGHT(AN$1,2),""),VLOOKUP($D172,素材!$1:$1016,COLUMN($F$1),FALSE))),VLOOKUP($C172,武器!$1:$998,COLUMN($O$1),FALSE)*VLOOKUP($D172,素材!$1:$1016,COLUMN($E$1),FALSE)/(LEN(VLOOKUP($D172,素材!$1:$1016,COLUMN($F$1),FALSE))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O172">
        <f>IF(ISNUMBER(SEARCH(SUBSTITUTE(AO$1,RIGHT(AO$1,2),""),VLOOKUP($D172,素材!$1:$1016,COLUMN($F$1),FALSE))),VLOOKUP($C172,武器!$1:$998,COLUMN($O$1),FALSE)*VLOOKUP($D172,素材!$1:$1016,COLUMN($E$1),FALSE)/(LEN(VLOOKUP($D172,素材!$1:$1016,COLUMN($F$1),FALSE))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P172">
        <f>IF(ISNUMBER(SEARCH(SUBSTITUTE(AP$1,RIGHT(AP$1,2),""),VLOOKUP($D172,素材!$1:$1016,COLUMN($F$1),FALSE))),VLOOKUP($C172,武器!$1:$998,COLUMN($O$1),FALSE)*VLOOKUP($D172,素材!$1:$1016,COLUMN($E$1),FALSE)/(LEN(VLOOKUP($D172,素材!$1:$1016,COLUMN($F$1),FALSE))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Q172">
        <f>IF(ISNUMBER(SEARCH(SUBSTITUTE(AQ$1,RIGHT(AQ$1,2),""),VLOOKUP($D172,素材!$1:$1016,COLUMN($F$1),FALSE))),VLOOKUP($C172,武器!$1:$998,COLUMN($O$1),FALSE)*VLOOKUP($D172,素材!$1:$1016,COLUMN($E$1),FALSE)/(LEN(VLOOKUP($D172,素材!$1:$1016,COLUMN($F$1),FALSE))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R172">
        <f>IF(ISNUMBER(SEARCH(SUBSTITUTE(AR$1,RIGHT(AR$1,2),""),VLOOKUP($D172,素材!$1:$1016,COLUMN($F$1),FALSE))),VLOOKUP($C172,武器!$1:$998,COLUMN($O$1),FALSE)*VLOOKUP($D172,素材!$1:$1016,COLUMN($E$1),FALSE)/(LEN(VLOOKUP($D172,素材!$1:$1016,COLUMN($F$1),FALSE))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S172">
        <f>IF(ISNUMBER(SEARCH(SUBSTITUTE(AS$1,RIGHT(AS$1,2),""),VLOOKUP($D172,素材!$1:$1016,COLUMN($F$1),FALSE))),VLOOKUP($C172,武器!$1:$998,COLUMN($O$1),FALSE)*VLOOKUP($D172,素材!$1:$1016,COLUMN($E$1),FALSE)/(LEN(VLOOKUP($D172,素材!$1:$1016,COLUMN($F$1),FALSE))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T172">
        <f>IF(ISNUMBER(SEARCH(SUBSTITUTE(AT$1,RIGHT(AT$1,2),""),VLOOKUP($D172,素材!$1:$1016,COLUMN($F$1),FALSE))),VLOOKUP($C172,武器!$1:$998,COLUMN($O$1),FALSE)*VLOOKUP($D172,素材!$1:$1016,COLUMN($E$1),FALSE)/(LEN(VLOOKUP($D172,素材!$1:$1016,COLUMN($F$1),FALSE))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U172">
        <f>IF(ISNUMBER(SEARCH(SUBSTITUTE(AU$1,RIGHT(AU$1,2),""),VLOOKUP($D172,素材!$1:$1016,COLUMN($F$1),FALSE))),VLOOKUP($C172,武器!$1:$998,COLUMN($O$1),FALSE)*VLOOKUP($D172,素材!$1:$1016,COLUMN($E$1),FALSE)/(LEN(VLOOKUP($D172,素材!$1:$1016,COLUMN($F$1),FALSE))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V172">
        <f>IF(ISNUMBER(SEARCH(SUBSTITUTE(AV$1,RIGHT(AV$1,2),""),VLOOKUP($D172,素材!$1:$1016,COLUMN($F$1),FALSE))),VLOOKUP($C172,武器!$1:$998,COLUMN($O$1),FALSE)*VLOOKUP($D172,素材!$1:$1016,COLUMN($E$1),FALSE)/(LEN(VLOOKUP($D172,素材!$1:$1016,COLUMN($F$1),FALSE))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W172">
        <f>IF(ISNUMBER(SEARCH(SUBSTITUTE(AW$1,RIGHT(AW$1,2),""),VLOOKUP($D172,素材!$1:$1016,COLUMN($F$1),FALSE))),VLOOKUP($C172,武器!$1:$998,COLUMN($O$1),FALSE)*VLOOKUP($D172,素材!$1:$1016,COLUMN($E$1),FALSE)/(LEN(VLOOKUP($D172,素材!$1:$1016,COLUMN($F$1),FALSE))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X172">
        <f>IF(ISNUMBER(SEARCH(SUBSTITUTE(AX$1,RIGHT(AX$1,2),""),VLOOKUP($D172,素材!$1:$1016,COLUMN($F$1),FALSE))),VLOOKUP($C172,武器!$1:$998,COLUMN($O$1),FALSE)*VLOOKUP($D172,素材!$1:$1016,COLUMN($E$1),FALSE)/(LEN(VLOOKUP($D172,素材!$1:$1016,COLUMN($F$1),FALSE))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Y172">
        <f>IF(ISNUMBER(SEARCH(SUBSTITUTE(AY$1,RIGHT(AY$1,2),""),VLOOKUP($D172,素材!$1:$1016,COLUMN($F$1),FALSE))),VLOOKUP($C172,武器!$1:$998,COLUMN($O$1),FALSE)*VLOOKUP($D172,素材!$1:$1016,COLUMN($E$1),FALSE)/(LEN(VLOOKUP($D172,素材!$1:$1016,COLUMN($F$1),FALSE))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AZ172">
        <f>IF(ISNUMBER(SEARCH(SUBSTITUTE(AZ$1,RIGHT(AZ$1,2),""),VLOOKUP($D172,素材!$1:$1016,COLUMN($F$1),FALSE))),VLOOKUP($C172,武器!$1:$998,COLUMN($O$1),FALSE)*VLOOKUP($D172,素材!$1:$1016,COLUMN($E$1),FALSE)/(LEN(VLOOKUP($D172,素材!$1:$1016,COLUMN($F$1),FALSE))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BA172">
        <f>IF(ISNUMBER(SEARCH(SUBSTITUTE(BA$1,RIGHT(BA$1,2),""),VLOOKUP($D172,素材!$1:$1016,COLUMN($F$1),FALSE))),VLOOKUP($C172,武器!$1:$998,COLUMN($O$1),FALSE)*VLOOKUP($D172,素材!$1:$1016,COLUMN($E$1),FALSE)/(LEN(VLOOKUP($D172,素材!$1:$1016,COLUMN($F$1),FALSE))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BB172">
        <f>IF(ISNUMBER(SEARCH(SUBSTITUTE(BB$1,RIGHT(BB$1,2),""),VLOOKUP($D172,素材!$1:$1016,COLUMN($F$1),FALSE))),VLOOKUP($C172,武器!$1:$998,COLUMN($O$1),FALSE)*VLOOKUP($D172,素材!$1:$1016,COLUMN($E$1),FALSE)/(LEN(VLOOKUP($D172,素材!$1:$1016,COLUMN($F$1),FALSE))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BC172">
        <f>IF(ISNUMBER(SEARCH(SUBSTITUTE(BC$1,RIGHT(BC$1,2),""),VLOOKUP($D172,素材!$1:$1016,COLUMN($F$1),FALSE))),VLOOKUP($C172,武器!$1:$998,COLUMN($O$1),FALSE)*VLOOKUP($D172,素材!$1:$1016,COLUMN($E$1),FALSE)/(LEN(VLOOKUP($D172,素材!$1:$1016,COLUMN($F$1),FALSE))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BD172">
        <f>IF(ISNUMBER(SEARCH(SUBSTITUTE(BD$1,RIGHT(BD$1,2),""),VLOOKUP($D172,素材!$1:$1016,COLUMN($F$1),FALSE))),VLOOKUP($C172,武器!$1:$998,COLUMN($O$1),FALSE)*VLOOKUP($D172,素材!$1:$1016,COLUMN($E$1),FALSE)/(LEN(VLOOKUP($D172,素材!$1:$1016,COLUMN($F$1),FALSE))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BE172">
        <f>IF(ISNUMBER(SEARCH(SUBSTITUTE(BE$1,RIGHT(BE$1,2),""),VLOOKUP($D172,素材!$1:$1016,COLUMN($F$1),FALSE))),VLOOKUP($C172,武器!$1:$998,COLUMN($O$1),FALSE)*VLOOKUP($D172,素材!$1:$1016,COLUMN($E$1),FALSE)/(LEN(VLOOKUP($D172,素材!$1:$1016,COLUMN($F$1),FALSE))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BF172">
        <f>IF(ISNUMBER(SEARCH(SUBSTITUTE(BF$1,RIGHT(BF$1,2),""),VLOOKUP($D172,素材!$1:$1016,COLUMN($F$1),FALSE))),VLOOKUP($C172,武器!$1:$998,COLUMN($O$1),FALSE)*VLOOKUP($D172,素材!$1:$1016,COLUMN($E$1),FALSE)/(LEN(VLOOKUP($D172,素材!$1:$1016,COLUMN($F$1),FALSE)) - LEN(SUBSTITUTE(VLOOKUP($D172,素材!$1:$1016,COLUMN($F$1),FALSE), "・", 0)) + 1), 0)</f>
        <v>0</v>
      </c>
      <c r="CM172">
        <f t="shared" si="19"/>
        <v>25</v>
      </c>
      <c r="CN172" s="22" t="str">
        <f>IF(E172="武器",IF(J172-1&gt;SUM(G172:I172),"盾",IF(MAX(G172:I172)=G172,"切断",IF(MAX(G172:I172)=H172,"貫通",IF(MAX(G172:I172)=I172,"打撃","射撃")))),E172)&amp;".webp"</f>
        <v>切断.webp</v>
      </c>
      <c r="CO172">
        <f>IFERROR(VLOOKUP($C172,武器!$1:$998,COLUMN(V$1),FALSE)*VLOOKUP($D172,素材!$1:$1016,COLUMN(N$1),FALSE)+IF(CJ172="",0,VLOOKUP($CJ172,装強!$1:$1008,COLUMN($CL$1),FALSE)),"")</f>
        <v>3000</v>
      </c>
      <c r="CP172">
        <f>VLOOKUP(D172,素材!$A:$O,COLUMN(素材!O$1),FALSE)</f>
        <v>0</v>
      </c>
      <c r="CQ172" t="str">
        <f>VLOOKUP(C172,武器!$A:$W,COLUMN(武器!W$1),FALSE)</f>
        <v>戦斧。攻撃力が高く、重いが信頼性がある武器。</v>
      </c>
      <c r="CS172" t="str">
        <f t="shared" si="21"/>
        <v>e_172</v>
      </c>
      <c r="CT172">
        <f t="shared" si="24"/>
        <v>300000</v>
      </c>
    </row>
    <row r="173" spans="1:98" outlineLevel="1" x14ac:dyDescent="0.4">
      <c r="A173" t="str">
        <f t="shared" si="29"/>
        <v>黒鋼鉄の鞭</v>
      </c>
      <c r="B173" t="str">
        <f>IFERROR(VLOOKUP($D173,素材!$1:$1016,COLUMN($B$1),FALSE)&amp;"・"&amp;VLOOKUP($C173,武器!$1:$998,COLUMN(B$1),FALSE),"")</f>
        <v>ブラックスティール・ウィップ</v>
      </c>
      <c r="C173" t="s">
        <v>223</v>
      </c>
      <c r="D173" s="24" t="s">
        <v>244</v>
      </c>
      <c r="E173" t="str">
        <f>IFERROR(VLOOKUP(C173,武器!$1:$998,COLUMN(C$1),FALSE),"")</f>
        <v>武器</v>
      </c>
      <c r="F173">
        <f>IFERROR(ROUNDDOWN((VLOOKUP($C173,武器!$1:$998,COLUMN(D$1),FALSE)+IFERROR(VLOOKUP($CJ173,装強!$1:$999,COLUMN(F$1),FALSE),0))*VLOOKUP($D173,素材!$1:$1016,COLUMN(D$1),FALSE),0),"")</f>
        <v>105</v>
      </c>
      <c r="G173">
        <f>IFERROR(ROUNDDOWN((VLOOKUP($C173,武器!$1:$998,COLUMN(E$1),FALSE)+IFERROR(VLOOKUP($CJ173,装強!$1:$999,COLUMN(G$1),FALSE),0))*VLOOKUP($D173,素材!$1:$1016,COLUMN($E$1),FALSE),0),"")</f>
        <v>18</v>
      </c>
      <c r="H173">
        <f>IFERROR(ROUNDDOWN((VLOOKUP($C173,武器!$1:$998,COLUMN(F$1),FALSE)+IFERROR(VLOOKUP($CJ173,装強!$1:$999,COLUMN(H$1),FALSE),0))*VLOOKUP($D173,素材!$1:$1016,COLUMN($E$1),FALSE),0),"")</f>
        <v>0</v>
      </c>
      <c r="I173">
        <f>IFERROR(ROUNDDOWN((VLOOKUP($C173,武器!$1:$998,COLUMN(G$1),FALSE)+IFERROR(VLOOKUP($CJ173,装強!$1:$999,COLUMN(I$1),FALSE),0))*VLOOKUP($D173,素材!$1:$1016,COLUMN($E$1),FALSE),0),"")</f>
        <v>4</v>
      </c>
      <c r="J173">
        <f>IFERROR(ROUNDDOWN((VLOOKUP($C173,武器!$1:$998,COLUMN(H$1),FALSE)+IFERROR(VLOOKUP($CJ173,装強!$1:$999,COLUMN(J$1),FALSE),0))*VLOOKUP($D173,素材!$1:$1016,COLUMN($E$1),FALSE),0),"")</f>
        <v>11</v>
      </c>
      <c r="K173">
        <f>IFERROR(ROUNDDOWN((VLOOKUP($C173,武器!$1:$998,COLUMN(I$1),FALSE)+IFERROR(VLOOKUP($CJ173,装強!$1:$999,COLUMN(K$1),FALSE),0))*VLOOKUP($D173,素材!$1:$1016,COLUMN($E$1),FALSE),0),"")</f>
        <v>0</v>
      </c>
      <c r="L173" t="str">
        <f>IFERROR(VLOOKUP($D173,素材!$1:$1016,COLUMN($F$1),FALSE),"")</f>
        <v>雷</v>
      </c>
      <c r="M173">
        <f>IFERROR(VLOOKUP($C173,武器!$1:$998,COLUMN(AA$1),FALSE)*VLOOKUP($D173,素材!$1:$1016,COLUMN($G$1),FALSE),"")</f>
        <v>38.5</v>
      </c>
      <c r="N173">
        <f>IFERROR(VLOOKUP($C173,武器!$1:$998,COLUMN(I$1),FALSE),"")</f>
        <v>0</v>
      </c>
      <c r="O173" s="23">
        <f>IFERROR((VLOOKUP($C173,武器!$1:$998,COLUMN(K$1),FALSE)+VLOOKUP($D173,素材!$1:$1016,COLUMN(H$1),FALSE))*100+IFERROR(VLOOKUP($CJ173,装強!$1:$999,COLUMN(O$1),FALSE),0),"")</f>
        <v>10</v>
      </c>
      <c r="P173" s="23">
        <f>IFERROR((VLOOKUP($C173,武器!$1:$998,COLUMN(L$1),FALSE)+VLOOKUP($D173,素材!$1:$1016,COLUMN(I$1),FALSE))*100+IFERROR(VLOOKUP($CJ173,装強!$1:$999,COLUMN(P$1),FALSE),0),"")</f>
        <v>150</v>
      </c>
      <c r="Q173">
        <f>IFERROR(ROUNDUP(VLOOKUP($C173,武器!$1:$998,COLUMN(M$1),FALSE)*(VLOOKUP($D173,素材!$1:$1002,COLUMN(D$1),FALSE)/100),1),"")</f>
        <v>0</v>
      </c>
      <c r="R173">
        <f>IFERROR(ROUNDUP(VLOOKUP($C173,武器!$1:$998,COLUMN(N$1),FALSE)*(VLOOKUP($D173,素材!$1:$1002,COLUMN(D$1),FALSE)/100),1),"")</f>
        <v>0</v>
      </c>
      <c r="S173">
        <f>IFERROR(VLOOKUP($C173,武器!$1:$998,COLUMN(P$1),FALSE),"")</f>
        <v>1</v>
      </c>
      <c r="T173">
        <f>IFERROR(VLOOKUP($C173,武器!$1:$998,COLUMN(Q$1),FALSE),"")</f>
        <v>0</v>
      </c>
      <c r="U173">
        <f>IFERROR(VLOOKUP($C173,武器!$1:$998,COLUMN(R$1),FALSE),"")</f>
        <v>0</v>
      </c>
      <c r="V173">
        <f>IFERROR(VLOOKUP($C173,武器!$1:$998,COLUMN(Q$1),FALSE),"")</f>
        <v>0</v>
      </c>
      <c r="W173" t="str">
        <f>IFERROR(VLOOKUP($C173,武器!$1:$998,COLUMN(T$1),FALSE),"")</f>
        <v>A</v>
      </c>
      <c r="Y173">
        <f>IFERROR(VLOOKUP($C173,武器!$1:$998,COLUMN(U$1),FALSE),"")</f>
        <v>0</v>
      </c>
      <c r="Z173">
        <f>IFERROR(ROUNDUP(VLOOKUP($C173,武器!$1:$998,COLUMN(O$1),FALSE)*VLOOKUP($D173,素材!$1:$1016,COLUMN(E$1),FALSE),1),"")</f>
        <v>0</v>
      </c>
      <c r="AA173">
        <f>IF(ISNUMBER(SEARCH(SUBSTITUTE(AA$1,RIGHT(AA$1,2),""),VLOOKUP($D173,素材!$1:$1016,COLUMN($F$1),FALSE))),VLOOKUP($C173,武器!$1:$998,COLUMN($O$1),FALSE)*VLOOKUP($D173,素材!$1:$1016,COLUMN($E$1),FALSE)/(LEN(VLOOKUP($D173,素材!$1:$1016,COLUMN($F$1),FALSE))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B173">
        <f>IF(ISNUMBER(SEARCH(SUBSTITUTE(AB$1,RIGHT(AB$1,2),""),VLOOKUP($D173,素材!$1:$1016,COLUMN($F$1),FALSE))),VLOOKUP($C173,武器!$1:$998,COLUMN($O$1),FALSE)*VLOOKUP($D173,素材!$1:$1016,COLUMN($E$1),FALSE)/(LEN(VLOOKUP($D173,素材!$1:$1016,COLUMN($F$1),FALSE))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C173">
        <f>IF(ISNUMBER(SEARCH(SUBSTITUTE(AC$1,RIGHT(AC$1,2),""),VLOOKUP($D173,素材!$1:$1016,COLUMN($F$1),FALSE))),VLOOKUP($C173,武器!$1:$998,COLUMN($O$1),FALSE)*VLOOKUP($D173,素材!$1:$1016,COLUMN($E$1),FALSE)/(LEN(VLOOKUP($D173,素材!$1:$1016,COLUMN($F$1),FALSE))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D173">
        <f>IF(ISNUMBER(SEARCH(SUBSTITUTE(AD$1,RIGHT(AD$1,2),""),VLOOKUP($D173,素材!$1:$1016,COLUMN($F$1),FALSE))),VLOOKUP($C173,武器!$1:$998,COLUMN($O$1),FALSE)*VLOOKUP($D173,素材!$1:$1016,COLUMN($E$1),FALSE)/(LEN(VLOOKUP($D173,素材!$1:$1016,COLUMN($F$1),FALSE))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E173">
        <f>IF(ISNUMBER(SEARCH(SUBSTITUTE(AE$1,RIGHT(AE$1,2),""),VLOOKUP($D173,素材!$1:$1016,COLUMN($F$1),FALSE))),VLOOKUP($C173,武器!$1:$998,COLUMN($O$1),FALSE)*VLOOKUP($D173,素材!$1:$1016,COLUMN($E$1),FALSE)/(LEN(VLOOKUP($D173,素材!$1:$1016,COLUMN($F$1),FALSE))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F173">
        <f>IF(ISNUMBER(SEARCH(SUBSTITUTE(AF$1,RIGHT(AF$1,2),""),VLOOKUP($D173,素材!$1:$1016,COLUMN($F$1),FALSE))),VLOOKUP($C173,武器!$1:$998,COLUMN($O$1),FALSE)*VLOOKUP($D173,素材!$1:$1016,COLUMN($E$1),FALSE)/(LEN(VLOOKUP($D173,素材!$1:$1016,COLUMN($F$1),FALSE))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G173">
        <f>IF(ISNUMBER(SEARCH(SUBSTITUTE(AG$1,RIGHT(AG$1,2),""),VLOOKUP($D173,素材!$1:$1016,COLUMN($F$1),FALSE))),VLOOKUP($C173,武器!$1:$998,COLUMN($O$1),FALSE)*VLOOKUP($D173,素材!$1:$1016,COLUMN($E$1),FALSE)/(LEN(VLOOKUP($D173,素材!$1:$1016,COLUMN($F$1),FALSE))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H173">
        <f>IF(ISNUMBER(SEARCH(SUBSTITUTE(AH$1,RIGHT(AH$1,2),""),VLOOKUP($D173,素材!$1:$1016,COLUMN($F$1),FALSE))),VLOOKUP($C173,武器!$1:$998,COLUMN($O$1),FALSE)*VLOOKUP($D173,素材!$1:$1016,COLUMN($E$1),FALSE)/(LEN(VLOOKUP($D173,素材!$1:$1016,COLUMN($F$1),FALSE))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I173">
        <f>IF(ISNUMBER(SEARCH(SUBSTITUTE(AI$1,RIGHT(AI$1,2),""),VLOOKUP($D173,素材!$1:$1016,COLUMN($F$1),FALSE))),VLOOKUP($C173,武器!$1:$998,COLUMN($O$1),FALSE)*VLOOKUP($D173,素材!$1:$1016,COLUMN($E$1),FALSE)/(LEN(VLOOKUP($D173,素材!$1:$1016,COLUMN($F$1),FALSE))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J173">
        <f>IF(ISNUMBER(SEARCH(SUBSTITUTE(AJ$1,RIGHT(AJ$1,2),""),VLOOKUP($D173,素材!$1:$1016,COLUMN($F$1),FALSE))),VLOOKUP($C173,武器!$1:$998,COLUMN($O$1),FALSE)*VLOOKUP($D173,素材!$1:$1016,COLUMN($E$1),FALSE)/(LEN(VLOOKUP($D173,素材!$1:$1016,COLUMN($F$1),FALSE))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K173">
        <f>IF(ISNUMBER(SEARCH(SUBSTITUTE(AK$1,RIGHT(AK$1,2),""),VLOOKUP($D173,素材!$1:$1016,COLUMN($F$1),FALSE))),VLOOKUP($C173,武器!$1:$998,COLUMN($O$1),FALSE)*VLOOKUP($D173,素材!$1:$1016,COLUMN($E$1),FALSE)/(LEN(VLOOKUP($D173,素材!$1:$1016,COLUMN($F$1),FALSE))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L173">
        <f>IF(ISNUMBER(SEARCH(SUBSTITUTE(AL$1,RIGHT(AL$1,2),""),VLOOKUP($D173,素材!$1:$1016,COLUMN($F$1),FALSE))),VLOOKUP($C173,武器!$1:$998,COLUMN($O$1),FALSE)*VLOOKUP($D173,素材!$1:$1016,COLUMN($E$1),FALSE)/(LEN(VLOOKUP($D173,素材!$1:$1016,COLUMN($F$1),FALSE))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M173">
        <f>IF(ISNUMBER(SEARCH(SUBSTITUTE(AM$1,RIGHT(AM$1,2),""),VLOOKUP($D173,素材!$1:$1016,COLUMN($F$1),FALSE))),VLOOKUP($C173,武器!$1:$998,COLUMN($O$1),FALSE)*VLOOKUP($D173,素材!$1:$1016,COLUMN($E$1),FALSE)/(LEN(VLOOKUP($D173,素材!$1:$1016,COLUMN($F$1),FALSE))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N173">
        <f>IF(ISNUMBER(SEARCH(SUBSTITUTE(AN$1,RIGHT(AN$1,2),""),VLOOKUP($D173,素材!$1:$1016,COLUMN($F$1),FALSE))),VLOOKUP($C173,武器!$1:$998,COLUMN($O$1),FALSE)*VLOOKUP($D173,素材!$1:$1016,COLUMN($E$1),FALSE)/(LEN(VLOOKUP($D173,素材!$1:$1016,COLUMN($F$1),FALSE))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O173">
        <f>IF(ISNUMBER(SEARCH(SUBSTITUTE(AO$1,RIGHT(AO$1,2),""),VLOOKUP($D173,素材!$1:$1016,COLUMN($F$1),FALSE))),VLOOKUP($C173,武器!$1:$998,COLUMN($O$1),FALSE)*VLOOKUP($D173,素材!$1:$1016,COLUMN($E$1),FALSE)/(LEN(VLOOKUP($D173,素材!$1:$1016,COLUMN($F$1),FALSE))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P173">
        <f>IF(ISNUMBER(SEARCH(SUBSTITUTE(AP$1,RIGHT(AP$1,2),""),VLOOKUP($D173,素材!$1:$1016,COLUMN($F$1),FALSE))),VLOOKUP($C173,武器!$1:$998,COLUMN($O$1),FALSE)*VLOOKUP($D173,素材!$1:$1016,COLUMN($E$1),FALSE)/(LEN(VLOOKUP($D173,素材!$1:$1016,COLUMN($F$1),FALSE))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Q173">
        <f>IF(ISNUMBER(SEARCH(SUBSTITUTE(AQ$1,RIGHT(AQ$1,2),""),VLOOKUP($D173,素材!$1:$1016,COLUMN($F$1),FALSE))),VLOOKUP($C173,武器!$1:$998,COLUMN($O$1),FALSE)*VLOOKUP($D173,素材!$1:$1016,COLUMN($E$1),FALSE)/(LEN(VLOOKUP($D173,素材!$1:$1016,COLUMN($F$1),FALSE))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R173">
        <f>IF(ISNUMBER(SEARCH(SUBSTITUTE(AR$1,RIGHT(AR$1,2),""),VLOOKUP($D173,素材!$1:$1016,COLUMN($F$1),FALSE))),VLOOKUP($C173,武器!$1:$998,COLUMN($O$1),FALSE)*VLOOKUP($D173,素材!$1:$1016,COLUMN($E$1),FALSE)/(LEN(VLOOKUP($D173,素材!$1:$1016,COLUMN($F$1),FALSE))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S173">
        <f>IF(ISNUMBER(SEARCH(SUBSTITUTE(AS$1,RIGHT(AS$1,2),""),VLOOKUP($D173,素材!$1:$1016,COLUMN($F$1),FALSE))),VLOOKUP($C173,武器!$1:$998,COLUMN($O$1),FALSE)*VLOOKUP($D173,素材!$1:$1016,COLUMN($E$1),FALSE)/(LEN(VLOOKUP($D173,素材!$1:$1016,COLUMN($F$1),FALSE))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T173">
        <f>IF(ISNUMBER(SEARCH(SUBSTITUTE(AT$1,RIGHT(AT$1,2),""),VLOOKUP($D173,素材!$1:$1016,COLUMN($F$1),FALSE))),VLOOKUP($C173,武器!$1:$998,COLUMN($O$1),FALSE)*VLOOKUP($D173,素材!$1:$1016,COLUMN($E$1),FALSE)/(LEN(VLOOKUP($D173,素材!$1:$1016,COLUMN($F$1),FALSE))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U173">
        <f>IF(ISNUMBER(SEARCH(SUBSTITUTE(AU$1,RIGHT(AU$1,2),""),VLOOKUP($D173,素材!$1:$1016,COLUMN($F$1),FALSE))),VLOOKUP($C173,武器!$1:$998,COLUMN($O$1),FALSE)*VLOOKUP($D173,素材!$1:$1016,COLUMN($E$1),FALSE)/(LEN(VLOOKUP($D173,素材!$1:$1016,COLUMN($F$1),FALSE))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V173">
        <f>IF(ISNUMBER(SEARCH(SUBSTITUTE(AV$1,RIGHT(AV$1,2),""),VLOOKUP($D173,素材!$1:$1016,COLUMN($F$1),FALSE))),VLOOKUP($C173,武器!$1:$998,COLUMN($O$1),FALSE)*VLOOKUP($D173,素材!$1:$1016,COLUMN($E$1),FALSE)/(LEN(VLOOKUP($D173,素材!$1:$1016,COLUMN($F$1),FALSE))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W173">
        <f>IF(ISNUMBER(SEARCH(SUBSTITUTE(AW$1,RIGHT(AW$1,2),""),VLOOKUP($D173,素材!$1:$1016,COLUMN($F$1),FALSE))),VLOOKUP($C173,武器!$1:$998,COLUMN($O$1),FALSE)*VLOOKUP($D173,素材!$1:$1016,COLUMN($E$1),FALSE)/(LEN(VLOOKUP($D173,素材!$1:$1016,COLUMN($F$1),FALSE))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X173">
        <f>IF(ISNUMBER(SEARCH(SUBSTITUTE(AX$1,RIGHT(AX$1,2),""),VLOOKUP($D173,素材!$1:$1016,COLUMN($F$1),FALSE))),VLOOKUP($C173,武器!$1:$998,COLUMN($O$1),FALSE)*VLOOKUP($D173,素材!$1:$1016,COLUMN($E$1),FALSE)/(LEN(VLOOKUP($D173,素材!$1:$1016,COLUMN($F$1),FALSE))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Y173">
        <f>IF(ISNUMBER(SEARCH(SUBSTITUTE(AY$1,RIGHT(AY$1,2),""),VLOOKUP($D173,素材!$1:$1016,COLUMN($F$1),FALSE))),VLOOKUP($C173,武器!$1:$998,COLUMN($O$1),FALSE)*VLOOKUP($D173,素材!$1:$1016,COLUMN($E$1),FALSE)/(LEN(VLOOKUP($D173,素材!$1:$1016,COLUMN($F$1),FALSE))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AZ173">
        <f>IF(ISNUMBER(SEARCH(SUBSTITUTE(AZ$1,RIGHT(AZ$1,2),""),VLOOKUP($D173,素材!$1:$1016,COLUMN($F$1),FALSE))),VLOOKUP($C173,武器!$1:$998,COLUMN($O$1),FALSE)*VLOOKUP($D173,素材!$1:$1016,COLUMN($E$1),FALSE)/(LEN(VLOOKUP($D173,素材!$1:$1016,COLUMN($F$1),FALSE))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BA173">
        <f>IF(ISNUMBER(SEARCH(SUBSTITUTE(BA$1,RIGHT(BA$1,2),""),VLOOKUP($D173,素材!$1:$1016,COLUMN($F$1),FALSE))),VLOOKUP($C173,武器!$1:$998,COLUMN($O$1),FALSE)*VLOOKUP($D173,素材!$1:$1016,COLUMN($E$1),FALSE)/(LEN(VLOOKUP($D173,素材!$1:$1016,COLUMN($F$1),FALSE))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BB173">
        <f>IF(ISNUMBER(SEARCH(SUBSTITUTE(BB$1,RIGHT(BB$1,2),""),VLOOKUP($D173,素材!$1:$1016,COLUMN($F$1),FALSE))),VLOOKUP($C173,武器!$1:$998,COLUMN($O$1),FALSE)*VLOOKUP($D173,素材!$1:$1016,COLUMN($E$1),FALSE)/(LEN(VLOOKUP($D173,素材!$1:$1016,COLUMN($F$1),FALSE))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BC173">
        <f>IF(ISNUMBER(SEARCH(SUBSTITUTE(BC$1,RIGHT(BC$1,2),""),VLOOKUP($D173,素材!$1:$1016,COLUMN($F$1),FALSE))),VLOOKUP($C173,武器!$1:$998,COLUMN($O$1),FALSE)*VLOOKUP($D173,素材!$1:$1016,COLUMN($E$1),FALSE)/(LEN(VLOOKUP($D173,素材!$1:$1016,COLUMN($F$1),FALSE))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BD173">
        <f>IF(ISNUMBER(SEARCH(SUBSTITUTE(BD$1,RIGHT(BD$1,2),""),VLOOKUP($D173,素材!$1:$1016,COLUMN($F$1),FALSE))),VLOOKUP($C173,武器!$1:$998,COLUMN($O$1),FALSE)*VLOOKUP($D173,素材!$1:$1016,COLUMN($E$1),FALSE)/(LEN(VLOOKUP($D173,素材!$1:$1016,COLUMN($F$1),FALSE))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BE173">
        <f>IF(ISNUMBER(SEARCH(SUBSTITUTE(BE$1,RIGHT(BE$1,2),""),VLOOKUP($D173,素材!$1:$1016,COLUMN($F$1),FALSE))),VLOOKUP($C173,武器!$1:$998,COLUMN($O$1),FALSE)*VLOOKUP($D173,素材!$1:$1016,COLUMN($E$1),FALSE)/(LEN(VLOOKUP($D173,素材!$1:$1016,COLUMN($F$1),FALSE))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BF173">
        <f>IF(ISNUMBER(SEARCH(SUBSTITUTE(BF$1,RIGHT(BF$1,2),""),VLOOKUP($D173,素材!$1:$1016,COLUMN($F$1),FALSE))),VLOOKUP($C173,武器!$1:$998,COLUMN($O$1),FALSE)*VLOOKUP($D173,素材!$1:$1016,COLUMN($E$1),FALSE)/(LEN(VLOOKUP($D173,素材!$1:$1016,COLUMN($F$1),FALSE)) - LEN(SUBSTITUTE(VLOOKUP($D173,素材!$1:$1016,COLUMN($F$1),FALSE), "・", 0)) + 1), 0)</f>
        <v>0</v>
      </c>
      <c r="CM173">
        <f t="shared" si="19"/>
        <v>22</v>
      </c>
      <c r="CN173" s="22" t="str">
        <f>IF(E173="武器",IF(J173-1&gt;SUM(G173:I173),"盾",IF(MAX(G173:I173)=G173,"切断",IF(MAX(G173:I173)=H173,"貫通",IF(MAX(G173:I173)=I173,"打撃","射撃")))),E173)&amp;".webp"</f>
        <v>切断.webp</v>
      </c>
      <c r="CO173">
        <f>IFERROR(VLOOKUP($C173,武器!$1:$998,COLUMN(V$1),FALSE)*VLOOKUP($D173,素材!$1:$1016,COLUMN(N$1),FALSE)+IF(CJ173="",0,VLOOKUP($CJ173,装強!$1:$1008,COLUMN($CL$1),FALSE)),"")</f>
        <v>3750</v>
      </c>
      <c r="CP173">
        <f>VLOOKUP(D173,素材!$A:$O,COLUMN(素材!O$1),FALSE)</f>
        <v>0</v>
      </c>
      <c r="CQ173" t="str">
        <f>VLOOKUP(C173,武器!$A:$W,COLUMN(武器!W$1),FALSE)</f>
        <v>鞭。リーチが長く、敵を絡め取る戦闘に適する。</v>
      </c>
      <c r="CS173" t="str">
        <f t="shared" si="21"/>
        <v>e_173</v>
      </c>
      <c r="CT173">
        <f t="shared" si="24"/>
        <v>375000</v>
      </c>
    </row>
    <row r="174" spans="1:98" outlineLevel="1" x14ac:dyDescent="0.4">
      <c r="A174" t="str">
        <f t="shared" si="29"/>
        <v>黒鋼鉄の丸盾</v>
      </c>
      <c r="B174" t="str">
        <f>IFERROR(VLOOKUP($D174,素材!$1:$1016,COLUMN($B$1),FALSE)&amp;"・"&amp;VLOOKUP($C174,武器!$1:$998,COLUMN(B$1),FALSE),"")</f>
        <v>ブラックスティール・バックラー</v>
      </c>
      <c r="C174" t="s">
        <v>222</v>
      </c>
      <c r="D174" s="24" t="s">
        <v>244</v>
      </c>
      <c r="E174" t="str">
        <f>IFERROR(VLOOKUP(C174,武器!$1:$998,COLUMN(C$1),FALSE),"")</f>
        <v>盾</v>
      </c>
      <c r="F174">
        <f>IFERROR(ROUNDDOWN((VLOOKUP($C174,武器!$1:$998,COLUMN(D$1),FALSE)+IFERROR(VLOOKUP($CJ174,装強!$1:$999,COLUMN(F$1),FALSE),0))*VLOOKUP($D174,素材!$1:$1016,COLUMN(D$1),FALSE),0),"")</f>
        <v>100</v>
      </c>
      <c r="G174">
        <f>IFERROR(ROUNDDOWN((VLOOKUP($C174,武器!$1:$998,COLUMN(E$1),FALSE)+IFERROR(VLOOKUP($CJ174,装強!$1:$999,COLUMN(G$1),FALSE),0))*VLOOKUP($D174,素材!$1:$1016,COLUMN($E$1),FALSE),0),"")</f>
        <v>8</v>
      </c>
      <c r="H174">
        <f>IFERROR(ROUNDDOWN((VLOOKUP($C174,武器!$1:$998,COLUMN(F$1),FALSE)+IFERROR(VLOOKUP($CJ174,装強!$1:$999,COLUMN(H$1),FALSE),0))*VLOOKUP($D174,素材!$1:$1016,COLUMN($E$1),FALSE),0),"")</f>
        <v>0</v>
      </c>
      <c r="I174">
        <f>IFERROR(ROUNDDOWN((VLOOKUP($C174,武器!$1:$998,COLUMN(G$1),FALSE)+IFERROR(VLOOKUP($CJ174,装強!$1:$999,COLUMN(I$1),FALSE),0))*VLOOKUP($D174,素材!$1:$1016,COLUMN($E$1),FALSE),0),"")</f>
        <v>8</v>
      </c>
      <c r="J174">
        <f>IFERROR(ROUNDDOWN((VLOOKUP($C174,武器!$1:$998,COLUMN(H$1),FALSE)+IFERROR(VLOOKUP($CJ174,装強!$1:$999,COLUMN(J$1),FALSE),0))*VLOOKUP($D174,素材!$1:$1016,COLUMN($E$1),FALSE),0),"")</f>
        <v>23</v>
      </c>
      <c r="K174">
        <f>IFERROR(ROUNDDOWN((VLOOKUP($C174,武器!$1:$998,COLUMN(I$1),FALSE)+IFERROR(VLOOKUP($CJ174,装強!$1:$999,COLUMN(K$1),FALSE),0))*VLOOKUP($D174,素材!$1:$1016,COLUMN($E$1),FALSE),0),"")</f>
        <v>0</v>
      </c>
      <c r="L174" t="str">
        <f>IFERROR(VLOOKUP($D174,素材!$1:$1016,COLUMN($F$1),FALSE),"")</f>
        <v>雷</v>
      </c>
      <c r="M174">
        <f>IFERROR(VLOOKUP($C174,武器!$1:$998,COLUMN(AA$1),FALSE)*VLOOKUP($D174,素材!$1:$1016,COLUMN($G$1),FALSE),"")</f>
        <v>28</v>
      </c>
      <c r="N174">
        <f>IFERROR(VLOOKUP($C174,武器!$1:$998,COLUMN(I$1),FALSE),"")</f>
        <v>0</v>
      </c>
      <c r="O174" s="23">
        <f>IFERROR((VLOOKUP($C174,武器!$1:$998,COLUMN(K$1),FALSE)+VLOOKUP($D174,素材!$1:$1016,COLUMN(H$1),FALSE))*100+IFERROR(VLOOKUP($CJ174,装強!$1:$999,COLUMN(O$1),FALSE),0),"")</f>
        <v>5</v>
      </c>
      <c r="P174" s="23">
        <f>IFERROR((VLOOKUP($C174,武器!$1:$998,COLUMN(L$1),FALSE)+VLOOKUP($D174,素材!$1:$1016,COLUMN(I$1),FALSE))*100+IFERROR(VLOOKUP($CJ174,装強!$1:$999,COLUMN(P$1),FALSE),0),"")</f>
        <v>125</v>
      </c>
      <c r="Q174">
        <f>IFERROR(ROUNDUP(VLOOKUP($C174,武器!$1:$998,COLUMN(M$1),FALSE)*(VLOOKUP($D174,素材!$1:$1002,COLUMN(D$1),FALSE)/100),1),"")</f>
        <v>0</v>
      </c>
      <c r="R174">
        <f>IFERROR(ROUNDUP(VLOOKUP($C174,武器!$1:$998,COLUMN(N$1),FALSE)*(VLOOKUP($D174,素材!$1:$1002,COLUMN(D$1),FALSE)/100),1),"")</f>
        <v>0</v>
      </c>
      <c r="S174">
        <f>IFERROR(VLOOKUP($C174,武器!$1:$998,COLUMN(P$1),FALSE),"")</f>
        <v>0</v>
      </c>
      <c r="T174">
        <f>IFERROR(VLOOKUP($C174,武器!$1:$998,COLUMN(Q$1),FALSE),"")</f>
        <v>0</v>
      </c>
      <c r="U174">
        <f>IFERROR(VLOOKUP($C174,武器!$1:$998,COLUMN(R$1),FALSE),"")</f>
        <v>0</v>
      </c>
      <c r="V174">
        <f>IFERROR(VLOOKUP($C174,武器!$1:$998,COLUMN(Q$1),FALSE),"")</f>
        <v>0</v>
      </c>
      <c r="W174" t="str">
        <f>IFERROR(VLOOKUP($C174,武器!$1:$998,COLUMN(T$1),FALSE),"")</f>
        <v>A</v>
      </c>
      <c r="Y174" t="str">
        <f>IFERROR(VLOOKUP($C174,武器!$1:$998,COLUMN(U$1),FALSE),"")</f>
        <v>投擲強化,片手適性Ⅱ</v>
      </c>
      <c r="Z174">
        <f>IFERROR(ROUNDUP(VLOOKUP($C174,武器!$1:$998,COLUMN(O$1),FALSE)*VLOOKUP($D174,素材!$1:$1016,COLUMN(E$1),FALSE),1),"")</f>
        <v>0</v>
      </c>
      <c r="AA174">
        <f>IF(ISNUMBER(SEARCH(SUBSTITUTE(AA$1,RIGHT(AA$1,2),""),VLOOKUP($D174,素材!$1:$1016,COLUMN($F$1),FALSE))),VLOOKUP($C174,武器!$1:$998,COLUMN($O$1),FALSE)*VLOOKUP($D174,素材!$1:$1016,COLUMN($E$1),FALSE)/(LEN(VLOOKUP($D174,素材!$1:$1016,COLUMN($F$1),FALSE))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B174">
        <f>IF(ISNUMBER(SEARCH(SUBSTITUTE(AB$1,RIGHT(AB$1,2),""),VLOOKUP($D174,素材!$1:$1016,COLUMN($F$1),FALSE))),VLOOKUP($C174,武器!$1:$998,COLUMN($O$1),FALSE)*VLOOKUP($D174,素材!$1:$1016,COLUMN($E$1),FALSE)/(LEN(VLOOKUP($D174,素材!$1:$1016,COLUMN($F$1),FALSE))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C174">
        <f>IF(ISNUMBER(SEARCH(SUBSTITUTE(AC$1,RIGHT(AC$1,2),""),VLOOKUP($D174,素材!$1:$1016,COLUMN($F$1),FALSE))),VLOOKUP($C174,武器!$1:$998,COLUMN($O$1),FALSE)*VLOOKUP($D174,素材!$1:$1016,COLUMN($E$1),FALSE)/(LEN(VLOOKUP($D174,素材!$1:$1016,COLUMN($F$1),FALSE))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D174">
        <f>IF(ISNUMBER(SEARCH(SUBSTITUTE(AD$1,RIGHT(AD$1,2),""),VLOOKUP($D174,素材!$1:$1016,COLUMN($F$1),FALSE))),VLOOKUP($C174,武器!$1:$998,COLUMN($O$1),FALSE)*VLOOKUP($D174,素材!$1:$1016,COLUMN($E$1),FALSE)/(LEN(VLOOKUP($D174,素材!$1:$1016,COLUMN($F$1),FALSE))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E174">
        <f>IF(ISNUMBER(SEARCH(SUBSTITUTE(AE$1,RIGHT(AE$1,2),""),VLOOKUP($D174,素材!$1:$1016,COLUMN($F$1),FALSE))),VLOOKUP($C174,武器!$1:$998,COLUMN($O$1),FALSE)*VLOOKUP($D174,素材!$1:$1016,COLUMN($E$1),FALSE)/(LEN(VLOOKUP($D174,素材!$1:$1016,COLUMN($F$1),FALSE))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F174">
        <f>IF(ISNUMBER(SEARCH(SUBSTITUTE(AF$1,RIGHT(AF$1,2),""),VLOOKUP($D174,素材!$1:$1016,COLUMN($F$1),FALSE))),VLOOKUP($C174,武器!$1:$998,COLUMN($O$1),FALSE)*VLOOKUP($D174,素材!$1:$1016,COLUMN($E$1),FALSE)/(LEN(VLOOKUP($D174,素材!$1:$1016,COLUMN($F$1),FALSE))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G174">
        <f>IF(ISNUMBER(SEARCH(SUBSTITUTE(AG$1,RIGHT(AG$1,2),""),VLOOKUP($D174,素材!$1:$1016,COLUMN($F$1),FALSE))),VLOOKUP($C174,武器!$1:$998,COLUMN($O$1),FALSE)*VLOOKUP($D174,素材!$1:$1016,COLUMN($E$1),FALSE)/(LEN(VLOOKUP($D174,素材!$1:$1016,COLUMN($F$1),FALSE))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H174">
        <f>IF(ISNUMBER(SEARCH(SUBSTITUTE(AH$1,RIGHT(AH$1,2),""),VLOOKUP($D174,素材!$1:$1016,COLUMN($F$1),FALSE))),VLOOKUP($C174,武器!$1:$998,COLUMN($O$1),FALSE)*VLOOKUP($D174,素材!$1:$1016,COLUMN($E$1),FALSE)/(LEN(VLOOKUP($D174,素材!$1:$1016,COLUMN($F$1),FALSE))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I174">
        <f>IF(ISNUMBER(SEARCH(SUBSTITUTE(AI$1,RIGHT(AI$1,2),""),VLOOKUP($D174,素材!$1:$1016,COLUMN($F$1),FALSE))),VLOOKUP($C174,武器!$1:$998,COLUMN($O$1),FALSE)*VLOOKUP($D174,素材!$1:$1016,COLUMN($E$1),FALSE)/(LEN(VLOOKUP($D174,素材!$1:$1016,COLUMN($F$1),FALSE))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J174">
        <f>IF(ISNUMBER(SEARCH(SUBSTITUTE(AJ$1,RIGHT(AJ$1,2),""),VLOOKUP($D174,素材!$1:$1016,COLUMN($F$1),FALSE))),VLOOKUP($C174,武器!$1:$998,COLUMN($O$1),FALSE)*VLOOKUP($D174,素材!$1:$1016,COLUMN($E$1),FALSE)/(LEN(VLOOKUP($D174,素材!$1:$1016,COLUMN($F$1),FALSE))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K174">
        <f>IF(ISNUMBER(SEARCH(SUBSTITUTE(AK$1,RIGHT(AK$1,2),""),VLOOKUP($D174,素材!$1:$1016,COLUMN($F$1),FALSE))),VLOOKUP($C174,武器!$1:$998,COLUMN($O$1),FALSE)*VLOOKUP($D174,素材!$1:$1016,COLUMN($E$1),FALSE)/(LEN(VLOOKUP($D174,素材!$1:$1016,COLUMN($F$1),FALSE))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L174">
        <f>IF(ISNUMBER(SEARCH(SUBSTITUTE(AL$1,RIGHT(AL$1,2),""),VLOOKUP($D174,素材!$1:$1016,COLUMN($F$1),FALSE))),VLOOKUP($C174,武器!$1:$998,COLUMN($O$1),FALSE)*VLOOKUP($D174,素材!$1:$1016,COLUMN($E$1),FALSE)/(LEN(VLOOKUP($D174,素材!$1:$1016,COLUMN($F$1),FALSE))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M174">
        <f>IF(ISNUMBER(SEARCH(SUBSTITUTE(AM$1,RIGHT(AM$1,2),""),VLOOKUP($D174,素材!$1:$1016,COLUMN($F$1),FALSE))),VLOOKUP($C174,武器!$1:$998,COLUMN($O$1),FALSE)*VLOOKUP($D174,素材!$1:$1016,COLUMN($E$1),FALSE)/(LEN(VLOOKUP($D174,素材!$1:$1016,COLUMN($F$1),FALSE))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N174">
        <f>IF(ISNUMBER(SEARCH(SUBSTITUTE(AN$1,RIGHT(AN$1,2),""),VLOOKUP($D174,素材!$1:$1016,COLUMN($F$1),FALSE))),VLOOKUP($C174,武器!$1:$998,COLUMN($O$1),FALSE)*VLOOKUP($D174,素材!$1:$1016,COLUMN($E$1),FALSE)/(LEN(VLOOKUP($D174,素材!$1:$1016,COLUMN($F$1),FALSE))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O174">
        <f>IF(ISNUMBER(SEARCH(SUBSTITUTE(AO$1,RIGHT(AO$1,2),""),VLOOKUP($D174,素材!$1:$1016,COLUMN($F$1),FALSE))),VLOOKUP($C174,武器!$1:$998,COLUMN($O$1),FALSE)*VLOOKUP($D174,素材!$1:$1016,COLUMN($E$1),FALSE)/(LEN(VLOOKUP($D174,素材!$1:$1016,COLUMN($F$1),FALSE))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P174">
        <f>IF(ISNUMBER(SEARCH(SUBSTITUTE(AP$1,RIGHT(AP$1,2),""),VLOOKUP($D174,素材!$1:$1016,COLUMN($F$1),FALSE))),VLOOKUP($C174,武器!$1:$998,COLUMN($O$1),FALSE)*VLOOKUP($D174,素材!$1:$1016,COLUMN($E$1),FALSE)/(LEN(VLOOKUP($D174,素材!$1:$1016,COLUMN($F$1),FALSE))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Q174">
        <f>IF(ISNUMBER(SEARCH(SUBSTITUTE(AQ$1,RIGHT(AQ$1,2),""),VLOOKUP($D174,素材!$1:$1016,COLUMN($F$1),FALSE))),VLOOKUP($C174,武器!$1:$998,COLUMN($O$1),FALSE)*VLOOKUP($D174,素材!$1:$1016,COLUMN($E$1),FALSE)/(LEN(VLOOKUP($D174,素材!$1:$1016,COLUMN($F$1),FALSE))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R174">
        <f>IF(ISNUMBER(SEARCH(SUBSTITUTE(AR$1,RIGHT(AR$1,2),""),VLOOKUP($D174,素材!$1:$1016,COLUMN($F$1),FALSE))),VLOOKUP($C174,武器!$1:$998,COLUMN($O$1),FALSE)*VLOOKUP($D174,素材!$1:$1016,COLUMN($E$1),FALSE)/(LEN(VLOOKUP($D174,素材!$1:$1016,COLUMN($F$1),FALSE))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S174">
        <f>IF(ISNUMBER(SEARCH(SUBSTITUTE(AS$1,RIGHT(AS$1,2),""),VLOOKUP($D174,素材!$1:$1016,COLUMN($F$1),FALSE))),VLOOKUP($C174,武器!$1:$998,COLUMN($O$1),FALSE)*VLOOKUP($D174,素材!$1:$1016,COLUMN($E$1),FALSE)/(LEN(VLOOKUP($D174,素材!$1:$1016,COLUMN($F$1),FALSE))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T174">
        <f>IF(ISNUMBER(SEARCH(SUBSTITUTE(AT$1,RIGHT(AT$1,2),""),VLOOKUP($D174,素材!$1:$1016,COLUMN($F$1),FALSE))),VLOOKUP($C174,武器!$1:$998,COLUMN($O$1),FALSE)*VLOOKUP($D174,素材!$1:$1016,COLUMN($E$1),FALSE)/(LEN(VLOOKUP($D174,素材!$1:$1016,COLUMN($F$1),FALSE))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U174">
        <f>IF(ISNUMBER(SEARCH(SUBSTITUTE(AU$1,RIGHT(AU$1,2),""),VLOOKUP($D174,素材!$1:$1016,COLUMN($F$1),FALSE))),VLOOKUP($C174,武器!$1:$998,COLUMN($O$1),FALSE)*VLOOKUP($D174,素材!$1:$1016,COLUMN($E$1),FALSE)/(LEN(VLOOKUP($D174,素材!$1:$1016,COLUMN($F$1),FALSE))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V174">
        <f>IF(ISNUMBER(SEARCH(SUBSTITUTE(AV$1,RIGHT(AV$1,2),""),VLOOKUP($D174,素材!$1:$1016,COLUMN($F$1),FALSE))),VLOOKUP($C174,武器!$1:$998,COLUMN($O$1),FALSE)*VLOOKUP($D174,素材!$1:$1016,COLUMN($E$1),FALSE)/(LEN(VLOOKUP($D174,素材!$1:$1016,COLUMN($F$1),FALSE))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W174">
        <f>IF(ISNUMBER(SEARCH(SUBSTITUTE(AW$1,RIGHT(AW$1,2),""),VLOOKUP($D174,素材!$1:$1016,COLUMN($F$1),FALSE))),VLOOKUP($C174,武器!$1:$998,COLUMN($O$1),FALSE)*VLOOKUP($D174,素材!$1:$1016,COLUMN($E$1),FALSE)/(LEN(VLOOKUP($D174,素材!$1:$1016,COLUMN($F$1),FALSE))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X174">
        <f>IF(ISNUMBER(SEARCH(SUBSTITUTE(AX$1,RIGHT(AX$1,2),""),VLOOKUP($D174,素材!$1:$1016,COLUMN($F$1),FALSE))),VLOOKUP($C174,武器!$1:$998,COLUMN($O$1),FALSE)*VLOOKUP($D174,素材!$1:$1016,COLUMN($E$1),FALSE)/(LEN(VLOOKUP($D174,素材!$1:$1016,COLUMN($F$1),FALSE))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Y174">
        <f>IF(ISNUMBER(SEARCH(SUBSTITUTE(AY$1,RIGHT(AY$1,2),""),VLOOKUP($D174,素材!$1:$1016,COLUMN($F$1),FALSE))),VLOOKUP($C174,武器!$1:$998,COLUMN($O$1),FALSE)*VLOOKUP($D174,素材!$1:$1016,COLUMN($E$1),FALSE)/(LEN(VLOOKUP($D174,素材!$1:$1016,COLUMN($F$1),FALSE))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AZ174">
        <f>IF(ISNUMBER(SEARCH(SUBSTITUTE(AZ$1,RIGHT(AZ$1,2),""),VLOOKUP($D174,素材!$1:$1016,COLUMN($F$1),FALSE))),VLOOKUP($C174,武器!$1:$998,COLUMN($O$1),FALSE)*VLOOKUP($D174,素材!$1:$1016,COLUMN($E$1),FALSE)/(LEN(VLOOKUP($D174,素材!$1:$1016,COLUMN($F$1),FALSE))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BA174">
        <f>IF(ISNUMBER(SEARCH(SUBSTITUTE(BA$1,RIGHT(BA$1,2),""),VLOOKUP($D174,素材!$1:$1016,COLUMN($F$1),FALSE))),VLOOKUP($C174,武器!$1:$998,COLUMN($O$1),FALSE)*VLOOKUP($D174,素材!$1:$1016,COLUMN($E$1),FALSE)/(LEN(VLOOKUP($D174,素材!$1:$1016,COLUMN($F$1),FALSE))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BB174">
        <f>IF(ISNUMBER(SEARCH(SUBSTITUTE(BB$1,RIGHT(BB$1,2),""),VLOOKUP($D174,素材!$1:$1016,COLUMN($F$1),FALSE))),VLOOKUP($C174,武器!$1:$998,COLUMN($O$1),FALSE)*VLOOKUP($D174,素材!$1:$1016,COLUMN($E$1),FALSE)/(LEN(VLOOKUP($D174,素材!$1:$1016,COLUMN($F$1),FALSE))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BC174">
        <f>IF(ISNUMBER(SEARCH(SUBSTITUTE(BC$1,RIGHT(BC$1,2),""),VLOOKUP($D174,素材!$1:$1016,COLUMN($F$1),FALSE))),VLOOKUP($C174,武器!$1:$998,COLUMN($O$1),FALSE)*VLOOKUP($D174,素材!$1:$1016,COLUMN($E$1),FALSE)/(LEN(VLOOKUP($D174,素材!$1:$1016,COLUMN($F$1),FALSE))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BD174">
        <f>IF(ISNUMBER(SEARCH(SUBSTITUTE(BD$1,RIGHT(BD$1,2),""),VLOOKUP($D174,素材!$1:$1016,COLUMN($F$1),FALSE))),VLOOKUP($C174,武器!$1:$998,COLUMN($O$1),FALSE)*VLOOKUP($D174,素材!$1:$1016,COLUMN($E$1),FALSE)/(LEN(VLOOKUP($D174,素材!$1:$1016,COLUMN($F$1),FALSE))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BE174">
        <f>IF(ISNUMBER(SEARCH(SUBSTITUTE(BE$1,RIGHT(BE$1,2),""),VLOOKUP($D174,素材!$1:$1016,COLUMN($F$1),FALSE))),VLOOKUP($C174,武器!$1:$998,COLUMN($O$1),FALSE)*VLOOKUP($D174,素材!$1:$1016,COLUMN($E$1),FALSE)/(LEN(VLOOKUP($D174,素材!$1:$1016,COLUMN($F$1),FALSE))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BF174">
        <f>IF(ISNUMBER(SEARCH(SUBSTITUTE(BF$1,RIGHT(BF$1,2),""),VLOOKUP($D174,素材!$1:$1016,COLUMN($F$1),FALSE))),VLOOKUP($C174,武器!$1:$998,COLUMN($O$1),FALSE)*VLOOKUP($D174,素材!$1:$1016,COLUMN($E$1),FALSE)/(LEN(VLOOKUP($D174,素材!$1:$1016,COLUMN($F$1),FALSE)) - LEN(SUBSTITUTE(VLOOKUP($D174,素材!$1:$1016,COLUMN($F$1),FALSE), "・", 0)) + 1), 0)</f>
        <v>0</v>
      </c>
      <c r="CM174">
        <f t="shared" si="19"/>
        <v>16</v>
      </c>
      <c r="CN174" s="22" t="str">
        <f>IF(E174="武器",IF(J174-1&gt;SUM(G174:I174),"盾",IF(MAX(G174:I174)=G174,"切断",IF(MAX(G174:I174)=H174,"貫通",IF(MAX(G174:I174)=I174,"打撃","射撃")))),E174)&amp;".webp"</f>
        <v>盾.webp</v>
      </c>
      <c r="CO174">
        <f>IFERROR(VLOOKUP($C174,武器!$1:$998,COLUMN(V$1),FALSE)*VLOOKUP($D174,素材!$1:$1016,COLUMN(N$1),FALSE)+IF(CJ174="",0,VLOOKUP($CJ174,装強!$1:$1008,COLUMN($CL$1),FALSE)),"")</f>
        <v>2250</v>
      </c>
      <c r="CP174">
        <f>VLOOKUP(D174,素材!$A:$O,COLUMN(素材!O$1),FALSE)</f>
        <v>0</v>
      </c>
      <c r="CQ174" t="str">
        <f>VLOOKUP(C174,武器!$A:$W,COLUMN(武器!W$1),FALSE)</f>
        <v>丸盾。軽量で投擲にも使える盾。</v>
      </c>
      <c r="CS174" t="str">
        <f t="shared" si="21"/>
        <v>e_174</v>
      </c>
      <c r="CT174">
        <f t="shared" si="24"/>
        <v>225000</v>
      </c>
    </row>
    <row r="175" spans="1:98" outlineLevel="1" x14ac:dyDescent="0.4">
      <c r="A175" t="str">
        <f t="shared" si="29"/>
        <v>黒鋼鉄の盾</v>
      </c>
      <c r="B175" t="str">
        <f>IFERROR(VLOOKUP($D175,素材!$1:$1016,COLUMN($B$1),FALSE)&amp;"・"&amp;VLOOKUP($C175,武器!$1:$998,COLUMN(B$1),FALSE),"")</f>
        <v>ブラックスティール・シールド</v>
      </c>
      <c r="C175" t="s">
        <v>221</v>
      </c>
      <c r="D175" s="24" t="s">
        <v>244</v>
      </c>
      <c r="E175" t="str">
        <f>IFERROR(VLOOKUP(C175,武器!$1:$998,COLUMN(C$1),FALSE),"")</f>
        <v>盾</v>
      </c>
      <c r="F175">
        <f>IFERROR(ROUNDDOWN((VLOOKUP($C175,武器!$1:$998,COLUMN(D$1),FALSE)+IFERROR(VLOOKUP($CJ175,装強!$1:$999,COLUMN(F$1),FALSE),0))*VLOOKUP($D175,素材!$1:$1016,COLUMN(D$1),FALSE),0),"")</f>
        <v>100</v>
      </c>
      <c r="G175">
        <f>IFERROR(ROUNDDOWN((VLOOKUP($C175,武器!$1:$998,COLUMN(E$1),FALSE)+IFERROR(VLOOKUP($CJ175,装強!$1:$999,COLUMN(G$1),FALSE),0))*VLOOKUP($D175,素材!$1:$1016,COLUMN($E$1),FALSE),0),"")</f>
        <v>0</v>
      </c>
      <c r="H175">
        <f>IFERROR(ROUNDDOWN((VLOOKUP($C175,武器!$1:$998,COLUMN(F$1),FALSE)+IFERROR(VLOOKUP($CJ175,装強!$1:$999,COLUMN(H$1),FALSE),0))*VLOOKUP($D175,素材!$1:$1016,COLUMN($E$1),FALSE),0),"")</f>
        <v>0</v>
      </c>
      <c r="I175">
        <f>IFERROR(ROUNDDOWN((VLOOKUP($C175,武器!$1:$998,COLUMN(G$1),FALSE)+IFERROR(VLOOKUP($CJ175,装強!$1:$999,COLUMN(I$1),FALSE),0))*VLOOKUP($D175,素材!$1:$1016,COLUMN($E$1),FALSE),0),"")</f>
        <v>16</v>
      </c>
      <c r="J175">
        <f>IFERROR(ROUNDDOWN((VLOOKUP($C175,武器!$1:$998,COLUMN(H$1),FALSE)+IFERROR(VLOOKUP($CJ175,装強!$1:$999,COLUMN(J$1),FALSE),0))*VLOOKUP($D175,素材!$1:$1016,COLUMN($E$1),FALSE),0),"")</f>
        <v>25</v>
      </c>
      <c r="K175">
        <f>IFERROR(ROUNDDOWN((VLOOKUP($C175,武器!$1:$998,COLUMN(I$1),FALSE)+IFERROR(VLOOKUP($CJ175,装強!$1:$999,COLUMN(K$1),FALSE),0))*VLOOKUP($D175,素材!$1:$1016,COLUMN($E$1),FALSE),0),"")</f>
        <v>0</v>
      </c>
      <c r="L175" t="str">
        <f>IFERROR(VLOOKUP($D175,素材!$1:$1016,COLUMN($F$1),FALSE),"")</f>
        <v>雷</v>
      </c>
      <c r="M175">
        <f>IFERROR(VLOOKUP($C175,武器!$1:$998,COLUMN(AA$1),FALSE)*VLOOKUP($D175,素材!$1:$1016,COLUMN($G$1),FALSE),"")</f>
        <v>28</v>
      </c>
      <c r="N175">
        <f>IFERROR(VLOOKUP($C175,武器!$1:$998,COLUMN(I$1),FALSE),"")</f>
        <v>0</v>
      </c>
      <c r="O175" s="23">
        <f>IFERROR((VLOOKUP($C175,武器!$1:$998,COLUMN(K$1),FALSE)+VLOOKUP($D175,素材!$1:$1016,COLUMN(H$1),FALSE))*100+IFERROR(VLOOKUP($CJ175,装強!$1:$999,COLUMN(O$1),FALSE),0),"")</f>
        <v>5</v>
      </c>
      <c r="P175" s="23">
        <f>IFERROR((VLOOKUP($C175,武器!$1:$998,COLUMN(L$1),FALSE)+VLOOKUP($D175,素材!$1:$1016,COLUMN(I$1),FALSE))*100+IFERROR(VLOOKUP($CJ175,装強!$1:$999,COLUMN(P$1),FALSE),0),"")</f>
        <v>125</v>
      </c>
      <c r="Q175">
        <f>IFERROR(ROUNDUP(VLOOKUP($C175,武器!$1:$998,COLUMN(M$1),FALSE)*(VLOOKUP($D175,素材!$1:$1002,COLUMN(D$1),FALSE)/100),1),"")</f>
        <v>0</v>
      </c>
      <c r="R175">
        <f>IFERROR(ROUNDUP(VLOOKUP($C175,武器!$1:$998,COLUMN(N$1),FALSE)*(VLOOKUP($D175,素材!$1:$1002,COLUMN(D$1),FALSE)/100),1),"")</f>
        <v>0</v>
      </c>
      <c r="S175">
        <f>IFERROR(VLOOKUP($C175,武器!$1:$998,COLUMN(P$1),FALSE),"")</f>
        <v>0</v>
      </c>
      <c r="T175">
        <f>IFERROR(VLOOKUP($C175,武器!$1:$998,COLUMN(Q$1),FALSE),"")</f>
        <v>0</v>
      </c>
      <c r="U175">
        <f>IFERROR(VLOOKUP($C175,武器!$1:$998,COLUMN(R$1),FALSE),"")</f>
        <v>0</v>
      </c>
      <c r="V175">
        <f>IFERROR(VLOOKUP($C175,武器!$1:$998,COLUMN(Q$1),FALSE),"")</f>
        <v>0</v>
      </c>
      <c r="W175" t="str">
        <f>IFERROR(VLOOKUP($C175,武器!$1:$998,COLUMN(T$1),FALSE),"")</f>
        <v>A</v>
      </c>
      <c r="Y175" t="str">
        <f>IFERROR(VLOOKUP($C175,武器!$1:$998,COLUMN(U$1),FALSE),"")</f>
        <v>片手適性Ⅱ</v>
      </c>
      <c r="Z175">
        <f>IFERROR(ROUNDUP(VLOOKUP($C175,武器!$1:$998,COLUMN(O$1),FALSE)*VLOOKUP($D175,素材!$1:$1016,COLUMN(E$1),FALSE),1),"")</f>
        <v>0</v>
      </c>
      <c r="AA175">
        <f>IF(ISNUMBER(SEARCH(SUBSTITUTE(AA$1,RIGHT(AA$1,2),""),VLOOKUP($D175,素材!$1:$1016,COLUMN($F$1),FALSE))),VLOOKUP($C175,武器!$1:$998,COLUMN($O$1),FALSE)*VLOOKUP($D175,素材!$1:$1016,COLUMN($E$1),FALSE)/(LEN(VLOOKUP($D175,素材!$1:$1016,COLUMN($F$1),FALSE))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B175">
        <f>IF(ISNUMBER(SEARCH(SUBSTITUTE(AB$1,RIGHT(AB$1,2),""),VLOOKUP($D175,素材!$1:$1016,COLUMN($F$1),FALSE))),VLOOKUP($C175,武器!$1:$998,COLUMN($O$1),FALSE)*VLOOKUP($D175,素材!$1:$1016,COLUMN($E$1),FALSE)/(LEN(VLOOKUP($D175,素材!$1:$1016,COLUMN($F$1),FALSE))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C175">
        <f>IF(ISNUMBER(SEARCH(SUBSTITUTE(AC$1,RIGHT(AC$1,2),""),VLOOKUP($D175,素材!$1:$1016,COLUMN($F$1),FALSE))),VLOOKUP($C175,武器!$1:$998,COLUMN($O$1),FALSE)*VLOOKUP($D175,素材!$1:$1016,COLUMN($E$1),FALSE)/(LEN(VLOOKUP($D175,素材!$1:$1016,COLUMN($F$1),FALSE))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D175">
        <f>IF(ISNUMBER(SEARCH(SUBSTITUTE(AD$1,RIGHT(AD$1,2),""),VLOOKUP($D175,素材!$1:$1016,COLUMN($F$1),FALSE))),VLOOKUP($C175,武器!$1:$998,COLUMN($O$1),FALSE)*VLOOKUP($D175,素材!$1:$1016,COLUMN($E$1),FALSE)/(LEN(VLOOKUP($D175,素材!$1:$1016,COLUMN($F$1),FALSE))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E175">
        <f>IF(ISNUMBER(SEARCH(SUBSTITUTE(AE$1,RIGHT(AE$1,2),""),VLOOKUP($D175,素材!$1:$1016,COLUMN($F$1),FALSE))),VLOOKUP($C175,武器!$1:$998,COLUMN($O$1),FALSE)*VLOOKUP($D175,素材!$1:$1016,COLUMN($E$1),FALSE)/(LEN(VLOOKUP($D175,素材!$1:$1016,COLUMN($F$1),FALSE))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F175">
        <f>IF(ISNUMBER(SEARCH(SUBSTITUTE(AF$1,RIGHT(AF$1,2),""),VLOOKUP($D175,素材!$1:$1016,COLUMN($F$1),FALSE))),VLOOKUP($C175,武器!$1:$998,COLUMN($O$1),FALSE)*VLOOKUP($D175,素材!$1:$1016,COLUMN($E$1),FALSE)/(LEN(VLOOKUP($D175,素材!$1:$1016,COLUMN($F$1),FALSE))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G175">
        <f>IF(ISNUMBER(SEARCH(SUBSTITUTE(AG$1,RIGHT(AG$1,2),""),VLOOKUP($D175,素材!$1:$1016,COLUMN($F$1),FALSE))),VLOOKUP($C175,武器!$1:$998,COLUMN($O$1),FALSE)*VLOOKUP($D175,素材!$1:$1016,COLUMN($E$1),FALSE)/(LEN(VLOOKUP($D175,素材!$1:$1016,COLUMN($F$1),FALSE))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H175">
        <f>IF(ISNUMBER(SEARCH(SUBSTITUTE(AH$1,RIGHT(AH$1,2),""),VLOOKUP($D175,素材!$1:$1016,COLUMN($F$1),FALSE))),VLOOKUP($C175,武器!$1:$998,COLUMN($O$1),FALSE)*VLOOKUP($D175,素材!$1:$1016,COLUMN($E$1),FALSE)/(LEN(VLOOKUP($D175,素材!$1:$1016,COLUMN($F$1),FALSE))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I175">
        <f>IF(ISNUMBER(SEARCH(SUBSTITUTE(AI$1,RIGHT(AI$1,2),""),VLOOKUP($D175,素材!$1:$1016,COLUMN($F$1),FALSE))),VLOOKUP($C175,武器!$1:$998,COLUMN($O$1),FALSE)*VLOOKUP($D175,素材!$1:$1016,COLUMN($E$1),FALSE)/(LEN(VLOOKUP($D175,素材!$1:$1016,COLUMN($F$1),FALSE))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J175">
        <f>IF(ISNUMBER(SEARCH(SUBSTITUTE(AJ$1,RIGHT(AJ$1,2),""),VLOOKUP($D175,素材!$1:$1016,COLUMN($F$1),FALSE))),VLOOKUP($C175,武器!$1:$998,COLUMN($O$1),FALSE)*VLOOKUP($D175,素材!$1:$1016,COLUMN($E$1),FALSE)/(LEN(VLOOKUP($D175,素材!$1:$1016,COLUMN($F$1),FALSE))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K175">
        <f>IF(ISNUMBER(SEARCH(SUBSTITUTE(AK$1,RIGHT(AK$1,2),""),VLOOKUP($D175,素材!$1:$1016,COLUMN($F$1),FALSE))),VLOOKUP($C175,武器!$1:$998,COLUMN($O$1),FALSE)*VLOOKUP($D175,素材!$1:$1016,COLUMN($E$1),FALSE)/(LEN(VLOOKUP($D175,素材!$1:$1016,COLUMN($F$1),FALSE))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L175">
        <f>IF(ISNUMBER(SEARCH(SUBSTITUTE(AL$1,RIGHT(AL$1,2),""),VLOOKUP($D175,素材!$1:$1016,COLUMN($F$1),FALSE))),VLOOKUP($C175,武器!$1:$998,COLUMN($O$1),FALSE)*VLOOKUP($D175,素材!$1:$1016,COLUMN($E$1),FALSE)/(LEN(VLOOKUP($D175,素材!$1:$1016,COLUMN($F$1),FALSE))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M175">
        <f>IF(ISNUMBER(SEARCH(SUBSTITUTE(AM$1,RIGHT(AM$1,2),""),VLOOKUP($D175,素材!$1:$1016,COLUMN($F$1),FALSE))),VLOOKUP($C175,武器!$1:$998,COLUMN($O$1),FALSE)*VLOOKUP($D175,素材!$1:$1016,COLUMN($E$1),FALSE)/(LEN(VLOOKUP($D175,素材!$1:$1016,COLUMN($F$1),FALSE))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N175">
        <f>IF(ISNUMBER(SEARCH(SUBSTITUTE(AN$1,RIGHT(AN$1,2),""),VLOOKUP($D175,素材!$1:$1016,COLUMN($F$1),FALSE))),VLOOKUP($C175,武器!$1:$998,COLUMN($O$1),FALSE)*VLOOKUP($D175,素材!$1:$1016,COLUMN($E$1),FALSE)/(LEN(VLOOKUP($D175,素材!$1:$1016,COLUMN($F$1),FALSE))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O175">
        <f>IF(ISNUMBER(SEARCH(SUBSTITUTE(AO$1,RIGHT(AO$1,2),""),VLOOKUP($D175,素材!$1:$1016,COLUMN($F$1),FALSE))),VLOOKUP($C175,武器!$1:$998,COLUMN($O$1),FALSE)*VLOOKUP($D175,素材!$1:$1016,COLUMN($E$1),FALSE)/(LEN(VLOOKUP($D175,素材!$1:$1016,COLUMN($F$1),FALSE))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P175">
        <f>IF(ISNUMBER(SEARCH(SUBSTITUTE(AP$1,RIGHT(AP$1,2),""),VLOOKUP($D175,素材!$1:$1016,COLUMN($F$1),FALSE))),VLOOKUP($C175,武器!$1:$998,COLUMN($O$1),FALSE)*VLOOKUP($D175,素材!$1:$1016,COLUMN($E$1),FALSE)/(LEN(VLOOKUP($D175,素材!$1:$1016,COLUMN($F$1),FALSE))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Q175">
        <f>IF(ISNUMBER(SEARCH(SUBSTITUTE(AQ$1,RIGHT(AQ$1,2),""),VLOOKUP($D175,素材!$1:$1016,COLUMN($F$1),FALSE))),VLOOKUP($C175,武器!$1:$998,COLUMN($O$1),FALSE)*VLOOKUP($D175,素材!$1:$1016,COLUMN($E$1),FALSE)/(LEN(VLOOKUP($D175,素材!$1:$1016,COLUMN($F$1),FALSE))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R175">
        <f>IF(ISNUMBER(SEARCH(SUBSTITUTE(AR$1,RIGHT(AR$1,2),""),VLOOKUP($D175,素材!$1:$1016,COLUMN($F$1),FALSE))),VLOOKUP($C175,武器!$1:$998,COLUMN($O$1),FALSE)*VLOOKUP($D175,素材!$1:$1016,COLUMN($E$1),FALSE)/(LEN(VLOOKUP($D175,素材!$1:$1016,COLUMN($F$1),FALSE))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S175">
        <f>IF(ISNUMBER(SEARCH(SUBSTITUTE(AS$1,RIGHT(AS$1,2),""),VLOOKUP($D175,素材!$1:$1016,COLUMN($F$1),FALSE))),VLOOKUP($C175,武器!$1:$998,COLUMN($O$1),FALSE)*VLOOKUP($D175,素材!$1:$1016,COLUMN($E$1),FALSE)/(LEN(VLOOKUP($D175,素材!$1:$1016,COLUMN($F$1),FALSE))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T175">
        <f>IF(ISNUMBER(SEARCH(SUBSTITUTE(AT$1,RIGHT(AT$1,2),""),VLOOKUP($D175,素材!$1:$1016,COLUMN($F$1),FALSE))),VLOOKUP($C175,武器!$1:$998,COLUMN($O$1),FALSE)*VLOOKUP($D175,素材!$1:$1016,COLUMN($E$1),FALSE)/(LEN(VLOOKUP($D175,素材!$1:$1016,COLUMN($F$1),FALSE))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U175">
        <f>IF(ISNUMBER(SEARCH(SUBSTITUTE(AU$1,RIGHT(AU$1,2),""),VLOOKUP($D175,素材!$1:$1016,COLUMN($F$1),FALSE))),VLOOKUP($C175,武器!$1:$998,COLUMN($O$1),FALSE)*VLOOKUP($D175,素材!$1:$1016,COLUMN($E$1),FALSE)/(LEN(VLOOKUP($D175,素材!$1:$1016,COLUMN($F$1),FALSE))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V175">
        <f>IF(ISNUMBER(SEARCH(SUBSTITUTE(AV$1,RIGHT(AV$1,2),""),VLOOKUP($D175,素材!$1:$1016,COLUMN($F$1),FALSE))),VLOOKUP($C175,武器!$1:$998,COLUMN($O$1),FALSE)*VLOOKUP($D175,素材!$1:$1016,COLUMN($E$1),FALSE)/(LEN(VLOOKUP($D175,素材!$1:$1016,COLUMN($F$1),FALSE))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W175">
        <f>IF(ISNUMBER(SEARCH(SUBSTITUTE(AW$1,RIGHT(AW$1,2),""),VLOOKUP($D175,素材!$1:$1016,COLUMN($F$1),FALSE))),VLOOKUP($C175,武器!$1:$998,COLUMN($O$1),FALSE)*VLOOKUP($D175,素材!$1:$1016,COLUMN($E$1),FALSE)/(LEN(VLOOKUP($D175,素材!$1:$1016,COLUMN($F$1),FALSE))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X175">
        <f>IF(ISNUMBER(SEARCH(SUBSTITUTE(AX$1,RIGHT(AX$1,2),""),VLOOKUP($D175,素材!$1:$1016,COLUMN($F$1),FALSE))),VLOOKUP($C175,武器!$1:$998,COLUMN($O$1),FALSE)*VLOOKUP($D175,素材!$1:$1016,COLUMN($E$1),FALSE)/(LEN(VLOOKUP($D175,素材!$1:$1016,COLUMN($F$1),FALSE))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Y175">
        <f>IF(ISNUMBER(SEARCH(SUBSTITUTE(AY$1,RIGHT(AY$1,2),""),VLOOKUP($D175,素材!$1:$1016,COLUMN($F$1),FALSE))),VLOOKUP($C175,武器!$1:$998,COLUMN($O$1),FALSE)*VLOOKUP($D175,素材!$1:$1016,COLUMN($E$1),FALSE)/(LEN(VLOOKUP($D175,素材!$1:$1016,COLUMN($F$1),FALSE))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AZ175">
        <f>IF(ISNUMBER(SEARCH(SUBSTITUTE(AZ$1,RIGHT(AZ$1,2),""),VLOOKUP($D175,素材!$1:$1016,COLUMN($F$1),FALSE))),VLOOKUP($C175,武器!$1:$998,COLUMN($O$1),FALSE)*VLOOKUP($D175,素材!$1:$1016,COLUMN($E$1),FALSE)/(LEN(VLOOKUP($D175,素材!$1:$1016,COLUMN($F$1),FALSE))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BA175">
        <f>IF(ISNUMBER(SEARCH(SUBSTITUTE(BA$1,RIGHT(BA$1,2),""),VLOOKUP($D175,素材!$1:$1016,COLUMN($F$1),FALSE))),VLOOKUP($C175,武器!$1:$998,COLUMN($O$1),FALSE)*VLOOKUP($D175,素材!$1:$1016,COLUMN($E$1),FALSE)/(LEN(VLOOKUP($D175,素材!$1:$1016,COLUMN($F$1),FALSE))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BB175">
        <f>IF(ISNUMBER(SEARCH(SUBSTITUTE(BB$1,RIGHT(BB$1,2),""),VLOOKUP($D175,素材!$1:$1016,COLUMN($F$1),FALSE))),VLOOKUP($C175,武器!$1:$998,COLUMN($O$1),FALSE)*VLOOKUP($D175,素材!$1:$1016,COLUMN($E$1),FALSE)/(LEN(VLOOKUP($D175,素材!$1:$1016,COLUMN($F$1),FALSE))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BC175">
        <f>IF(ISNUMBER(SEARCH(SUBSTITUTE(BC$1,RIGHT(BC$1,2),""),VLOOKUP($D175,素材!$1:$1016,COLUMN($F$1),FALSE))),VLOOKUP($C175,武器!$1:$998,COLUMN($O$1),FALSE)*VLOOKUP($D175,素材!$1:$1016,COLUMN($E$1),FALSE)/(LEN(VLOOKUP($D175,素材!$1:$1016,COLUMN($F$1),FALSE))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BD175">
        <f>IF(ISNUMBER(SEARCH(SUBSTITUTE(BD$1,RIGHT(BD$1,2),""),VLOOKUP($D175,素材!$1:$1016,COLUMN($F$1),FALSE))),VLOOKUP($C175,武器!$1:$998,COLUMN($O$1),FALSE)*VLOOKUP($D175,素材!$1:$1016,COLUMN($E$1),FALSE)/(LEN(VLOOKUP($D175,素材!$1:$1016,COLUMN($F$1),FALSE))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BE175">
        <f>IF(ISNUMBER(SEARCH(SUBSTITUTE(BE$1,RIGHT(BE$1,2),""),VLOOKUP($D175,素材!$1:$1016,COLUMN($F$1),FALSE))),VLOOKUP($C175,武器!$1:$998,COLUMN($O$1),FALSE)*VLOOKUP($D175,素材!$1:$1016,COLUMN($E$1),FALSE)/(LEN(VLOOKUP($D175,素材!$1:$1016,COLUMN($F$1),FALSE))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BF175">
        <f>IF(ISNUMBER(SEARCH(SUBSTITUTE(BF$1,RIGHT(BF$1,2),""),VLOOKUP($D175,素材!$1:$1016,COLUMN($F$1),FALSE))),VLOOKUP($C175,武器!$1:$998,COLUMN($O$1),FALSE)*VLOOKUP($D175,素材!$1:$1016,COLUMN($E$1),FALSE)/(LEN(VLOOKUP($D175,素材!$1:$1016,COLUMN($F$1),FALSE)) - LEN(SUBSTITUTE(VLOOKUP($D175,素材!$1:$1016,COLUMN($F$1),FALSE), "・", 0)) + 1), 0)</f>
        <v>0</v>
      </c>
      <c r="CM175">
        <f t="shared" si="19"/>
        <v>16</v>
      </c>
      <c r="CN175" s="22" t="str">
        <f>IF(E175="武器",IF(J175-1&gt;SUM(G175:I175),"盾",IF(MAX(G175:I175)=G175,"切断",IF(MAX(G175:I175)=H175,"貫通",IF(MAX(G175:I175)=I175,"打撃","射撃")))),E175)&amp;".webp"</f>
        <v>盾.webp</v>
      </c>
      <c r="CO175">
        <f>IFERROR(VLOOKUP($C175,武器!$1:$998,COLUMN(V$1),FALSE)*VLOOKUP($D175,素材!$1:$1016,COLUMN(N$1),FALSE)+IF(CJ175="",0,VLOOKUP($CJ175,装強!$1:$1008,COLUMN($CL$1),FALSE)),"")</f>
        <v>2250</v>
      </c>
      <c r="CP175">
        <f>VLOOKUP(D175,素材!$A:$O,COLUMN(素材!O$1),FALSE)</f>
        <v>0</v>
      </c>
      <c r="CQ175" t="str">
        <f>VLOOKUP(C175,武器!$A:$W,COLUMN(武器!W$1),FALSE)</f>
        <v>盾。防御力が高く、汎用性がある防具。</v>
      </c>
      <c r="CS175" t="str">
        <f t="shared" si="21"/>
        <v>e_175</v>
      </c>
      <c r="CT175">
        <f t="shared" si="24"/>
        <v>225000</v>
      </c>
    </row>
    <row r="176" spans="1:98" outlineLevel="1" x14ac:dyDescent="0.4">
      <c r="A176" t="str">
        <f t="shared" si="29"/>
        <v>黒鋼鉄の丸大盾</v>
      </c>
      <c r="B176" t="str">
        <f>IFERROR(VLOOKUP($D176,素材!$1:$1016,COLUMN($B$1),FALSE)&amp;"・"&amp;VLOOKUP($C176,武器!$1:$998,COLUMN(B$1),FALSE),"")</f>
        <v>ブラックスティール・ラウンドシールド</v>
      </c>
      <c r="C176" t="s">
        <v>220</v>
      </c>
      <c r="D176" s="24" t="s">
        <v>244</v>
      </c>
      <c r="E176" t="str">
        <f>IFERROR(VLOOKUP(C176,武器!$1:$998,COLUMN(C$1),FALSE),"")</f>
        <v>盾</v>
      </c>
      <c r="F176">
        <f>IFERROR(ROUNDDOWN((VLOOKUP($C176,武器!$1:$998,COLUMN(D$1),FALSE)+IFERROR(VLOOKUP($CJ176,装強!$1:$999,COLUMN(F$1),FALSE),0))*VLOOKUP($D176,素材!$1:$1016,COLUMN(D$1),FALSE),0),"")</f>
        <v>110</v>
      </c>
      <c r="G176">
        <f>IFERROR(ROUNDDOWN((VLOOKUP($C176,武器!$1:$998,COLUMN(E$1),FALSE)+IFERROR(VLOOKUP($CJ176,装強!$1:$999,COLUMN(G$1),FALSE),0))*VLOOKUP($D176,素材!$1:$1016,COLUMN($E$1),FALSE),0),"")</f>
        <v>9</v>
      </c>
      <c r="H176">
        <f>IFERROR(ROUNDDOWN((VLOOKUP($C176,武器!$1:$998,COLUMN(F$1),FALSE)+IFERROR(VLOOKUP($CJ176,装強!$1:$999,COLUMN(H$1),FALSE),0))*VLOOKUP($D176,素材!$1:$1016,COLUMN($E$1),FALSE),0),"")</f>
        <v>0</v>
      </c>
      <c r="I176">
        <f>IFERROR(ROUNDDOWN((VLOOKUP($C176,武器!$1:$998,COLUMN(G$1),FALSE)+IFERROR(VLOOKUP($CJ176,装強!$1:$999,COLUMN(I$1),FALSE),0))*VLOOKUP($D176,素材!$1:$1016,COLUMN($E$1),FALSE),0),"")</f>
        <v>9</v>
      </c>
      <c r="J176">
        <f>IFERROR(ROUNDDOWN((VLOOKUP($C176,武器!$1:$998,COLUMN(H$1),FALSE)+IFERROR(VLOOKUP($CJ176,装強!$1:$999,COLUMN(J$1),FALSE),0))*VLOOKUP($D176,素材!$1:$1016,COLUMN($E$1),FALSE),0),"")</f>
        <v>25</v>
      </c>
      <c r="K176">
        <f>IFERROR(ROUNDDOWN((VLOOKUP($C176,武器!$1:$998,COLUMN(I$1),FALSE)+IFERROR(VLOOKUP($CJ176,装強!$1:$999,COLUMN(K$1),FALSE),0))*VLOOKUP($D176,素材!$1:$1016,COLUMN($E$1),FALSE),0),"")</f>
        <v>0</v>
      </c>
      <c r="L176" t="str">
        <f>IFERROR(VLOOKUP($D176,素材!$1:$1016,COLUMN($F$1),FALSE),"")</f>
        <v>雷</v>
      </c>
      <c r="M176">
        <f>IFERROR(VLOOKUP($C176,武器!$1:$998,COLUMN(AA$1),FALSE)*VLOOKUP($D176,素材!$1:$1016,COLUMN($G$1),FALSE),"")</f>
        <v>31.5</v>
      </c>
      <c r="N176">
        <f>IFERROR(VLOOKUP($C176,武器!$1:$998,COLUMN(I$1),FALSE),"")</f>
        <v>0</v>
      </c>
      <c r="O176" s="23">
        <f>IFERROR((VLOOKUP($C176,武器!$1:$998,COLUMN(K$1),FALSE)+VLOOKUP($D176,素材!$1:$1016,COLUMN(H$1),FALSE))*100+IFERROR(VLOOKUP($CJ176,装強!$1:$999,COLUMN(O$1),FALSE),0),"")</f>
        <v>5</v>
      </c>
      <c r="P176" s="23">
        <f>IFERROR((VLOOKUP($C176,武器!$1:$998,COLUMN(L$1),FALSE)+VLOOKUP($D176,素材!$1:$1016,COLUMN(I$1),FALSE))*100+IFERROR(VLOOKUP($CJ176,装強!$1:$999,COLUMN(P$1),FALSE),0),"")</f>
        <v>125</v>
      </c>
      <c r="Q176">
        <f>IFERROR(ROUNDUP(VLOOKUP($C176,武器!$1:$998,COLUMN(M$1),FALSE)*(VLOOKUP($D176,素材!$1:$1002,COLUMN(D$1),FALSE)/100),1),"")</f>
        <v>-5</v>
      </c>
      <c r="R176">
        <f>IFERROR(ROUNDUP(VLOOKUP($C176,武器!$1:$998,COLUMN(N$1),FALSE)*(VLOOKUP($D176,素材!$1:$1002,COLUMN(D$1),FALSE)/100),1),"")</f>
        <v>0</v>
      </c>
      <c r="S176">
        <f>IFERROR(VLOOKUP($C176,武器!$1:$998,COLUMN(P$1),FALSE),"")</f>
        <v>0</v>
      </c>
      <c r="T176">
        <f>IFERROR(VLOOKUP($C176,武器!$1:$998,COLUMN(Q$1),FALSE),"")</f>
        <v>0</v>
      </c>
      <c r="U176">
        <f>IFERROR(VLOOKUP($C176,武器!$1:$998,COLUMN(R$1),FALSE),"")</f>
        <v>0</v>
      </c>
      <c r="V176">
        <f>IFERROR(VLOOKUP($C176,武器!$1:$998,COLUMN(Q$1),FALSE),"")</f>
        <v>0</v>
      </c>
      <c r="W176" t="str">
        <f>IFERROR(VLOOKUP($C176,武器!$1:$998,COLUMN(T$1),FALSE),"")</f>
        <v>A</v>
      </c>
      <c r="Y176" t="str">
        <f>IFERROR(VLOOKUP($C176,武器!$1:$998,COLUMN(U$1),FALSE),"")</f>
        <v>投擲強化,片手適正Ⅰ</v>
      </c>
      <c r="Z176">
        <f>IFERROR(ROUNDUP(VLOOKUP($C176,武器!$1:$998,COLUMN(O$1),FALSE)*VLOOKUP($D176,素材!$1:$1016,COLUMN(E$1),FALSE),1),"")</f>
        <v>0</v>
      </c>
      <c r="AA176">
        <f>IF(ISNUMBER(SEARCH(SUBSTITUTE(AA$1,RIGHT(AA$1,2),""),VLOOKUP($D176,素材!$1:$1016,COLUMN($F$1),FALSE))),VLOOKUP($C176,武器!$1:$998,COLUMN($O$1),FALSE)*VLOOKUP($D176,素材!$1:$1016,COLUMN($E$1),FALSE)/(LEN(VLOOKUP($D176,素材!$1:$1016,COLUMN($F$1),FALSE))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B176">
        <f>IF(ISNUMBER(SEARCH(SUBSTITUTE(AB$1,RIGHT(AB$1,2),""),VLOOKUP($D176,素材!$1:$1016,COLUMN($F$1),FALSE))),VLOOKUP($C176,武器!$1:$998,COLUMN($O$1),FALSE)*VLOOKUP($D176,素材!$1:$1016,COLUMN($E$1),FALSE)/(LEN(VLOOKUP($D176,素材!$1:$1016,COLUMN($F$1),FALSE))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C176">
        <f>IF(ISNUMBER(SEARCH(SUBSTITUTE(AC$1,RIGHT(AC$1,2),""),VLOOKUP($D176,素材!$1:$1016,COLUMN($F$1),FALSE))),VLOOKUP($C176,武器!$1:$998,COLUMN($O$1),FALSE)*VLOOKUP($D176,素材!$1:$1016,COLUMN($E$1),FALSE)/(LEN(VLOOKUP($D176,素材!$1:$1016,COLUMN($F$1),FALSE))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D176">
        <f>IF(ISNUMBER(SEARCH(SUBSTITUTE(AD$1,RIGHT(AD$1,2),""),VLOOKUP($D176,素材!$1:$1016,COLUMN($F$1),FALSE))),VLOOKUP($C176,武器!$1:$998,COLUMN($O$1),FALSE)*VLOOKUP($D176,素材!$1:$1016,COLUMN($E$1),FALSE)/(LEN(VLOOKUP($D176,素材!$1:$1016,COLUMN($F$1),FALSE))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E176">
        <f>IF(ISNUMBER(SEARCH(SUBSTITUTE(AE$1,RIGHT(AE$1,2),""),VLOOKUP($D176,素材!$1:$1016,COLUMN($F$1),FALSE))),VLOOKUP($C176,武器!$1:$998,COLUMN($O$1),FALSE)*VLOOKUP($D176,素材!$1:$1016,COLUMN($E$1),FALSE)/(LEN(VLOOKUP($D176,素材!$1:$1016,COLUMN($F$1),FALSE))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F176">
        <f>IF(ISNUMBER(SEARCH(SUBSTITUTE(AF$1,RIGHT(AF$1,2),""),VLOOKUP($D176,素材!$1:$1016,COLUMN($F$1),FALSE))),VLOOKUP($C176,武器!$1:$998,COLUMN($O$1),FALSE)*VLOOKUP($D176,素材!$1:$1016,COLUMN($E$1),FALSE)/(LEN(VLOOKUP($D176,素材!$1:$1016,COLUMN($F$1),FALSE))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G176">
        <f>IF(ISNUMBER(SEARCH(SUBSTITUTE(AG$1,RIGHT(AG$1,2),""),VLOOKUP($D176,素材!$1:$1016,COLUMN($F$1),FALSE))),VLOOKUP($C176,武器!$1:$998,COLUMN($O$1),FALSE)*VLOOKUP($D176,素材!$1:$1016,COLUMN($E$1),FALSE)/(LEN(VLOOKUP($D176,素材!$1:$1016,COLUMN($F$1),FALSE))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H176">
        <f>IF(ISNUMBER(SEARCH(SUBSTITUTE(AH$1,RIGHT(AH$1,2),""),VLOOKUP($D176,素材!$1:$1016,COLUMN($F$1),FALSE))),VLOOKUP($C176,武器!$1:$998,COLUMN($O$1),FALSE)*VLOOKUP($D176,素材!$1:$1016,COLUMN($E$1),FALSE)/(LEN(VLOOKUP($D176,素材!$1:$1016,COLUMN($F$1),FALSE))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I176">
        <f>IF(ISNUMBER(SEARCH(SUBSTITUTE(AI$1,RIGHT(AI$1,2),""),VLOOKUP($D176,素材!$1:$1016,COLUMN($F$1),FALSE))),VLOOKUP($C176,武器!$1:$998,COLUMN($O$1),FALSE)*VLOOKUP($D176,素材!$1:$1016,COLUMN($E$1),FALSE)/(LEN(VLOOKUP($D176,素材!$1:$1016,COLUMN($F$1),FALSE))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J176">
        <f>IF(ISNUMBER(SEARCH(SUBSTITUTE(AJ$1,RIGHT(AJ$1,2),""),VLOOKUP($D176,素材!$1:$1016,COLUMN($F$1),FALSE))),VLOOKUP($C176,武器!$1:$998,COLUMN($O$1),FALSE)*VLOOKUP($D176,素材!$1:$1016,COLUMN($E$1),FALSE)/(LEN(VLOOKUP($D176,素材!$1:$1016,COLUMN($F$1),FALSE))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K176">
        <f>IF(ISNUMBER(SEARCH(SUBSTITUTE(AK$1,RIGHT(AK$1,2),""),VLOOKUP($D176,素材!$1:$1016,COLUMN($F$1),FALSE))),VLOOKUP($C176,武器!$1:$998,COLUMN($O$1),FALSE)*VLOOKUP($D176,素材!$1:$1016,COLUMN($E$1),FALSE)/(LEN(VLOOKUP($D176,素材!$1:$1016,COLUMN($F$1),FALSE))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L176">
        <f>IF(ISNUMBER(SEARCH(SUBSTITUTE(AL$1,RIGHT(AL$1,2),""),VLOOKUP($D176,素材!$1:$1016,COLUMN($F$1),FALSE))),VLOOKUP($C176,武器!$1:$998,COLUMN($O$1),FALSE)*VLOOKUP($D176,素材!$1:$1016,COLUMN($E$1),FALSE)/(LEN(VLOOKUP($D176,素材!$1:$1016,COLUMN($F$1),FALSE))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M176">
        <f>IF(ISNUMBER(SEARCH(SUBSTITUTE(AM$1,RIGHT(AM$1,2),""),VLOOKUP($D176,素材!$1:$1016,COLUMN($F$1),FALSE))),VLOOKUP($C176,武器!$1:$998,COLUMN($O$1),FALSE)*VLOOKUP($D176,素材!$1:$1016,COLUMN($E$1),FALSE)/(LEN(VLOOKUP($D176,素材!$1:$1016,COLUMN($F$1),FALSE))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N176">
        <f>IF(ISNUMBER(SEARCH(SUBSTITUTE(AN$1,RIGHT(AN$1,2),""),VLOOKUP($D176,素材!$1:$1016,COLUMN($F$1),FALSE))),VLOOKUP($C176,武器!$1:$998,COLUMN($O$1),FALSE)*VLOOKUP($D176,素材!$1:$1016,COLUMN($E$1),FALSE)/(LEN(VLOOKUP($D176,素材!$1:$1016,COLUMN($F$1),FALSE))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O176">
        <f>IF(ISNUMBER(SEARCH(SUBSTITUTE(AO$1,RIGHT(AO$1,2),""),VLOOKUP($D176,素材!$1:$1016,COLUMN($F$1),FALSE))),VLOOKUP($C176,武器!$1:$998,COLUMN($O$1),FALSE)*VLOOKUP($D176,素材!$1:$1016,COLUMN($E$1),FALSE)/(LEN(VLOOKUP($D176,素材!$1:$1016,COLUMN($F$1),FALSE))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P176">
        <f>IF(ISNUMBER(SEARCH(SUBSTITUTE(AP$1,RIGHT(AP$1,2),""),VLOOKUP($D176,素材!$1:$1016,COLUMN($F$1),FALSE))),VLOOKUP($C176,武器!$1:$998,COLUMN($O$1),FALSE)*VLOOKUP($D176,素材!$1:$1016,COLUMN($E$1),FALSE)/(LEN(VLOOKUP($D176,素材!$1:$1016,COLUMN($F$1),FALSE))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Q176">
        <f>IF(ISNUMBER(SEARCH(SUBSTITUTE(AQ$1,RIGHT(AQ$1,2),""),VLOOKUP($D176,素材!$1:$1016,COLUMN($F$1),FALSE))),VLOOKUP($C176,武器!$1:$998,COLUMN($O$1),FALSE)*VLOOKUP($D176,素材!$1:$1016,COLUMN($E$1),FALSE)/(LEN(VLOOKUP($D176,素材!$1:$1016,COLUMN($F$1),FALSE))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R176">
        <f>IF(ISNUMBER(SEARCH(SUBSTITUTE(AR$1,RIGHT(AR$1,2),""),VLOOKUP($D176,素材!$1:$1016,COLUMN($F$1),FALSE))),VLOOKUP($C176,武器!$1:$998,COLUMN($O$1),FALSE)*VLOOKUP($D176,素材!$1:$1016,COLUMN($E$1),FALSE)/(LEN(VLOOKUP($D176,素材!$1:$1016,COLUMN($F$1),FALSE))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S176">
        <f>IF(ISNUMBER(SEARCH(SUBSTITUTE(AS$1,RIGHT(AS$1,2),""),VLOOKUP($D176,素材!$1:$1016,COLUMN($F$1),FALSE))),VLOOKUP($C176,武器!$1:$998,COLUMN($O$1),FALSE)*VLOOKUP($D176,素材!$1:$1016,COLUMN($E$1),FALSE)/(LEN(VLOOKUP($D176,素材!$1:$1016,COLUMN($F$1),FALSE))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T176">
        <f>IF(ISNUMBER(SEARCH(SUBSTITUTE(AT$1,RIGHT(AT$1,2),""),VLOOKUP($D176,素材!$1:$1016,COLUMN($F$1),FALSE))),VLOOKUP($C176,武器!$1:$998,COLUMN($O$1),FALSE)*VLOOKUP($D176,素材!$1:$1016,COLUMN($E$1),FALSE)/(LEN(VLOOKUP($D176,素材!$1:$1016,COLUMN($F$1),FALSE))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U176">
        <f>IF(ISNUMBER(SEARCH(SUBSTITUTE(AU$1,RIGHT(AU$1,2),""),VLOOKUP($D176,素材!$1:$1016,COLUMN($F$1),FALSE))),VLOOKUP($C176,武器!$1:$998,COLUMN($O$1),FALSE)*VLOOKUP($D176,素材!$1:$1016,COLUMN($E$1),FALSE)/(LEN(VLOOKUP($D176,素材!$1:$1016,COLUMN($F$1),FALSE))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V176">
        <f>IF(ISNUMBER(SEARCH(SUBSTITUTE(AV$1,RIGHT(AV$1,2),""),VLOOKUP($D176,素材!$1:$1016,COLUMN($F$1),FALSE))),VLOOKUP($C176,武器!$1:$998,COLUMN($O$1),FALSE)*VLOOKUP($D176,素材!$1:$1016,COLUMN($E$1),FALSE)/(LEN(VLOOKUP($D176,素材!$1:$1016,COLUMN($F$1),FALSE))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W176">
        <f>IF(ISNUMBER(SEARCH(SUBSTITUTE(AW$1,RIGHT(AW$1,2),""),VLOOKUP($D176,素材!$1:$1016,COLUMN($F$1),FALSE))),VLOOKUP($C176,武器!$1:$998,COLUMN($O$1),FALSE)*VLOOKUP($D176,素材!$1:$1016,COLUMN($E$1),FALSE)/(LEN(VLOOKUP($D176,素材!$1:$1016,COLUMN($F$1),FALSE))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X176">
        <f>IF(ISNUMBER(SEARCH(SUBSTITUTE(AX$1,RIGHT(AX$1,2),""),VLOOKUP($D176,素材!$1:$1016,COLUMN($F$1),FALSE))),VLOOKUP($C176,武器!$1:$998,COLUMN($O$1),FALSE)*VLOOKUP($D176,素材!$1:$1016,COLUMN($E$1),FALSE)/(LEN(VLOOKUP($D176,素材!$1:$1016,COLUMN($F$1),FALSE))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Y176">
        <f>IF(ISNUMBER(SEARCH(SUBSTITUTE(AY$1,RIGHT(AY$1,2),""),VLOOKUP($D176,素材!$1:$1016,COLUMN($F$1),FALSE))),VLOOKUP($C176,武器!$1:$998,COLUMN($O$1),FALSE)*VLOOKUP($D176,素材!$1:$1016,COLUMN($E$1),FALSE)/(LEN(VLOOKUP($D176,素材!$1:$1016,COLUMN($F$1),FALSE))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AZ176">
        <f>IF(ISNUMBER(SEARCH(SUBSTITUTE(AZ$1,RIGHT(AZ$1,2),""),VLOOKUP($D176,素材!$1:$1016,COLUMN($F$1),FALSE))),VLOOKUP($C176,武器!$1:$998,COLUMN($O$1),FALSE)*VLOOKUP($D176,素材!$1:$1016,COLUMN($E$1),FALSE)/(LEN(VLOOKUP($D176,素材!$1:$1016,COLUMN($F$1),FALSE))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BA176">
        <f>IF(ISNUMBER(SEARCH(SUBSTITUTE(BA$1,RIGHT(BA$1,2),""),VLOOKUP($D176,素材!$1:$1016,COLUMN($F$1),FALSE))),VLOOKUP($C176,武器!$1:$998,COLUMN($O$1),FALSE)*VLOOKUP($D176,素材!$1:$1016,COLUMN($E$1),FALSE)/(LEN(VLOOKUP($D176,素材!$1:$1016,COLUMN($F$1),FALSE))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BB176">
        <f>IF(ISNUMBER(SEARCH(SUBSTITUTE(BB$1,RIGHT(BB$1,2),""),VLOOKUP($D176,素材!$1:$1016,COLUMN($F$1),FALSE))),VLOOKUP($C176,武器!$1:$998,COLUMN($O$1),FALSE)*VLOOKUP($D176,素材!$1:$1016,COLUMN($E$1),FALSE)/(LEN(VLOOKUP($D176,素材!$1:$1016,COLUMN($F$1),FALSE))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BC176">
        <f>IF(ISNUMBER(SEARCH(SUBSTITUTE(BC$1,RIGHT(BC$1,2),""),VLOOKUP($D176,素材!$1:$1016,COLUMN($F$1),FALSE))),VLOOKUP($C176,武器!$1:$998,COLUMN($O$1),FALSE)*VLOOKUP($D176,素材!$1:$1016,COLUMN($E$1),FALSE)/(LEN(VLOOKUP($D176,素材!$1:$1016,COLUMN($F$1),FALSE))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BD176">
        <f>IF(ISNUMBER(SEARCH(SUBSTITUTE(BD$1,RIGHT(BD$1,2),""),VLOOKUP($D176,素材!$1:$1016,COLUMN($F$1),FALSE))),VLOOKUP($C176,武器!$1:$998,COLUMN($O$1),FALSE)*VLOOKUP($D176,素材!$1:$1016,COLUMN($E$1),FALSE)/(LEN(VLOOKUP($D176,素材!$1:$1016,COLUMN($F$1),FALSE))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BE176">
        <f>IF(ISNUMBER(SEARCH(SUBSTITUTE(BE$1,RIGHT(BE$1,2),""),VLOOKUP($D176,素材!$1:$1016,COLUMN($F$1),FALSE))),VLOOKUP($C176,武器!$1:$998,COLUMN($O$1),FALSE)*VLOOKUP($D176,素材!$1:$1016,COLUMN($E$1),FALSE)/(LEN(VLOOKUP($D176,素材!$1:$1016,COLUMN($F$1),FALSE))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BF176">
        <f>IF(ISNUMBER(SEARCH(SUBSTITUTE(BF$1,RIGHT(BF$1,2),""),VLOOKUP($D176,素材!$1:$1016,COLUMN($F$1),FALSE))),VLOOKUP($C176,武器!$1:$998,COLUMN($O$1),FALSE)*VLOOKUP($D176,素材!$1:$1016,COLUMN($E$1),FALSE)/(LEN(VLOOKUP($D176,素材!$1:$1016,COLUMN($F$1),FALSE)) - LEN(SUBSTITUTE(VLOOKUP($D176,素材!$1:$1016,COLUMN($F$1),FALSE), "・", 0)) + 1), 0)</f>
        <v>0</v>
      </c>
      <c r="CM176">
        <f t="shared" si="19"/>
        <v>18</v>
      </c>
      <c r="CN176" s="22" t="str">
        <f>IF(E176="武器",IF(J176-1&gt;SUM(G176:I176),"盾",IF(MAX(G176:I176)=G176,"切断",IF(MAX(G176:I176)=H176,"貫通",IF(MAX(G176:I176)=I176,"打撃","射撃")))),E176)&amp;".webp"</f>
        <v>盾.webp</v>
      </c>
      <c r="CO176">
        <f>IFERROR(VLOOKUP($C176,武器!$1:$998,COLUMN(V$1),FALSE)*VLOOKUP($D176,素材!$1:$1016,COLUMN(N$1),FALSE)+IF(CJ176="",0,VLOOKUP($CJ176,装強!$1:$1008,COLUMN($CL$1),FALSE)),"")</f>
        <v>3000</v>
      </c>
      <c r="CP176">
        <f>VLOOKUP(D176,素材!$A:$O,COLUMN(素材!O$1),FALSE)</f>
        <v>0</v>
      </c>
      <c r="CQ176" t="str">
        <f>VLOOKUP(C176,武器!$A:$W,COLUMN(武器!W$1),FALSE)</f>
        <v>丸大盾。防御範囲が広く、投擲も可能。</v>
      </c>
      <c r="CS176" t="str">
        <f t="shared" si="21"/>
        <v>e_176</v>
      </c>
      <c r="CT176">
        <f t="shared" si="24"/>
        <v>300000</v>
      </c>
    </row>
    <row r="177" spans="1:98" outlineLevel="1" x14ac:dyDescent="0.4">
      <c r="A177" t="str">
        <f t="shared" si="29"/>
        <v>黒鋼鉄の大盾</v>
      </c>
      <c r="B177" t="str">
        <f>IFERROR(VLOOKUP($D177,素材!$1:$1016,COLUMN($B$1),FALSE)&amp;"・"&amp;VLOOKUP($C177,武器!$1:$998,COLUMN(B$1),FALSE),"")</f>
        <v>ブラックスティール・ラージシールド</v>
      </c>
      <c r="C177" t="s">
        <v>219</v>
      </c>
      <c r="D177" s="24" t="s">
        <v>244</v>
      </c>
      <c r="E177" t="str">
        <f>IFERROR(VLOOKUP(C177,武器!$1:$998,COLUMN(C$1),FALSE),"")</f>
        <v>盾</v>
      </c>
      <c r="F177">
        <f>IFERROR(ROUNDDOWN((VLOOKUP($C177,武器!$1:$998,COLUMN(D$1),FALSE)+IFERROR(VLOOKUP($CJ177,装強!$1:$999,COLUMN(F$1),FALSE),0))*VLOOKUP($D177,素材!$1:$1016,COLUMN(D$1),FALSE),0),"")</f>
        <v>115</v>
      </c>
      <c r="G177">
        <f>IFERROR(ROUNDDOWN((VLOOKUP($C177,武器!$1:$998,COLUMN(E$1),FALSE)+IFERROR(VLOOKUP($CJ177,装強!$1:$999,COLUMN(G$1),FALSE),0))*VLOOKUP($D177,素材!$1:$1016,COLUMN($E$1),FALSE),0),"")</f>
        <v>0</v>
      </c>
      <c r="H177">
        <f>IFERROR(ROUNDDOWN((VLOOKUP($C177,武器!$1:$998,COLUMN(F$1),FALSE)+IFERROR(VLOOKUP($CJ177,装強!$1:$999,COLUMN(H$1),FALSE),0))*VLOOKUP($D177,素材!$1:$1016,COLUMN($E$1),FALSE),0),"")</f>
        <v>0</v>
      </c>
      <c r="I177">
        <f>IFERROR(ROUNDDOWN((VLOOKUP($C177,武器!$1:$998,COLUMN(G$1),FALSE)+IFERROR(VLOOKUP($CJ177,装強!$1:$999,COLUMN(I$1),FALSE),0))*VLOOKUP($D177,素材!$1:$1016,COLUMN($E$1),FALSE),0),"")</f>
        <v>17</v>
      </c>
      <c r="J177">
        <f>IFERROR(ROUNDDOWN((VLOOKUP($C177,武器!$1:$998,COLUMN(H$1),FALSE)+IFERROR(VLOOKUP($CJ177,装強!$1:$999,COLUMN(J$1),FALSE),0))*VLOOKUP($D177,素材!$1:$1016,COLUMN($E$1),FALSE),0),"")</f>
        <v>27</v>
      </c>
      <c r="K177">
        <f>IFERROR(ROUNDDOWN((VLOOKUP($C177,武器!$1:$998,COLUMN(I$1),FALSE)+IFERROR(VLOOKUP($CJ177,装強!$1:$999,COLUMN(K$1),FALSE),0))*VLOOKUP($D177,素材!$1:$1016,COLUMN($E$1),FALSE),0),"")</f>
        <v>0</v>
      </c>
      <c r="L177" t="str">
        <f>IFERROR(VLOOKUP($D177,素材!$1:$1016,COLUMN($F$1),FALSE),"")</f>
        <v>雷</v>
      </c>
      <c r="M177">
        <f>IFERROR(VLOOKUP($C177,武器!$1:$998,COLUMN(AA$1),FALSE)*VLOOKUP($D177,素材!$1:$1016,COLUMN($G$1),FALSE),"")</f>
        <v>29.75</v>
      </c>
      <c r="N177">
        <f>IFERROR(VLOOKUP($C177,武器!$1:$998,COLUMN(I$1),FALSE),"")</f>
        <v>0</v>
      </c>
      <c r="O177" s="23">
        <f>IFERROR((VLOOKUP($C177,武器!$1:$998,COLUMN(K$1),FALSE)+VLOOKUP($D177,素材!$1:$1016,COLUMN(H$1),FALSE))*100+IFERROR(VLOOKUP($CJ177,装強!$1:$999,COLUMN(O$1),FALSE),0),"")</f>
        <v>5</v>
      </c>
      <c r="P177" s="23">
        <f>IFERROR((VLOOKUP($C177,武器!$1:$998,COLUMN(L$1),FALSE)+VLOOKUP($D177,素材!$1:$1016,COLUMN(I$1),FALSE))*100+IFERROR(VLOOKUP($CJ177,装強!$1:$999,COLUMN(P$1),FALSE),0),"")</f>
        <v>125</v>
      </c>
      <c r="Q177">
        <f>IFERROR(ROUNDUP(VLOOKUP($C177,武器!$1:$998,COLUMN(M$1),FALSE)*(VLOOKUP($D177,素材!$1:$1002,COLUMN(D$1),FALSE)/100),1),"")</f>
        <v>-5</v>
      </c>
      <c r="R177">
        <f>IFERROR(ROUNDUP(VLOOKUP($C177,武器!$1:$998,COLUMN(N$1),FALSE)*(VLOOKUP($D177,素材!$1:$1002,COLUMN(D$1),FALSE)/100),1),"")</f>
        <v>0</v>
      </c>
      <c r="S177">
        <f>IFERROR(VLOOKUP($C177,武器!$1:$998,COLUMN(P$1),FALSE),"")</f>
        <v>0</v>
      </c>
      <c r="T177">
        <f>IFERROR(VLOOKUP($C177,武器!$1:$998,COLUMN(Q$1),FALSE),"")</f>
        <v>0</v>
      </c>
      <c r="U177">
        <f>IFERROR(VLOOKUP($C177,武器!$1:$998,COLUMN(R$1),FALSE),"")</f>
        <v>0</v>
      </c>
      <c r="V177">
        <f>IFERROR(VLOOKUP($C177,武器!$1:$998,COLUMN(Q$1),FALSE),"")</f>
        <v>0</v>
      </c>
      <c r="W177" t="str">
        <f>IFERROR(VLOOKUP($C177,武器!$1:$998,COLUMN(T$1),FALSE),"")</f>
        <v>A</v>
      </c>
      <c r="Y177" t="str">
        <f>IFERROR(VLOOKUP($C177,武器!$1:$998,COLUMN(U$1),FALSE),"")</f>
        <v>片手適正Ⅰ</v>
      </c>
      <c r="Z177">
        <f>IFERROR(ROUNDUP(VLOOKUP($C177,武器!$1:$998,COLUMN(O$1),FALSE)*VLOOKUP($D177,素材!$1:$1016,COLUMN(E$1),FALSE),1),"")</f>
        <v>0</v>
      </c>
      <c r="AA177">
        <f>IF(ISNUMBER(SEARCH(SUBSTITUTE(AA$1,RIGHT(AA$1,2),""),VLOOKUP($D177,素材!$1:$1016,COLUMN($F$1),FALSE))),VLOOKUP($C177,武器!$1:$998,COLUMN($O$1),FALSE)*VLOOKUP($D177,素材!$1:$1016,COLUMN($E$1),FALSE)/(LEN(VLOOKUP($D177,素材!$1:$1016,COLUMN($F$1),FALSE))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B177">
        <f>IF(ISNUMBER(SEARCH(SUBSTITUTE(AB$1,RIGHT(AB$1,2),""),VLOOKUP($D177,素材!$1:$1016,COLUMN($F$1),FALSE))),VLOOKUP($C177,武器!$1:$998,COLUMN($O$1),FALSE)*VLOOKUP($D177,素材!$1:$1016,COLUMN($E$1),FALSE)/(LEN(VLOOKUP($D177,素材!$1:$1016,COLUMN($F$1),FALSE))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C177">
        <f>IF(ISNUMBER(SEARCH(SUBSTITUTE(AC$1,RIGHT(AC$1,2),""),VLOOKUP($D177,素材!$1:$1016,COLUMN($F$1),FALSE))),VLOOKUP($C177,武器!$1:$998,COLUMN($O$1),FALSE)*VLOOKUP($D177,素材!$1:$1016,COLUMN($E$1),FALSE)/(LEN(VLOOKUP($D177,素材!$1:$1016,COLUMN($F$1),FALSE))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D177">
        <f>IF(ISNUMBER(SEARCH(SUBSTITUTE(AD$1,RIGHT(AD$1,2),""),VLOOKUP($D177,素材!$1:$1016,COLUMN($F$1),FALSE))),VLOOKUP($C177,武器!$1:$998,COLUMN($O$1),FALSE)*VLOOKUP($D177,素材!$1:$1016,COLUMN($E$1),FALSE)/(LEN(VLOOKUP($D177,素材!$1:$1016,COLUMN($F$1),FALSE))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E177">
        <f>IF(ISNUMBER(SEARCH(SUBSTITUTE(AE$1,RIGHT(AE$1,2),""),VLOOKUP($D177,素材!$1:$1016,COLUMN($F$1),FALSE))),VLOOKUP($C177,武器!$1:$998,COLUMN($O$1),FALSE)*VLOOKUP($D177,素材!$1:$1016,COLUMN($E$1),FALSE)/(LEN(VLOOKUP($D177,素材!$1:$1016,COLUMN($F$1),FALSE))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F177">
        <f>IF(ISNUMBER(SEARCH(SUBSTITUTE(AF$1,RIGHT(AF$1,2),""),VLOOKUP($D177,素材!$1:$1016,COLUMN($F$1),FALSE))),VLOOKUP($C177,武器!$1:$998,COLUMN($O$1),FALSE)*VLOOKUP($D177,素材!$1:$1016,COLUMN($E$1),FALSE)/(LEN(VLOOKUP($D177,素材!$1:$1016,COLUMN($F$1),FALSE))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G177">
        <f>IF(ISNUMBER(SEARCH(SUBSTITUTE(AG$1,RIGHT(AG$1,2),""),VLOOKUP($D177,素材!$1:$1016,COLUMN($F$1),FALSE))),VLOOKUP($C177,武器!$1:$998,COLUMN($O$1),FALSE)*VLOOKUP($D177,素材!$1:$1016,COLUMN($E$1),FALSE)/(LEN(VLOOKUP($D177,素材!$1:$1016,COLUMN($F$1),FALSE))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H177">
        <f>IF(ISNUMBER(SEARCH(SUBSTITUTE(AH$1,RIGHT(AH$1,2),""),VLOOKUP($D177,素材!$1:$1016,COLUMN($F$1),FALSE))),VLOOKUP($C177,武器!$1:$998,COLUMN($O$1),FALSE)*VLOOKUP($D177,素材!$1:$1016,COLUMN($E$1),FALSE)/(LEN(VLOOKUP($D177,素材!$1:$1016,COLUMN($F$1),FALSE))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I177">
        <f>IF(ISNUMBER(SEARCH(SUBSTITUTE(AI$1,RIGHT(AI$1,2),""),VLOOKUP($D177,素材!$1:$1016,COLUMN($F$1),FALSE))),VLOOKUP($C177,武器!$1:$998,COLUMN($O$1),FALSE)*VLOOKUP($D177,素材!$1:$1016,COLUMN($E$1),FALSE)/(LEN(VLOOKUP($D177,素材!$1:$1016,COLUMN($F$1),FALSE))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J177">
        <f>IF(ISNUMBER(SEARCH(SUBSTITUTE(AJ$1,RIGHT(AJ$1,2),""),VLOOKUP($D177,素材!$1:$1016,COLUMN($F$1),FALSE))),VLOOKUP($C177,武器!$1:$998,COLUMN($O$1),FALSE)*VLOOKUP($D177,素材!$1:$1016,COLUMN($E$1),FALSE)/(LEN(VLOOKUP($D177,素材!$1:$1016,COLUMN($F$1),FALSE))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K177">
        <f>IF(ISNUMBER(SEARCH(SUBSTITUTE(AK$1,RIGHT(AK$1,2),""),VLOOKUP($D177,素材!$1:$1016,COLUMN($F$1),FALSE))),VLOOKUP($C177,武器!$1:$998,COLUMN($O$1),FALSE)*VLOOKUP($D177,素材!$1:$1016,COLUMN($E$1),FALSE)/(LEN(VLOOKUP($D177,素材!$1:$1016,COLUMN($F$1),FALSE))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L177">
        <f>IF(ISNUMBER(SEARCH(SUBSTITUTE(AL$1,RIGHT(AL$1,2),""),VLOOKUP($D177,素材!$1:$1016,COLUMN($F$1),FALSE))),VLOOKUP($C177,武器!$1:$998,COLUMN($O$1),FALSE)*VLOOKUP($D177,素材!$1:$1016,COLUMN($E$1),FALSE)/(LEN(VLOOKUP($D177,素材!$1:$1016,COLUMN($F$1),FALSE))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M177">
        <f>IF(ISNUMBER(SEARCH(SUBSTITUTE(AM$1,RIGHT(AM$1,2),""),VLOOKUP($D177,素材!$1:$1016,COLUMN($F$1),FALSE))),VLOOKUP($C177,武器!$1:$998,COLUMN($O$1),FALSE)*VLOOKUP($D177,素材!$1:$1016,COLUMN($E$1),FALSE)/(LEN(VLOOKUP($D177,素材!$1:$1016,COLUMN($F$1),FALSE))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N177">
        <f>IF(ISNUMBER(SEARCH(SUBSTITUTE(AN$1,RIGHT(AN$1,2),""),VLOOKUP($D177,素材!$1:$1016,COLUMN($F$1),FALSE))),VLOOKUP($C177,武器!$1:$998,COLUMN($O$1),FALSE)*VLOOKUP($D177,素材!$1:$1016,COLUMN($E$1),FALSE)/(LEN(VLOOKUP($D177,素材!$1:$1016,COLUMN($F$1),FALSE))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O177">
        <f>IF(ISNUMBER(SEARCH(SUBSTITUTE(AO$1,RIGHT(AO$1,2),""),VLOOKUP($D177,素材!$1:$1016,COLUMN($F$1),FALSE))),VLOOKUP($C177,武器!$1:$998,COLUMN($O$1),FALSE)*VLOOKUP($D177,素材!$1:$1016,COLUMN($E$1),FALSE)/(LEN(VLOOKUP($D177,素材!$1:$1016,COLUMN($F$1),FALSE))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P177">
        <f>IF(ISNUMBER(SEARCH(SUBSTITUTE(AP$1,RIGHT(AP$1,2),""),VLOOKUP($D177,素材!$1:$1016,COLUMN($F$1),FALSE))),VLOOKUP($C177,武器!$1:$998,COLUMN($O$1),FALSE)*VLOOKUP($D177,素材!$1:$1016,COLUMN($E$1),FALSE)/(LEN(VLOOKUP($D177,素材!$1:$1016,COLUMN($F$1),FALSE))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Q177">
        <f>IF(ISNUMBER(SEARCH(SUBSTITUTE(AQ$1,RIGHT(AQ$1,2),""),VLOOKUP($D177,素材!$1:$1016,COLUMN($F$1),FALSE))),VLOOKUP($C177,武器!$1:$998,COLUMN($O$1),FALSE)*VLOOKUP($D177,素材!$1:$1016,COLUMN($E$1),FALSE)/(LEN(VLOOKUP($D177,素材!$1:$1016,COLUMN($F$1),FALSE))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R177">
        <f>IF(ISNUMBER(SEARCH(SUBSTITUTE(AR$1,RIGHT(AR$1,2),""),VLOOKUP($D177,素材!$1:$1016,COLUMN($F$1),FALSE))),VLOOKUP($C177,武器!$1:$998,COLUMN($O$1),FALSE)*VLOOKUP($D177,素材!$1:$1016,COLUMN($E$1),FALSE)/(LEN(VLOOKUP($D177,素材!$1:$1016,COLUMN($F$1),FALSE))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S177">
        <f>IF(ISNUMBER(SEARCH(SUBSTITUTE(AS$1,RIGHT(AS$1,2),""),VLOOKUP($D177,素材!$1:$1016,COLUMN($F$1),FALSE))),VLOOKUP($C177,武器!$1:$998,COLUMN($O$1),FALSE)*VLOOKUP($D177,素材!$1:$1016,COLUMN($E$1),FALSE)/(LEN(VLOOKUP($D177,素材!$1:$1016,COLUMN($F$1),FALSE))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T177">
        <f>IF(ISNUMBER(SEARCH(SUBSTITUTE(AT$1,RIGHT(AT$1,2),""),VLOOKUP($D177,素材!$1:$1016,COLUMN($F$1),FALSE))),VLOOKUP($C177,武器!$1:$998,COLUMN($O$1),FALSE)*VLOOKUP($D177,素材!$1:$1016,COLUMN($E$1),FALSE)/(LEN(VLOOKUP($D177,素材!$1:$1016,COLUMN($F$1),FALSE))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U177">
        <f>IF(ISNUMBER(SEARCH(SUBSTITUTE(AU$1,RIGHT(AU$1,2),""),VLOOKUP($D177,素材!$1:$1016,COLUMN($F$1),FALSE))),VLOOKUP($C177,武器!$1:$998,COLUMN($O$1),FALSE)*VLOOKUP($D177,素材!$1:$1016,COLUMN($E$1),FALSE)/(LEN(VLOOKUP($D177,素材!$1:$1016,COLUMN($F$1),FALSE))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V177">
        <f>IF(ISNUMBER(SEARCH(SUBSTITUTE(AV$1,RIGHT(AV$1,2),""),VLOOKUP($D177,素材!$1:$1016,COLUMN($F$1),FALSE))),VLOOKUP($C177,武器!$1:$998,COLUMN($O$1),FALSE)*VLOOKUP($D177,素材!$1:$1016,COLUMN($E$1),FALSE)/(LEN(VLOOKUP($D177,素材!$1:$1016,COLUMN($F$1),FALSE))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W177">
        <f>IF(ISNUMBER(SEARCH(SUBSTITUTE(AW$1,RIGHT(AW$1,2),""),VLOOKUP($D177,素材!$1:$1016,COLUMN($F$1),FALSE))),VLOOKUP($C177,武器!$1:$998,COLUMN($O$1),FALSE)*VLOOKUP($D177,素材!$1:$1016,COLUMN($E$1),FALSE)/(LEN(VLOOKUP($D177,素材!$1:$1016,COLUMN($F$1),FALSE))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X177">
        <f>IF(ISNUMBER(SEARCH(SUBSTITUTE(AX$1,RIGHT(AX$1,2),""),VLOOKUP($D177,素材!$1:$1016,COLUMN($F$1),FALSE))),VLOOKUP($C177,武器!$1:$998,COLUMN($O$1),FALSE)*VLOOKUP($D177,素材!$1:$1016,COLUMN($E$1),FALSE)/(LEN(VLOOKUP($D177,素材!$1:$1016,COLUMN($F$1),FALSE))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Y177">
        <f>IF(ISNUMBER(SEARCH(SUBSTITUTE(AY$1,RIGHT(AY$1,2),""),VLOOKUP($D177,素材!$1:$1016,COLUMN($F$1),FALSE))),VLOOKUP($C177,武器!$1:$998,COLUMN($O$1),FALSE)*VLOOKUP($D177,素材!$1:$1016,COLUMN($E$1),FALSE)/(LEN(VLOOKUP($D177,素材!$1:$1016,COLUMN($F$1),FALSE))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AZ177">
        <f>IF(ISNUMBER(SEARCH(SUBSTITUTE(AZ$1,RIGHT(AZ$1,2),""),VLOOKUP($D177,素材!$1:$1016,COLUMN($F$1),FALSE))),VLOOKUP($C177,武器!$1:$998,COLUMN($O$1),FALSE)*VLOOKUP($D177,素材!$1:$1016,COLUMN($E$1),FALSE)/(LEN(VLOOKUP($D177,素材!$1:$1016,COLUMN($F$1),FALSE))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BA177">
        <f>IF(ISNUMBER(SEARCH(SUBSTITUTE(BA$1,RIGHT(BA$1,2),""),VLOOKUP($D177,素材!$1:$1016,COLUMN($F$1),FALSE))),VLOOKUP($C177,武器!$1:$998,COLUMN($O$1),FALSE)*VLOOKUP($D177,素材!$1:$1016,COLUMN($E$1),FALSE)/(LEN(VLOOKUP($D177,素材!$1:$1016,COLUMN($F$1),FALSE))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BB177">
        <f>IF(ISNUMBER(SEARCH(SUBSTITUTE(BB$1,RIGHT(BB$1,2),""),VLOOKUP($D177,素材!$1:$1016,COLUMN($F$1),FALSE))),VLOOKUP($C177,武器!$1:$998,COLUMN($O$1),FALSE)*VLOOKUP($D177,素材!$1:$1016,COLUMN($E$1),FALSE)/(LEN(VLOOKUP($D177,素材!$1:$1016,COLUMN($F$1),FALSE))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BC177">
        <f>IF(ISNUMBER(SEARCH(SUBSTITUTE(BC$1,RIGHT(BC$1,2),""),VLOOKUP($D177,素材!$1:$1016,COLUMN($F$1),FALSE))),VLOOKUP($C177,武器!$1:$998,COLUMN($O$1),FALSE)*VLOOKUP($D177,素材!$1:$1016,COLUMN($E$1),FALSE)/(LEN(VLOOKUP($D177,素材!$1:$1016,COLUMN($F$1),FALSE))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BD177">
        <f>IF(ISNUMBER(SEARCH(SUBSTITUTE(BD$1,RIGHT(BD$1,2),""),VLOOKUP($D177,素材!$1:$1016,COLUMN($F$1),FALSE))),VLOOKUP($C177,武器!$1:$998,COLUMN($O$1),FALSE)*VLOOKUP($D177,素材!$1:$1016,COLUMN($E$1),FALSE)/(LEN(VLOOKUP($D177,素材!$1:$1016,COLUMN($F$1),FALSE))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BE177">
        <f>IF(ISNUMBER(SEARCH(SUBSTITUTE(BE$1,RIGHT(BE$1,2),""),VLOOKUP($D177,素材!$1:$1016,COLUMN($F$1),FALSE))),VLOOKUP($C177,武器!$1:$998,COLUMN($O$1),FALSE)*VLOOKUP($D177,素材!$1:$1016,COLUMN($E$1),FALSE)/(LEN(VLOOKUP($D177,素材!$1:$1016,COLUMN($F$1),FALSE))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BF177">
        <f>IF(ISNUMBER(SEARCH(SUBSTITUTE(BF$1,RIGHT(BF$1,2),""),VLOOKUP($D177,素材!$1:$1016,COLUMN($F$1),FALSE))),VLOOKUP($C177,武器!$1:$998,COLUMN($O$1),FALSE)*VLOOKUP($D177,素材!$1:$1016,COLUMN($E$1),FALSE)/(LEN(VLOOKUP($D177,素材!$1:$1016,COLUMN($F$1),FALSE)) - LEN(SUBSTITUTE(VLOOKUP($D177,素材!$1:$1016,COLUMN($F$1),FALSE), "・", 0)) + 1), 0)</f>
        <v>0</v>
      </c>
      <c r="CM177">
        <f t="shared" si="19"/>
        <v>17</v>
      </c>
      <c r="CN177" s="22" t="str">
        <f>IF(E177="武器",IF(J177-1&gt;SUM(G177:I177),"盾",IF(MAX(G177:I177)=G177,"切断",IF(MAX(G177:I177)=H177,"貫通",IF(MAX(G177:I177)=I177,"打撃","射撃")))),E177)&amp;".webp"</f>
        <v>盾.webp</v>
      </c>
      <c r="CO177">
        <f>IFERROR(VLOOKUP($C177,武器!$1:$998,COLUMN(V$1),FALSE)*VLOOKUP($D177,素材!$1:$1016,COLUMN(N$1),FALSE)+IF(CJ177="",0,VLOOKUP($CJ177,装強!$1:$1008,COLUMN($CL$1),FALSE)),"")</f>
        <v>3000</v>
      </c>
      <c r="CP177">
        <f>VLOOKUP(D177,素材!$A:$O,COLUMN(素材!O$1),FALSE)</f>
        <v>0</v>
      </c>
      <c r="CQ177" t="str">
        <f>VLOOKUP(C177,武器!$A:$W,COLUMN(武器!W$1),FALSE)</f>
        <v>大盾。さらに大きな盾で、高い防御力を持つ。</v>
      </c>
      <c r="CS177" t="str">
        <f t="shared" si="21"/>
        <v>e_177</v>
      </c>
      <c r="CT177">
        <f t="shared" si="24"/>
        <v>300000</v>
      </c>
    </row>
    <row r="178" spans="1:98" outlineLevel="1" x14ac:dyDescent="0.4">
      <c r="A178" t="str">
        <f t="shared" si="29"/>
        <v>黒鋼鉄の短弓</v>
      </c>
      <c r="B178" t="str">
        <f>IFERROR(VLOOKUP($D178,素材!$1:$1016,COLUMN($B$1),FALSE)&amp;"・"&amp;VLOOKUP($C178,武器!$1:$998,COLUMN(B$1),FALSE),"")</f>
        <v>ブラックスティール・ボウ</v>
      </c>
      <c r="C178" t="s">
        <v>218</v>
      </c>
      <c r="D178" s="24" t="s">
        <v>244</v>
      </c>
      <c r="E178" t="str">
        <f>IFERROR(VLOOKUP(C178,武器!$1:$998,COLUMN(C$1),FALSE),"")</f>
        <v>武器</v>
      </c>
      <c r="F178">
        <f>IFERROR(ROUNDDOWN((VLOOKUP($C178,武器!$1:$998,COLUMN(D$1),FALSE)+IFERROR(VLOOKUP($CJ178,装強!$1:$999,COLUMN(F$1),FALSE),0))*VLOOKUP($D178,素材!$1:$1016,COLUMN(D$1),FALSE),0),"")</f>
        <v>110</v>
      </c>
      <c r="G178">
        <f>IFERROR(ROUNDDOWN((VLOOKUP($C178,武器!$1:$998,COLUMN(E$1),FALSE)+IFERROR(VLOOKUP($CJ178,装強!$1:$999,COLUMN(G$1),FALSE),0))*VLOOKUP($D178,素材!$1:$1016,COLUMN($E$1),FALSE),0),"")</f>
        <v>5</v>
      </c>
      <c r="H178">
        <f>IFERROR(ROUNDDOWN((VLOOKUP($C178,武器!$1:$998,COLUMN(F$1),FALSE)+IFERROR(VLOOKUP($CJ178,装強!$1:$999,COLUMN(H$1),FALSE),0))*VLOOKUP($D178,素材!$1:$1016,COLUMN($E$1),FALSE),0),"")</f>
        <v>5</v>
      </c>
      <c r="I178">
        <f>IFERROR(ROUNDDOWN((VLOOKUP($C178,武器!$1:$998,COLUMN(G$1),FALSE)+IFERROR(VLOOKUP($CJ178,装強!$1:$999,COLUMN(I$1),FALSE),0))*VLOOKUP($D178,素材!$1:$1016,COLUMN($E$1),FALSE),0),"")</f>
        <v>0</v>
      </c>
      <c r="J178">
        <f>IFERROR(ROUNDDOWN((VLOOKUP($C178,武器!$1:$998,COLUMN(H$1),FALSE)+IFERROR(VLOOKUP($CJ178,装強!$1:$999,COLUMN(J$1),FALSE),0))*VLOOKUP($D178,素材!$1:$1016,COLUMN($E$1),FALSE),0),"")</f>
        <v>0</v>
      </c>
      <c r="K178">
        <f>IFERROR(ROUNDDOWN((VLOOKUP($C178,武器!$1:$998,COLUMN(I$1),FALSE)+IFERROR(VLOOKUP($CJ178,装強!$1:$999,COLUMN(K$1),FALSE),0))*VLOOKUP($D178,素材!$1:$1016,COLUMN($E$1),FALSE),0),"")</f>
        <v>20</v>
      </c>
      <c r="L178" t="str">
        <f>IFERROR(VLOOKUP($D178,素材!$1:$1016,COLUMN($F$1),FALSE),"")</f>
        <v>雷</v>
      </c>
      <c r="M178">
        <f>IFERROR(VLOOKUP($C178,武器!$1:$998,COLUMN(AA$1),FALSE)*VLOOKUP($D178,素材!$1:$1016,COLUMN($G$1),FALSE),"")</f>
        <v>35</v>
      </c>
      <c r="N178">
        <f>IFERROR(VLOOKUP($C178,武器!$1:$998,COLUMN(I$1),FALSE),"")</f>
        <v>1</v>
      </c>
      <c r="O178" s="23">
        <f>IFERROR((VLOOKUP($C178,武器!$1:$998,COLUMN(K$1),FALSE)+VLOOKUP($D178,素材!$1:$1016,COLUMN(H$1),FALSE))*100+IFERROR(VLOOKUP($CJ178,装強!$1:$999,COLUMN(O$1),FALSE),0),"")</f>
        <v>10</v>
      </c>
      <c r="P178" s="23">
        <f>IFERROR((VLOOKUP($C178,武器!$1:$998,COLUMN(L$1),FALSE)+VLOOKUP($D178,素材!$1:$1016,COLUMN(I$1),FALSE))*100+IFERROR(VLOOKUP($CJ178,装強!$1:$999,COLUMN(P$1),FALSE),0),"")</f>
        <v>130</v>
      </c>
      <c r="Q178">
        <f>IFERROR(ROUNDUP(VLOOKUP($C178,武器!$1:$998,COLUMN(M$1),FALSE)*(VLOOKUP($D178,素材!$1:$1002,COLUMN(D$1),FALSE)/100),1),"")</f>
        <v>-2.5</v>
      </c>
      <c r="R178">
        <f>IFERROR(ROUNDUP(VLOOKUP($C178,武器!$1:$998,COLUMN(N$1),FALSE)*(VLOOKUP($D178,素材!$1:$1002,COLUMN(D$1),FALSE)/100),1),"")</f>
        <v>0</v>
      </c>
      <c r="S178">
        <f>IFERROR(VLOOKUP($C178,武器!$1:$998,COLUMN(P$1),FALSE),"")</f>
        <v>2</v>
      </c>
      <c r="T178">
        <f>IFERROR(VLOOKUP($C178,武器!$1:$998,COLUMN(Q$1),FALSE),"")</f>
        <v>0</v>
      </c>
      <c r="U178">
        <f>IFERROR(VLOOKUP($C178,武器!$1:$998,COLUMN(R$1),FALSE),"")</f>
        <v>0</v>
      </c>
      <c r="V178">
        <f>IFERROR(VLOOKUP($C178,武器!$1:$998,COLUMN(Q$1),FALSE),"")</f>
        <v>0</v>
      </c>
      <c r="W178" t="str">
        <f>IFERROR(VLOOKUP($C178,武器!$1:$998,COLUMN(T$1),FALSE),"")</f>
        <v>A</v>
      </c>
      <c r="Y178">
        <f>IFERROR(VLOOKUP($C178,武器!$1:$998,COLUMN(U$1),FALSE),"")</f>
        <v>0</v>
      </c>
      <c r="Z178">
        <f>IFERROR(ROUNDUP(VLOOKUP($C178,武器!$1:$998,COLUMN(O$1),FALSE)*VLOOKUP($D178,素材!$1:$1016,COLUMN(E$1),FALSE),1),"")</f>
        <v>0</v>
      </c>
      <c r="AA178">
        <f>IF(ISNUMBER(SEARCH(SUBSTITUTE(AA$1,RIGHT(AA$1,2),""),VLOOKUP($D178,素材!$1:$1016,COLUMN($F$1),FALSE))),VLOOKUP($C178,武器!$1:$998,COLUMN($O$1),FALSE)*VLOOKUP($D178,素材!$1:$1016,COLUMN($E$1),FALSE)/(LEN(VLOOKUP($D178,素材!$1:$1016,COLUMN($F$1),FALSE))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B178">
        <f>IF(ISNUMBER(SEARCH(SUBSTITUTE(AB$1,RIGHT(AB$1,2),""),VLOOKUP($D178,素材!$1:$1016,COLUMN($F$1),FALSE))),VLOOKUP($C178,武器!$1:$998,COLUMN($O$1),FALSE)*VLOOKUP($D178,素材!$1:$1016,COLUMN($E$1),FALSE)/(LEN(VLOOKUP($D178,素材!$1:$1016,COLUMN($F$1),FALSE))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C178">
        <f>IF(ISNUMBER(SEARCH(SUBSTITUTE(AC$1,RIGHT(AC$1,2),""),VLOOKUP($D178,素材!$1:$1016,COLUMN($F$1),FALSE))),VLOOKUP($C178,武器!$1:$998,COLUMN($O$1),FALSE)*VLOOKUP($D178,素材!$1:$1016,COLUMN($E$1),FALSE)/(LEN(VLOOKUP($D178,素材!$1:$1016,COLUMN($F$1),FALSE))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D178">
        <f>IF(ISNUMBER(SEARCH(SUBSTITUTE(AD$1,RIGHT(AD$1,2),""),VLOOKUP($D178,素材!$1:$1016,COLUMN($F$1),FALSE))),VLOOKUP($C178,武器!$1:$998,COLUMN($O$1),FALSE)*VLOOKUP($D178,素材!$1:$1016,COLUMN($E$1),FALSE)/(LEN(VLOOKUP($D178,素材!$1:$1016,COLUMN($F$1),FALSE))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E178">
        <f>IF(ISNUMBER(SEARCH(SUBSTITUTE(AE$1,RIGHT(AE$1,2),""),VLOOKUP($D178,素材!$1:$1016,COLUMN($F$1),FALSE))),VLOOKUP($C178,武器!$1:$998,COLUMN($O$1),FALSE)*VLOOKUP($D178,素材!$1:$1016,COLUMN($E$1),FALSE)/(LEN(VLOOKUP($D178,素材!$1:$1016,COLUMN($F$1),FALSE))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F178">
        <f>IF(ISNUMBER(SEARCH(SUBSTITUTE(AF$1,RIGHT(AF$1,2),""),VLOOKUP($D178,素材!$1:$1016,COLUMN($F$1),FALSE))),VLOOKUP($C178,武器!$1:$998,COLUMN($O$1),FALSE)*VLOOKUP($D178,素材!$1:$1016,COLUMN($E$1),FALSE)/(LEN(VLOOKUP($D178,素材!$1:$1016,COLUMN($F$1),FALSE))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G178">
        <f>IF(ISNUMBER(SEARCH(SUBSTITUTE(AG$1,RIGHT(AG$1,2),""),VLOOKUP($D178,素材!$1:$1016,COLUMN($F$1),FALSE))),VLOOKUP($C178,武器!$1:$998,COLUMN($O$1),FALSE)*VLOOKUP($D178,素材!$1:$1016,COLUMN($E$1),FALSE)/(LEN(VLOOKUP($D178,素材!$1:$1016,COLUMN($F$1),FALSE))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H178">
        <f>IF(ISNUMBER(SEARCH(SUBSTITUTE(AH$1,RIGHT(AH$1,2),""),VLOOKUP($D178,素材!$1:$1016,COLUMN($F$1),FALSE))),VLOOKUP($C178,武器!$1:$998,COLUMN($O$1),FALSE)*VLOOKUP($D178,素材!$1:$1016,COLUMN($E$1),FALSE)/(LEN(VLOOKUP($D178,素材!$1:$1016,COLUMN($F$1),FALSE))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I178">
        <f>IF(ISNUMBER(SEARCH(SUBSTITUTE(AI$1,RIGHT(AI$1,2),""),VLOOKUP($D178,素材!$1:$1016,COLUMN($F$1),FALSE))),VLOOKUP($C178,武器!$1:$998,COLUMN($O$1),FALSE)*VLOOKUP($D178,素材!$1:$1016,COLUMN($E$1),FALSE)/(LEN(VLOOKUP($D178,素材!$1:$1016,COLUMN($F$1),FALSE))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J178">
        <f>IF(ISNUMBER(SEARCH(SUBSTITUTE(AJ$1,RIGHT(AJ$1,2),""),VLOOKUP($D178,素材!$1:$1016,COLUMN($F$1),FALSE))),VLOOKUP($C178,武器!$1:$998,COLUMN($O$1),FALSE)*VLOOKUP($D178,素材!$1:$1016,COLUMN($E$1),FALSE)/(LEN(VLOOKUP($D178,素材!$1:$1016,COLUMN($F$1),FALSE))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K178">
        <f>IF(ISNUMBER(SEARCH(SUBSTITUTE(AK$1,RIGHT(AK$1,2),""),VLOOKUP($D178,素材!$1:$1016,COLUMN($F$1),FALSE))),VLOOKUP($C178,武器!$1:$998,COLUMN($O$1),FALSE)*VLOOKUP($D178,素材!$1:$1016,COLUMN($E$1),FALSE)/(LEN(VLOOKUP($D178,素材!$1:$1016,COLUMN($F$1),FALSE))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L178">
        <f>IF(ISNUMBER(SEARCH(SUBSTITUTE(AL$1,RIGHT(AL$1,2),""),VLOOKUP($D178,素材!$1:$1016,COLUMN($F$1),FALSE))),VLOOKUP($C178,武器!$1:$998,COLUMN($O$1),FALSE)*VLOOKUP($D178,素材!$1:$1016,COLUMN($E$1),FALSE)/(LEN(VLOOKUP($D178,素材!$1:$1016,COLUMN($F$1),FALSE))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M178">
        <f>IF(ISNUMBER(SEARCH(SUBSTITUTE(AM$1,RIGHT(AM$1,2),""),VLOOKUP($D178,素材!$1:$1016,COLUMN($F$1),FALSE))),VLOOKUP($C178,武器!$1:$998,COLUMN($O$1),FALSE)*VLOOKUP($D178,素材!$1:$1016,COLUMN($E$1),FALSE)/(LEN(VLOOKUP($D178,素材!$1:$1016,COLUMN($F$1),FALSE))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N178">
        <f>IF(ISNUMBER(SEARCH(SUBSTITUTE(AN$1,RIGHT(AN$1,2),""),VLOOKUP($D178,素材!$1:$1016,COLUMN($F$1),FALSE))),VLOOKUP($C178,武器!$1:$998,COLUMN($O$1),FALSE)*VLOOKUP($D178,素材!$1:$1016,COLUMN($E$1),FALSE)/(LEN(VLOOKUP($D178,素材!$1:$1016,COLUMN($F$1),FALSE))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O178">
        <f>IF(ISNUMBER(SEARCH(SUBSTITUTE(AO$1,RIGHT(AO$1,2),""),VLOOKUP($D178,素材!$1:$1016,COLUMN($F$1),FALSE))),VLOOKUP($C178,武器!$1:$998,COLUMN($O$1),FALSE)*VLOOKUP($D178,素材!$1:$1016,COLUMN($E$1),FALSE)/(LEN(VLOOKUP($D178,素材!$1:$1016,COLUMN($F$1),FALSE))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P178">
        <f>IF(ISNUMBER(SEARCH(SUBSTITUTE(AP$1,RIGHT(AP$1,2),""),VLOOKUP($D178,素材!$1:$1016,COLUMN($F$1),FALSE))),VLOOKUP($C178,武器!$1:$998,COLUMN($O$1),FALSE)*VLOOKUP($D178,素材!$1:$1016,COLUMN($E$1),FALSE)/(LEN(VLOOKUP($D178,素材!$1:$1016,COLUMN($F$1),FALSE))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Q178">
        <f>IF(ISNUMBER(SEARCH(SUBSTITUTE(AQ$1,RIGHT(AQ$1,2),""),VLOOKUP($D178,素材!$1:$1016,COLUMN($F$1),FALSE))),VLOOKUP($C178,武器!$1:$998,COLUMN($O$1),FALSE)*VLOOKUP($D178,素材!$1:$1016,COLUMN($E$1),FALSE)/(LEN(VLOOKUP($D178,素材!$1:$1016,COLUMN($F$1),FALSE))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R178">
        <f>IF(ISNUMBER(SEARCH(SUBSTITUTE(AR$1,RIGHT(AR$1,2),""),VLOOKUP($D178,素材!$1:$1016,COLUMN($F$1),FALSE))),VLOOKUP($C178,武器!$1:$998,COLUMN($O$1),FALSE)*VLOOKUP($D178,素材!$1:$1016,COLUMN($E$1),FALSE)/(LEN(VLOOKUP($D178,素材!$1:$1016,COLUMN($F$1),FALSE))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S178">
        <f>IF(ISNUMBER(SEARCH(SUBSTITUTE(AS$1,RIGHT(AS$1,2),""),VLOOKUP($D178,素材!$1:$1016,COLUMN($F$1),FALSE))),VLOOKUP($C178,武器!$1:$998,COLUMN($O$1),FALSE)*VLOOKUP($D178,素材!$1:$1016,COLUMN($E$1),FALSE)/(LEN(VLOOKUP($D178,素材!$1:$1016,COLUMN($F$1),FALSE))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T178">
        <f>IF(ISNUMBER(SEARCH(SUBSTITUTE(AT$1,RIGHT(AT$1,2),""),VLOOKUP($D178,素材!$1:$1016,COLUMN($F$1),FALSE))),VLOOKUP($C178,武器!$1:$998,COLUMN($O$1),FALSE)*VLOOKUP($D178,素材!$1:$1016,COLUMN($E$1),FALSE)/(LEN(VLOOKUP($D178,素材!$1:$1016,COLUMN($F$1),FALSE))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U178">
        <f>IF(ISNUMBER(SEARCH(SUBSTITUTE(AU$1,RIGHT(AU$1,2),""),VLOOKUP($D178,素材!$1:$1016,COLUMN($F$1),FALSE))),VLOOKUP($C178,武器!$1:$998,COLUMN($O$1),FALSE)*VLOOKUP($D178,素材!$1:$1016,COLUMN($E$1),FALSE)/(LEN(VLOOKUP($D178,素材!$1:$1016,COLUMN($F$1),FALSE))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V178">
        <f>IF(ISNUMBER(SEARCH(SUBSTITUTE(AV$1,RIGHT(AV$1,2),""),VLOOKUP($D178,素材!$1:$1016,COLUMN($F$1),FALSE))),VLOOKUP($C178,武器!$1:$998,COLUMN($O$1),FALSE)*VLOOKUP($D178,素材!$1:$1016,COLUMN($E$1),FALSE)/(LEN(VLOOKUP($D178,素材!$1:$1016,COLUMN($F$1),FALSE))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W178">
        <f>IF(ISNUMBER(SEARCH(SUBSTITUTE(AW$1,RIGHT(AW$1,2),""),VLOOKUP($D178,素材!$1:$1016,COLUMN($F$1),FALSE))),VLOOKUP($C178,武器!$1:$998,COLUMN($O$1),FALSE)*VLOOKUP($D178,素材!$1:$1016,COLUMN($E$1),FALSE)/(LEN(VLOOKUP($D178,素材!$1:$1016,COLUMN($F$1),FALSE))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X178">
        <f>IF(ISNUMBER(SEARCH(SUBSTITUTE(AX$1,RIGHT(AX$1,2),""),VLOOKUP($D178,素材!$1:$1016,COLUMN($F$1),FALSE))),VLOOKUP($C178,武器!$1:$998,COLUMN($O$1),FALSE)*VLOOKUP($D178,素材!$1:$1016,COLUMN($E$1),FALSE)/(LEN(VLOOKUP($D178,素材!$1:$1016,COLUMN($F$1),FALSE))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Y178">
        <f>IF(ISNUMBER(SEARCH(SUBSTITUTE(AY$1,RIGHT(AY$1,2),""),VLOOKUP($D178,素材!$1:$1016,COLUMN($F$1),FALSE))),VLOOKUP($C178,武器!$1:$998,COLUMN($O$1),FALSE)*VLOOKUP($D178,素材!$1:$1016,COLUMN($E$1),FALSE)/(LEN(VLOOKUP($D178,素材!$1:$1016,COLUMN($F$1),FALSE))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AZ178">
        <f>IF(ISNUMBER(SEARCH(SUBSTITUTE(AZ$1,RIGHT(AZ$1,2),""),VLOOKUP($D178,素材!$1:$1016,COLUMN($F$1),FALSE))),VLOOKUP($C178,武器!$1:$998,COLUMN($O$1),FALSE)*VLOOKUP($D178,素材!$1:$1016,COLUMN($E$1),FALSE)/(LEN(VLOOKUP($D178,素材!$1:$1016,COLUMN($F$1),FALSE))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BA178">
        <f>IF(ISNUMBER(SEARCH(SUBSTITUTE(BA$1,RIGHT(BA$1,2),""),VLOOKUP($D178,素材!$1:$1016,COLUMN($F$1),FALSE))),VLOOKUP($C178,武器!$1:$998,COLUMN($O$1),FALSE)*VLOOKUP($D178,素材!$1:$1016,COLUMN($E$1),FALSE)/(LEN(VLOOKUP($D178,素材!$1:$1016,COLUMN($F$1),FALSE))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BB178">
        <f>IF(ISNUMBER(SEARCH(SUBSTITUTE(BB$1,RIGHT(BB$1,2),""),VLOOKUP($D178,素材!$1:$1016,COLUMN($F$1),FALSE))),VLOOKUP($C178,武器!$1:$998,COLUMN($O$1),FALSE)*VLOOKUP($D178,素材!$1:$1016,COLUMN($E$1),FALSE)/(LEN(VLOOKUP($D178,素材!$1:$1016,COLUMN($F$1),FALSE))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BC178">
        <f>IF(ISNUMBER(SEARCH(SUBSTITUTE(BC$1,RIGHT(BC$1,2),""),VLOOKUP($D178,素材!$1:$1016,COLUMN($F$1),FALSE))),VLOOKUP($C178,武器!$1:$998,COLUMN($O$1),FALSE)*VLOOKUP($D178,素材!$1:$1016,COLUMN($E$1),FALSE)/(LEN(VLOOKUP($D178,素材!$1:$1016,COLUMN($F$1),FALSE))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BD178">
        <f>IF(ISNUMBER(SEARCH(SUBSTITUTE(BD$1,RIGHT(BD$1,2),""),VLOOKUP($D178,素材!$1:$1016,COLUMN($F$1),FALSE))),VLOOKUP($C178,武器!$1:$998,COLUMN($O$1),FALSE)*VLOOKUP($D178,素材!$1:$1016,COLUMN($E$1),FALSE)/(LEN(VLOOKUP($D178,素材!$1:$1016,COLUMN($F$1),FALSE))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BE178">
        <f>IF(ISNUMBER(SEARCH(SUBSTITUTE(BE$1,RIGHT(BE$1,2),""),VLOOKUP($D178,素材!$1:$1016,COLUMN($F$1),FALSE))),VLOOKUP($C178,武器!$1:$998,COLUMN($O$1),FALSE)*VLOOKUP($D178,素材!$1:$1016,COLUMN($E$1),FALSE)/(LEN(VLOOKUP($D178,素材!$1:$1016,COLUMN($F$1),FALSE))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BF178">
        <f>IF(ISNUMBER(SEARCH(SUBSTITUTE(BF$1,RIGHT(BF$1,2),""),VLOOKUP($D178,素材!$1:$1016,COLUMN($F$1),FALSE))),VLOOKUP($C178,武器!$1:$998,COLUMN($O$1),FALSE)*VLOOKUP($D178,素材!$1:$1016,COLUMN($E$1),FALSE)/(LEN(VLOOKUP($D178,素材!$1:$1016,COLUMN($F$1),FALSE)) - LEN(SUBSTITUTE(VLOOKUP($D178,素材!$1:$1016,COLUMN($F$1),FALSE), "・", 0)) + 1), 0)</f>
        <v>0</v>
      </c>
      <c r="CM178">
        <f t="shared" si="19"/>
        <v>10</v>
      </c>
      <c r="CN178" s="22" t="str">
        <f>IF(E178="武器",IF(J178-1&gt;SUM(G178:I178),"盾",IF(MAX(G178:I178)=G178,"切断",IF(MAX(G178:I178)=H178,"貫通",IF(MAX(G178:I178)=I178,"打撃","射撃")))),E178)&amp;".webp"</f>
        <v>切断.webp</v>
      </c>
      <c r="CO178">
        <f>IFERROR(VLOOKUP($C178,武器!$1:$998,COLUMN(V$1),FALSE)*VLOOKUP($D178,素材!$1:$1016,COLUMN(N$1),FALSE)+IF(CJ178="",0,VLOOKUP($CJ178,装強!$1:$1008,COLUMN($CL$1),FALSE)),"")</f>
        <v>2250</v>
      </c>
      <c r="CP178">
        <f>VLOOKUP(D178,素材!$A:$O,COLUMN(素材!O$1),FALSE)</f>
        <v>0</v>
      </c>
      <c r="CQ178" t="str">
        <f>VLOOKUP(C178,武器!$A:$W,COLUMN(武器!W$1),FALSE)</f>
        <v>短弓。軽量で扱いやすい遠距離武器。</v>
      </c>
      <c r="CS178" t="str">
        <f t="shared" si="21"/>
        <v>e_178</v>
      </c>
      <c r="CT178">
        <f t="shared" si="24"/>
        <v>225000</v>
      </c>
    </row>
    <row r="179" spans="1:98" outlineLevel="1" x14ac:dyDescent="0.4">
      <c r="A179" t="str">
        <f t="shared" si="29"/>
        <v>黒鋼鉄の長弓</v>
      </c>
      <c r="B179" t="str">
        <f>IFERROR(VLOOKUP($D179,素材!$1:$1016,COLUMN($B$1),FALSE)&amp;"・"&amp;VLOOKUP($C179,武器!$1:$998,COLUMN(B$1),FALSE),"")</f>
        <v>ブラックスティール・ロングボウ</v>
      </c>
      <c r="C179" t="s">
        <v>217</v>
      </c>
      <c r="D179" s="24" t="s">
        <v>244</v>
      </c>
      <c r="E179" t="str">
        <f>IFERROR(VLOOKUP(C179,武器!$1:$998,COLUMN(C$1),FALSE),"")</f>
        <v>武器</v>
      </c>
      <c r="F179">
        <f>IFERROR(ROUNDDOWN((VLOOKUP($C179,武器!$1:$998,COLUMN(D$1),FALSE)+IFERROR(VLOOKUP($CJ179,装強!$1:$999,COLUMN(F$1),FALSE),0))*VLOOKUP($D179,素材!$1:$1016,COLUMN(D$1),FALSE),0),"")</f>
        <v>120</v>
      </c>
      <c r="G179">
        <f>IFERROR(ROUNDDOWN((VLOOKUP($C179,武器!$1:$998,COLUMN(E$1),FALSE)+IFERROR(VLOOKUP($CJ179,装強!$1:$999,COLUMN(G$1),FALSE),0))*VLOOKUP($D179,素材!$1:$1016,COLUMN($E$1),FALSE),0),"")</f>
        <v>5</v>
      </c>
      <c r="H179">
        <f>IFERROR(ROUNDDOWN((VLOOKUP($C179,武器!$1:$998,COLUMN(F$1),FALSE)+IFERROR(VLOOKUP($CJ179,装強!$1:$999,COLUMN(H$1),FALSE),0))*VLOOKUP($D179,素材!$1:$1016,COLUMN($E$1),FALSE),0),"")</f>
        <v>5</v>
      </c>
      <c r="I179">
        <f>IFERROR(ROUNDDOWN((VLOOKUP($C179,武器!$1:$998,COLUMN(G$1),FALSE)+IFERROR(VLOOKUP($CJ179,装強!$1:$999,COLUMN(I$1),FALSE),0))*VLOOKUP($D179,素材!$1:$1016,COLUMN($E$1),FALSE),0),"")</f>
        <v>0</v>
      </c>
      <c r="J179">
        <f>IFERROR(ROUNDDOWN((VLOOKUP($C179,武器!$1:$998,COLUMN(H$1),FALSE)+IFERROR(VLOOKUP($CJ179,装強!$1:$999,COLUMN(J$1),FALSE),0))*VLOOKUP($D179,素材!$1:$1016,COLUMN($E$1),FALSE),0),"")</f>
        <v>0</v>
      </c>
      <c r="K179">
        <f>IFERROR(ROUNDDOWN((VLOOKUP($C179,武器!$1:$998,COLUMN(I$1),FALSE)+IFERROR(VLOOKUP($CJ179,装強!$1:$999,COLUMN(K$1),FALSE),0))*VLOOKUP($D179,素材!$1:$1016,COLUMN($E$1),FALSE),0),"")</f>
        <v>23</v>
      </c>
      <c r="L179" t="str">
        <f>IFERROR(VLOOKUP($D179,素材!$1:$1016,COLUMN($F$1),FALSE),"")</f>
        <v>雷</v>
      </c>
      <c r="M179">
        <f>IFERROR(VLOOKUP($C179,武器!$1:$998,COLUMN(AA$1),FALSE)*VLOOKUP($D179,素材!$1:$1016,COLUMN($G$1),FALSE),"")</f>
        <v>40.25</v>
      </c>
      <c r="N179">
        <f>IFERROR(VLOOKUP($C179,武器!$1:$998,COLUMN(I$1),FALSE),"")</f>
        <v>1.1499999999999999</v>
      </c>
      <c r="O179" s="23">
        <f>IFERROR((VLOOKUP($C179,武器!$1:$998,COLUMN(K$1),FALSE)+VLOOKUP($D179,素材!$1:$1016,COLUMN(H$1),FALSE))*100+IFERROR(VLOOKUP($CJ179,装強!$1:$999,COLUMN(O$1),FALSE),0),"")</f>
        <v>10</v>
      </c>
      <c r="P179" s="23">
        <f>IFERROR((VLOOKUP($C179,武器!$1:$998,COLUMN(L$1),FALSE)+VLOOKUP($D179,素材!$1:$1016,COLUMN(I$1),FALSE))*100+IFERROR(VLOOKUP($CJ179,装強!$1:$999,COLUMN(P$1),FALSE),0),"")</f>
        <v>130</v>
      </c>
      <c r="Q179">
        <f>IFERROR(ROUNDUP(VLOOKUP($C179,武器!$1:$998,COLUMN(M$1),FALSE)*(VLOOKUP($D179,素材!$1:$1002,COLUMN(D$1),FALSE)/100),1),"")</f>
        <v>-5</v>
      </c>
      <c r="R179">
        <f>IFERROR(ROUNDUP(VLOOKUP($C179,武器!$1:$998,COLUMN(N$1),FALSE)*(VLOOKUP($D179,素材!$1:$1002,COLUMN(D$1),FALSE)/100),1),"")</f>
        <v>-2.5</v>
      </c>
      <c r="S179">
        <f>IFERROR(VLOOKUP($C179,武器!$1:$998,COLUMN(P$1),FALSE),"")</f>
        <v>2</v>
      </c>
      <c r="T179">
        <f>IFERROR(VLOOKUP($C179,武器!$1:$998,COLUMN(Q$1),FALSE),"")</f>
        <v>0</v>
      </c>
      <c r="U179">
        <f>IFERROR(VLOOKUP($C179,武器!$1:$998,COLUMN(R$1),FALSE),"")</f>
        <v>0</v>
      </c>
      <c r="V179">
        <f>IFERROR(VLOOKUP($C179,武器!$1:$998,COLUMN(Q$1),FALSE),"")</f>
        <v>0</v>
      </c>
      <c r="W179" t="str">
        <f>IFERROR(VLOOKUP($C179,武器!$1:$998,COLUMN(T$1),FALSE),"")</f>
        <v>A</v>
      </c>
      <c r="Y179">
        <f>IFERROR(VLOOKUP($C179,武器!$1:$998,COLUMN(U$1),FALSE),"")</f>
        <v>0</v>
      </c>
      <c r="Z179">
        <f>IFERROR(ROUNDUP(VLOOKUP($C179,武器!$1:$998,COLUMN(O$1),FALSE)*VLOOKUP($D179,素材!$1:$1016,COLUMN(E$1),FALSE),1),"")</f>
        <v>0</v>
      </c>
      <c r="AA179">
        <f>IF(ISNUMBER(SEARCH(SUBSTITUTE(AA$1,RIGHT(AA$1,2),""),VLOOKUP($D179,素材!$1:$1016,COLUMN($F$1),FALSE))),VLOOKUP($C179,武器!$1:$998,COLUMN($O$1),FALSE)*VLOOKUP($D179,素材!$1:$1016,COLUMN($E$1),FALSE)/(LEN(VLOOKUP($D179,素材!$1:$1016,COLUMN($F$1),FALSE))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B179">
        <f>IF(ISNUMBER(SEARCH(SUBSTITUTE(AB$1,RIGHT(AB$1,2),""),VLOOKUP($D179,素材!$1:$1016,COLUMN($F$1),FALSE))),VLOOKUP($C179,武器!$1:$998,COLUMN($O$1),FALSE)*VLOOKUP($D179,素材!$1:$1016,COLUMN($E$1),FALSE)/(LEN(VLOOKUP($D179,素材!$1:$1016,COLUMN($F$1),FALSE))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C179">
        <f>IF(ISNUMBER(SEARCH(SUBSTITUTE(AC$1,RIGHT(AC$1,2),""),VLOOKUP($D179,素材!$1:$1016,COLUMN($F$1),FALSE))),VLOOKUP($C179,武器!$1:$998,COLUMN($O$1),FALSE)*VLOOKUP($D179,素材!$1:$1016,COLUMN($E$1),FALSE)/(LEN(VLOOKUP($D179,素材!$1:$1016,COLUMN($F$1),FALSE))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D179">
        <f>IF(ISNUMBER(SEARCH(SUBSTITUTE(AD$1,RIGHT(AD$1,2),""),VLOOKUP($D179,素材!$1:$1016,COLUMN($F$1),FALSE))),VLOOKUP($C179,武器!$1:$998,COLUMN($O$1),FALSE)*VLOOKUP($D179,素材!$1:$1016,COLUMN($E$1),FALSE)/(LEN(VLOOKUP($D179,素材!$1:$1016,COLUMN($F$1),FALSE))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E179">
        <f>IF(ISNUMBER(SEARCH(SUBSTITUTE(AE$1,RIGHT(AE$1,2),""),VLOOKUP($D179,素材!$1:$1016,COLUMN($F$1),FALSE))),VLOOKUP($C179,武器!$1:$998,COLUMN($O$1),FALSE)*VLOOKUP($D179,素材!$1:$1016,COLUMN($E$1),FALSE)/(LEN(VLOOKUP($D179,素材!$1:$1016,COLUMN($F$1),FALSE))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F179">
        <f>IF(ISNUMBER(SEARCH(SUBSTITUTE(AF$1,RIGHT(AF$1,2),""),VLOOKUP($D179,素材!$1:$1016,COLUMN($F$1),FALSE))),VLOOKUP($C179,武器!$1:$998,COLUMN($O$1),FALSE)*VLOOKUP($D179,素材!$1:$1016,COLUMN($E$1),FALSE)/(LEN(VLOOKUP($D179,素材!$1:$1016,COLUMN($F$1),FALSE))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G179">
        <f>IF(ISNUMBER(SEARCH(SUBSTITUTE(AG$1,RIGHT(AG$1,2),""),VLOOKUP($D179,素材!$1:$1016,COLUMN($F$1),FALSE))),VLOOKUP($C179,武器!$1:$998,COLUMN($O$1),FALSE)*VLOOKUP($D179,素材!$1:$1016,COLUMN($E$1),FALSE)/(LEN(VLOOKUP($D179,素材!$1:$1016,COLUMN($F$1),FALSE))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H179">
        <f>IF(ISNUMBER(SEARCH(SUBSTITUTE(AH$1,RIGHT(AH$1,2),""),VLOOKUP($D179,素材!$1:$1016,COLUMN($F$1),FALSE))),VLOOKUP($C179,武器!$1:$998,COLUMN($O$1),FALSE)*VLOOKUP($D179,素材!$1:$1016,COLUMN($E$1),FALSE)/(LEN(VLOOKUP($D179,素材!$1:$1016,COLUMN($F$1),FALSE))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I179">
        <f>IF(ISNUMBER(SEARCH(SUBSTITUTE(AI$1,RIGHT(AI$1,2),""),VLOOKUP($D179,素材!$1:$1016,COLUMN($F$1),FALSE))),VLOOKUP($C179,武器!$1:$998,COLUMN($O$1),FALSE)*VLOOKUP($D179,素材!$1:$1016,COLUMN($E$1),FALSE)/(LEN(VLOOKUP($D179,素材!$1:$1016,COLUMN($F$1),FALSE))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J179">
        <f>IF(ISNUMBER(SEARCH(SUBSTITUTE(AJ$1,RIGHT(AJ$1,2),""),VLOOKUP($D179,素材!$1:$1016,COLUMN($F$1),FALSE))),VLOOKUP($C179,武器!$1:$998,COLUMN($O$1),FALSE)*VLOOKUP($D179,素材!$1:$1016,COLUMN($E$1),FALSE)/(LEN(VLOOKUP($D179,素材!$1:$1016,COLUMN($F$1),FALSE))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K179">
        <f>IF(ISNUMBER(SEARCH(SUBSTITUTE(AK$1,RIGHT(AK$1,2),""),VLOOKUP($D179,素材!$1:$1016,COLUMN($F$1),FALSE))),VLOOKUP($C179,武器!$1:$998,COLUMN($O$1),FALSE)*VLOOKUP($D179,素材!$1:$1016,COLUMN($E$1),FALSE)/(LEN(VLOOKUP($D179,素材!$1:$1016,COLUMN($F$1),FALSE))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L179">
        <f>IF(ISNUMBER(SEARCH(SUBSTITUTE(AL$1,RIGHT(AL$1,2),""),VLOOKUP($D179,素材!$1:$1016,COLUMN($F$1),FALSE))),VLOOKUP($C179,武器!$1:$998,COLUMN($O$1),FALSE)*VLOOKUP($D179,素材!$1:$1016,COLUMN($E$1),FALSE)/(LEN(VLOOKUP($D179,素材!$1:$1016,COLUMN($F$1),FALSE))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M179">
        <f>IF(ISNUMBER(SEARCH(SUBSTITUTE(AM$1,RIGHT(AM$1,2),""),VLOOKUP($D179,素材!$1:$1016,COLUMN($F$1),FALSE))),VLOOKUP($C179,武器!$1:$998,COLUMN($O$1),FALSE)*VLOOKUP($D179,素材!$1:$1016,COLUMN($E$1),FALSE)/(LEN(VLOOKUP($D179,素材!$1:$1016,COLUMN($F$1),FALSE))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N179">
        <f>IF(ISNUMBER(SEARCH(SUBSTITUTE(AN$1,RIGHT(AN$1,2),""),VLOOKUP($D179,素材!$1:$1016,COLUMN($F$1),FALSE))),VLOOKUP($C179,武器!$1:$998,COLUMN($O$1),FALSE)*VLOOKUP($D179,素材!$1:$1016,COLUMN($E$1),FALSE)/(LEN(VLOOKUP($D179,素材!$1:$1016,COLUMN($F$1),FALSE))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O179">
        <f>IF(ISNUMBER(SEARCH(SUBSTITUTE(AO$1,RIGHT(AO$1,2),""),VLOOKUP($D179,素材!$1:$1016,COLUMN($F$1),FALSE))),VLOOKUP($C179,武器!$1:$998,COLUMN($O$1),FALSE)*VLOOKUP($D179,素材!$1:$1016,COLUMN($E$1),FALSE)/(LEN(VLOOKUP($D179,素材!$1:$1016,COLUMN($F$1),FALSE))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P179">
        <f>IF(ISNUMBER(SEARCH(SUBSTITUTE(AP$1,RIGHT(AP$1,2),""),VLOOKUP($D179,素材!$1:$1016,COLUMN($F$1),FALSE))),VLOOKUP($C179,武器!$1:$998,COLUMN($O$1),FALSE)*VLOOKUP($D179,素材!$1:$1016,COLUMN($E$1),FALSE)/(LEN(VLOOKUP($D179,素材!$1:$1016,COLUMN($F$1),FALSE))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Q179">
        <f>IF(ISNUMBER(SEARCH(SUBSTITUTE(AQ$1,RIGHT(AQ$1,2),""),VLOOKUP($D179,素材!$1:$1016,COLUMN($F$1),FALSE))),VLOOKUP($C179,武器!$1:$998,COLUMN($O$1),FALSE)*VLOOKUP($D179,素材!$1:$1016,COLUMN($E$1),FALSE)/(LEN(VLOOKUP($D179,素材!$1:$1016,COLUMN($F$1),FALSE))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R179">
        <f>IF(ISNUMBER(SEARCH(SUBSTITUTE(AR$1,RIGHT(AR$1,2),""),VLOOKUP($D179,素材!$1:$1016,COLUMN($F$1),FALSE))),VLOOKUP($C179,武器!$1:$998,COLUMN($O$1),FALSE)*VLOOKUP($D179,素材!$1:$1016,COLUMN($E$1),FALSE)/(LEN(VLOOKUP($D179,素材!$1:$1016,COLUMN($F$1),FALSE))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S179">
        <f>IF(ISNUMBER(SEARCH(SUBSTITUTE(AS$1,RIGHT(AS$1,2),""),VLOOKUP($D179,素材!$1:$1016,COLUMN($F$1),FALSE))),VLOOKUP($C179,武器!$1:$998,COLUMN($O$1),FALSE)*VLOOKUP($D179,素材!$1:$1016,COLUMN($E$1),FALSE)/(LEN(VLOOKUP($D179,素材!$1:$1016,COLUMN($F$1),FALSE))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T179">
        <f>IF(ISNUMBER(SEARCH(SUBSTITUTE(AT$1,RIGHT(AT$1,2),""),VLOOKUP($D179,素材!$1:$1016,COLUMN($F$1),FALSE))),VLOOKUP($C179,武器!$1:$998,COLUMN($O$1),FALSE)*VLOOKUP($D179,素材!$1:$1016,COLUMN($E$1),FALSE)/(LEN(VLOOKUP($D179,素材!$1:$1016,COLUMN($F$1),FALSE))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U179">
        <f>IF(ISNUMBER(SEARCH(SUBSTITUTE(AU$1,RIGHT(AU$1,2),""),VLOOKUP($D179,素材!$1:$1016,COLUMN($F$1),FALSE))),VLOOKUP($C179,武器!$1:$998,COLUMN($O$1),FALSE)*VLOOKUP($D179,素材!$1:$1016,COLUMN($E$1),FALSE)/(LEN(VLOOKUP($D179,素材!$1:$1016,COLUMN($F$1),FALSE))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V179">
        <f>IF(ISNUMBER(SEARCH(SUBSTITUTE(AV$1,RIGHT(AV$1,2),""),VLOOKUP($D179,素材!$1:$1016,COLUMN($F$1),FALSE))),VLOOKUP($C179,武器!$1:$998,COLUMN($O$1),FALSE)*VLOOKUP($D179,素材!$1:$1016,COLUMN($E$1),FALSE)/(LEN(VLOOKUP($D179,素材!$1:$1016,COLUMN($F$1),FALSE))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W179">
        <f>IF(ISNUMBER(SEARCH(SUBSTITUTE(AW$1,RIGHT(AW$1,2),""),VLOOKUP($D179,素材!$1:$1016,COLUMN($F$1),FALSE))),VLOOKUP($C179,武器!$1:$998,COLUMN($O$1),FALSE)*VLOOKUP($D179,素材!$1:$1016,COLUMN($E$1),FALSE)/(LEN(VLOOKUP($D179,素材!$1:$1016,COLUMN($F$1),FALSE))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X179">
        <f>IF(ISNUMBER(SEARCH(SUBSTITUTE(AX$1,RIGHT(AX$1,2),""),VLOOKUP($D179,素材!$1:$1016,COLUMN($F$1),FALSE))),VLOOKUP($C179,武器!$1:$998,COLUMN($O$1),FALSE)*VLOOKUP($D179,素材!$1:$1016,COLUMN($E$1),FALSE)/(LEN(VLOOKUP($D179,素材!$1:$1016,COLUMN($F$1),FALSE))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Y179">
        <f>IF(ISNUMBER(SEARCH(SUBSTITUTE(AY$1,RIGHT(AY$1,2),""),VLOOKUP($D179,素材!$1:$1016,COLUMN($F$1),FALSE))),VLOOKUP($C179,武器!$1:$998,COLUMN($O$1),FALSE)*VLOOKUP($D179,素材!$1:$1016,COLUMN($E$1),FALSE)/(LEN(VLOOKUP($D179,素材!$1:$1016,COLUMN($F$1),FALSE))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AZ179">
        <f>IF(ISNUMBER(SEARCH(SUBSTITUTE(AZ$1,RIGHT(AZ$1,2),""),VLOOKUP($D179,素材!$1:$1016,COLUMN($F$1),FALSE))),VLOOKUP($C179,武器!$1:$998,COLUMN($O$1),FALSE)*VLOOKUP($D179,素材!$1:$1016,COLUMN($E$1),FALSE)/(LEN(VLOOKUP($D179,素材!$1:$1016,COLUMN($F$1),FALSE))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BA179">
        <f>IF(ISNUMBER(SEARCH(SUBSTITUTE(BA$1,RIGHT(BA$1,2),""),VLOOKUP($D179,素材!$1:$1016,COLUMN($F$1),FALSE))),VLOOKUP($C179,武器!$1:$998,COLUMN($O$1),FALSE)*VLOOKUP($D179,素材!$1:$1016,COLUMN($E$1),FALSE)/(LEN(VLOOKUP($D179,素材!$1:$1016,COLUMN($F$1),FALSE))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BB179">
        <f>IF(ISNUMBER(SEARCH(SUBSTITUTE(BB$1,RIGHT(BB$1,2),""),VLOOKUP($D179,素材!$1:$1016,COLUMN($F$1),FALSE))),VLOOKUP($C179,武器!$1:$998,COLUMN($O$1),FALSE)*VLOOKUP($D179,素材!$1:$1016,COLUMN($E$1),FALSE)/(LEN(VLOOKUP($D179,素材!$1:$1016,COLUMN($F$1),FALSE))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BC179">
        <f>IF(ISNUMBER(SEARCH(SUBSTITUTE(BC$1,RIGHT(BC$1,2),""),VLOOKUP($D179,素材!$1:$1016,COLUMN($F$1),FALSE))),VLOOKUP($C179,武器!$1:$998,COLUMN($O$1),FALSE)*VLOOKUP($D179,素材!$1:$1016,COLUMN($E$1),FALSE)/(LEN(VLOOKUP($D179,素材!$1:$1016,COLUMN($F$1),FALSE))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BD179">
        <f>IF(ISNUMBER(SEARCH(SUBSTITUTE(BD$1,RIGHT(BD$1,2),""),VLOOKUP($D179,素材!$1:$1016,COLUMN($F$1),FALSE))),VLOOKUP($C179,武器!$1:$998,COLUMN($O$1),FALSE)*VLOOKUP($D179,素材!$1:$1016,COLUMN($E$1),FALSE)/(LEN(VLOOKUP($D179,素材!$1:$1016,COLUMN($F$1),FALSE))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BE179">
        <f>IF(ISNUMBER(SEARCH(SUBSTITUTE(BE$1,RIGHT(BE$1,2),""),VLOOKUP($D179,素材!$1:$1016,COLUMN($F$1),FALSE))),VLOOKUP($C179,武器!$1:$998,COLUMN($O$1),FALSE)*VLOOKUP($D179,素材!$1:$1016,COLUMN($E$1),FALSE)/(LEN(VLOOKUP($D179,素材!$1:$1016,COLUMN($F$1),FALSE))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BF179">
        <f>IF(ISNUMBER(SEARCH(SUBSTITUTE(BF$1,RIGHT(BF$1,2),""),VLOOKUP($D179,素材!$1:$1016,COLUMN($F$1),FALSE))),VLOOKUP($C179,武器!$1:$998,COLUMN($O$1),FALSE)*VLOOKUP($D179,素材!$1:$1016,COLUMN($E$1),FALSE)/(LEN(VLOOKUP($D179,素材!$1:$1016,COLUMN($F$1),FALSE)) - LEN(SUBSTITUTE(VLOOKUP($D179,素材!$1:$1016,COLUMN($F$1),FALSE), "・", 0)) + 1), 0)</f>
        <v>0</v>
      </c>
      <c r="CM179">
        <f t="shared" si="19"/>
        <v>10</v>
      </c>
      <c r="CN179" s="22" t="str">
        <f>IF(E179="武器",IF(J179-1&gt;SUM(G179:I179),"盾",IF(MAX(G179:I179)=G179,"切断",IF(MAX(G179:I179)=H179,"貫通",IF(MAX(G179:I179)=I179,"打撃","射撃")))),E179)&amp;".webp"</f>
        <v>切断.webp</v>
      </c>
      <c r="CO179">
        <f>IFERROR(VLOOKUP($C179,武器!$1:$998,COLUMN(V$1),FALSE)*VLOOKUP($D179,素材!$1:$1016,COLUMN(N$1),FALSE)+IF(CJ179="",0,VLOOKUP($CJ179,装強!$1:$1008,COLUMN($CL$1),FALSE)),"")</f>
        <v>3000</v>
      </c>
      <c r="CP179">
        <f>VLOOKUP(D179,素材!$A:$O,COLUMN(素材!O$1),FALSE)</f>
        <v>0</v>
      </c>
      <c r="CQ179" t="str">
        <f>VLOOKUP(C179,武器!$A:$W,COLUMN(武器!W$1),FALSE)</f>
        <v>長弓。射程が長く、高い威力を持つ。</v>
      </c>
      <c r="CS179" t="str">
        <f t="shared" si="21"/>
        <v>e_179</v>
      </c>
      <c r="CT179">
        <f t="shared" si="24"/>
        <v>300000</v>
      </c>
    </row>
    <row r="180" spans="1:98" outlineLevel="1" x14ac:dyDescent="0.4">
      <c r="A180" t="str">
        <f t="shared" si="29"/>
        <v>黒鋼鉄の杖</v>
      </c>
      <c r="B180" t="str">
        <f>IFERROR(VLOOKUP($D180,素材!$1:$1016,COLUMN($B$1),FALSE)&amp;"・"&amp;VLOOKUP($C180,武器!$1:$998,COLUMN(B$1),FALSE),"")</f>
        <v>ブラックスティール・ロッド</v>
      </c>
      <c r="C180" t="s">
        <v>216</v>
      </c>
      <c r="D180" s="24" t="s">
        <v>244</v>
      </c>
      <c r="E180" t="str">
        <f>IFERROR(VLOOKUP(C180,武器!$1:$998,COLUMN(C$1),FALSE),"")</f>
        <v>杖</v>
      </c>
      <c r="F180">
        <f>IFERROR(ROUNDDOWN((VLOOKUP($C180,武器!$1:$998,COLUMN(D$1),FALSE)+IFERROR(VLOOKUP($CJ180,装強!$1:$999,COLUMN(F$1),FALSE),0))*VLOOKUP($D180,素材!$1:$1016,COLUMN(D$1),FALSE),0),"")</f>
        <v>110</v>
      </c>
      <c r="G180">
        <f>IFERROR(ROUNDDOWN((VLOOKUP($C180,武器!$1:$998,COLUMN(E$1),FALSE)+IFERROR(VLOOKUP($CJ180,装強!$1:$999,COLUMN(G$1),FALSE),0))*VLOOKUP($D180,素材!$1:$1016,COLUMN($E$1),FALSE),0),"")</f>
        <v>0</v>
      </c>
      <c r="H180">
        <f>IFERROR(ROUNDDOWN((VLOOKUP($C180,武器!$1:$998,COLUMN(F$1),FALSE)+IFERROR(VLOOKUP($CJ180,装強!$1:$999,COLUMN(H$1),FALSE),0))*VLOOKUP($D180,素材!$1:$1016,COLUMN($E$1),FALSE),0),"")</f>
        <v>5</v>
      </c>
      <c r="I180">
        <f>IFERROR(ROUNDDOWN((VLOOKUP($C180,武器!$1:$998,COLUMN(G$1),FALSE)+IFERROR(VLOOKUP($CJ180,装強!$1:$999,COLUMN(I$1),FALSE),0))*VLOOKUP($D180,素材!$1:$1016,COLUMN($E$1),FALSE),0),"")</f>
        <v>14</v>
      </c>
      <c r="J180">
        <f>IFERROR(ROUNDDOWN((VLOOKUP($C180,武器!$1:$998,COLUMN(H$1),FALSE)+IFERROR(VLOOKUP($CJ180,装強!$1:$999,COLUMN(J$1),FALSE),0))*VLOOKUP($D180,素材!$1:$1016,COLUMN($E$1),FALSE),0),"")</f>
        <v>18</v>
      </c>
      <c r="K180">
        <f>IFERROR(ROUNDDOWN((VLOOKUP($C180,武器!$1:$998,COLUMN(I$1),FALSE)+IFERROR(VLOOKUP($CJ180,装強!$1:$999,COLUMN(K$1),FALSE),0))*VLOOKUP($D180,素材!$1:$1016,COLUMN($E$1),FALSE),0),"")</f>
        <v>0</v>
      </c>
      <c r="L180" t="str">
        <f>IFERROR(VLOOKUP($D180,素材!$1:$1016,COLUMN($F$1),FALSE),"")</f>
        <v>雷</v>
      </c>
      <c r="M180">
        <f>IFERROR(VLOOKUP($C180,武器!$1:$998,COLUMN(AA$1),FALSE)*VLOOKUP($D180,素材!$1:$1016,COLUMN($G$1),FALSE),"")</f>
        <v>33.25</v>
      </c>
      <c r="N180">
        <f>IFERROR(VLOOKUP($C180,武器!$1:$998,COLUMN(I$1),FALSE),"")</f>
        <v>0</v>
      </c>
      <c r="O180" s="23">
        <f>IFERROR((VLOOKUP($C180,武器!$1:$998,COLUMN(K$1),FALSE)+VLOOKUP($D180,素材!$1:$1016,COLUMN(H$1),FALSE))*100+IFERROR(VLOOKUP($CJ180,装強!$1:$999,COLUMN(O$1),FALSE),0),"")</f>
        <v>5</v>
      </c>
      <c r="P180" s="23">
        <f>IFERROR((VLOOKUP($C180,武器!$1:$998,COLUMN(L$1),FALSE)+VLOOKUP($D180,素材!$1:$1016,COLUMN(I$1),FALSE))*100+IFERROR(VLOOKUP($CJ180,装強!$1:$999,COLUMN(P$1),FALSE),0),"")</f>
        <v>150</v>
      </c>
      <c r="Q180">
        <f>IFERROR(ROUNDUP(VLOOKUP($C180,武器!$1:$998,COLUMN(M$1),FALSE)*(VLOOKUP($D180,素材!$1:$1002,COLUMN(D$1),FALSE)/100),1),"")</f>
        <v>0</v>
      </c>
      <c r="R180">
        <f>IFERROR(ROUNDUP(VLOOKUP($C180,武器!$1:$998,COLUMN(N$1),FALSE)*(VLOOKUP($D180,素材!$1:$1002,COLUMN(D$1),FALSE)/100),1),"")</f>
        <v>0</v>
      </c>
      <c r="S180">
        <f>IFERROR(VLOOKUP($C180,武器!$1:$998,COLUMN(P$1),FALSE),"")</f>
        <v>0</v>
      </c>
      <c r="T180">
        <f>IFERROR(VLOOKUP($C180,武器!$1:$998,COLUMN(Q$1),FALSE),"")</f>
        <v>0</v>
      </c>
      <c r="U180">
        <f>IFERROR(VLOOKUP($C180,武器!$1:$998,COLUMN(R$1),FALSE),"")</f>
        <v>0</v>
      </c>
      <c r="V180">
        <f>IFERROR(VLOOKUP($C180,武器!$1:$998,COLUMN(Q$1),FALSE),"")</f>
        <v>0</v>
      </c>
      <c r="W180" t="str">
        <f>IFERROR(VLOOKUP($C180,武器!$1:$998,COLUMN(T$1),FALSE),"")</f>
        <v>A</v>
      </c>
      <c r="Y180" t="str">
        <f>IFERROR(VLOOKUP($C180,武器!$1:$998,COLUMN(U$1),FALSE),"")</f>
        <v>魔法無詠唱Ⅱ</v>
      </c>
      <c r="Z180">
        <f>IFERROR(ROUNDUP(VLOOKUP($C180,武器!$1:$998,COLUMN(O$1),FALSE)*VLOOKUP($D180,素材!$1:$1016,COLUMN(E$1),FALSE),1),"")</f>
        <v>0</v>
      </c>
      <c r="AA180">
        <f>IF(ISNUMBER(SEARCH(SUBSTITUTE(AA$1,RIGHT(AA$1,2),""),VLOOKUP($D180,素材!$1:$1016,COLUMN($F$1),FALSE))),VLOOKUP($C180,武器!$1:$998,COLUMN($O$1),FALSE)*VLOOKUP($D180,素材!$1:$1016,COLUMN($E$1),FALSE)/(LEN(VLOOKUP($D180,素材!$1:$1016,COLUMN($F$1),FALSE))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B180">
        <f>IF(ISNUMBER(SEARCH(SUBSTITUTE(AB$1,RIGHT(AB$1,2),""),VLOOKUP($D180,素材!$1:$1016,COLUMN($F$1),FALSE))),VLOOKUP($C180,武器!$1:$998,COLUMN($O$1),FALSE)*VLOOKUP($D180,素材!$1:$1016,COLUMN($E$1),FALSE)/(LEN(VLOOKUP($D180,素材!$1:$1016,COLUMN($F$1),FALSE))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C180">
        <f>IF(ISNUMBER(SEARCH(SUBSTITUTE(AC$1,RIGHT(AC$1,2),""),VLOOKUP($D180,素材!$1:$1016,COLUMN($F$1),FALSE))),VLOOKUP($C180,武器!$1:$998,COLUMN($O$1),FALSE)*VLOOKUP($D180,素材!$1:$1016,COLUMN($E$1),FALSE)/(LEN(VLOOKUP($D180,素材!$1:$1016,COLUMN($F$1),FALSE))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D180">
        <f>IF(ISNUMBER(SEARCH(SUBSTITUTE(AD$1,RIGHT(AD$1,2),""),VLOOKUP($D180,素材!$1:$1016,COLUMN($F$1),FALSE))),VLOOKUP($C180,武器!$1:$998,COLUMN($O$1),FALSE)*VLOOKUP($D180,素材!$1:$1016,COLUMN($E$1),FALSE)/(LEN(VLOOKUP($D180,素材!$1:$1016,COLUMN($F$1),FALSE))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E180">
        <f>IF(ISNUMBER(SEARCH(SUBSTITUTE(AE$1,RIGHT(AE$1,2),""),VLOOKUP($D180,素材!$1:$1016,COLUMN($F$1),FALSE))),VLOOKUP($C180,武器!$1:$998,COLUMN($O$1),FALSE)*VLOOKUP($D180,素材!$1:$1016,COLUMN($E$1),FALSE)/(LEN(VLOOKUP($D180,素材!$1:$1016,COLUMN($F$1),FALSE))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F180">
        <f>IF(ISNUMBER(SEARCH(SUBSTITUTE(AF$1,RIGHT(AF$1,2),""),VLOOKUP($D180,素材!$1:$1016,COLUMN($F$1),FALSE))),VLOOKUP($C180,武器!$1:$998,COLUMN($O$1),FALSE)*VLOOKUP($D180,素材!$1:$1016,COLUMN($E$1),FALSE)/(LEN(VLOOKUP($D180,素材!$1:$1016,COLUMN($F$1),FALSE))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G180">
        <f>IF(ISNUMBER(SEARCH(SUBSTITUTE(AG$1,RIGHT(AG$1,2),""),VLOOKUP($D180,素材!$1:$1016,COLUMN($F$1),FALSE))),VLOOKUP($C180,武器!$1:$998,COLUMN($O$1),FALSE)*VLOOKUP($D180,素材!$1:$1016,COLUMN($E$1),FALSE)/(LEN(VLOOKUP($D180,素材!$1:$1016,COLUMN($F$1),FALSE))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H180">
        <f>IF(ISNUMBER(SEARCH(SUBSTITUTE(AH$1,RIGHT(AH$1,2),""),VLOOKUP($D180,素材!$1:$1016,COLUMN($F$1),FALSE))),VLOOKUP($C180,武器!$1:$998,COLUMN($O$1),FALSE)*VLOOKUP($D180,素材!$1:$1016,COLUMN($E$1),FALSE)/(LEN(VLOOKUP($D180,素材!$1:$1016,COLUMN($F$1),FALSE))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I180">
        <f>IF(ISNUMBER(SEARCH(SUBSTITUTE(AI$1,RIGHT(AI$1,2),""),VLOOKUP($D180,素材!$1:$1016,COLUMN($F$1),FALSE))),VLOOKUP($C180,武器!$1:$998,COLUMN($O$1),FALSE)*VLOOKUP($D180,素材!$1:$1016,COLUMN($E$1),FALSE)/(LEN(VLOOKUP($D180,素材!$1:$1016,COLUMN($F$1),FALSE))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J180">
        <f>IF(ISNUMBER(SEARCH(SUBSTITUTE(AJ$1,RIGHT(AJ$1,2),""),VLOOKUP($D180,素材!$1:$1016,COLUMN($F$1),FALSE))),VLOOKUP($C180,武器!$1:$998,COLUMN($O$1),FALSE)*VLOOKUP($D180,素材!$1:$1016,COLUMN($E$1),FALSE)/(LEN(VLOOKUP($D180,素材!$1:$1016,COLUMN($F$1),FALSE))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K180">
        <f>IF(ISNUMBER(SEARCH(SUBSTITUTE(AK$1,RIGHT(AK$1,2),""),VLOOKUP($D180,素材!$1:$1016,COLUMN($F$1),FALSE))),VLOOKUP($C180,武器!$1:$998,COLUMN($O$1),FALSE)*VLOOKUP($D180,素材!$1:$1016,COLUMN($E$1),FALSE)/(LEN(VLOOKUP($D180,素材!$1:$1016,COLUMN($F$1),FALSE))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L180">
        <f>IF(ISNUMBER(SEARCH(SUBSTITUTE(AL$1,RIGHT(AL$1,2),""),VLOOKUP($D180,素材!$1:$1016,COLUMN($F$1),FALSE))),VLOOKUP($C180,武器!$1:$998,COLUMN($O$1),FALSE)*VLOOKUP($D180,素材!$1:$1016,COLUMN($E$1),FALSE)/(LEN(VLOOKUP($D180,素材!$1:$1016,COLUMN($F$1),FALSE))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M180">
        <f>IF(ISNUMBER(SEARCH(SUBSTITUTE(AM$1,RIGHT(AM$1,2),""),VLOOKUP($D180,素材!$1:$1016,COLUMN($F$1),FALSE))),VLOOKUP($C180,武器!$1:$998,COLUMN($O$1),FALSE)*VLOOKUP($D180,素材!$1:$1016,COLUMN($E$1),FALSE)/(LEN(VLOOKUP($D180,素材!$1:$1016,COLUMN($F$1),FALSE))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N180">
        <f>IF(ISNUMBER(SEARCH(SUBSTITUTE(AN$1,RIGHT(AN$1,2),""),VLOOKUP($D180,素材!$1:$1016,COLUMN($F$1),FALSE))),VLOOKUP($C180,武器!$1:$998,COLUMN($O$1),FALSE)*VLOOKUP($D180,素材!$1:$1016,COLUMN($E$1),FALSE)/(LEN(VLOOKUP($D180,素材!$1:$1016,COLUMN($F$1),FALSE))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O180">
        <f>IF(ISNUMBER(SEARCH(SUBSTITUTE(AO$1,RIGHT(AO$1,2),""),VLOOKUP($D180,素材!$1:$1016,COLUMN($F$1),FALSE))),VLOOKUP($C180,武器!$1:$998,COLUMN($O$1),FALSE)*VLOOKUP($D180,素材!$1:$1016,COLUMN($E$1),FALSE)/(LEN(VLOOKUP($D180,素材!$1:$1016,COLUMN($F$1),FALSE))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P180">
        <f>IF(ISNUMBER(SEARCH(SUBSTITUTE(AP$1,RIGHT(AP$1,2),""),VLOOKUP($D180,素材!$1:$1016,COLUMN($F$1),FALSE))),VLOOKUP($C180,武器!$1:$998,COLUMN($O$1),FALSE)*VLOOKUP($D180,素材!$1:$1016,COLUMN($E$1),FALSE)/(LEN(VLOOKUP($D180,素材!$1:$1016,COLUMN($F$1),FALSE))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Q180">
        <f>IF(ISNUMBER(SEARCH(SUBSTITUTE(AQ$1,RIGHT(AQ$1,2),""),VLOOKUP($D180,素材!$1:$1016,COLUMN($F$1),FALSE))),VLOOKUP($C180,武器!$1:$998,COLUMN($O$1),FALSE)*VLOOKUP($D180,素材!$1:$1016,COLUMN($E$1),FALSE)/(LEN(VLOOKUP($D180,素材!$1:$1016,COLUMN($F$1),FALSE))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R180">
        <f>IF(ISNUMBER(SEARCH(SUBSTITUTE(AR$1,RIGHT(AR$1,2),""),VLOOKUP($D180,素材!$1:$1016,COLUMN($F$1),FALSE))),VLOOKUP($C180,武器!$1:$998,COLUMN($O$1),FALSE)*VLOOKUP($D180,素材!$1:$1016,COLUMN($E$1),FALSE)/(LEN(VLOOKUP($D180,素材!$1:$1016,COLUMN($F$1),FALSE))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S180">
        <f>IF(ISNUMBER(SEARCH(SUBSTITUTE(AS$1,RIGHT(AS$1,2),""),VLOOKUP($D180,素材!$1:$1016,COLUMN($F$1),FALSE))),VLOOKUP($C180,武器!$1:$998,COLUMN($O$1),FALSE)*VLOOKUP($D180,素材!$1:$1016,COLUMN($E$1),FALSE)/(LEN(VLOOKUP($D180,素材!$1:$1016,COLUMN($F$1),FALSE))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T180">
        <f>IF(ISNUMBER(SEARCH(SUBSTITUTE(AT$1,RIGHT(AT$1,2),""),VLOOKUP($D180,素材!$1:$1016,COLUMN($F$1),FALSE))),VLOOKUP($C180,武器!$1:$998,COLUMN($O$1),FALSE)*VLOOKUP($D180,素材!$1:$1016,COLUMN($E$1),FALSE)/(LEN(VLOOKUP($D180,素材!$1:$1016,COLUMN($F$1),FALSE))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U180">
        <f>IF(ISNUMBER(SEARCH(SUBSTITUTE(AU$1,RIGHT(AU$1,2),""),VLOOKUP($D180,素材!$1:$1016,COLUMN($F$1),FALSE))),VLOOKUP($C180,武器!$1:$998,COLUMN($O$1),FALSE)*VLOOKUP($D180,素材!$1:$1016,COLUMN($E$1),FALSE)/(LEN(VLOOKUP($D180,素材!$1:$1016,COLUMN($F$1),FALSE))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V180">
        <f>IF(ISNUMBER(SEARCH(SUBSTITUTE(AV$1,RIGHT(AV$1,2),""),VLOOKUP($D180,素材!$1:$1016,COLUMN($F$1),FALSE))),VLOOKUP($C180,武器!$1:$998,COLUMN($O$1),FALSE)*VLOOKUP($D180,素材!$1:$1016,COLUMN($E$1),FALSE)/(LEN(VLOOKUP($D180,素材!$1:$1016,COLUMN($F$1),FALSE))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W180">
        <f>IF(ISNUMBER(SEARCH(SUBSTITUTE(AW$1,RIGHT(AW$1,2),""),VLOOKUP($D180,素材!$1:$1016,COLUMN($F$1),FALSE))),VLOOKUP($C180,武器!$1:$998,COLUMN($O$1),FALSE)*VLOOKUP($D180,素材!$1:$1016,COLUMN($E$1),FALSE)/(LEN(VLOOKUP($D180,素材!$1:$1016,COLUMN($F$1),FALSE))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X180">
        <f>IF(ISNUMBER(SEARCH(SUBSTITUTE(AX$1,RIGHT(AX$1,2),""),VLOOKUP($D180,素材!$1:$1016,COLUMN($F$1),FALSE))),VLOOKUP($C180,武器!$1:$998,COLUMN($O$1),FALSE)*VLOOKUP($D180,素材!$1:$1016,COLUMN($E$1),FALSE)/(LEN(VLOOKUP($D180,素材!$1:$1016,COLUMN($F$1),FALSE))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Y180">
        <f>IF(ISNUMBER(SEARCH(SUBSTITUTE(AY$1,RIGHT(AY$1,2),""),VLOOKUP($D180,素材!$1:$1016,COLUMN($F$1),FALSE))),VLOOKUP($C180,武器!$1:$998,COLUMN($O$1),FALSE)*VLOOKUP($D180,素材!$1:$1016,COLUMN($E$1),FALSE)/(LEN(VLOOKUP($D180,素材!$1:$1016,COLUMN($F$1),FALSE))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AZ180">
        <f>IF(ISNUMBER(SEARCH(SUBSTITUTE(AZ$1,RIGHT(AZ$1,2),""),VLOOKUP($D180,素材!$1:$1016,COLUMN($F$1),FALSE))),VLOOKUP($C180,武器!$1:$998,COLUMN($O$1),FALSE)*VLOOKUP($D180,素材!$1:$1016,COLUMN($E$1),FALSE)/(LEN(VLOOKUP($D180,素材!$1:$1016,COLUMN($F$1),FALSE))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BA180">
        <f>IF(ISNUMBER(SEARCH(SUBSTITUTE(BA$1,RIGHT(BA$1,2),""),VLOOKUP($D180,素材!$1:$1016,COLUMN($F$1),FALSE))),VLOOKUP($C180,武器!$1:$998,COLUMN($O$1),FALSE)*VLOOKUP($D180,素材!$1:$1016,COLUMN($E$1),FALSE)/(LEN(VLOOKUP($D180,素材!$1:$1016,COLUMN($F$1),FALSE))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BB180">
        <f>IF(ISNUMBER(SEARCH(SUBSTITUTE(BB$1,RIGHT(BB$1,2),""),VLOOKUP($D180,素材!$1:$1016,COLUMN($F$1),FALSE))),VLOOKUP($C180,武器!$1:$998,COLUMN($O$1),FALSE)*VLOOKUP($D180,素材!$1:$1016,COLUMN($E$1),FALSE)/(LEN(VLOOKUP($D180,素材!$1:$1016,COLUMN($F$1),FALSE))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BC180">
        <f>IF(ISNUMBER(SEARCH(SUBSTITUTE(BC$1,RIGHT(BC$1,2),""),VLOOKUP($D180,素材!$1:$1016,COLUMN($F$1),FALSE))),VLOOKUP($C180,武器!$1:$998,COLUMN($O$1),FALSE)*VLOOKUP($D180,素材!$1:$1016,COLUMN($E$1),FALSE)/(LEN(VLOOKUP($D180,素材!$1:$1016,COLUMN($F$1),FALSE))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BD180">
        <f>IF(ISNUMBER(SEARCH(SUBSTITUTE(BD$1,RIGHT(BD$1,2),""),VLOOKUP($D180,素材!$1:$1016,COLUMN($F$1),FALSE))),VLOOKUP($C180,武器!$1:$998,COLUMN($O$1),FALSE)*VLOOKUP($D180,素材!$1:$1016,COLUMN($E$1),FALSE)/(LEN(VLOOKUP($D180,素材!$1:$1016,COLUMN($F$1),FALSE))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BE180">
        <f>IF(ISNUMBER(SEARCH(SUBSTITUTE(BE$1,RIGHT(BE$1,2),""),VLOOKUP($D180,素材!$1:$1016,COLUMN($F$1),FALSE))),VLOOKUP($C180,武器!$1:$998,COLUMN($O$1),FALSE)*VLOOKUP($D180,素材!$1:$1016,COLUMN($E$1),FALSE)/(LEN(VLOOKUP($D180,素材!$1:$1016,COLUMN($F$1),FALSE))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BF180">
        <f>IF(ISNUMBER(SEARCH(SUBSTITUTE(BF$1,RIGHT(BF$1,2),""),VLOOKUP($D180,素材!$1:$1016,COLUMN($F$1),FALSE))),VLOOKUP($C180,武器!$1:$998,COLUMN($O$1),FALSE)*VLOOKUP($D180,素材!$1:$1016,COLUMN($E$1),FALSE)/(LEN(VLOOKUP($D180,素材!$1:$1016,COLUMN($F$1),FALSE)) - LEN(SUBSTITUTE(VLOOKUP($D180,素材!$1:$1016,COLUMN($F$1),FALSE), "・", 0)) + 1), 0)</f>
        <v>0</v>
      </c>
      <c r="CM180">
        <f t="shared" si="19"/>
        <v>19</v>
      </c>
      <c r="CN180" s="22" t="str">
        <f>IF(E180="武器",IF(J180-1&gt;SUM(G180:I180),"盾",IF(MAX(G180:I180)=G180,"切断",IF(MAX(G180:I180)=H180,"貫通",IF(MAX(G180:I180)=I180,"打撃","射撃")))),E180)&amp;".webp"</f>
        <v>杖.webp</v>
      </c>
      <c r="CO180">
        <f>IFERROR(VLOOKUP($C180,武器!$1:$998,COLUMN(V$1),FALSE)*VLOOKUP($D180,素材!$1:$1016,COLUMN(N$1),FALSE)+IF(CJ180="",0,VLOOKUP($CJ180,装強!$1:$1008,COLUMN($CL$1),FALSE)),"")</f>
        <v>3000</v>
      </c>
      <c r="CP180">
        <f>VLOOKUP(D180,素材!$A:$O,COLUMN(素材!O$1),FALSE)</f>
        <v>0</v>
      </c>
      <c r="CQ180" t="str">
        <f>VLOOKUP(C180,武器!$A:$W,COLUMN(武器!W$1),FALSE)</f>
        <v>杖。バランスの取れた魔法武器。</v>
      </c>
      <c r="CS180" t="str">
        <f t="shared" si="21"/>
        <v>e_180</v>
      </c>
      <c r="CT180">
        <f t="shared" si="24"/>
        <v>300000</v>
      </c>
    </row>
    <row r="181" spans="1:98" outlineLevel="1" x14ac:dyDescent="0.4">
      <c r="A181" t="str">
        <f t="shared" si="29"/>
        <v>黒鋼鉄の長杖</v>
      </c>
      <c r="B181" t="str">
        <f>IFERROR(VLOOKUP($D181,素材!$1:$1016,COLUMN($B$1),FALSE)&amp;"・"&amp;VLOOKUP($C181,武器!$1:$998,COLUMN(B$1),FALSE),"")</f>
        <v>ブラックスティール・スタッフ</v>
      </c>
      <c r="C181" t="s">
        <v>215</v>
      </c>
      <c r="D181" s="24" t="s">
        <v>244</v>
      </c>
      <c r="E181" t="str">
        <f>IFERROR(VLOOKUP(C181,武器!$1:$998,COLUMN(C$1),FALSE),"")</f>
        <v>杖</v>
      </c>
      <c r="F181">
        <f>IFERROR(ROUNDDOWN((VLOOKUP($C181,武器!$1:$998,COLUMN(D$1),FALSE)+IFERROR(VLOOKUP($CJ181,装強!$1:$999,COLUMN(F$1),FALSE),0))*VLOOKUP($D181,素材!$1:$1016,COLUMN(D$1),FALSE),0),"")</f>
        <v>115</v>
      </c>
      <c r="G181">
        <f>IFERROR(ROUNDDOWN((VLOOKUP($C181,武器!$1:$998,COLUMN(E$1),FALSE)+IFERROR(VLOOKUP($CJ181,装強!$1:$999,COLUMN(G$1),FALSE),0))*VLOOKUP($D181,素材!$1:$1016,COLUMN($E$1),FALSE),0),"")</f>
        <v>0</v>
      </c>
      <c r="H181">
        <f>IFERROR(ROUNDDOWN((VLOOKUP($C181,武器!$1:$998,COLUMN(F$1),FALSE)+IFERROR(VLOOKUP($CJ181,装強!$1:$999,COLUMN(H$1),FALSE),0))*VLOOKUP($D181,素材!$1:$1016,COLUMN($E$1),FALSE),0),"")</f>
        <v>6</v>
      </c>
      <c r="I181">
        <f>IFERROR(ROUNDDOWN((VLOOKUP($C181,武器!$1:$998,COLUMN(G$1),FALSE)+IFERROR(VLOOKUP($CJ181,装強!$1:$999,COLUMN(I$1),FALSE),0))*VLOOKUP($D181,素材!$1:$1016,COLUMN($E$1),FALSE),0),"")</f>
        <v>16</v>
      </c>
      <c r="J181">
        <f>IFERROR(ROUNDDOWN((VLOOKUP($C181,武器!$1:$998,COLUMN(H$1),FALSE)+IFERROR(VLOOKUP($CJ181,装強!$1:$999,COLUMN(J$1),FALSE),0))*VLOOKUP($D181,素材!$1:$1016,COLUMN($E$1),FALSE),0),"")</f>
        <v>19</v>
      </c>
      <c r="K181">
        <f>IFERROR(ROUNDDOWN((VLOOKUP($C181,武器!$1:$998,COLUMN(I$1),FALSE)+IFERROR(VLOOKUP($CJ181,装強!$1:$999,COLUMN(K$1),FALSE),0))*VLOOKUP($D181,素材!$1:$1016,COLUMN($E$1),FALSE),0),"")</f>
        <v>0</v>
      </c>
      <c r="L181" t="str">
        <f>IFERROR(VLOOKUP($D181,素材!$1:$1016,COLUMN($F$1),FALSE),"")</f>
        <v>雷</v>
      </c>
      <c r="M181">
        <f>IFERROR(VLOOKUP($C181,武器!$1:$998,COLUMN(AA$1),FALSE)*VLOOKUP($D181,素材!$1:$1016,COLUMN($G$1),FALSE),"")</f>
        <v>38.5</v>
      </c>
      <c r="N181">
        <f>IFERROR(VLOOKUP($C181,武器!$1:$998,COLUMN(I$1),FALSE),"")</f>
        <v>0</v>
      </c>
      <c r="O181" s="23">
        <f>IFERROR((VLOOKUP($C181,武器!$1:$998,COLUMN(K$1),FALSE)+VLOOKUP($D181,素材!$1:$1016,COLUMN(H$1),FALSE))*100+IFERROR(VLOOKUP($CJ181,装強!$1:$999,COLUMN(O$1),FALSE),0),"")</f>
        <v>5</v>
      </c>
      <c r="P181" s="23">
        <f>IFERROR((VLOOKUP($C181,武器!$1:$998,COLUMN(L$1),FALSE)+VLOOKUP($D181,素材!$1:$1016,COLUMN(I$1),FALSE))*100+IFERROR(VLOOKUP($CJ181,装強!$1:$999,COLUMN(P$1),FALSE),0),"")</f>
        <v>150</v>
      </c>
      <c r="Q181">
        <f>IFERROR(ROUNDUP(VLOOKUP($C181,武器!$1:$998,COLUMN(M$1),FALSE)*(VLOOKUP($D181,素材!$1:$1002,COLUMN(D$1),FALSE)/100),1),"")</f>
        <v>-4</v>
      </c>
      <c r="R181">
        <f>IFERROR(ROUNDUP(VLOOKUP($C181,武器!$1:$998,COLUMN(N$1),FALSE)*(VLOOKUP($D181,素材!$1:$1002,COLUMN(D$1),FALSE)/100),1),"")</f>
        <v>-4</v>
      </c>
      <c r="S181">
        <f>IFERROR(VLOOKUP($C181,武器!$1:$998,COLUMN(P$1),FALSE),"")</f>
        <v>0</v>
      </c>
      <c r="T181">
        <f>IFERROR(VLOOKUP($C181,武器!$1:$998,COLUMN(Q$1),FALSE),"")</f>
        <v>0</v>
      </c>
      <c r="U181">
        <f>IFERROR(VLOOKUP($C181,武器!$1:$998,COLUMN(R$1),FALSE),"")</f>
        <v>0</v>
      </c>
      <c r="V181">
        <f>IFERROR(VLOOKUP($C181,武器!$1:$998,COLUMN(Q$1),FALSE),"")</f>
        <v>0</v>
      </c>
      <c r="W181" t="str">
        <f>IFERROR(VLOOKUP($C181,武器!$1:$998,COLUMN(T$1),FALSE),"")</f>
        <v>A</v>
      </c>
      <c r="Y181" t="str">
        <f>IFERROR(VLOOKUP($C181,武器!$1:$998,COLUMN(U$1),FALSE),"")</f>
        <v>魔法無詠唱Ⅲ</v>
      </c>
      <c r="Z181">
        <f>IFERROR(ROUNDUP(VLOOKUP($C181,武器!$1:$998,COLUMN(O$1),FALSE)*VLOOKUP($D181,素材!$1:$1016,COLUMN(E$1),FALSE),1),"")</f>
        <v>0</v>
      </c>
      <c r="AA181">
        <f>IF(ISNUMBER(SEARCH(SUBSTITUTE(AA$1,RIGHT(AA$1,2),""),VLOOKUP($D181,素材!$1:$1016,COLUMN($F$1),FALSE))),VLOOKUP($C181,武器!$1:$998,COLUMN($O$1),FALSE)*VLOOKUP($D181,素材!$1:$1016,COLUMN($E$1),FALSE)/(LEN(VLOOKUP($D181,素材!$1:$1016,COLUMN($F$1),FALSE))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B181">
        <f>IF(ISNUMBER(SEARCH(SUBSTITUTE(AB$1,RIGHT(AB$1,2),""),VLOOKUP($D181,素材!$1:$1016,COLUMN($F$1),FALSE))),VLOOKUP($C181,武器!$1:$998,COLUMN($O$1),FALSE)*VLOOKUP($D181,素材!$1:$1016,COLUMN($E$1),FALSE)/(LEN(VLOOKUP($D181,素材!$1:$1016,COLUMN($F$1),FALSE))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C181">
        <f>IF(ISNUMBER(SEARCH(SUBSTITUTE(AC$1,RIGHT(AC$1,2),""),VLOOKUP($D181,素材!$1:$1016,COLUMN($F$1),FALSE))),VLOOKUP($C181,武器!$1:$998,COLUMN($O$1),FALSE)*VLOOKUP($D181,素材!$1:$1016,COLUMN($E$1),FALSE)/(LEN(VLOOKUP($D181,素材!$1:$1016,COLUMN($F$1),FALSE))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D181">
        <f>IF(ISNUMBER(SEARCH(SUBSTITUTE(AD$1,RIGHT(AD$1,2),""),VLOOKUP($D181,素材!$1:$1016,COLUMN($F$1),FALSE))),VLOOKUP($C181,武器!$1:$998,COLUMN($O$1),FALSE)*VLOOKUP($D181,素材!$1:$1016,COLUMN($E$1),FALSE)/(LEN(VLOOKUP($D181,素材!$1:$1016,COLUMN($F$1),FALSE))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E181">
        <f>IF(ISNUMBER(SEARCH(SUBSTITUTE(AE$1,RIGHT(AE$1,2),""),VLOOKUP($D181,素材!$1:$1016,COLUMN($F$1),FALSE))),VLOOKUP($C181,武器!$1:$998,COLUMN($O$1),FALSE)*VLOOKUP($D181,素材!$1:$1016,COLUMN($E$1),FALSE)/(LEN(VLOOKUP($D181,素材!$1:$1016,COLUMN($F$1),FALSE))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F181">
        <f>IF(ISNUMBER(SEARCH(SUBSTITUTE(AF$1,RIGHT(AF$1,2),""),VLOOKUP($D181,素材!$1:$1016,COLUMN($F$1),FALSE))),VLOOKUP($C181,武器!$1:$998,COLUMN($O$1),FALSE)*VLOOKUP($D181,素材!$1:$1016,COLUMN($E$1),FALSE)/(LEN(VLOOKUP($D181,素材!$1:$1016,COLUMN($F$1),FALSE))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G181">
        <f>IF(ISNUMBER(SEARCH(SUBSTITUTE(AG$1,RIGHT(AG$1,2),""),VLOOKUP($D181,素材!$1:$1016,COLUMN($F$1),FALSE))),VLOOKUP($C181,武器!$1:$998,COLUMN($O$1),FALSE)*VLOOKUP($D181,素材!$1:$1016,COLUMN($E$1),FALSE)/(LEN(VLOOKUP($D181,素材!$1:$1016,COLUMN($F$1),FALSE))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H181">
        <f>IF(ISNUMBER(SEARCH(SUBSTITUTE(AH$1,RIGHT(AH$1,2),""),VLOOKUP($D181,素材!$1:$1016,COLUMN($F$1),FALSE))),VLOOKUP($C181,武器!$1:$998,COLUMN($O$1),FALSE)*VLOOKUP($D181,素材!$1:$1016,COLUMN($E$1),FALSE)/(LEN(VLOOKUP($D181,素材!$1:$1016,COLUMN($F$1),FALSE))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I181">
        <f>IF(ISNUMBER(SEARCH(SUBSTITUTE(AI$1,RIGHT(AI$1,2),""),VLOOKUP($D181,素材!$1:$1016,COLUMN($F$1),FALSE))),VLOOKUP($C181,武器!$1:$998,COLUMN($O$1),FALSE)*VLOOKUP($D181,素材!$1:$1016,COLUMN($E$1),FALSE)/(LEN(VLOOKUP($D181,素材!$1:$1016,COLUMN($F$1),FALSE))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J181">
        <f>IF(ISNUMBER(SEARCH(SUBSTITUTE(AJ$1,RIGHT(AJ$1,2),""),VLOOKUP($D181,素材!$1:$1016,COLUMN($F$1),FALSE))),VLOOKUP($C181,武器!$1:$998,COLUMN($O$1),FALSE)*VLOOKUP($D181,素材!$1:$1016,COLUMN($E$1),FALSE)/(LEN(VLOOKUP($D181,素材!$1:$1016,COLUMN($F$1),FALSE))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K181">
        <f>IF(ISNUMBER(SEARCH(SUBSTITUTE(AK$1,RIGHT(AK$1,2),""),VLOOKUP($D181,素材!$1:$1016,COLUMN($F$1),FALSE))),VLOOKUP($C181,武器!$1:$998,COLUMN($O$1),FALSE)*VLOOKUP($D181,素材!$1:$1016,COLUMN($E$1),FALSE)/(LEN(VLOOKUP($D181,素材!$1:$1016,COLUMN($F$1),FALSE))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L181">
        <f>IF(ISNUMBER(SEARCH(SUBSTITUTE(AL$1,RIGHT(AL$1,2),""),VLOOKUP($D181,素材!$1:$1016,COLUMN($F$1),FALSE))),VLOOKUP($C181,武器!$1:$998,COLUMN($O$1),FALSE)*VLOOKUP($D181,素材!$1:$1016,COLUMN($E$1),FALSE)/(LEN(VLOOKUP($D181,素材!$1:$1016,COLUMN($F$1),FALSE))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M181">
        <f>IF(ISNUMBER(SEARCH(SUBSTITUTE(AM$1,RIGHT(AM$1,2),""),VLOOKUP($D181,素材!$1:$1016,COLUMN($F$1),FALSE))),VLOOKUP($C181,武器!$1:$998,COLUMN($O$1),FALSE)*VLOOKUP($D181,素材!$1:$1016,COLUMN($E$1),FALSE)/(LEN(VLOOKUP($D181,素材!$1:$1016,COLUMN($F$1),FALSE))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N181">
        <f>IF(ISNUMBER(SEARCH(SUBSTITUTE(AN$1,RIGHT(AN$1,2),""),VLOOKUP($D181,素材!$1:$1016,COLUMN($F$1),FALSE))),VLOOKUP($C181,武器!$1:$998,COLUMN($O$1),FALSE)*VLOOKUP($D181,素材!$1:$1016,COLUMN($E$1),FALSE)/(LEN(VLOOKUP($D181,素材!$1:$1016,COLUMN($F$1),FALSE))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O181">
        <f>IF(ISNUMBER(SEARCH(SUBSTITUTE(AO$1,RIGHT(AO$1,2),""),VLOOKUP($D181,素材!$1:$1016,COLUMN($F$1),FALSE))),VLOOKUP($C181,武器!$1:$998,COLUMN($O$1),FALSE)*VLOOKUP($D181,素材!$1:$1016,COLUMN($E$1),FALSE)/(LEN(VLOOKUP($D181,素材!$1:$1016,COLUMN($F$1),FALSE))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P181">
        <f>IF(ISNUMBER(SEARCH(SUBSTITUTE(AP$1,RIGHT(AP$1,2),""),VLOOKUP($D181,素材!$1:$1016,COLUMN($F$1),FALSE))),VLOOKUP($C181,武器!$1:$998,COLUMN($O$1),FALSE)*VLOOKUP($D181,素材!$1:$1016,COLUMN($E$1),FALSE)/(LEN(VLOOKUP($D181,素材!$1:$1016,COLUMN($F$1),FALSE))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Q181">
        <f>IF(ISNUMBER(SEARCH(SUBSTITUTE(AQ$1,RIGHT(AQ$1,2),""),VLOOKUP($D181,素材!$1:$1016,COLUMN($F$1),FALSE))),VLOOKUP($C181,武器!$1:$998,COLUMN($O$1),FALSE)*VLOOKUP($D181,素材!$1:$1016,COLUMN($E$1),FALSE)/(LEN(VLOOKUP($D181,素材!$1:$1016,COLUMN($F$1),FALSE))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R181">
        <f>IF(ISNUMBER(SEARCH(SUBSTITUTE(AR$1,RIGHT(AR$1,2),""),VLOOKUP($D181,素材!$1:$1016,COLUMN($F$1),FALSE))),VLOOKUP($C181,武器!$1:$998,COLUMN($O$1),FALSE)*VLOOKUP($D181,素材!$1:$1016,COLUMN($E$1),FALSE)/(LEN(VLOOKUP($D181,素材!$1:$1016,COLUMN($F$1),FALSE))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S181">
        <f>IF(ISNUMBER(SEARCH(SUBSTITUTE(AS$1,RIGHT(AS$1,2),""),VLOOKUP($D181,素材!$1:$1016,COLUMN($F$1),FALSE))),VLOOKUP($C181,武器!$1:$998,COLUMN($O$1),FALSE)*VLOOKUP($D181,素材!$1:$1016,COLUMN($E$1),FALSE)/(LEN(VLOOKUP($D181,素材!$1:$1016,COLUMN($F$1),FALSE))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T181">
        <f>IF(ISNUMBER(SEARCH(SUBSTITUTE(AT$1,RIGHT(AT$1,2),""),VLOOKUP($D181,素材!$1:$1016,COLUMN($F$1),FALSE))),VLOOKUP($C181,武器!$1:$998,COLUMN($O$1),FALSE)*VLOOKUP($D181,素材!$1:$1016,COLUMN($E$1),FALSE)/(LEN(VLOOKUP($D181,素材!$1:$1016,COLUMN($F$1),FALSE))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U181">
        <f>IF(ISNUMBER(SEARCH(SUBSTITUTE(AU$1,RIGHT(AU$1,2),""),VLOOKUP($D181,素材!$1:$1016,COLUMN($F$1),FALSE))),VLOOKUP($C181,武器!$1:$998,COLUMN($O$1),FALSE)*VLOOKUP($D181,素材!$1:$1016,COLUMN($E$1),FALSE)/(LEN(VLOOKUP($D181,素材!$1:$1016,COLUMN($F$1),FALSE))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V181">
        <f>IF(ISNUMBER(SEARCH(SUBSTITUTE(AV$1,RIGHT(AV$1,2),""),VLOOKUP($D181,素材!$1:$1016,COLUMN($F$1),FALSE))),VLOOKUP($C181,武器!$1:$998,COLUMN($O$1),FALSE)*VLOOKUP($D181,素材!$1:$1016,COLUMN($E$1),FALSE)/(LEN(VLOOKUP($D181,素材!$1:$1016,COLUMN($F$1),FALSE))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W181">
        <f>IF(ISNUMBER(SEARCH(SUBSTITUTE(AW$1,RIGHT(AW$1,2),""),VLOOKUP($D181,素材!$1:$1016,COLUMN($F$1),FALSE))),VLOOKUP($C181,武器!$1:$998,COLUMN($O$1),FALSE)*VLOOKUP($D181,素材!$1:$1016,COLUMN($E$1),FALSE)/(LEN(VLOOKUP($D181,素材!$1:$1016,COLUMN($F$1),FALSE))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X181">
        <f>IF(ISNUMBER(SEARCH(SUBSTITUTE(AX$1,RIGHT(AX$1,2),""),VLOOKUP($D181,素材!$1:$1016,COLUMN($F$1),FALSE))),VLOOKUP($C181,武器!$1:$998,COLUMN($O$1),FALSE)*VLOOKUP($D181,素材!$1:$1016,COLUMN($E$1),FALSE)/(LEN(VLOOKUP($D181,素材!$1:$1016,COLUMN($F$1),FALSE))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Y181">
        <f>IF(ISNUMBER(SEARCH(SUBSTITUTE(AY$1,RIGHT(AY$1,2),""),VLOOKUP($D181,素材!$1:$1016,COLUMN($F$1),FALSE))),VLOOKUP($C181,武器!$1:$998,COLUMN($O$1),FALSE)*VLOOKUP($D181,素材!$1:$1016,COLUMN($E$1),FALSE)/(LEN(VLOOKUP($D181,素材!$1:$1016,COLUMN($F$1),FALSE))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AZ181">
        <f>IF(ISNUMBER(SEARCH(SUBSTITUTE(AZ$1,RIGHT(AZ$1,2),""),VLOOKUP($D181,素材!$1:$1016,COLUMN($F$1),FALSE))),VLOOKUP($C181,武器!$1:$998,COLUMN($O$1),FALSE)*VLOOKUP($D181,素材!$1:$1016,COLUMN($E$1),FALSE)/(LEN(VLOOKUP($D181,素材!$1:$1016,COLUMN($F$1),FALSE))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BA181">
        <f>IF(ISNUMBER(SEARCH(SUBSTITUTE(BA$1,RIGHT(BA$1,2),""),VLOOKUP($D181,素材!$1:$1016,COLUMN($F$1),FALSE))),VLOOKUP($C181,武器!$1:$998,COLUMN($O$1),FALSE)*VLOOKUP($D181,素材!$1:$1016,COLUMN($E$1),FALSE)/(LEN(VLOOKUP($D181,素材!$1:$1016,COLUMN($F$1),FALSE))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BB181">
        <f>IF(ISNUMBER(SEARCH(SUBSTITUTE(BB$1,RIGHT(BB$1,2),""),VLOOKUP($D181,素材!$1:$1016,COLUMN($F$1),FALSE))),VLOOKUP($C181,武器!$1:$998,COLUMN($O$1),FALSE)*VLOOKUP($D181,素材!$1:$1016,COLUMN($E$1),FALSE)/(LEN(VLOOKUP($D181,素材!$1:$1016,COLUMN($F$1),FALSE))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BC181">
        <f>IF(ISNUMBER(SEARCH(SUBSTITUTE(BC$1,RIGHT(BC$1,2),""),VLOOKUP($D181,素材!$1:$1016,COLUMN($F$1),FALSE))),VLOOKUP($C181,武器!$1:$998,COLUMN($O$1),FALSE)*VLOOKUP($D181,素材!$1:$1016,COLUMN($E$1),FALSE)/(LEN(VLOOKUP($D181,素材!$1:$1016,COLUMN($F$1),FALSE))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BD181">
        <f>IF(ISNUMBER(SEARCH(SUBSTITUTE(BD$1,RIGHT(BD$1,2),""),VLOOKUP($D181,素材!$1:$1016,COLUMN($F$1),FALSE))),VLOOKUP($C181,武器!$1:$998,COLUMN($O$1),FALSE)*VLOOKUP($D181,素材!$1:$1016,COLUMN($E$1),FALSE)/(LEN(VLOOKUP($D181,素材!$1:$1016,COLUMN($F$1),FALSE))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BE181">
        <f>IF(ISNUMBER(SEARCH(SUBSTITUTE(BE$1,RIGHT(BE$1,2),""),VLOOKUP($D181,素材!$1:$1016,COLUMN($F$1),FALSE))),VLOOKUP($C181,武器!$1:$998,COLUMN($O$1),FALSE)*VLOOKUP($D181,素材!$1:$1016,COLUMN($E$1),FALSE)/(LEN(VLOOKUP($D181,素材!$1:$1016,COLUMN($F$1),FALSE))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BF181">
        <f>IF(ISNUMBER(SEARCH(SUBSTITUTE(BF$1,RIGHT(BF$1,2),""),VLOOKUP($D181,素材!$1:$1016,COLUMN($F$1),FALSE))),VLOOKUP($C181,武器!$1:$998,COLUMN($O$1),FALSE)*VLOOKUP($D181,素材!$1:$1016,COLUMN($E$1),FALSE)/(LEN(VLOOKUP($D181,素材!$1:$1016,COLUMN($F$1),FALSE)) - LEN(SUBSTITUTE(VLOOKUP($D181,素材!$1:$1016,COLUMN($F$1),FALSE), "・", 0)) + 1), 0)</f>
        <v>0</v>
      </c>
      <c r="CM181">
        <f t="shared" si="19"/>
        <v>22</v>
      </c>
      <c r="CN181" s="22" t="str">
        <f>IF(E181="武器",IF(J181-1&gt;SUM(G181:I181),"盾",IF(MAX(G181:I181)=G181,"切断",IF(MAX(G181:I181)=H181,"貫通",IF(MAX(G181:I181)=I181,"打撃","射撃")))),E181)&amp;".webp"</f>
        <v>杖.webp</v>
      </c>
      <c r="CO181">
        <f>IFERROR(VLOOKUP($C181,武器!$1:$998,COLUMN(V$1),FALSE)*VLOOKUP($D181,素材!$1:$1016,COLUMN(N$1),FALSE)+IF(CJ181="",0,VLOOKUP($CJ181,装強!$1:$1008,COLUMN($CL$1),FALSE)),"")</f>
        <v>4500</v>
      </c>
      <c r="CP181">
        <f>VLOOKUP(D181,素材!$A:$O,COLUMN(素材!O$1),FALSE)</f>
        <v>0</v>
      </c>
      <c r="CQ181" t="str">
        <f>VLOOKUP(C181,武器!$A:$W,COLUMN(武器!W$1),FALSE)</f>
        <v>長杖。強力な魔法を扱える杖だが、重い。</v>
      </c>
      <c r="CS181" t="str">
        <f t="shared" si="21"/>
        <v>e_181</v>
      </c>
      <c r="CT181">
        <f t="shared" si="24"/>
        <v>450000</v>
      </c>
    </row>
    <row r="182" spans="1:98" outlineLevel="1" x14ac:dyDescent="0.4">
      <c r="A182" t="str">
        <f t="shared" si="29"/>
        <v>黒鋼鉄の軽射出弓</v>
      </c>
      <c r="B182" t="str">
        <f>IFERROR(VLOOKUP($D182,素材!$1:$1016,COLUMN($B$1),FALSE)&amp;"・"&amp;VLOOKUP($C182,武器!$1:$998,COLUMN(B$1),FALSE),"")</f>
        <v>ブラックスティール・ライトクロスボウ</v>
      </c>
      <c r="C182" t="s">
        <v>214</v>
      </c>
      <c r="D182" s="24" t="s">
        <v>244</v>
      </c>
      <c r="E182" t="str">
        <f>IFERROR(VLOOKUP(C182,武器!$1:$998,COLUMN(C$1),FALSE),"")</f>
        <v>銃</v>
      </c>
      <c r="F182">
        <f>IFERROR(ROUNDDOWN((VLOOKUP($C182,武器!$1:$998,COLUMN(D$1),FALSE)+IFERROR(VLOOKUP($CJ182,装強!$1:$999,COLUMN(F$1),FALSE),0))*VLOOKUP($D182,素材!$1:$1016,COLUMN(D$1),FALSE),0),"")</f>
        <v>0</v>
      </c>
      <c r="G182">
        <f>IFERROR(ROUNDDOWN((VLOOKUP($C182,武器!$1:$998,COLUMN(E$1),FALSE)+IFERROR(VLOOKUP($CJ182,装強!$1:$999,COLUMN(G$1),FALSE),0))*VLOOKUP($D182,素材!$1:$1016,COLUMN($E$1),FALSE),0),"")</f>
        <v>0</v>
      </c>
      <c r="H182">
        <f>IFERROR(ROUNDDOWN((VLOOKUP($C182,武器!$1:$998,COLUMN(F$1),FALSE)+IFERROR(VLOOKUP($CJ182,装強!$1:$999,COLUMN(H$1),FALSE),0))*VLOOKUP($D182,素材!$1:$1016,COLUMN($E$1),FALSE),0),"")</f>
        <v>0</v>
      </c>
      <c r="I182">
        <f>IFERROR(ROUNDDOWN((VLOOKUP($C182,武器!$1:$998,COLUMN(G$1),FALSE)+IFERROR(VLOOKUP($CJ182,装強!$1:$999,COLUMN(I$1),FALSE),0))*VLOOKUP($D182,素材!$1:$1016,COLUMN($E$1),FALSE),0),"")</f>
        <v>0</v>
      </c>
      <c r="J182">
        <f>IFERROR(ROUNDDOWN((VLOOKUP($C182,武器!$1:$998,COLUMN(H$1),FALSE)+IFERROR(VLOOKUP($CJ182,装強!$1:$999,COLUMN(J$1),FALSE),0))*VLOOKUP($D182,素材!$1:$1016,COLUMN($E$1),FALSE),0),"")</f>
        <v>0</v>
      </c>
      <c r="K182">
        <f>IFERROR(ROUNDDOWN((VLOOKUP($C182,武器!$1:$998,COLUMN(I$1),FALSE)+IFERROR(VLOOKUP($CJ182,装強!$1:$999,COLUMN(K$1),FALSE),0))*VLOOKUP($D182,素材!$1:$1016,COLUMN($E$1),FALSE),0),"")</f>
        <v>54</v>
      </c>
      <c r="L182" t="str">
        <f>IFERROR(VLOOKUP($D182,素材!$1:$1016,COLUMN($F$1),FALSE),"")</f>
        <v>雷</v>
      </c>
      <c r="M182">
        <f>IFERROR(VLOOKUP($C182,武器!$1:$998,COLUMN(AA$1),FALSE)*VLOOKUP($D182,素材!$1:$1016,COLUMN($G$1),FALSE),"")</f>
        <v>47.25</v>
      </c>
      <c r="N182">
        <f>IFERROR(VLOOKUP($C182,武器!$1:$998,COLUMN(I$1),FALSE),"")</f>
        <v>2.7</v>
      </c>
      <c r="O182" s="23">
        <f>IFERROR((VLOOKUP($C182,武器!$1:$998,COLUMN(K$1),FALSE)+VLOOKUP($D182,素材!$1:$1016,COLUMN(H$1),FALSE))*100+IFERROR(VLOOKUP($CJ182,装強!$1:$999,COLUMN(O$1),FALSE),0),"")</f>
        <v>10</v>
      </c>
      <c r="P182" s="23">
        <f>IFERROR((VLOOKUP($C182,武器!$1:$998,COLUMN(L$1),FALSE)+VLOOKUP($D182,素材!$1:$1016,COLUMN(I$1),FALSE))*100+IFERROR(VLOOKUP($CJ182,装強!$1:$999,COLUMN(P$1),FALSE),0),"")</f>
        <v>150</v>
      </c>
      <c r="Q182">
        <f>IFERROR(ROUNDUP(VLOOKUP($C182,武器!$1:$998,COLUMN(M$1),FALSE)*(VLOOKUP($D182,素材!$1:$1002,COLUMN(D$1),FALSE)/100),1),"")</f>
        <v>0</v>
      </c>
      <c r="R182">
        <f>IFERROR(ROUNDUP(VLOOKUP($C182,武器!$1:$998,COLUMN(N$1),FALSE)*(VLOOKUP($D182,素材!$1:$1002,COLUMN(D$1),FALSE)/100),1),"")</f>
        <v>0</v>
      </c>
      <c r="S182">
        <f>IFERROR(VLOOKUP($C182,武器!$1:$998,COLUMN(P$1),FALSE),"")</f>
        <v>0</v>
      </c>
      <c r="T182">
        <f>IFERROR(VLOOKUP($C182,武器!$1:$998,COLUMN(Q$1),FALSE),"")</f>
        <v>1</v>
      </c>
      <c r="U182">
        <f>IFERROR(VLOOKUP($C182,武器!$1:$998,COLUMN(R$1),FALSE),"")</f>
        <v>1</v>
      </c>
      <c r="V182">
        <f>IFERROR(VLOOKUP($C182,武器!$1:$998,COLUMN(Q$1),FALSE),"")</f>
        <v>1</v>
      </c>
      <c r="W182" t="str">
        <f>IFERROR(VLOOKUP($C182,武器!$1:$998,COLUMN(T$1),FALSE),"")</f>
        <v>Q</v>
      </c>
      <c r="Y182">
        <f>IFERROR(VLOOKUP($C182,武器!$1:$998,COLUMN(U$1),FALSE),"")</f>
        <v>0</v>
      </c>
      <c r="Z182">
        <f>IFERROR(ROUNDUP(VLOOKUP($C182,武器!$1:$998,COLUMN(O$1),FALSE)*VLOOKUP($D182,素材!$1:$1016,COLUMN(E$1),FALSE),1),"")</f>
        <v>0</v>
      </c>
      <c r="AA182">
        <f>IF(ISNUMBER(SEARCH(SUBSTITUTE(AA$1,RIGHT(AA$1,2),""),VLOOKUP($D182,素材!$1:$1016,COLUMN($F$1),FALSE))),VLOOKUP($C182,武器!$1:$998,COLUMN($O$1),FALSE)*VLOOKUP($D182,素材!$1:$1016,COLUMN($E$1),FALSE)/(LEN(VLOOKUP($D182,素材!$1:$1016,COLUMN($F$1),FALSE))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B182">
        <f>IF(ISNUMBER(SEARCH(SUBSTITUTE(AB$1,RIGHT(AB$1,2),""),VLOOKUP($D182,素材!$1:$1016,COLUMN($F$1),FALSE))),VLOOKUP($C182,武器!$1:$998,COLUMN($O$1),FALSE)*VLOOKUP($D182,素材!$1:$1016,COLUMN($E$1),FALSE)/(LEN(VLOOKUP($D182,素材!$1:$1016,COLUMN($F$1),FALSE))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C182">
        <f>IF(ISNUMBER(SEARCH(SUBSTITUTE(AC$1,RIGHT(AC$1,2),""),VLOOKUP($D182,素材!$1:$1016,COLUMN($F$1),FALSE))),VLOOKUP($C182,武器!$1:$998,COLUMN($O$1),FALSE)*VLOOKUP($D182,素材!$1:$1016,COLUMN($E$1),FALSE)/(LEN(VLOOKUP($D182,素材!$1:$1016,COLUMN($F$1),FALSE))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D182">
        <f>IF(ISNUMBER(SEARCH(SUBSTITUTE(AD$1,RIGHT(AD$1,2),""),VLOOKUP($D182,素材!$1:$1016,COLUMN($F$1),FALSE))),VLOOKUP($C182,武器!$1:$998,COLUMN($O$1),FALSE)*VLOOKUP($D182,素材!$1:$1016,COLUMN($E$1),FALSE)/(LEN(VLOOKUP($D182,素材!$1:$1016,COLUMN($F$1),FALSE))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E182">
        <f>IF(ISNUMBER(SEARCH(SUBSTITUTE(AE$1,RIGHT(AE$1,2),""),VLOOKUP($D182,素材!$1:$1016,COLUMN($F$1),FALSE))),VLOOKUP($C182,武器!$1:$998,COLUMN($O$1),FALSE)*VLOOKUP($D182,素材!$1:$1016,COLUMN($E$1),FALSE)/(LEN(VLOOKUP($D182,素材!$1:$1016,COLUMN($F$1),FALSE))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F182">
        <f>IF(ISNUMBER(SEARCH(SUBSTITUTE(AF$1,RIGHT(AF$1,2),""),VLOOKUP($D182,素材!$1:$1016,COLUMN($F$1),FALSE))),VLOOKUP($C182,武器!$1:$998,COLUMN($O$1),FALSE)*VLOOKUP($D182,素材!$1:$1016,COLUMN($E$1),FALSE)/(LEN(VLOOKUP($D182,素材!$1:$1016,COLUMN($F$1),FALSE))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G182">
        <f>IF(ISNUMBER(SEARCH(SUBSTITUTE(AG$1,RIGHT(AG$1,2),""),VLOOKUP($D182,素材!$1:$1016,COLUMN($F$1),FALSE))),VLOOKUP($C182,武器!$1:$998,COLUMN($O$1),FALSE)*VLOOKUP($D182,素材!$1:$1016,COLUMN($E$1),FALSE)/(LEN(VLOOKUP($D182,素材!$1:$1016,COLUMN($F$1),FALSE))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H182">
        <f>IF(ISNUMBER(SEARCH(SUBSTITUTE(AH$1,RIGHT(AH$1,2),""),VLOOKUP($D182,素材!$1:$1016,COLUMN($F$1),FALSE))),VLOOKUP($C182,武器!$1:$998,COLUMN($O$1),FALSE)*VLOOKUP($D182,素材!$1:$1016,COLUMN($E$1),FALSE)/(LEN(VLOOKUP($D182,素材!$1:$1016,COLUMN($F$1),FALSE))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I182">
        <f>IF(ISNUMBER(SEARCH(SUBSTITUTE(AI$1,RIGHT(AI$1,2),""),VLOOKUP($D182,素材!$1:$1016,COLUMN($F$1),FALSE))),VLOOKUP($C182,武器!$1:$998,COLUMN($O$1),FALSE)*VLOOKUP($D182,素材!$1:$1016,COLUMN($E$1),FALSE)/(LEN(VLOOKUP($D182,素材!$1:$1016,COLUMN($F$1),FALSE))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J182">
        <f>IF(ISNUMBER(SEARCH(SUBSTITUTE(AJ$1,RIGHT(AJ$1,2),""),VLOOKUP($D182,素材!$1:$1016,COLUMN($F$1),FALSE))),VLOOKUP($C182,武器!$1:$998,COLUMN($O$1),FALSE)*VLOOKUP($D182,素材!$1:$1016,COLUMN($E$1),FALSE)/(LEN(VLOOKUP($D182,素材!$1:$1016,COLUMN($F$1),FALSE))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K182">
        <f>IF(ISNUMBER(SEARCH(SUBSTITUTE(AK$1,RIGHT(AK$1,2),""),VLOOKUP($D182,素材!$1:$1016,COLUMN($F$1),FALSE))),VLOOKUP($C182,武器!$1:$998,COLUMN($O$1),FALSE)*VLOOKUP($D182,素材!$1:$1016,COLUMN($E$1),FALSE)/(LEN(VLOOKUP($D182,素材!$1:$1016,COLUMN($F$1),FALSE))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L182">
        <f>IF(ISNUMBER(SEARCH(SUBSTITUTE(AL$1,RIGHT(AL$1,2),""),VLOOKUP($D182,素材!$1:$1016,COLUMN($F$1),FALSE))),VLOOKUP($C182,武器!$1:$998,COLUMN($O$1),FALSE)*VLOOKUP($D182,素材!$1:$1016,COLUMN($E$1),FALSE)/(LEN(VLOOKUP($D182,素材!$1:$1016,COLUMN($F$1),FALSE))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M182">
        <f>IF(ISNUMBER(SEARCH(SUBSTITUTE(AM$1,RIGHT(AM$1,2),""),VLOOKUP($D182,素材!$1:$1016,COLUMN($F$1),FALSE))),VLOOKUP($C182,武器!$1:$998,COLUMN($O$1),FALSE)*VLOOKUP($D182,素材!$1:$1016,COLUMN($E$1),FALSE)/(LEN(VLOOKUP($D182,素材!$1:$1016,COLUMN($F$1),FALSE))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N182">
        <f>IF(ISNUMBER(SEARCH(SUBSTITUTE(AN$1,RIGHT(AN$1,2),""),VLOOKUP($D182,素材!$1:$1016,COLUMN($F$1),FALSE))),VLOOKUP($C182,武器!$1:$998,COLUMN($O$1),FALSE)*VLOOKUP($D182,素材!$1:$1016,COLUMN($E$1),FALSE)/(LEN(VLOOKUP($D182,素材!$1:$1016,COLUMN($F$1),FALSE))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O182">
        <f>IF(ISNUMBER(SEARCH(SUBSTITUTE(AO$1,RIGHT(AO$1,2),""),VLOOKUP($D182,素材!$1:$1016,COLUMN($F$1),FALSE))),VLOOKUP($C182,武器!$1:$998,COLUMN($O$1),FALSE)*VLOOKUP($D182,素材!$1:$1016,COLUMN($E$1),FALSE)/(LEN(VLOOKUP($D182,素材!$1:$1016,COLUMN($F$1),FALSE))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P182">
        <f>IF(ISNUMBER(SEARCH(SUBSTITUTE(AP$1,RIGHT(AP$1,2),""),VLOOKUP($D182,素材!$1:$1016,COLUMN($F$1),FALSE))),VLOOKUP($C182,武器!$1:$998,COLUMN($O$1),FALSE)*VLOOKUP($D182,素材!$1:$1016,COLUMN($E$1),FALSE)/(LEN(VLOOKUP($D182,素材!$1:$1016,COLUMN($F$1),FALSE))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Q182">
        <f>IF(ISNUMBER(SEARCH(SUBSTITUTE(AQ$1,RIGHT(AQ$1,2),""),VLOOKUP($D182,素材!$1:$1016,COLUMN($F$1),FALSE))),VLOOKUP($C182,武器!$1:$998,COLUMN($O$1),FALSE)*VLOOKUP($D182,素材!$1:$1016,COLUMN($E$1),FALSE)/(LEN(VLOOKUP($D182,素材!$1:$1016,COLUMN($F$1),FALSE))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R182">
        <f>IF(ISNUMBER(SEARCH(SUBSTITUTE(AR$1,RIGHT(AR$1,2),""),VLOOKUP($D182,素材!$1:$1016,COLUMN($F$1),FALSE))),VLOOKUP($C182,武器!$1:$998,COLUMN($O$1),FALSE)*VLOOKUP($D182,素材!$1:$1016,COLUMN($E$1),FALSE)/(LEN(VLOOKUP($D182,素材!$1:$1016,COLUMN($F$1),FALSE))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S182">
        <f>IF(ISNUMBER(SEARCH(SUBSTITUTE(AS$1,RIGHT(AS$1,2),""),VLOOKUP($D182,素材!$1:$1016,COLUMN($F$1),FALSE))),VLOOKUP($C182,武器!$1:$998,COLUMN($O$1),FALSE)*VLOOKUP($D182,素材!$1:$1016,COLUMN($E$1),FALSE)/(LEN(VLOOKUP($D182,素材!$1:$1016,COLUMN($F$1),FALSE))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T182">
        <f>IF(ISNUMBER(SEARCH(SUBSTITUTE(AT$1,RIGHT(AT$1,2),""),VLOOKUP($D182,素材!$1:$1016,COLUMN($F$1),FALSE))),VLOOKUP($C182,武器!$1:$998,COLUMN($O$1),FALSE)*VLOOKUP($D182,素材!$1:$1016,COLUMN($E$1),FALSE)/(LEN(VLOOKUP($D182,素材!$1:$1016,COLUMN($F$1),FALSE))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U182">
        <f>IF(ISNUMBER(SEARCH(SUBSTITUTE(AU$1,RIGHT(AU$1,2),""),VLOOKUP($D182,素材!$1:$1016,COLUMN($F$1),FALSE))),VLOOKUP($C182,武器!$1:$998,COLUMN($O$1),FALSE)*VLOOKUP($D182,素材!$1:$1016,COLUMN($E$1),FALSE)/(LEN(VLOOKUP($D182,素材!$1:$1016,COLUMN($F$1),FALSE))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V182">
        <f>IF(ISNUMBER(SEARCH(SUBSTITUTE(AV$1,RIGHT(AV$1,2),""),VLOOKUP($D182,素材!$1:$1016,COLUMN($F$1),FALSE))),VLOOKUP($C182,武器!$1:$998,COLUMN($O$1),FALSE)*VLOOKUP($D182,素材!$1:$1016,COLUMN($E$1),FALSE)/(LEN(VLOOKUP($D182,素材!$1:$1016,COLUMN($F$1),FALSE))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W182">
        <f>IF(ISNUMBER(SEARCH(SUBSTITUTE(AW$1,RIGHT(AW$1,2),""),VLOOKUP($D182,素材!$1:$1016,COLUMN($F$1),FALSE))),VLOOKUP($C182,武器!$1:$998,COLUMN($O$1),FALSE)*VLOOKUP($D182,素材!$1:$1016,COLUMN($E$1),FALSE)/(LEN(VLOOKUP($D182,素材!$1:$1016,COLUMN($F$1),FALSE))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X182">
        <f>IF(ISNUMBER(SEARCH(SUBSTITUTE(AX$1,RIGHT(AX$1,2),""),VLOOKUP($D182,素材!$1:$1016,COLUMN($F$1),FALSE))),VLOOKUP($C182,武器!$1:$998,COLUMN($O$1),FALSE)*VLOOKUP($D182,素材!$1:$1016,COLUMN($E$1),FALSE)/(LEN(VLOOKUP($D182,素材!$1:$1016,COLUMN($F$1),FALSE))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Y182">
        <f>IF(ISNUMBER(SEARCH(SUBSTITUTE(AY$1,RIGHT(AY$1,2),""),VLOOKUP($D182,素材!$1:$1016,COLUMN($F$1),FALSE))),VLOOKUP($C182,武器!$1:$998,COLUMN($O$1),FALSE)*VLOOKUP($D182,素材!$1:$1016,COLUMN($E$1),FALSE)/(LEN(VLOOKUP($D182,素材!$1:$1016,COLUMN($F$1),FALSE))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AZ182">
        <f>IF(ISNUMBER(SEARCH(SUBSTITUTE(AZ$1,RIGHT(AZ$1,2),""),VLOOKUP($D182,素材!$1:$1016,COLUMN($F$1),FALSE))),VLOOKUP($C182,武器!$1:$998,COLUMN($O$1),FALSE)*VLOOKUP($D182,素材!$1:$1016,COLUMN($E$1),FALSE)/(LEN(VLOOKUP($D182,素材!$1:$1016,COLUMN($F$1),FALSE))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BA182">
        <f>IF(ISNUMBER(SEARCH(SUBSTITUTE(BA$1,RIGHT(BA$1,2),""),VLOOKUP($D182,素材!$1:$1016,COLUMN($F$1),FALSE))),VLOOKUP($C182,武器!$1:$998,COLUMN($O$1),FALSE)*VLOOKUP($D182,素材!$1:$1016,COLUMN($E$1),FALSE)/(LEN(VLOOKUP($D182,素材!$1:$1016,COLUMN($F$1),FALSE))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BB182">
        <f>IF(ISNUMBER(SEARCH(SUBSTITUTE(BB$1,RIGHT(BB$1,2),""),VLOOKUP($D182,素材!$1:$1016,COLUMN($F$1),FALSE))),VLOOKUP($C182,武器!$1:$998,COLUMN($O$1),FALSE)*VLOOKUP($D182,素材!$1:$1016,COLUMN($E$1),FALSE)/(LEN(VLOOKUP($D182,素材!$1:$1016,COLUMN($F$1),FALSE))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BC182">
        <f>IF(ISNUMBER(SEARCH(SUBSTITUTE(BC$1,RIGHT(BC$1,2),""),VLOOKUP($D182,素材!$1:$1016,COLUMN($F$1),FALSE))),VLOOKUP($C182,武器!$1:$998,COLUMN($O$1),FALSE)*VLOOKUP($D182,素材!$1:$1016,COLUMN($E$1),FALSE)/(LEN(VLOOKUP($D182,素材!$1:$1016,COLUMN($F$1),FALSE))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BD182">
        <f>IF(ISNUMBER(SEARCH(SUBSTITUTE(BD$1,RIGHT(BD$1,2),""),VLOOKUP($D182,素材!$1:$1016,COLUMN($F$1),FALSE))),VLOOKUP($C182,武器!$1:$998,COLUMN($O$1),FALSE)*VLOOKUP($D182,素材!$1:$1016,COLUMN($E$1),FALSE)/(LEN(VLOOKUP($D182,素材!$1:$1016,COLUMN($F$1),FALSE))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BE182">
        <f>IF(ISNUMBER(SEARCH(SUBSTITUTE(BE$1,RIGHT(BE$1,2),""),VLOOKUP($D182,素材!$1:$1016,COLUMN($F$1),FALSE))),VLOOKUP($C182,武器!$1:$998,COLUMN($O$1),FALSE)*VLOOKUP($D182,素材!$1:$1016,COLUMN($E$1),FALSE)/(LEN(VLOOKUP($D182,素材!$1:$1016,COLUMN($F$1),FALSE))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BF182">
        <f>IF(ISNUMBER(SEARCH(SUBSTITUTE(BF$1,RIGHT(BF$1,2),""),VLOOKUP($D182,素材!$1:$1016,COLUMN($F$1),FALSE))),VLOOKUP($C182,武器!$1:$998,COLUMN($O$1),FALSE)*VLOOKUP($D182,素材!$1:$1016,COLUMN($E$1),FALSE)/(LEN(VLOOKUP($D182,素材!$1:$1016,COLUMN($F$1),FALSE)) - LEN(SUBSTITUTE(VLOOKUP($D182,素材!$1:$1016,COLUMN($F$1),FALSE), "・", 0)) + 1), 0)</f>
        <v>0</v>
      </c>
      <c r="CM182">
        <f t="shared" si="19"/>
        <v>0</v>
      </c>
      <c r="CN182" s="22" t="str">
        <f>IF(E182="武器",IF(J182-1&gt;SUM(G182:I182),"盾",IF(MAX(G182:I182)=G182,"切断",IF(MAX(G182:I182)=H182,"貫通",IF(MAX(G182:I182)=I182,"打撃","射撃")))),E182)&amp;".webp"</f>
        <v>銃.webp</v>
      </c>
      <c r="CO182">
        <f>IFERROR(VLOOKUP($C182,武器!$1:$998,COLUMN(V$1),FALSE)*VLOOKUP($D182,素材!$1:$1016,COLUMN(N$1),FALSE)+IF(CJ182="",0,VLOOKUP($CJ182,装強!$1:$1008,COLUMN($CL$1),FALSE)),"")</f>
        <v>3750</v>
      </c>
      <c r="CP182">
        <f>VLOOKUP(D182,素材!$A:$O,COLUMN(素材!O$1),FALSE)</f>
        <v>0</v>
      </c>
      <c r="CQ182" t="str">
        <f>VLOOKUP(C182,武器!$A:$W,COLUMN(武器!W$1),FALSE)</f>
        <v/>
      </c>
      <c r="CS182" t="str">
        <f t="shared" si="21"/>
        <v>e_182</v>
      </c>
      <c r="CT182">
        <f t="shared" si="24"/>
        <v>375000</v>
      </c>
    </row>
    <row r="183" spans="1:98" outlineLevel="1" x14ac:dyDescent="0.4">
      <c r="A183" t="str">
        <f t="shared" si="29"/>
        <v>黒鋼鉄の射出弓</v>
      </c>
      <c r="B183" t="str">
        <f>IFERROR(VLOOKUP($D183,素材!$1:$1016,COLUMN($B$1),FALSE)&amp;"・"&amp;VLOOKUP($C183,武器!$1:$998,COLUMN(B$1),FALSE),"")</f>
        <v>ブラックスティール・クロスボウ</v>
      </c>
      <c r="C183" t="s">
        <v>213</v>
      </c>
      <c r="D183" s="24" t="s">
        <v>244</v>
      </c>
      <c r="E183" t="str">
        <f>IFERROR(VLOOKUP(C183,武器!$1:$998,COLUMN(C$1),FALSE),"")</f>
        <v>銃</v>
      </c>
      <c r="F183">
        <f>IFERROR(ROUNDDOWN((VLOOKUP($C183,武器!$1:$998,COLUMN(D$1),FALSE)+IFERROR(VLOOKUP($CJ183,装強!$1:$999,COLUMN(F$1),FALSE),0))*VLOOKUP($D183,素材!$1:$1016,COLUMN(D$1),FALSE),0),"")</f>
        <v>0</v>
      </c>
      <c r="G183">
        <f>IFERROR(ROUNDDOWN((VLOOKUP($C183,武器!$1:$998,COLUMN(E$1),FALSE)+IFERROR(VLOOKUP($CJ183,装強!$1:$999,COLUMN(G$1),FALSE),0))*VLOOKUP($D183,素材!$1:$1016,COLUMN($E$1),FALSE),0),"")</f>
        <v>0</v>
      </c>
      <c r="H183">
        <f>IFERROR(ROUNDDOWN((VLOOKUP($C183,武器!$1:$998,COLUMN(F$1),FALSE)+IFERROR(VLOOKUP($CJ183,装強!$1:$999,COLUMN(H$1),FALSE),0))*VLOOKUP($D183,素材!$1:$1016,COLUMN($E$1),FALSE),0),"")</f>
        <v>0</v>
      </c>
      <c r="I183">
        <f>IFERROR(ROUNDDOWN((VLOOKUP($C183,武器!$1:$998,COLUMN(G$1),FALSE)+IFERROR(VLOOKUP($CJ183,装強!$1:$999,COLUMN(I$1),FALSE),0))*VLOOKUP($D183,素材!$1:$1016,COLUMN($E$1),FALSE),0),"")</f>
        <v>0</v>
      </c>
      <c r="J183">
        <f>IFERROR(ROUNDDOWN((VLOOKUP($C183,武器!$1:$998,COLUMN(H$1),FALSE)+IFERROR(VLOOKUP($CJ183,装強!$1:$999,COLUMN(J$1),FALSE),0))*VLOOKUP($D183,素材!$1:$1016,COLUMN($E$1),FALSE),0),"")</f>
        <v>0</v>
      </c>
      <c r="K183">
        <f>IFERROR(ROUNDDOWN((VLOOKUP($C183,武器!$1:$998,COLUMN(I$1),FALSE)+IFERROR(VLOOKUP($CJ183,装強!$1:$999,COLUMN(K$1),FALSE),0))*VLOOKUP($D183,素材!$1:$1016,COLUMN($E$1),FALSE),0),"")</f>
        <v>78</v>
      </c>
      <c r="L183" t="str">
        <f>IFERROR(VLOOKUP($D183,素材!$1:$1016,COLUMN($F$1),FALSE),"")</f>
        <v>雷</v>
      </c>
      <c r="M183">
        <f>IFERROR(VLOOKUP($C183,武器!$1:$998,COLUMN(AA$1),FALSE)*VLOOKUP($D183,素材!$1:$1016,COLUMN($G$1),FALSE),"")</f>
        <v>0</v>
      </c>
      <c r="N183">
        <f>IFERROR(VLOOKUP($C183,武器!$1:$998,COLUMN(I$1),FALSE),"")</f>
        <v>3.9</v>
      </c>
      <c r="O183" s="23">
        <f>IFERROR((VLOOKUP($C183,武器!$1:$998,COLUMN(K$1),FALSE)+VLOOKUP($D183,素材!$1:$1016,COLUMN(H$1),FALSE))*100+IFERROR(VLOOKUP($CJ183,装強!$1:$999,COLUMN(O$1),FALSE),0),"")</f>
        <v>10</v>
      </c>
      <c r="P183" s="23">
        <f>IFERROR((VLOOKUP($C183,武器!$1:$998,COLUMN(L$1),FALSE)+VLOOKUP($D183,素材!$1:$1016,COLUMN(I$1),FALSE))*100+IFERROR(VLOOKUP($CJ183,装強!$1:$999,COLUMN(P$1),FALSE),0),"")</f>
        <v>150</v>
      </c>
      <c r="Q183">
        <f>IFERROR(ROUNDUP(VLOOKUP($C183,武器!$1:$998,COLUMN(M$1),FALSE)*(VLOOKUP($D183,素材!$1:$1002,COLUMN(D$1),FALSE)/100),1),"")</f>
        <v>0</v>
      </c>
      <c r="R183">
        <f>IFERROR(ROUNDUP(VLOOKUP($C183,武器!$1:$998,COLUMN(N$1),FALSE)*(VLOOKUP($D183,素材!$1:$1002,COLUMN(D$1),FALSE)/100),1),"")</f>
        <v>0</v>
      </c>
      <c r="S183">
        <f>IFERROR(VLOOKUP($C183,武器!$1:$998,COLUMN(P$1),FALSE),"")</f>
        <v>0</v>
      </c>
      <c r="T183">
        <f>IFERROR(VLOOKUP($C183,武器!$1:$998,COLUMN(Q$1),FALSE),"")</f>
        <v>1</v>
      </c>
      <c r="U183">
        <f>IFERROR(VLOOKUP($C183,武器!$1:$998,COLUMN(R$1),FALSE),"")</f>
        <v>1</v>
      </c>
      <c r="V183">
        <f>IFERROR(VLOOKUP($C183,武器!$1:$998,COLUMN(Q$1),FALSE),"")</f>
        <v>1</v>
      </c>
      <c r="W183" t="str">
        <f>IFERROR(VLOOKUP($C183,武器!$1:$998,COLUMN(T$1),FALSE),"")</f>
        <v>S</v>
      </c>
      <c r="Y183">
        <f>IFERROR(VLOOKUP($C183,武器!$1:$998,COLUMN(U$1),FALSE),"")</f>
        <v>0</v>
      </c>
      <c r="Z183">
        <f>IFERROR(ROUNDUP(VLOOKUP($C183,武器!$1:$998,COLUMN(O$1),FALSE)*VLOOKUP($D183,素材!$1:$1016,COLUMN(E$1),FALSE),1),"")</f>
        <v>0</v>
      </c>
      <c r="AA183">
        <f>IF(ISNUMBER(SEARCH(SUBSTITUTE(AA$1,RIGHT(AA$1,2),""),VLOOKUP($D183,素材!$1:$1016,COLUMN($F$1),FALSE))),VLOOKUP($C183,武器!$1:$998,COLUMN($O$1),FALSE)*VLOOKUP($D183,素材!$1:$1016,COLUMN($E$1),FALSE)/(LEN(VLOOKUP($D183,素材!$1:$1016,COLUMN($F$1),FALSE))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B183">
        <f>IF(ISNUMBER(SEARCH(SUBSTITUTE(AB$1,RIGHT(AB$1,2),""),VLOOKUP($D183,素材!$1:$1016,COLUMN($F$1),FALSE))),VLOOKUP($C183,武器!$1:$998,COLUMN($O$1),FALSE)*VLOOKUP($D183,素材!$1:$1016,COLUMN($E$1),FALSE)/(LEN(VLOOKUP($D183,素材!$1:$1016,COLUMN($F$1),FALSE))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C183">
        <f>IF(ISNUMBER(SEARCH(SUBSTITUTE(AC$1,RIGHT(AC$1,2),""),VLOOKUP($D183,素材!$1:$1016,COLUMN($F$1),FALSE))),VLOOKUP($C183,武器!$1:$998,COLUMN($O$1),FALSE)*VLOOKUP($D183,素材!$1:$1016,COLUMN($E$1),FALSE)/(LEN(VLOOKUP($D183,素材!$1:$1016,COLUMN($F$1),FALSE))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D183">
        <f>IF(ISNUMBER(SEARCH(SUBSTITUTE(AD$1,RIGHT(AD$1,2),""),VLOOKUP($D183,素材!$1:$1016,COLUMN($F$1),FALSE))),VLOOKUP($C183,武器!$1:$998,COLUMN($O$1),FALSE)*VLOOKUP($D183,素材!$1:$1016,COLUMN($E$1),FALSE)/(LEN(VLOOKUP($D183,素材!$1:$1016,COLUMN($F$1),FALSE))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E183">
        <f>IF(ISNUMBER(SEARCH(SUBSTITUTE(AE$1,RIGHT(AE$1,2),""),VLOOKUP($D183,素材!$1:$1016,COLUMN($F$1),FALSE))),VLOOKUP($C183,武器!$1:$998,COLUMN($O$1),FALSE)*VLOOKUP($D183,素材!$1:$1016,COLUMN($E$1),FALSE)/(LEN(VLOOKUP($D183,素材!$1:$1016,COLUMN($F$1),FALSE))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F183">
        <f>IF(ISNUMBER(SEARCH(SUBSTITUTE(AF$1,RIGHT(AF$1,2),""),VLOOKUP($D183,素材!$1:$1016,COLUMN($F$1),FALSE))),VLOOKUP($C183,武器!$1:$998,COLUMN($O$1),FALSE)*VLOOKUP($D183,素材!$1:$1016,COLUMN($E$1),FALSE)/(LEN(VLOOKUP($D183,素材!$1:$1016,COLUMN($F$1),FALSE))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G183">
        <f>IF(ISNUMBER(SEARCH(SUBSTITUTE(AG$1,RIGHT(AG$1,2),""),VLOOKUP($D183,素材!$1:$1016,COLUMN($F$1),FALSE))),VLOOKUP($C183,武器!$1:$998,COLUMN($O$1),FALSE)*VLOOKUP($D183,素材!$1:$1016,COLUMN($E$1),FALSE)/(LEN(VLOOKUP($D183,素材!$1:$1016,COLUMN($F$1),FALSE))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H183">
        <f>IF(ISNUMBER(SEARCH(SUBSTITUTE(AH$1,RIGHT(AH$1,2),""),VLOOKUP($D183,素材!$1:$1016,COLUMN($F$1),FALSE))),VLOOKUP($C183,武器!$1:$998,COLUMN($O$1),FALSE)*VLOOKUP($D183,素材!$1:$1016,COLUMN($E$1),FALSE)/(LEN(VLOOKUP($D183,素材!$1:$1016,COLUMN($F$1),FALSE))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I183">
        <f>IF(ISNUMBER(SEARCH(SUBSTITUTE(AI$1,RIGHT(AI$1,2),""),VLOOKUP($D183,素材!$1:$1016,COLUMN($F$1),FALSE))),VLOOKUP($C183,武器!$1:$998,COLUMN($O$1),FALSE)*VLOOKUP($D183,素材!$1:$1016,COLUMN($E$1),FALSE)/(LEN(VLOOKUP($D183,素材!$1:$1016,COLUMN($F$1),FALSE))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J183">
        <f>IF(ISNUMBER(SEARCH(SUBSTITUTE(AJ$1,RIGHT(AJ$1,2),""),VLOOKUP($D183,素材!$1:$1016,COLUMN($F$1),FALSE))),VLOOKUP($C183,武器!$1:$998,COLUMN($O$1),FALSE)*VLOOKUP($D183,素材!$1:$1016,COLUMN($E$1),FALSE)/(LEN(VLOOKUP($D183,素材!$1:$1016,COLUMN($F$1),FALSE))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K183">
        <f>IF(ISNUMBER(SEARCH(SUBSTITUTE(AK$1,RIGHT(AK$1,2),""),VLOOKUP($D183,素材!$1:$1016,COLUMN($F$1),FALSE))),VLOOKUP($C183,武器!$1:$998,COLUMN($O$1),FALSE)*VLOOKUP($D183,素材!$1:$1016,COLUMN($E$1),FALSE)/(LEN(VLOOKUP($D183,素材!$1:$1016,COLUMN($F$1),FALSE))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L183">
        <f>IF(ISNUMBER(SEARCH(SUBSTITUTE(AL$1,RIGHT(AL$1,2),""),VLOOKUP($D183,素材!$1:$1016,COLUMN($F$1),FALSE))),VLOOKUP($C183,武器!$1:$998,COLUMN($O$1),FALSE)*VLOOKUP($D183,素材!$1:$1016,COLUMN($E$1),FALSE)/(LEN(VLOOKUP($D183,素材!$1:$1016,COLUMN($F$1),FALSE))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M183">
        <f>IF(ISNUMBER(SEARCH(SUBSTITUTE(AM$1,RIGHT(AM$1,2),""),VLOOKUP($D183,素材!$1:$1016,COLUMN($F$1),FALSE))),VLOOKUP($C183,武器!$1:$998,COLUMN($O$1),FALSE)*VLOOKUP($D183,素材!$1:$1016,COLUMN($E$1),FALSE)/(LEN(VLOOKUP($D183,素材!$1:$1016,COLUMN($F$1),FALSE))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N183">
        <f>IF(ISNUMBER(SEARCH(SUBSTITUTE(AN$1,RIGHT(AN$1,2),""),VLOOKUP($D183,素材!$1:$1016,COLUMN($F$1),FALSE))),VLOOKUP($C183,武器!$1:$998,COLUMN($O$1),FALSE)*VLOOKUP($D183,素材!$1:$1016,COLUMN($E$1),FALSE)/(LEN(VLOOKUP($D183,素材!$1:$1016,COLUMN($F$1),FALSE))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O183">
        <f>IF(ISNUMBER(SEARCH(SUBSTITUTE(AO$1,RIGHT(AO$1,2),""),VLOOKUP($D183,素材!$1:$1016,COLUMN($F$1),FALSE))),VLOOKUP($C183,武器!$1:$998,COLUMN($O$1),FALSE)*VLOOKUP($D183,素材!$1:$1016,COLUMN($E$1),FALSE)/(LEN(VLOOKUP($D183,素材!$1:$1016,COLUMN($F$1),FALSE))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P183">
        <f>IF(ISNUMBER(SEARCH(SUBSTITUTE(AP$1,RIGHT(AP$1,2),""),VLOOKUP($D183,素材!$1:$1016,COLUMN($F$1),FALSE))),VLOOKUP($C183,武器!$1:$998,COLUMN($O$1),FALSE)*VLOOKUP($D183,素材!$1:$1016,COLUMN($E$1),FALSE)/(LEN(VLOOKUP($D183,素材!$1:$1016,COLUMN($F$1),FALSE))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Q183">
        <f>IF(ISNUMBER(SEARCH(SUBSTITUTE(AQ$1,RIGHT(AQ$1,2),""),VLOOKUP($D183,素材!$1:$1016,COLUMN($F$1),FALSE))),VLOOKUP($C183,武器!$1:$998,COLUMN($O$1),FALSE)*VLOOKUP($D183,素材!$1:$1016,COLUMN($E$1),FALSE)/(LEN(VLOOKUP($D183,素材!$1:$1016,COLUMN($F$1),FALSE))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R183">
        <f>IF(ISNUMBER(SEARCH(SUBSTITUTE(AR$1,RIGHT(AR$1,2),""),VLOOKUP($D183,素材!$1:$1016,COLUMN($F$1),FALSE))),VLOOKUP($C183,武器!$1:$998,COLUMN($O$1),FALSE)*VLOOKUP($D183,素材!$1:$1016,COLUMN($E$1),FALSE)/(LEN(VLOOKUP($D183,素材!$1:$1016,COLUMN($F$1),FALSE))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S183">
        <f>IF(ISNUMBER(SEARCH(SUBSTITUTE(AS$1,RIGHT(AS$1,2),""),VLOOKUP($D183,素材!$1:$1016,COLUMN($F$1),FALSE))),VLOOKUP($C183,武器!$1:$998,COLUMN($O$1),FALSE)*VLOOKUP($D183,素材!$1:$1016,COLUMN($E$1),FALSE)/(LEN(VLOOKUP($D183,素材!$1:$1016,COLUMN($F$1),FALSE))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T183">
        <f>IF(ISNUMBER(SEARCH(SUBSTITUTE(AT$1,RIGHT(AT$1,2),""),VLOOKUP($D183,素材!$1:$1016,COLUMN($F$1),FALSE))),VLOOKUP($C183,武器!$1:$998,COLUMN($O$1),FALSE)*VLOOKUP($D183,素材!$1:$1016,COLUMN($E$1),FALSE)/(LEN(VLOOKUP($D183,素材!$1:$1016,COLUMN($F$1),FALSE))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U183">
        <f>IF(ISNUMBER(SEARCH(SUBSTITUTE(AU$1,RIGHT(AU$1,2),""),VLOOKUP($D183,素材!$1:$1016,COLUMN($F$1),FALSE))),VLOOKUP($C183,武器!$1:$998,COLUMN($O$1),FALSE)*VLOOKUP($D183,素材!$1:$1016,COLUMN($E$1),FALSE)/(LEN(VLOOKUP($D183,素材!$1:$1016,COLUMN($F$1),FALSE))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V183">
        <f>IF(ISNUMBER(SEARCH(SUBSTITUTE(AV$1,RIGHT(AV$1,2),""),VLOOKUP($D183,素材!$1:$1016,COLUMN($F$1),FALSE))),VLOOKUP($C183,武器!$1:$998,COLUMN($O$1),FALSE)*VLOOKUP($D183,素材!$1:$1016,COLUMN($E$1),FALSE)/(LEN(VLOOKUP($D183,素材!$1:$1016,COLUMN($F$1),FALSE))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W183">
        <f>IF(ISNUMBER(SEARCH(SUBSTITUTE(AW$1,RIGHT(AW$1,2),""),VLOOKUP($D183,素材!$1:$1016,COLUMN($F$1),FALSE))),VLOOKUP($C183,武器!$1:$998,COLUMN($O$1),FALSE)*VLOOKUP($D183,素材!$1:$1016,COLUMN($E$1),FALSE)/(LEN(VLOOKUP($D183,素材!$1:$1016,COLUMN($F$1),FALSE))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X183">
        <f>IF(ISNUMBER(SEARCH(SUBSTITUTE(AX$1,RIGHT(AX$1,2),""),VLOOKUP($D183,素材!$1:$1016,COLUMN($F$1),FALSE))),VLOOKUP($C183,武器!$1:$998,COLUMN($O$1),FALSE)*VLOOKUP($D183,素材!$1:$1016,COLUMN($E$1),FALSE)/(LEN(VLOOKUP($D183,素材!$1:$1016,COLUMN($F$1),FALSE))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Y183">
        <f>IF(ISNUMBER(SEARCH(SUBSTITUTE(AY$1,RIGHT(AY$1,2),""),VLOOKUP($D183,素材!$1:$1016,COLUMN($F$1),FALSE))),VLOOKUP($C183,武器!$1:$998,COLUMN($O$1),FALSE)*VLOOKUP($D183,素材!$1:$1016,COLUMN($E$1),FALSE)/(LEN(VLOOKUP($D183,素材!$1:$1016,COLUMN($F$1),FALSE))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AZ183">
        <f>IF(ISNUMBER(SEARCH(SUBSTITUTE(AZ$1,RIGHT(AZ$1,2),""),VLOOKUP($D183,素材!$1:$1016,COLUMN($F$1),FALSE))),VLOOKUP($C183,武器!$1:$998,COLUMN($O$1),FALSE)*VLOOKUP($D183,素材!$1:$1016,COLUMN($E$1),FALSE)/(LEN(VLOOKUP($D183,素材!$1:$1016,COLUMN($F$1),FALSE))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BA183">
        <f>IF(ISNUMBER(SEARCH(SUBSTITUTE(BA$1,RIGHT(BA$1,2),""),VLOOKUP($D183,素材!$1:$1016,COLUMN($F$1),FALSE))),VLOOKUP($C183,武器!$1:$998,COLUMN($O$1),FALSE)*VLOOKUP($D183,素材!$1:$1016,COLUMN($E$1),FALSE)/(LEN(VLOOKUP($D183,素材!$1:$1016,COLUMN($F$1),FALSE))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BB183">
        <f>IF(ISNUMBER(SEARCH(SUBSTITUTE(BB$1,RIGHT(BB$1,2),""),VLOOKUP($D183,素材!$1:$1016,COLUMN($F$1),FALSE))),VLOOKUP($C183,武器!$1:$998,COLUMN($O$1),FALSE)*VLOOKUP($D183,素材!$1:$1016,COLUMN($E$1),FALSE)/(LEN(VLOOKUP($D183,素材!$1:$1016,COLUMN($F$1),FALSE))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BC183">
        <f>IF(ISNUMBER(SEARCH(SUBSTITUTE(BC$1,RIGHT(BC$1,2),""),VLOOKUP($D183,素材!$1:$1016,COLUMN($F$1),FALSE))),VLOOKUP($C183,武器!$1:$998,COLUMN($O$1),FALSE)*VLOOKUP($D183,素材!$1:$1016,COLUMN($E$1),FALSE)/(LEN(VLOOKUP($D183,素材!$1:$1016,COLUMN($F$1),FALSE))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BD183">
        <f>IF(ISNUMBER(SEARCH(SUBSTITUTE(BD$1,RIGHT(BD$1,2),""),VLOOKUP($D183,素材!$1:$1016,COLUMN($F$1),FALSE))),VLOOKUP($C183,武器!$1:$998,COLUMN($O$1),FALSE)*VLOOKUP($D183,素材!$1:$1016,COLUMN($E$1),FALSE)/(LEN(VLOOKUP($D183,素材!$1:$1016,COLUMN($F$1),FALSE))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BE183">
        <f>IF(ISNUMBER(SEARCH(SUBSTITUTE(BE$1,RIGHT(BE$1,2),""),VLOOKUP($D183,素材!$1:$1016,COLUMN($F$1),FALSE))),VLOOKUP($C183,武器!$1:$998,COLUMN($O$1),FALSE)*VLOOKUP($D183,素材!$1:$1016,COLUMN($E$1),FALSE)/(LEN(VLOOKUP($D183,素材!$1:$1016,COLUMN($F$1),FALSE))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BF183">
        <f>IF(ISNUMBER(SEARCH(SUBSTITUTE(BF$1,RIGHT(BF$1,2),""),VLOOKUP($D183,素材!$1:$1016,COLUMN($F$1),FALSE))),VLOOKUP($C183,武器!$1:$998,COLUMN($O$1),FALSE)*VLOOKUP($D183,素材!$1:$1016,COLUMN($E$1),FALSE)/(LEN(VLOOKUP($D183,素材!$1:$1016,COLUMN($F$1),FALSE)) - LEN(SUBSTITUTE(VLOOKUP($D183,素材!$1:$1016,COLUMN($F$1),FALSE), "・", 0)) + 1), 0)</f>
        <v>0</v>
      </c>
      <c r="CM183">
        <f t="shared" si="19"/>
        <v>0</v>
      </c>
      <c r="CN183" s="22" t="str">
        <f>IF(E183="武器",IF(J183-1&gt;SUM(G183:I183),"盾",IF(MAX(G183:I183)=G183,"切断",IF(MAX(G183:I183)=H183,"貫通",IF(MAX(G183:I183)=I183,"打撃","射撃")))),E183)&amp;".webp"</f>
        <v>銃.webp</v>
      </c>
      <c r="CO183">
        <f>IFERROR(VLOOKUP($C183,武器!$1:$998,COLUMN(V$1),FALSE)*VLOOKUP($D183,素材!$1:$1016,COLUMN(N$1),FALSE)+IF(CJ183="",0,VLOOKUP($CJ183,装強!$1:$1008,COLUMN($CL$1),FALSE)),"")</f>
        <v>4500</v>
      </c>
      <c r="CP183">
        <f>VLOOKUP(D183,素材!$A:$O,COLUMN(素材!O$1),FALSE)</f>
        <v>0</v>
      </c>
      <c r="CQ183" t="str">
        <f>VLOOKUP(C183,武器!$A:$W,COLUMN(武器!W$1),FALSE)</f>
        <v/>
      </c>
      <c r="CS183" t="str">
        <f t="shared" si="21"/>
        <v>e_183</v>
      </c>
      <c r="CT183">
        <f t="shared" si="24"/>
        <v>450000</v>
      </c>
    </row>
    <row r="184" spans="1:98" outlineLevel="1" x14ac:dyDescent="0.4">
      <c r="A184" t="str">
        <f t="shared" si="29"/>
        <v>黒鋼鉄の回転式拳銃</v>
      </c>
      <c r="B184" t="str">
        <f>IFERROR(VLOOKUP($D184,素材!$1:$1016,COLUMN($B$1),FALSE)&amp;"・"&amp;VLOOKUP($C184,武器!$1:$998,COLUMN(B$1),FALSE),"")</f>
        <v>ブラックスティール・リボルバー</v>
      </c>
      <c r="C184" t="s">
        <v>212</v>
      </c>
      <c r="D184" s="24" t="s">
        <v>244</v>
      </c>
      <c r="E184" t="str">
        <f>IFERROR(VLOOKUP(C184,武器!$1:$998,COLUMN(C$1),FALSE),"")</f>
        <v>銃</v>
      </c>
      <c r="F184">
        <f>IFERROR(ROUNDDOWN((VLOOKUP($C184,武器!$1:$998,COLUMN(D$1),FALSE)+IFERROR(VLOOKUP($CJ184,装強!$1:$999,COLUMN(F$1),FALSE),0))*VLOOKUP($D184,素材!$1:$1016,COLUMN(D$1),FALSE),0),"")</f>
        <v>0</v>
      </c>
      <c r="G184">
        <f>IFERROR(ROUNDDOWN((VLOOKUP($C184,武器!$1:$998,COLUMN(E$1),FALSE)+IFERROR(VLOOKUP($CJ184,装強!$1:$999,COLUMN(G$1),FALSE),0))*VLOOKUP($D184,素材!$1:$1016,COLUMN($E$1),FALSE),0),"")</f>
        <v>0</v>
      </c>
      <c r="H184">
        <f>IFERROR(ROUNDDOWN((VLOOKUP($C184,武器!$1:$998,COLUMN(F$1),FALSE)+IFERROR(VLOOKUP($CJ184,装強!$1:$999,COLUMN(H$1),FALSE),0))*VLOOKUP($D184,素材!$1:$1016,COLUMN($E$1),FALSE),0),"")</f>
        <v>0</v>
      </c>
      <c r="I184">
        <f>IFERROR(ROUNDDOWN((VLOOKUP($C184,武器!$1:$998,COLUMN(G$1),FALSE)+IFERROR(VLOOKUP($CJ184,装強!$1:$999,COLUMN(I$1),FALSE),0))*VLOOKUP($D184,素材!$1:$1016,COLUMN($E$1),FALSE),0),"")</f>
        <v>0</v>
      </c>
      <c r="J184">
        <f>IFERROR(ROUNDDOWN((VLOOKUP($C184,武器!$1:$998,COLUMN(H$1),FALSE)+IFERROR(VLOOKUP($CJ184,装強!$1:$999,COLUMN(J$1),FALSE),0))*VLOOKUP($D184,素材!$1:$1016,COLUMN($E$1),FALSE),0),"")</f>
        <v>0</v>
      </c>
      <c r="K184">
        <f>IFERROR(ROUNDDOWN((VLOOKUP($C184,武器!$1:$998,COLUMN(I$1),FALSE)+IFERROR(VLOOKUP($CJ184,装強!$1:$999,COLUMN(K$1),FALSE),0))*VLOOKUP($D184,素材!$1:$1016,COLUMN($E$1),FALSE),0),"")</f>
        <v>51</v>
      </c>
      <c r="L184" t="str">
        <f>IFERROR(VLOOKUP($D184,素材!$1:$1016,COLUMN($F$1),FALSE),"")</f>
        <v>雷</v>
      </c>
      <c r="M184">
        <f>IFERROR(VLOOKUP($C184,武器!$1:$998,COLUMN(AA$1),FALSE)*VLOOKUP($D184,素材!$1:$1016,COLUMN($G$1),FALSE),"")</f>
        <v>0</v>
      </c>
      <c r="N184">
        <f>IFERROR(VLOOKUP($C184,武器!$1:$998,COLUMN(I$1),FALSE),"")</f>
        <v>2.5700000000000003</v>
      </c>
      <c r="O184" s="23">
        <f>IFERROR((VLOOKUP($C184,武器!$1:$998,COLUMN(K$1),FALSE)+VLOOKUP($D184,素材!$1:$1016,COLUMN(H$1),FALSE))*100+IFERROR(VLOOKUP($CJ184,装強!$1:$999,COLUMN(O$1),FALSE),0),"")</f>
        <v>10</v>
      </c>
      <c r="P184" s="23">
        <f>IFERROR((VLOOKUP($C184,武器!$1:$998,COLUMN(L$1),FALSE)+VLOOKUP($D184,素材!$1:$1016,COLUMN(I$1),FALSE))*100+IFERROR(VLOOKUP($CJ184,装強!$1:$999,COLUMN(P$1),FALSE),0),"")</f>
        <v>140</v>
      </c>
      <c r="Q184">
        <f>IFERROR(ROUNDUP(VLOOKUP($C184,武器!$1:$998,COLUMN(M$1),FALSE)*(VLOOKUP($D184,素材!$1:$1002,COLUMN(D$1),FALSE)/100),1),"")</f>
        <v>0</v>
      </c>
      <c r="R184">
        <f>IFERROR(ROUNDUP(VLOOKUP($C184,武器!$1:$998,COLUMN(N$1),FALSE)*(VLOOKUP($D184,素材!$1:$1002,COLUMN(D$1),FALSE)/100),1),"")</f>
        <v>-15</v>
      </c>
      <c r="S184">
        <f>IFERROR(VLOOKUP($C184,武器!$1:$998,COLUMN(P$1),FALSE),"")</f>
        <v>0</v>
      </c>
      <c r="T184">
        <f>IFERROR(VLOOKUP($C184,武器!$1:$998,COLUMN(Q$1),FALSE),"")</f>
        <v>2</v>
      </c>
      <c r="U184">
        <f>IFERROR(VLOOKUP($C184,武器!$1:$998,COLUMN(R$1),FALSE),"")</f>
        <v>6</v>
      </c>
      <c r="V184">
        <f>IFERROR(VLOOKUP($C184,武器!$1:$998,COLUMN(Q$1),FALSE),"")</f>
        <v>2</v>
      </c>
      <c r="W184">
        <f>IFERROR(VLOOKUP($C184,武器!$1:$998,COLUMN(T$1),FALSE),"")</f>
        <v>0</v>
      </c>
      <c r="Y184">
        <f>IFERROR(VLOOKUP($C184,武器!$1:$998,COLUMN(U$1),FALSE),"")</f>
        <v>0</v>
      </c>
      <c r="Z184">
        <f>IFERROR(ROUNDUP(VLOOKUP($C184,武器!$1:$998,COLUMN(O$1),FALSE)*VLOOKUP($D184,素材!$1:$1016,COLUMN(E$1),FALSE),1),"")</f>
        <v>0</v>
      </c>
      <c r="AA184">
        <f>IF(ISNUMBER(SEARCH(SUBSTITUTE(AA$1,RIGHT(AA$1,2),""),VLOOKUP($D184,素材!$1:$1016,COLUMN($F$1),FALSE))),VLOOKUP($C184,武器!$1:$998,COLUMN($O$1),FALSE)*VLOOKUP($D184,素材!$1:$1016,COLUMN($E$1),FALSE)/(LEN(VLOOKUP($D184,素材!$1:$1016,COLUMN($F$1),FALSE))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B184">
        <f>IF(ISNUMBER(SEARCH(SUBSTITUTE(AB$1,RIGHT(AB$1,2),""),VLOOKUP($D184,素材!$1:$1016,COLUMN($F$1),FALSE))),VLOOKUP($C184,武器!$1:$998,COLUMN($O$1),FALSE)*VLOOKUP($D184,素材!$1:$1016,COLUMN($E$1),FALSE)/(LEN(VLOOKUP($D184,素材!$1:$1016,COLUMN($F$1),FALSE))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C184">
        <f>IF(ISNUMBER(SEARCH(SUBSTITUTE(AC$1,RIGHT(AC$1,2),""),VLOOKUP($D184,素材!$1:$1016,COLUMN($F$1),FALSE))),VLOOKUP($C184,武器!$1:$998,COLUMN($O$1),FALSE)*VLOOKUP($D184,素材!$1:$1016,COLUMN($E$1),FALSE)/(LEN(VLOOKUP($D184,素材!$1:$1016,COLUMN($F$1),FALSE))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D184">
        <f>IF(ISNUMBER(SEARCH(SUBSTITUTE(AD$1,RIGHT(AD$1,2),""),VLOOKUP($D184,素材!$1:$1016,COLUMN($F$1),FALSE))),VLOOKUP($C184,武器!$1:$998,COLUMN($O$1),FALSE)*VLOOKUP($D184,素材!$1:$1016,COLUMN($E$1),FALSE)/(LEN(VLOOKUP($D184,素材!$1:$1016,COLUMN($F$1),FALSE))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E184">
        <f>IF(ISNUMBER(SEARCH(SUBSTITUTE(AE$1,RIGHT(AE$1,2),""),VLOOKUP($D184,素材!$1:$1016,COLUMN($F$1),FALSE))),VLOOKUP($C184,武器!$1:$998,COLUMN($O$1),FALSE)*VLOOKUP($D184,素材!$1:$1016,COLUMN($E$1),FALSE)/(LEN(VLOOKUP($D184,素材!$1:$1016,COLUMN($F$1),FALSE))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F184">
        <f>IF(ISNUMBER(SEARCH(SUBSTITUTE(AF$1,RIGHT(AF$1,2),""),VLOOKUP($D184,素材!$1:$1016,COLUMN($F$1),FALSE))),VLOOKUP($C184,武器!$1:$998,COLUMN($O$1),FALSE)*VLOOKUP($D184,素材!$1:$1016,COLUMN($E$1),FALSE)/(LEN(VLOOKUP($D184,素材!$1:$1016,COLUMN($F$1),FALSE))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G184">
        <f>IF(ISNUMBER(SEARCH(SUBSTITUTE(AG$1,RIGHT(AG$1,2),""),VLOOKUP($D184,素材!$1:$1016,COLUMN($F$1),FALSE))),VLOOKUP($C184,武器!$1:$998,COLUMN($O$1),FALSE)*VLOOKUP($D184,素材!$1:$1016,COLUMN($E$1),FALSE)/(LEN(VLOOKUP($D184,素材!$1:$1016,COLUMN($F$1),FALSE))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H184">
        <f>IF(ISNUMBER(SEARCH(SUBSTITUTE(AH$1,RIGHT(AH$1,2),""),VLOOKUP($D184,素材!$1:$1016,COLUMN($F$1),FALSE))),VLOOKUP($C184,武器!$1:$998,COLUMN($O$1),FALSE)*VLOOKUP($D184,素材!$1:$1016,COLUMN($E$1),FALSE)/(LEN(VLOOKUP($D184,素材!$1:$1016,COLUMN($F$1),FALSE))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I184">
        <f>IF(ISNUMBER(SEARCH(SUBSTITUTE(AI$1,RIGHT(AI$1,2),""),VLOOKUP($D184,素材!$1:$1016,COLUMN($F$1),FALSE))),VLOOKUP($C184,武器!$1:$998,COLUMN($O$1),FALSE)*VLOOKUP($D184,素材!$1:$1016,COLUMN($E$1),FALSE)/(LEN(VLOOKUP($D184,素材!$1:$1016,COLUMN($F$1),FALSE))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J184">
        <f>IF(ISNUMBER(SEARCH(SUBSTITUTE(AJ$1,RIGHT(AJ$1,2),""),VLOOKUP($D184,素材!$1:$1016,COLUMN($F$1),FALSE))),VLOOKUP($C184,武器!$1:$998,COLUMN($O$1),FALSE)*VLOOKUP($D184,素材!$1:$1016,COLUMN($E$1),FALSE)/(LEN(VLOOKUP($D184,素材!$1:$1016,COLUMN($F$1),FALSE))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K184">
        <f>IF(ISNUMBER(SEARCH(SUBSTITUTE(AK$1,RIGHT(AK$1,2),""),VLOOKUP($D184,素材!$1:$1016,COLUMN($F$1),FALSE))),VLOOKUP($C184,武器!$1:$998,COLUMN($O$1),FALSE)*VLOOKUP($D184,素材!$1:$1016,COLUMN($E$1),FALSE)/(LEN(VLOOKUP($D184,素材!$1:$1016,COLUMN($F$1),FALSE))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L184">
        <f>IF(ISNUMBER(SEARCH(SUBSTITUTE(AL$1,RIGHT(AL$1,2),""),VLOOKUP($D184,素材!$1:$1016,COLUMN($F$1),FALSE))),VLOOKUP($C184,武器!$1:$998,COLUMN($O$1),FALSE)*VLOOKUP($D184,素材!$1:$1016,COLUMN($E$1),FALSE)/(LEN(VLOOKUP($D184,素材!$1:$1016,COLUMN($F$1),FALSE))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M184">
        <f>IF(ISNUMBER(SEARCH(SUBSTITUTE(AM$1,RIGHT(AM$1,2),""),VLOOKUP($D184,素材!$1:$1016,COLUMN($F$1),FALSE))),VLOOKUP($C184,武器!$1:$998,COLUMN($O$1),FALSE)*VLOOKUP($D184,素材!$1:$1016,COLUMN($E$1),FALSE)/(LEN(VLOOKUP($D184,素材!$1:$1016,COLUMN($F$1),FALSE))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N184">
        <f>IF(ISNUMBER(SEARCH(SUBSTITUTE(AN$1,RIGHT(AN$1,2),""),VLOOKUP($D184,素材!$1:$1016,COLUMN($F$1),FALSE))),VLOOKUP($C184,武器!$1:$998,COLUMN($O$1),FALSE)*VLOOKUP($D184,素材!$1:$1016,COLUMN($E$1),FALSE)/(LEN(VLOOKUP($D184,素材!$1:$1016,COLUMN($F$1),FALSE))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O184">
        <f>IF(ISNUMBER(SEARCH(SUBSTITUTE(AO$1,RIGHT(AO$1,2),""),VLOOKUP($D184,素材!$1:$1016,COLUMN($F$1),FALSE))),VLOOKUP($C184,武器!$1:$998,COLUMN($O$1),FALSE)*VLOOKUP($D184,素材!$1:$1016,COLUMN($E$1),FALSE)/(LEN(VLOOKUP($D184,素材!$1:$1016,COLUMN($F$1),FALSE))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P184">
        <f>IF(ISNUMBER(SEARCH(SUBSTITUTE(AP$1,RIGHT(AP$1,2),""),VLOOKUP($D184,素材!$1:$1016,COLUMN($F$1),FALSE))),VLOOKUP($C184,武器!$1:$998,COLUMN($O$1),FALSE)*VLOOKUP($D184,素材!$1:$1016,COLUMN($E$1),FALSE)/(LEN(VLOOKUP($D184,素材!$1:$1016,COLUMN($F$1),FALSE))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Q184">
        <f>IF(ISNUMBER(SEARCH(SUBSTITUTE(AQ$1,RIGHT(AQ$1,2),""),VLOOKUP($D184,素材!$1:$1016,COLUMN($F$1),FALSE))),VLOOKUP($C184,武器!$1:$998,COLUMN($O$1),FALSE)*VLOOKUP($D184,素材!$1:$1016,COLUMN($E$1),FALSE)/(LEN(VLOOKUP($D184,素材!$1:$1016,COLUMN($F$1),FALSE))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R184">
        <f>IF(ISNUMBER(SEARCH(SUBSTITUTE(AR$1,RIGHT(AR$1,2),""),VLOOKUP($D184,素材!$1:$1016,COLUMN($F$1),FALSE))),VLOOKUP($C184,武器!$1:$998,COLUMN($O$1),FALSE)*VLOOKUP($D184,素材!$1:$1016,COLUMN($E$1),FALSE)/(LEN(VLOOKUP($D184,素材!$1:$1016,COLUMN($F$1),FALSE))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S184">
        <f>IF(ISNUMBER(SEARCH(SUBSTITUTE(AS$1,RIGHT(AS$1,2),""),VLOOKUP($D184,素材!$1:$1016,COLUMN($F$1),FALSE))),VLOOKUP($C184,武器!$1:$998,COLUMN($O$1),FALSE)*VLOOKUP($D184,素材!$1:$1016,COLUMN($E$1),FALSE)/(LEN(VLOOKUP($D184,素材!$1:$1016,COLUMN($F$1),FALSE))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T184">
        <f>IF(ISNUMBER(SEARCH(SUBSTITUTE(AT$1,RIGHT(AT$1,2),""),VLOOKUP($D184,素材!$1:$1016,COLUMN($F$1),FALSE))),VLOOKUP($C184,武器!$1:$998,COLUMN($O$1),FALSE)*VLOOKUP($D184,素材!$1:$1016,COLUMN($E$1),FALSE)/(LEN(VLOOKUP($D184,素材!$1:$1016,COLUMN($F$1),FALSE))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U184">
        <f>IF(ISNUMBER(SEARCH(SUBSTITUTE(AU$1,RIGHT(AU$1,2),""),VLOOKUP($D184,素材!$1:$1016,COLUMN($F$1),FALSE))),VLOOKUP($C184,武器!$1:$998,COLUMN($O$1),FALSE)*VLOOKUP($D184,素材!$1:$1016,COLUMN($E$1),FALSE)/(LEN(VLOOKUP($D184,素材!$1:$1016,COLUMN($F$1),FALSE))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V184">
        <f>IF(ISNUMBER(SEARCH(SUBSTITUTE(AV$1,RIGHT(AV$1,2),""),VLOOKUP($D184,素材!$1:$1016,COLUMN($F$1),FALSE))),VLOOKUP($C184,武器!$1:$998,COLUMN($O$1),FALSE)*VLOOKUP($D184,素材!$1:$1016,COLUMN($E$1),FALSE)/(LEN(VLOOKUP($D184,素材!$1:$1016,COLUMN($F$1),FALSE))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W184">
        <f>IF(ISNUMBER(SEARCH(SUBSTITUTE(AW$1,RIGHT(AW$1,2),""),VLOOKUP($D184,素材!$1:$1016,COLUMN($F$1),FALSE))),VLOOKUP($C184,武器!$1:$998,COLUMN($O$1),FALSE)*VLOOKUP($D184,素材!$1:$1016,COLUMN($E$1),FALSE)/(LEN(VLOOKUP($D184,素材!$1:$1016,COLUMN($F$1),FALSE))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X184">
        <f>IF(ISNUMBER(SEARCH(SUBSTITUTE(AX$1,RIGHT(AX$1,2),""),VLOOKUP($D184,素材!$1:$1016,COLUMN($F$1),FALSE))),VLOOKUP($C184,武器!$1:$998,COLUMN($O$1),FALSE)*VLOOKUP($D184,素材!$1:$1016,COLUMN($E$1),FALSE)/(LEN(VLOOKUP($D184,素材!$1:$1016,COLUMN($F$1),FALSE))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Y184">
        <f>IF(ISNUMBER(SEARCH(SUBSTITUTE(AY$1,RIGHT(AY$1,2),""),VLOOKUP($D184,素材!$1:$1016,COLUMN($F$1),FALSE))),VLOOKUP($C184,武器!$1:$998,COLUMN($O$1),FALSE)*VLOOKUP($D184,素材!$1:$1016,COLUMN($E$1),FALSE)/(LEN(VLOOKUP($D184,素材!$1:$1016,COLUMN($F$1),FALSE))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AZ184">
        <f>IF(ISNUMBER(SEARCH(SUBSTITUTE(AZ$1,RIGHT(AZ$1,2),""),VLOOKUP($D184,素材!$1:$1016,COLUMN($F$1),FALSE))),VLOOKUP($C184,武器!$1:$998,COLUMN($O$1),FALSE)*VLOOKUP($D184,素材!$1:$1016,COLUMN($E$1),FALSE)/(LEN(VLOOKUP($D184,素材!$1:$1016,COLUMN($F$1),FALSE))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BA184">
        <f>IF(ISNUMBER(SEARCH(SUBSTITUTE(BA$1,RIGHT(BA$1,2),""),VLOOKUP($D184,素材!$1:$1016,COLUMN($F$1),FALSE))),VLOOKUP($C184,武器!$1:$998,COLUMN($O$1),FALSE)*VLOOKUP($D184,素材!$1:$1016,COLUMN($E$1),FALSE)/(LEN(VLOOKUP($D184,素材!$1:$1016,COLUMN($F$1),FALSE))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BB184">
        <f>IF(ISNUMBER(SEARCH(SUBSTITUTE(BB$1,RIGHT(BB$1,2),""),VLOOKUP($D184,素材!$1:$1016,COLUMN($F$1),FALSE))),VLOOKUP($C184,武器!$1:$998,COLUMN($O$1),FALSE)*VLOOKUP($D184,素材!$1:$1016,COLUMN($E$1),FALSE)/(LEN(VLOOKUP($D184,素材!$1:$1016,COLUMN($F$1),FALSE))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BC184">
        <f>IF(ISNUMBER(SEARCH(SUBSTITUTE(BC$1,RIGHT(BC$1,2),""),VLOOKUP($D184,素材!$1:$1016,COLUMN($F$1),FALSE))),VLOOKUP($C184,武器!$1:$998,COLUMN($O$1),FALSE)*VLOOKUP($D184,素材!$1:$1016,COLUMN($E$1),FALSE)/(LEN(VLOOKUP($D184,素材!$1:$1016,COLUMN($F$1),FALSE))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BD184">
        <f>IF(ISNUMBER(SEARCH(SUBSTITUTE(BD$1,RIGHT(BD$1,2),""),VLOOKUP($D184,素材!$1:$1016,COLUMN($F$1),FALSE))),VLOOKUP($C184,武器!$1:$998,COLUMN($O$1),FALSE)*VLOOKUP($D184,素材!$1:$1016,COLUMN($E$1),FALSE)/(LEN(VLOOKUP($D184,素材!$1:$1016,COLUMN($F$1),FALSE))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BE184">
        <f>IF(ISNUMBER(SEARCH(SUBSTITUTE(BE$1,RIGHT(BE$1,2),""),VLOOKUP($D184,素材!$1:$1016,COLUMN($F$1),FALSE))),VLOOKUP($C184,武器!$1:$998,COLUMN($O$1),FALSE)*VLOOKUP($D184,素材!$1:$1016,COLUMN($E$1),FALSE)/(LEN(VLOOKUP($D184,素材!$1:$1016,COLUMN($F$1),FALSE))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BF184">
        <f>IF(ISNUMBER(SEARCH(SUBSTITUTE(BF$1,RIGHT(BF$1,2),""),VLOOKUP($D184,素材!$1:$1016,COLUMN($F$1),FALSE))),VLOOKUP($C184,武器!$1:$998,COLUMN($O$1),FALSE)*VLOOKUP($D184,素材!$1:$1016,COLUMN($E$1),FALSE)/(LEN(VLOOKUP($D184,素材!$1:$1016,COLUMN($F$1),FALSE)) - LEN(SUBSTITUTE(VLOOKUP($D184,素材!$1:$1016,COLUMN($F$1),FALSE), "・", 0)) + 1), 0)</f>
        <v>0</v>
      </c>
      <c r="CM184">
        <f t="shared" si="19"/>
        <v>0</v>
      </c>
      <c r="CN184" s="22" t="str">
        <f>IF(E184="武器",IF(J184-1&gt;SUM(G184:I184),"盾",IF(MAX(G184:I184)=G184,"切断",IF(MAX(G184:I184)=H184,"貫通",IF(MAX(G184:I184)=I184,"打撃","射撃")))),E184)&amp;".webp"</f>
        <v>銃.webp</v>
      </c>
      <c r="CO184">
        <f>IFERROR(VLOOKUP($C184,武器!$1:$998,COLUMN(V$1),FALSE)*VLOOKUP($D184,素材!$1:$1016,COLUMN(N$1),FALSE)+IF(CJ184="",0,VLOOKUP($CJ184,装強!$1:$1008,COLUMN($CL$1),FALSE)),"")</f>
        <v>3000</v>
      </c>
      <c r="CP184">
        <f>VLOOKUP(D184,素材!$A:$O,COLUMN(素材!O$1),FALSE)</f>
        <v>0</v>
      </c>
      <c r="CQ184" t="str">
        <f>VLOOKUP(C184,武器!$A:$W,COLUMN(武器!W$1),FALSE)</f>
        <v/>
      </c>
      <c r="CS184" t="str">
        <f t="shared" si="21"/>
        <v>e_184</v>
      </c>
      <c r="CT184">
        <f t="shared" si="24"/>
        <v>300000</v>
      </c>
    </row>
    <row r="185" spans="1:98" outlineLevel="1" x14ac:dyDescent="0.4">
      <c r="A185" t="str">
        <f t="shared" si="29"/>
        <v>黒鋼鉄の拳銃</v>
      </c>
      <c r="B185" t="str">
        <f>IFERROR(VLOOKUP($D185,素材!$1:$1016,COLUMN($B$1),FALSE)&amp;"・"&amp;VLOOKUP($C185,武器!$1:$998,COLUMN(B$1),FALSE),"")</f>
        <v>ブラックスティール・ハンドガン</v>
      </c>
      <c r="C185" t="s">
        <v>211</v>
      </c>
      <c r="D185" s="24" t="s">
        <v>244</v>
      </c>
      <c r="E185" t="str">
        <f>IFERROR(VLOOKUP(C185,武器!$1:$998,COLUMN(C$1),FALSE),"")</f>
        <v>銃</v>
      </c>
      <c r="F185">
        <f>IFERROR(ROUNDDOWN((VLOOKUP($C185,武器!$1:$998,COLUMN(D$1),FALSE)+IFERROR(VLOOKUP($CJ185,装強!$1:$999,COLUMN(F$1),FALSE),0))*VLOOKUP($D185,素材!$1:$1016,COLUMN(D$1),FALSE),0),"")</f>
        <v>0</v>
      </c>
      <c r="G185">
        <f>IFERROR(ROUNDDOWN((VLOOKUP($C185,武器!$1:$998,COLUMN(E$1),FALSE)+IFERROR(VLOOKUP($CJ185,装強!$1:$999,COLUMN(G$1),FALSE),0))*VLOOKUP($D185,素材!$1:$1016,COLUMN($E$1),FALSE),0),"")</f>
        <v>0</v>
      </c>
      <c r="H185">
        <f>IFERROR(ROUNDDOWN((VLOOKUP($C185,武器!$1:$998,COLUMN(F$1),FALSE)+IFERROR(VLOOKUP($CJ185,装強!$1:$999,COLUMN(H$1),FALSE),0))*VLOOKUP($D185,素材!$1:$1016,COLUMN($E$1),FALSE),0),"")</f>
        <v>0</v>
      </c>
      <c r="I185">
        <f>IFERROR(ROUNDDOWN((VLOOKUP($C185,武器!$1:$998,COLUMN(G$1),FALSE)+IFERROR(VLOOKUP($CJ185,装強!$1:$999,COLUMN(I$1),FALSE),0))*VLOOKUP($D185,素材!$1:$1016,COLUMN($E$1),FALSE),0),"")</f>
        <v>0</v>
      </c>
      <c r="J185">
        <f>IFERROR(ROUNDDOWN((VLOOKUP($C185,武器!$1:$998,COLUMN(H$1),FALSE)+IFERROR(VLOOKUP($CJ185,装強!$1:$999,COLUMN(J$1),FALSE),0))*VLOOKUP($D185,素材!$1:$1016,COLUMN($E$1),FALSE),0),"")</f>
        <v>0</v>
      </c>
      <c r="K185">
        <f>IFERROR(ROUNDDOWN((VLOOKUP($C185,武器!$1:$998,COLUMN(I$1),FALSE)+IFERROR(VLOOKUP($CJ185,装強!$1:$999,COLUMN(K$1),FALSE),0))*VLOOKUP($D185,素材!$1:$1016,COLUMN($E$1),FALSE),0),"")</f>
        <v>36</v>
      </c>
      <c r="L185" t="str">
        <f>IFERROR(VLOOKUP($D185,素材!$1:$1016,COLUMN($F$1),FALSE),"")</f>
        <v>雷</v>
      </c>
      <c r="M185">
        <f>IFERROR(VLOOKUP($C185,武器!$1:$998,COLUMN(AA$1),FALSE)*VLOOKUP($D185,素材!$1:$1016,COLUMN($G$1),FALSE),"")</f>
        <v>0</v>
      </c>
      <c r="N185">
        <f>IFERROR(VLOOKUP($C185,武器!$1:$998,COLUMN(I$1),FALSE),"")</f>
        <v>1.8</v>
      </c>
      <c r="O185" s="23">
        <f>IFERROR((VLOOKUP($C185,武器!$1:$998,COLUMN(K$1),FALSE)+VLOOKUP($D185,素材!$1:$1016,COLUMN(H$1),FALSE))*100+IFERROR(VLOOKUP($CJ185,装強!$1:$999,COLUMN(O$1),FALSE),0),"")</f>
        <v>15</v>
      </c>
      <c r="P185" s="23">
        <f>IFERROR((VLOOKUP($C185,武器!$1:$998,COLUMN(L$1),FALSE)+VLOOKUP($D185,素材!$1:$1016,COLUMN(I$1),FALSE))*100+IFERROR(VLOOKUP($CJ185,装強!$1:$999,COLUMN(P$1),FALSE),0),"")</f>
        <v>175</v>
      </c>
      <c r="Q185">
        <f>IFERROR(ROUNDUP(VLOOKUP($C185,武器!$1:$998,COLUMN(M$1),FALSE)*(VLOOKUP($D185,素材!$1:$1002,COLUMN(D$1),FALSE)/100),1),"")</f>
        <v>0</v>
      </c>
      <c r="R185">
        <f>IFERROR(ROUNDUP(VLOOKUP($C185,武器!$1:$998,COLUMN(N$1),FALSE)*(VLOOKUP($D185,素材!$1:$1002,COLUMN(D$1),FALSE)/100),1),"")</f>
        <v>0</v>
      </c>
      <c r="S185">
        <f>IFERROR(VLOOKUP($C185,武器!$1:$998,COLUMN(P$1),FALSE),"")</f>
        <v>0</v>
      </c>
      <c r="T185">
        <f>IFERROR(VLOOKUP($C185,武器!$1:$998,COLUMN(Q$1),FALSE),"")</f>
        <v>3</v>
      </c>
      <c r="U185">
        <f>IFERROR(VLOOKUP($C185,武器!$1:$998,COLUMN(R$1),FALSE),"")</f>
        <v>1</v>
      </c>
      <c r="V185">
        <f>IFERROR(VLOOKUP($C185,武器!$1:$998,COLUMN(Q$1),FALSE),"")</f>
        <v>3</v>
      </c>
      <c r="W185">
        <f>IFERROR(VLOOKUP($C185,武器!$1:$998,COLUMN(T$1),FALSE),"")</f>
        <v>0</v>
      </c>
      <c r="Y185">
        <f>IFERROR(VLOOKUP($C185,武器!$1:$998,COLUMN(U$1),FALSE),"")</f>
        <v>0</v>
      </c>
      <c r="Z185">
        <f>IFERROR(ROUNDUP(VLOOKUP($C185,武器!$1:$998,COLUMN(O$1),FALSE)*VLOOKUP($D185,素材!$1:$1016,COLUMN(E$1),FALSE),1),"")</f>
        <v>0</v>
      </c>
      <c r="AA185">
        <f>IF(ISNUMBER(SEARCH(SUBSTITUTE(AA$1,RIGHT(AA$1,2),""),VLOOKUP($D185,素材!$1:$1016,COLUMN($F$1),FALSE))),VLOOKUP($C185,武器!$1:$998,COLUMN($O$1),FALSE)*VLOOKUP($D185,素材!$1:$1016,COLUMN($E$1),FALSE)/(LEN(VLOOKUP($D185,素材!$1:$1016,COLUMN($F$1),FALSE))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B185">
        <f>IF(ISNUMBER(SEARCH(SUBSTITUTE(AB$1,RIGHT(AB$1,2),""),VLOOKUP($D185,素材!$1:$1016,COLUMN($F$1),FALSE))),VLOOKUP($C185,武器!$1:$998,COLUMN($O$1),FALSE)*VLOOKUP($D185,素材!$1:$1016,COLUMN($E$1),FALSE)/(LEN(VLOOKUP($D185,素材!$1:$1016,COLUMN($F$1),FALSE))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C185">
        <f>IF(ISNUMBER(SEARCH(SUBSTITUTE(AC$1,RIGHT(AC$1,2),""),VLOOKUP($D185,素材!$1:$1016,COLUMN($F$1),FALSE))),VLOOKUP($C185,武器!$1:$998,COLUMN($O$1),FALSE)*VLOOKUP($D185,素材!$1:$1016,COLUMN($E$1),FALSE)/(LEN(VLOOKUP($D185,素材!$1:$1016,COLUMN($F$1),FALSE))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D185">
        <f>IF(ISNUMBER(SEARCH(SUBSTITUTE(AD$1,RIGHT(AD$1,2),""),VLOOKUP($D185,素材!$1:$1016,COLUMN($F$1),FALSE))),VLOOKUP($C185,武器!$1:$998,COLUMN($O$1),FALSE)*VLOOKUP($D185,素材!$1:$1016,COLUMN($E$1),FALSE)/(LEN(VLOOKUP($D185,素材!$1:$1016,COLUMN($F$1),FALSE))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E185">
        <f>IF(ISNUMBER(SEARCH(SUBSTITUTE(AE$1,RIGHT(AE$1,2),""),VLOOKUP($D185,素材!$1:$1016,COLUMN($F$1),FALSE))),VLOOKUP($C185,武器!$1:$998,COLUMN($O$1),FALSE)*VLOOKUP($D185,素材!$1:$1016,COLUMN($E$1),FALSE)/(LEN(VLOOKUP($D185,素材!$1:$1016,COLUMN($F$1),FALSE))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F185">
        <f>IF(ISNUMBER(SEARCH(SUBSTITUTE(AF$1,RIGHT(AF$1,2),""),VLOOKUP($D185,素材!$1:$1016,COLUMN($F$1),FALSE))),VLOOKUP($C185,武器!$1:$998,COLUMN($O$1),FALSE)*VLOOKUP($D185,素材!$1:$1016,COLUMN($E$1),FALSE)/(LEN(VLOOKUP($D185,素材!$1:$1016,COLUMN($F$1),FALSE))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G185">
        <f>IF(ISNUMBER(SEARCH(SUBSTITUTE(AG$1,RIGHT(AG$1,2),""),VLOOKUP($D185,素材!$1:$1016,COLUMN($F$1),FALSE))),VLOOKUP($C185,武器!$1:$998,COLUMN($O$1),FALSE)*VLOOKUP($D185,素材!$1:$1016,COLUMN($E$1),FALSE)/(LEN(VLOOKUP($D185,素材!$1:$1016,COLUMN($F$1),FALSE))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H185">
        <f>IF(ISNUMBER(SEARCH(SUBSTITUTE(AH$1,RIGHT(AH$1,2),""),VLOOKUP($D185,素材!$1:$1016,COLUMN($F$1),FALSE))),VLOOKUP($C185,武器!$1:$998,COLUMN($O$1),FALSE)*VLOOKUP($D185,素材!$1:$1016,COLUMN($E$1),FALSE)/(LEN(VLOOKUP($D185,素材!$1:$1016,COLUMN($F$1),FALSE))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I185">
        <f>IF(ISNUMBER(SEARCH(SUBSTITUTE(AI$1,RIGHT(AI$1,2),""),VLOOKUP($D185,素材!$1:$1016,COLUMN($F$1),FALSE))),VLOOKUP($C185,武器!$1:$998,COLUMN($O$1),FALSE)*VLOOKUP($D185,素材!$1:$1016,COLUMN($E$1),FALSE)/(LEN(VLOOKUP($D185,素材!$1:$1016,COLUMN($F$1),FALSE))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J185">
        <f>IF(ISNUMBER(SEARCH(SUBSTITUTE(AJ$1,RIGHT(AJ$1,2),""),VLOOKUP($D185,素材!$1:$1016,COLUMN($F$1),FALSE))),VLOOKUP($C185,武器!$1:$998,COLUMN($O$1),FALSE)*VLOOKUP($D185,素材!$1:$1016,COLUMN($E$1),FALSE)/(LEN(VLOOKUP($D185,素材!$1:$1016,COLUMN($F$1),FALSE))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K185">
        <f>IF(ISNUMBER(SEARCH(SUBSTITUTE(AK$1,RIGHT(AK$1,2),""),VLOOKUP($D185,素材!$1:$1016,COLUMN($F$1),FALSE))),VLOOKUP($C185,武器!$1:$998,COLUMN($O$1),FALSE)*VLOOKUP($D185,素材!$1:$1016,COLUMN($E$1),FALSE)/(LEN(VLOOKUP($D185,素材!$1:$1016,COLUMN($F$1),FALSE))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L185">
        <f>IF(ISNUMBER(SEARCH(SUBSTITUTE(AL$1,RIGHT(AL$1,2),""),VLOOKUP($D185,素材!$1:$1016,COLUMN($F$1),FALSE))),VLOOKUP($C185,武器!$1:$998,COLUMN($O$1),FALSE)*VLOOKUP($D185,素材!$1:$1016,COLUMN($E$1),FALSE)/(LEN(VLOOKUP($D185,素材!$1:$1016,COLUMN($F$1),FALSE))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M185">
        <f>IF(ISNUMBER(SEARCH(SUBSTITUTE(AM$1,RIGHT(AM$1,2),""),VLOOKUP($D185,素材!$1:$1016,COLUMN($F$1),FALSE))),VLOOKUP($C185,武器!$1:$998,COLUMN($O$1),FALSE)*VLOOKUP($D185,素材!$1:$1016,COLUMN($E$1),FALSE)/(LEN(VLOOKUP($D185,素材!$1:$1016,COLUMN($F$1),FALSE))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N185">
        <f>IF(ISNUMBER(SEARCH(SUBSTITUTE(AN$1,RIGHT(AN$1,2),""),VLOOKUP($D185,素材!$1:$1016,COLUMN($F$1),FALSE))),VLOOKUP($C185,武器!$1:$998,COLUMN($O$1),FALSE)*VLOOKUP($D185,素材!$1:$1016,COLUMN($E$1),FALSE)/(LEN(VLOOKUP($D185,素材!$1:$1016,COLUMN($F$1),FALSE))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O185">
        <f>IF(ISNUMBER(SEARCH(SUBSTITUTE(AO$1,RIGHT(AO$1,2),""),VLOOKUP($D185,素材!$1:$1016,COLUMN($F$1),FALSE))),VLOOKUP($C185,武器!$1:$998,COLUMN($O$1),FALSE)*VLOOKUP($D185,素材!$1:$1016,COLUMN($E$1),FALSE)/(LEN(VLOOKUP($D185,素材!$1:$1016,COLUMN($F$1),FALSE))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P185">
        <f>IF(ISNUMBER(SEARCH(SUBSTITUTE(AP$1,RIGHT(AP$1,2),""),VLOOKUP($D185,素材!$1:$1016,COLUMN($F$1),FALSE))),VLOOKUP($C185,武器!$1:$998,COLUMN($O$1),FALSE)*VLOOKUP($D185,素材!$1:$1016,COLUMN($E$1),FALSE)/(LEN(VLOOKUP($D185,素材!$1:$1016,COLUMN($F$1),FALSE))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Q185">
        <f>IF(ISNUMBER(SEARCH(SUBSTITUTE(AQ$1,RIGHT(AQ$1,2),""),VLOOKUP($D185,素材!$1:$1016,COLUMN($F$1),FALSE))),VLOOKUP($C185,武器!$1:$998,COLUMN($O$1),FALSE)*VLOOKUP($D185,素材!$1:$1016,COLUMN($E$1),FALSE)/(LEN(VLOOKUP($D185,素材!$1:$1016,COLUMN($F$1),FALSE))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R185">
        <f>IF(ISNUMBER(SEARCH(SUBSTITUTE(AR$1,RIGHT(AR$1,2),""),VLOOKUP($D185,素材!$1:$1016,COLUMN($F$1),FALSE))),VLOOKUP($C185,武器!$1:$998,COLUMN($O$1),FALSE)*VLOOKUP($D185,素材!$1:$1016,COLUMN($E$1),FALSE)/(LEN(VLOOKUP($D185,素材!$1:$1016,COLUMN($F$1),FALSE))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S185">
        <f>IF(ISNUMBER(SEARCH(SUBSTITUTE(AS$1,RIGHT(AS$1,2),""),VLOOKUP($D185,素材!$1:$1016,COLUMN($F$1),FALSE))),VLOOKUP($C185,武器!$1:$998,COLUMN($O$1),FALSE)*VLOOKUP($D185,素材!$1:$1016,COLUMN($E$1),FALSE)/(LEN(VLOOKUP($D185,素材!$1:$1016,COLUMN($F$1),FALSE))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T185">
        <f>IF(ISNUMBER(SEARCH(SUBSTITUTE(AT$1,RIGHT(AT$1,2),""),VLOOKUP($D185,素材!$1:$1016,COLUMN($F$1),FALSE))),VLOOKUP($C185,武器!$1:$998,COLUMN($O$1),FALSE)*VLOOKUP($D185,素材!$1:$1016,COLUMN($E$1),FALSE)/(LEN(VLOOKUP($D185,素材!$1:$1016,COLUMN($F$1),FALSE))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U185">
        <f>IF(ISNUMBER(SEARCH(SUBSTITUTE(AU$1,RIGHT(AU$1,2),""),VLOOKUP($D185,素材!$1:$1016,COLUMN($F$1),FALSE))),VLOOKUP($C185,武器!$1:$998,COLUMN($O$1),FALSE)*VLOOKUP($D185,素材!$1:$1016,COLUMN($E$1),FALSE)/(LEN(VLOOKUP($D185,素材!$1:$1016,COLUMN($F$1),FALSE))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V185">
        <f>IF(ISNUMBER(SEARCH(SUBSTITUTE(AV$1,RIGHT(AV$1,2),""),VLOOKUP($D185,素材!$1:$1016,COLUMN($F$1),FALSE))),VLOOKUP($C185,武器!$1:$998,COLUMN($O$1),FALSE)*VLOOKUP($D185,素材!$1:$1016,COLUMN($E$1),FALSE)/(LEN(VLOOKUP($D185,素材!$1:$1016,COLUMN($F$1),FALSE))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W185">
        <f>IF(ISNUMBER(SEARCH(SUBSTITUTE(AW$1,RIGHT(AW$1,2),""),VLOOKUP($D185,素材!$1:$1016,COLUMN($F$1),FALSE))),VLOOKUP($C185,武器!$1:$998,COLUMN($O$1),FALSE)*VLOOKUP($D185,素材!$1:$1016,COLUMN($E$1),FALSE)/(LEN(VLOOKUP($D185,素材!$1:$1016,COLUMN($F$1),FALSE))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X185">
        <f>IF(ISNUMBER(SEARCH(SUBSTITUTE(AX$1,RIGHT(AX$1,2),""),VLOOKUP($D185,素材!$1:$1016,COLUMN($F$1),FALSE))),VLOOKUP($C185,武器!$1:$998,COLUMN($O$1),FALSE)*VLOOKUP($D185,素材!$1:$1016,COLUMN($E$1),FALSE)/(LEN(VLOOKUP($D185,素材!$1:$1016,COLUMN($F$1),FALSE))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Y185">
        <f>IF(ISNUMBER(SEARCH(SUBSTITUTE(AY$1,RIGHT(AY$1,2),""),VLOOKUP($D185,素材!$1:$1016,COLUMN($F$1),FALSE))),VLOOKUP($C185,武器!$1:$998,COLUMN($O$1),FALSE)*VLOOKUP($D185,素材!$1:$1016,COLUMN($E$1),FALSE)/(LEN(VLOOKUP($D185,素材!$1:$1016,COLUMN($F$1),FALSE))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AZ185">
        <f>IF(ISNUMBER(SEARCH(SUBSTITUTE(AZ$1,RIGHT(AZ$1,2),""),VLOOKUP($D185,素材!$1:$1016,COLUMN($F$1),FALSE))),VLOOKUP($C185,武器!$1:$998,COLUMN($O$1),FALSE)*VLOOKUP($D185,素材!$1:$1016,COLUMN($E$1),FALSE)/(LEN(VLOOKUP($D185,素材!$1:$1016,COLUMN($F$1),FALSE))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BA185">
        <f>IF(ISNUMBER(SEARCH(SUBSTITUTE(BA$1,RIGHT(BA$1,2),""),VLOOKUP($D185,素材!$1:$1016,COLUMN($F$1),FALSE))),VLOOKUP($C185,武器!$1:$998,COLUMN($O$1),FALSE)*VLOOKUP($D185,素材!$1:$1016,COLUMN($E$1),FALSE)/(LEN(VLOOKUP($D185,素材!$1:$1016,COLUMN($F$1),FALSE))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BB185">
        <f>IF(ISNUMBER(SEARCH(SUBSTITUTE(BB$1,RIGHT(BB$1,2),""),VLOOKUP($D185,素材!$1:$1016,COLUMN($F$1),FALSE))),VLOOKUP($C185,武器!$1:$998,COLUMN($O$1),FALSE)*VLOOKUP($D185,素材!$1:$1016,COLUMN($E$1),FALSE)/(LEN(VLOOKUP($D185,素材!$1:$1016,COLUMN($F$1),FALSE))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BC185">
        <f>IF(ISNUMBER(SEARCH(SUBSTITUTE(BC$1,RIGHT(BC$1,2),""),VLOOKUP($D185,素材!$1:$1016,COLUMN($F$1),FALSE))),VLOOKUP($C185,武器!$1:$998,COLUMN($O$1),FALSE)*VLOOKUP($D185,素材!$1:$1016,COLUMN($E$1),FALSE)/(LEN(VLOOKUP($D185,素材!$1:$1016,COLUMN($F$1),FALSE))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BD185">
        <f>IF(ISNUMBER(SEARCH(SUBSTITUTE(BD$1,RIGHT(BD$1,2),""),VLOOKUP($D185,素材!$1:$1016,COLUMN($F$1),FALSE))),VLOOKUP($C185,武器!$1:$998,COLUMN($O$1),FALSE)*VLOOKUP($D185,素材!$1:$1016,COLUMN($E$1),FALSE)/(LEN(VLOOKUP($D185,素材!$1:$1016,COLUMN($F$1),FALSE))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BE185">
        <f>IF(ISNUMBER(SEARCH(SUBSTITUTE(BE$1,RIGHT(BE$1,2),""),VLOOKUP($D185,素材!$1:$1016,COLUMN($F$1),FALSE))),VLOOKUP($C185,武器!$1:$998,COLUMN($O$1),FALSE)*VLOOKUP($D185,素材!$1:$1016,COLUMN($E$1),FALSE)/(LEN(VLOOKUP($D185,素材!$1:$1016,COLUMN($F$1),FALSE))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BF185">
        <f>IF(ISNUMBER(SEARCH(SUBSTITUTE(BF$1,RIGHT(BF$1,2),""),VLOOKUP($D185,素材!$1:$1016,COLUMN($F$1),FALSE))),VLOOKUP($C185,武器!$1:$998,COLUMN($O$1),FALSE)*VLOOKUP($D185,素材!$1:$1016,COLUMN($E$1),FALSE)/(LEN(VLOOKUP($D185,素材!$1:$1016,COLUMN($F$1),FALSE)) - LEN(SUBSTITUTE(VLOOKUP($D185,素材!$1:$1016,COLUMN($F$1),FALSE), "・", 0)) + 1), 0)</f>
        <v>0</v>
      </c>
      <c r="CM185">
        <f t="shared" si="19"/>
        <v>0</v>
      </c>
      <c r="CN185" s="22" t="str">
        <f>IF(E185="武器",IF(J185-1&gt;SUM(G185:I185),"盾",IF(MAX(G185:I185)=G185,"切断",IF(MAX(G185:I185)=H185,"貫通",IF(MAX(G185:I185)=I185,"打撃","射撃")))),E185)&amp;".webp"</f>
        <v>銃.webp</v>
      </c>
      <c r="CO185">
        <f>IFERROR(VLOOKUP($C185,武器!$1:$998,COLUMN(V$1),FALSE)*VLOOKUP($D185,素材!$1:$1016,COLUMN(N$1),FALSE)+IF(CJ185="",0,VLOOKUP($CJ185,装強!$1:$1008,COLUMN($CL$1),FALSE)),"")</f>
        <v>3000</v>
      </c>
      <c r="CP185">
        <f>VLOOKUP(D185,素材!$A:$O,COLUMN(素材!O$1),FALSE)</f>
        <v>0</v>
      </c>
      <c r="CQ185" t="str">
        <f>VLOOKUP(C185,武器!$A:$W,COLUMN(武器!W$1),FALSE)</f>
        <v/>
      </c>
      <c r="CS185" t="str">
        <f t="shared" si="21"/>
        <v>e_185</v>
      </c>
      <c r="CT185">
        <f t="shared" si="24"/>
        <v>300000</v>
      </c>
    </row>
    <row r="186" spans="1:98" outlineLevel="1" x14ac:dyDescent="0.4">
      <c r="A186" t="str">
        <f t="shared" ref="A186:A217" si="30">D186&amp;"の"&amp;C186</f>
        <v>黒鋼鉄の面兜</v>
      </c>
      <c r="B186" t="str">
        <f>IFERROR(VLOOKUP($D186,素材!$1:$1016,COLUMN($B$1),FALSE)&amp;"・"&amp;VLOOKUP($C186,武器!$1:$998,COLUMN(B$1),FALSE),"")</f>
        <v>ブラックスティール・バイザーヘルム</v>
      </c>
      <c r="C186" t="s">
        <v>210</v>
      </c>
      <c r="D186" s="24" t="s">
        <v>244</v>
      </c>
      <c r="E186" t="str">
        <f>IFERROR(VLOOKUP(C186,武器!$1:$998,COLUMN(C$1),FALSE),"")</f>
        <v>頭</v>
      </c>
      <c r="F186">
        <f>IFERROR(ROUNDDOWN((VLOOKUP($C186,武器!$1:$998,COLUMN(D$1),FALSE)+IFERROR(VLOOKUP($CJ186,装強!$1:$999,COLUMN(F$1),FALSE),0))*VLOOKUP($D186,素材!$1:$1016,COLUMN(D$1),FALSE),0),"")</f>
        <v>0</v>
      </c>
      <c r="G186">
        <f>IFERROR(ROUNDDOWN((VLOOKUP($C186,武器!$1:$998,COLUMN(E$1),FALSE)+IFERROR(VLOOKUP($CJ186,装強!$1:$999,COLUMN(G$1),FALSE),0))*VLOOKUP($D186,素材!$1:$1016,COLUMN($E$1),FALSE),0),"")</f>
        <v>0</v>
      </c>
      <c r="H186">
        <f>IFERROR(ROUNDDOWN((VLOOKUP($C186,武器!$1:$998,COLUMN(F$1),FALSE)+IFERROR(VLOOKUP($CJ186,装強!$1:$999,COLUMN(H$1),FALSE),0))*VLOOKUP($D186,素材!$1:$1016,COLUMN($E$1),FALSE),0),"")</f>
        <v>0</v>
      </c>
      <c r="I186">
        <f>IFERROR(ROUNDDOWN((VLOOKUP($C186,武器!$1:$998,COLUMN(G$1),FALSE)+IFERROR(VLOOKUP($CJ186,装強!$1:$999,COLUMN(I$1),FALSE),0))*VLOOKUP($D186,素材!$1:$1016,COLUMN($E$1),FALSE),0),"")</f>
        <v>17</v>
      </c>
      <c r="J186">
        <f>IFERROR(ROUNDDOWN((VLOOKUP($C186,武器!$1:$998,COLUMN(H$1),FALSE)+IFERROR(VLOOKUP($CJ186,装強!$1:$999,COLUMN(J$1),FALSE),0))*VLOOKUP($D186,素材!$1:$1016,COLUMN($E$1),FALSE),0),"")</f>
        <v>0</v>
      </c>
      <c r="K186">
        <f>IFERROR(ROUNDDOWN((VLOOKUP($C186,武器!$1:$998,COLUMN(I$1),FALSE)+IFERROR(VLOOKUP($CJ186,装強!$1:$999,COLUMN(K$1),FALSE),0))*VLOOKUP($D186,素材!$1:$1016,COLUMN($E$1),FALSE),0),"")</f>
        <v>0</v>
      </c>
      <c r="L186" t="str">
        <f>IFERROR(VLOOKUP($D186,素材!$1:$1016,COLUMN($F$1),FALSE),"")</f>
        <v>雷</v>
      </c>
      <c r="M186">
        <f>IFERROR(VLOOKUP($C186,武器!$1:$998,COLUMN(AA$1),FALSE)*VLOOKUP($D186,素材!$1:$1016,COLUMN($G$1),FALSE),"")</f>
        <v>0</v>
      </c>
      <c r="N186">
        <f>IFERROR(VLOOKUP($C186,武器!$1:$998,COLUMN(I$1),FALSE),"")</f>
        <v>0</v>
      </c>
      <c r="O186" s="23">
        <f>IFERROR((VLOOKUP($C186,武器!$1:$998,COLUMN(K$1),FALSE)+VLOOKUP($D186,素材!$1:$1016,COLUMN(H$1),FALSE))*100+IFERROR(VLOOKUP($CJ186,装強!$1:$999,COLUMN(O$1),FALSE),0),"")</f>
        <v>5</v>
      </c>
      <c r="P186" s="23">
        <f>IFERROR((VLOOKUP($C186,武器!$1:$998,COLUMN(L$1),FALSE)+VLOOKUP($D186,素材!$1:$1016,COLUMN(I$1),FALSE))*100+IFERROR(VLOOKUP($CJ186,装強!$1:$999,COLUMN(P$1),FALSE),0),"")</f>
        <v>125</v>
      </c>
      <c r="Q186">
        <f>IFERROR(ROUNDUP(VLOOKUP($C186,武器!$1:$998,COLUMN(M$1),FALSE)*(VLOOKUP($D186,素材!$1:$1002,COLUMN(D$1),FALSE)/100),1),"")</f>
        <v>-7.5</v>
      </c>
      <c r="R186">
        <f>IFERROR(ROUNDUP(VLOOKUP($C186,武器!$1:$998,COLUMN(N$1),FALSE)*(VLOOKUP($D186,素材!$1:$1002,COLUMN(D$1),FALSE)/100),1),"")</f>
        <v>0</v>
      </c>
      <c r="S186">
        <f>IFERROR(VLOOKUP($C186,武器!$1:$998,COLUMN(P$1),FALSE),"")</f>
        <v>0</v>
      </c>
      <c r="T186">
        <f>IFERROR(VLOOKUP($C186,武器!$1:$998,COLUMN(Q$1),FALSE),"")</f>
        <v>0</v>
      </c>
      <c r="U186">
        <f>IFERROR(VLOOKUP($C186,武器!$1:$998,COLUMN(R$1),FALSE),"")</f>
        <v>0</v>
      </c>
      <c r="V186">
        <f>IFERROR(VLOOKUP($C186,武器!$1:$998,COLUMN(Q$1),FALSE),"")</f>
        <v>0</v>
      </c>
      <c r="W186">
        <f>IFERROR(VLOOKUP($C186,武器!$1:$998,COLUMN(T$1),FALSE),"")</f>
        <v>0</v>
      </c>
      <c r="Y186">
        <f>IFERROR(VLOOKUP($C186,武器!$1:$998,COLUMN(U$1),FALSE),"")</f>
        <v>0</v>
      </c>
      <c r="Z186">
        <f>IFERROR(ROUNDUP(VLOOKUP($C186,武器!$1:$998,COLUMN(O$1),FALSE)*VLOOKUP($D186,素材!$1:$1016,COLUMN(E$1),FALSE),1),"")</f>
        <v>7</v>
      </c>
      <c r="AA186">
        <f>IF(ISNUMBER(SEARCH(SUBSTITUTE(AA$1,RIGHT(AA$1,2),""),VLOOKUP($D186,素材!$1:$1016,COLUMN($F$1),FALSE))),VLOOKUP($C186,武器!$1:$998,COLUMN($O$1),FALSE)*VLOOKUP($D186,素材!$1:$1016,COLUMN($E$1),FALSE)/(LEN(VLOOKUP($D186,素材!$1:$1016,COLUMN($F$1),FALSE))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B186">
        <f>IF(ISNUMBER(SEARCH(SUBSTITUTE(AB$1,RIGHT(AB$1,2),""),VLOOKUP($D186,素材!$1:$1016,COLUMN($F$1),FALSE))),VLOOKUP($C186,武器!$1:$998,COLUMN($O$1),FALSE)*VLOOKUP($D186,素材!$1:$1016,COLUMN($E$1),FALSE)/(LEN(VLOOKUP($D186,素材!$1:$1016,COLUMN($F$1),FALSE))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C186">
        <f>IF(ISNUMBER(SEARCH(SUBSTITUTE(AC$1,RIGHT(AC$1,2),""),VLOOKUP($D186,素材!$1:$1016,COLUMN($F$1),FALSE))),VLOOKUP($C186,武器!$1:$998,COLUMN($O$1),FALSE)*VLOOKUP($D186,素材!$1:$1016,COLUMN($E$1),FALSE)/(LEN(VLOOKUP($D186,素材!$1:$1016,COLUMN($F$1),FALSE))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D186">
        <f>IF(ISNUMBER(SEARCH(SUBSTITUTE(AD$1,RIGHT(AD$1,2),""),VLOOKUP($D186,素材!$1:$1016,COLUMN($F$1),FALSE))),VLOOKUP($C186,武器!$1:$998,COLUMN($O$1),FALSE)*VLOOKUP($D186,素材!$1:$1016,COLUMN($E$1),FALSE)/(LEN(VLOOKUP($D186,素材!$1:$1016,COLUMN($F$1),FALSE))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E186">
        <f>IF(ISNUMBER(SEARCH(SUBSTITUTE(AE$1,RIGHT(AE$1,2),""),VLOOKUP($D186,素材!$1:$1016,COLUMN($F$1),FALSE))),VLOOKUP($C186,武器!$1:$998,COLUMN($O$1),FALSE)*VLOOKUP($D186,素材!$1:$1016,COLUMN($E$1),FALSE)/(LEN(VLOOKUP($D186,素材!$1:$1016,COLUMN($F$1),FALSE))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F186">
        <f>IF(ISNUMBER(SEARCH(SUBSTITUTE(AF$1,RIGHT(AF$1,2),""),VLOOKUP($D186,素材!$1:$1016,COLUMN($F$1),FALSE))),VLOOKUP($C186,武器!$1:$998,COLUMN($O$1),FALSE)*VLOOKUP($D186,素材!$1:$1016,COLUMN($E$1),FALSE)/(LEN(VLOOKUP($D186,素材!$1:$1016,COLUMN($F$1),FALSE))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G186">
        <f>IF(ISNUMBER(SEARCH(SUBSTITUTE(AG$1,RIGHT(AG$1,2),""),VLOOKUP($D186,素材!$1:$1016,COLUMN($F$1),FALSE))),VLOOKUP($C186,武器!$1:$998,COLUMN($O$1),FALSE)*VLOOKUP($D186,素材!$1:$1016,COLUMN($E$1),FALSE)/(LEN(VLOOKUP($D186,素材!$1:$1016,COLUMN($F$1),FALSE))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7</v>
      </c>
      <c r="AH186">
        <f>IF(ISNUMBER(SEARCH(SUBSTITUTE(AH$1,RIGHT(AH$1,2),""),VLOOKUP($D186,素材!$1:$1016,COLUMN($F$1),FALSE))),VLOOKUP($C186,武器!$1:$998,COLUMN($O$1),FALSE)*VLOOKUP($D186,素材!$1:$1016,COLUMN($E$1),FALSE)/(LEN(VLOOKUP($D186,素材!$1:$1016,COLUMN($F$1),FALSE))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I186">
        <f>IF(ISNUMBER(SEARCH(SUBSTITUTE(AI$1,RIGHT(AI$1,2),""),VLOOKUP($D186,素材!$1:$1016,COLUMN($F$1),FALSE))),VLOOKUP($C186,武器!$1:$998,COLUMN($O$1),FALSE)*VLOOKUP($D186,素材!$1:$1016,COLUMN($E$1),FALSE)/(LEN(VLOOKUP($D186,素材!$1:$1016,COLUMN($F$1),FALSE))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J186">
        <f>IF(ISNUMBER(SEARCH(SUBSTITUTE(AJ$1,RIGHT(AJ$1,2),""),VLOOKUP($D186,素材!$1:$1016,COLUMN($F$1),FALSE))),VLOOKUP($C186,武器!$1:$998,COLUMN($O$1),FALSE)*VLOOKUP($D186,素材!$1:$1016,COLUMN($E$1),FALSE)/(LEN(VLOOKUP($D186,素材!$1:$1016,COLUMN($F$1),FALSE))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K186">
        <f>IF(ISNUMBER(SEARCH(SUBSTITUTE(AK$1,RIGHT(AK$1,2),""),VLOOKUP($D186,素材!$1:$1016,COLUMN($F$1),FALSE))),VLOOKUP($C186,武器!$1:$998,COLUMN($O$1),FALSE)*VLOOKUP($D186,素材!$1:$1016,COLUMN($E$1),FALSE)/(LEN(VLOOKUP($D186,素材!$1:$1016,COLUMN($F$1),FALSE))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L186">
        <f>IF(ISNUMBER(SEARCH(SUBSTITUTE(AL$1,RIGHT(AL$1,2),""),VLOOKUP($D186,素材!$1:$1016,COLUMN($F$1),FALSE))),VLOOKUP($C186,武器!$1:$998,COLUMN($O$1),FALSE)*VLOOKUP($D186,素材!$1:$1016,COLUMN($E$1),FALSE)/(LEN(VLOOKUP($D186,素材!$1:$1016,COLUMN($F$1),FALSE))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M186">
        <f>IF(ISNUMBER(SEARCH(SUBSTITUTE(AM$1,RIGHT(AM$1,2),""),VLOOKUP($D186,素材!$1:$1016,COLUMN($F$1),FALSE))),VLOOKUP($C186,武器!$1:$998,COLUMN($O$1),FALSE)*VLOOKUP($D186,素材!$1:$1016,COLUMN($E$1),FALSE)/(LEN(VLOOKUP($D186,素材!$1:$1016,COLUMN($F$1),FALSE))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N186">
        <f>IF(ISNUMBER(SEARCH(SUBSTITUTE(AN$1,RIGHT(AN$1,2),""),VLOOKUP($D186,素材!$1:$1016,COLUMN($F$1),FALSE))),VLOOKUP($C186,武器!$1:$998,COLUMN($O$1),FALSE)*VLOOKUP($D186,素材!$1:$1016,COLUMN($E$1),FALSE)/(LEN(VLOOKUP($D186,素材!$1:$1016,COLUMN($F$1),FALSE))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O186">
        <f>IF(ISNUMBER(SEARCH(SUBSTITUTE(AO$1,RIGHT(AO$1,2),""),VLOOKUP($D186,素材!$1:$1016,COLUMN($F$1),FALSE))),VLOOKUP($C186,武器!$1:$998,COLUMN($O$1),FALSE)*VLOOKUP($D186,素材!$1:$1016,COLUMN($E$1),FALSE)/(LEN(VLOOKUP($D186,素材!$1:$1016,COLUMN($F$1),FALSE))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P186">
        <f>IF(ISNUMBER(SEARCH(SUBSTITUTE(AP$1,RIGHT(AP$1,2),""),VLOOKUP($D186,素材!$1:$1016,COLUMN($F$1),FALSE))),VLOOKUP($C186,武器!$1:$998,COLUMN($O$1),FALSE)*VLOOKUP($D186,素材!$1:$1016,COLUMN($E$1),FALSE)/(LEN(VLOOKUP($D186,素材!$1:$1016,COLUMN($F$1),FALSE))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Q186">
        <f>IF(ISNUMBER(SEARCH(SUBSTITUTE(AQ$1,RIGHT(AQ$1,2),""),VLOOKUP($D186,素材!$1:$1016,COLUMN($F$1),FALSE))),VLOOKUP($C186,武器!$1:$998,COLUMN($O$1),FALSE)*VLOOKUP($D186,素材!$1:$1016,COLUMN($E$1),FALSE)/(LEN(VLOOKUP($D186,素材!$1:$1016,COLUMN($F$1),FALSE))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R186">
        <f>IF(ISNUMBER(SEARCH(SUBSTITUTE(AR$1,RIGHT(AR$1,2),""),VLOOKUP($D186,素材!$1:$1016,COLUMN($F$1),FALSE))),VLOOKUP($C186,武器!$1:$998,COLUMN($O$1),FALSE)*VLOOKUP($D186,素材!$1:$1016,COLUMN($E$1),FALSE)/(LEN(VLOOKUP($D186,素材!$1:$1016,COLUMN($F$1),FALSE))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S186">
        <f>IF(ISNUMBER(SEARCH(SUBSTITUTE(AS$1,RIGHT(AS$1,2),""),VLOOKUP($D186,素材!$1:$1016,COLUMN($F$1),FALSE))),VLOOKUP($C186,武器!$1:$998,COLUMN($O$1),FALSE)*VLOOKUP($D186,素材!$1:$1016,COLUMN($E$1),FALSE)/(LEN(VLOOKUP($D186,素材!$1:$1016,COLUMN($F$1),FALSE))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T186">
        <f>IF(ISNUMBER(SEARCH(SUBSTITUTE(AT$1,RIGHT(AT$1,2),""),VLOOKUP($D186,素材!$1:$1016,COLUMN($F$1),FALSE))),VLOOKUP($C186,武器!$1:$998,COLUMN($O$1),FALSE)*VLOOKUP($D186,素材!$1:$1016,COLUMN($E$1),FALSE)/(LEN(VLOOKUP($D186,素材!$1:$1016,COLUMN($F$1),FALSE))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U186">
        <f>IF(ISNUMBER(SEARCH(SUBSTITUTE(AU$1,RIGHT(AU$1,2),""),VLOOKUP($D186,素材!$1:$1016,COLUMN($F$1),FALSE))),VLOOKUP($C186,武器!$1:$998,COLUMN($O$1),FALSE)*VLOOKUP($D186,素材!$1:$1016,COLUMN($E$1),FALSE)/(LEN(VLOOKUP($D186,素材!$1:$1016,COLUMN($F$1),FALSE))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V186">
        <f>IF(ISNUMBER(SEARCH(SUBSTITUTE(AV$1,RIGHT(AV$1,2),""),VLOOKUP($D186,素材!$1:$1016,COLUMN($F$1),FALSE))),VLOOKUP($C186,武器!$1:$998,COLUMN($O$1),FALSE)*VLOOKUP($D186,素材!$1:$1016,COLUMN($E$1),FALSE)/(LEN(VLOOKUP($D186,素材!$1:$1016,COLUMN($F$1),FALSE))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W186">
        <f>IF(ISNUMBER(SEARCH(SUBSTITUTE(AW$1,RIGHT(AW$1,2),""),VLOOKUP($D186,素材!$1:$1016,COLUMN($F$1),FALSE))),VLOOKUP($C186,武器!$1:$998,COLUMN($O$1),FALSE)*VLOOKUP($D186,素材!$1:$1016,COLUMN($E$1),FALSE)/(LEN(VLOOKUP($D186,素材!$1:$1016,COLUMN($F$1),FALSE))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X186">
        <f>IF(ISNUMBER(SEARCH(SUBSTITUTE(AX$1,RIGHT(AX$1,2),""),VLOOKUP($D186,素材!$1:$1016,COLUMN($F$1),FALSE))),VLOOKUP($C186,武器!$1:$998,COLUMN($O$1),FALSE)*VLOOKUP($D186,素材!$1:$1016,COLUMN($E$1),FALSE)/(LEN(VLOOKUP($D186,素材!$1:$1016,COLUMN($F$1),FALSE))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Y186">
        <f>IF(ISNUMBER(SEARCH(SUBSTITUTE(AY$1,RIGHT(AY$1,2),""),VLOOKUP($D186,素材!$1:$1016,COLUMN($F$1),FALSE))),VLOOKUP($C186,武器!$1:$998,COLUMN($O$1),FALSE)*VLOOKUP($D186,素材!$1:$1016,COLUMN($E$1),FALSE)/(LEN(VLOOKUP($D186,素材!$1:$1016,COLUMN($F$1),FALSE))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AZ186">
        <f>IF(ISNUMBER(SEARCH(SUBSTITUTE(AZ$1,RIGHT(AZ$1,2),""),VLOOKUP($D186,素材!$1:$1016,COLUMN($F$1),FALSE))),VLOOKUP($C186,武器!$1:$998,COLUMN($O$1),FALSE)*VLOOKUP($D186,素材!$1:$1016,COLUMN($E$1),FALSE)/(LEN(VLOOKUP($D186,素材!$1:$1016,COLUMN($F$1),FALSE))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BA186">
        <f>IF(ISNUMBER(SEARCH(SUBSTITUTE(BA$1,RIGHT(BA$1,2),""),VLOOKUP($D186,素材!$1:$1016,COLUMN($F$1),FALSE))),VLOOKUP($C186,武器!$1:$998,COLUMN($O$1),FALSE)*VLOOKUP($D186,素材!$1:$1016,COLUMN($E$1),FALSE)/(LEN(VLOOKUP($D186,素材!$1:$1016,COLUMN($F$1),FALSE))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BB186">
        <f>IF(ISNUMBER(SEARCH(SUBSTITUTE(BB$1,RIGHT(BB$1,2),""),VLOOKUP($D186,素材!$1:$1016,COLUMN($F$1),FALSE))),VLOOKUP($C186,武器!$1:$998,COLUMN($O$1),FALSE)*VLOOKUP($D186,素材!$1:$1016,COLUMN($E$1),FALSE)/(LEN(VLOOKUP($D186,素材!$1:$1016,COLUMN($F$1),FALSE))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BC186">
        <f>IF(ISNUMBER(SEARCH(SUBSTITUTE(BC$1,RIGHT(BC$1,2),""),VLOOKUP($D186,素材!$1:$1016,COLUMN($F$1),FALSE))),VLOOKUP($C186,武器!$1:$998,COLUMN($O$1),FALSE)*VLOOKUP($D186,素材!$1:$1016,COLUMN($E$1),FALSE)/(LEN(VLOOKUP($D186,素材!$1:$1016,COLUMN($F$1),FALSE))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BD186">
        <f>IF(ISNUMBER(SEARCH(SUBSTITUTE(BD$1,RIGHT(BD$1,2),""),VLOOKUP($D186,素材!$1:$1016,COLUMN($F$1),FALSE))),VLOOKUP($C186,武器!$1:$998,COLUMN($O$1),FALSE)*VLOOKUP($D186,素材!$1:$1016,COLUMN($E$1),FALSE)/(LEN(VLOOKUP($D186,素材!$1:$1016,COLUMN($F$1),FALSE))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BE186">
        <f>IF(ISNUMBER(SEARCH(SUBSTITUTE(BE$1,RIGHT(BE$1,2),""),VLOOKUP($D186,素材!$1:$1016,COLUMN($F$1),FALSE))),VLOOKUP($C186,武器!$1:$998,COLUMN($O$1),FALSE)*VLOOKUP($D186,素材!$1:$1016,COLUMN($E$1),FALSE)/(LEN(VLOOKUP($D186,素材!$1:$1016,COLUMN($F$1),FALSE))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BF186">
        <f>IF(ISNUMBER(SEARCH(SUBSTITUTE(BF$1,RIGHT(BF$1,2),""),VLOOKUP($D186,素材!$1:$1016,COLUMN($F$1),FALSE))),VLOOKUP($C186,武器!$1:$998,COLUMN($O$1),FALSE)*VLOOKUP($D186,素材!$1:$1016,COLUMN($E$1),FALSE)/(LEN(VLOOKUP($D186,素材!$1:$1016,COLUMN($F$1),FALSE)) - LEN(SUBSTITUTE(VLOOKUP($D186,素材!$1:$1016,COLUMN($F$1),FALSE), "・", 0)) + 1), 0)</f>
        <v>0</v>
      </c>
      <c r="CM186">
        <f t="shared" si="19"/>
        <v>17</v>
      </c>
      <c r="CN186" s="22" t="str">
        <f>IF(E186="武器",IF(J186-1&gt;SUM(G186:I186),"盾",IF(MAX(G186:I186)=G186,"切断",IF(MAX(G186:I186)=H186,"貫通",IF(MAX(G186:I186)=I186,"打撃","射撃")))),E186)&amp;".webp"</f>
        <v>頭.webp</v>
      </c>
      <c r="CO186">
        <f>IFERROR(VLOOKUP($C186,武器!$1:$998,COLUMN(V$1),FALSE)*VLOOKUP($D186,素材!$1:$1016,COLUMN(N$1),FALSE)+IF(CJ186="",0,VLOOKUP($CJ186,装強!$1:$1008,COLUMN($CL$1),FALSE)),"")</f>
        <v>3000</v>
      </c>
      <c r="CP186">
        <f>VLOOKUP(D186,素材!$A:$O,COLUMN(素材!O$1),FALSE)</f>
        <v>0</v>
      </c>
      <c r="CQ186" t="str">
        <f>VLOOKUP(C186,武器!$A:$W,COLUMN(武器!W$1),FALSE)</f>
        <v>命中 魔防 Cr</v>
      </c>
      <c r="CS186" t="str">
        <f t="shared" si="21"/>
        <v>e_186</v>
      </c>
      <c r="CT186">
        <f t="shared" si="24"/>
        <v>300000</v>
      </c>
    </row>
    <row r="187" spans="1:98" outlineLevel="1" x14ac:dyDescent="0.4">
      <c r="A187" t="str">
        <f t="shared" si="30"/>
        <v>黒鋼鉄の兜</v>
      </c>
      <c r="B187" t="str">
        <f>IFERROR(VLOOKUP($D187,素材!$1:$1016,COLUMN($B$1),FALSE)&amp;"・"&amp;VLOOKUP($C187,武器!$1:$998,COLUMN(B$1),FALSE),"")</f>
        <v>ブラックスティール・ヘルム</v>
      </c>
      <c r="C187" t="s">
        <v>209</v>
      </c>
      <c r="D187" s="24" t="s">
        <v>244</v>
      </c>
      <c r="E187" t="str">
        <f>IFERROR(VLOOKUP(C187,武器!$1:$998,COLUMN(C$1),FALSE),"")</f>
        <v>頭</v>
      </c>
      <c r="F187">
        <f>IFERROR(ROUNDDOWN((VLOOKUP($C187,武器!$1:$998,COLUMN(D$1),FALSE)+IFERROR(VLOOKUP($CJ187,装強!$1:$999,COLUMN(F$1),FALSE),0))*VLOOKUP($D187,素材!$1:$1016,COLUMN(D$1),FALSE),0),"")</f>
        <v>0</v>
      </c>
      <c r="G187">
        <f>IFERROR(ROUNDDOWN((VLOOKUP($C187,武器!$1:$998,COLUMN(E$1),FALSE)+IFERROR(VLOOKUP($CJ187,装強!$1:$999,COLUMN(G$1),FALSE),0))*VLOOKUP($D187,素材!$1:$1016,COLUMN($E$1),FALSE),0),"")</f>
        <v>0</v>
      </c>
      <c r="H187">
        <f>IFERROR(ROUNDDOWN((VLOOKUP($C187,武器!$1:$998,COLUMN(F$1),FALSE)+IFERROR(VLOOKUP($CJ187,装強!$1:$999,COLUMN(H$1),FALSE),0))*VLOOKUP($D187,素材!$1:$1016,COLUMN($E$1),FALSE),0),"")</f>
        <v>0</v>
      </c>
      <c r="I187">
        <f>IFERROR(ROUNDDOWN((VLOOKUP($C187,武器!$1:$998,COLUMN(G$1),FALSE)+IFERROR(VLOOKUP($CJ187,装強!$1:$999,COLUMN(I$1),FALSE),0))*VLOOKUP($D187,素材!$1:$1016,COLUMN($E$1),FALSE),0),"")</f>
        <v>17</v>
      </c>
      <c r="J187">
        <f>IFERROR(ROUNDDOWN((VLOOKUP($C187,武器!$1:$998,COLUMN(H$1),FALSE)+IFERROR(VLOOKUP($CJ187,装強!$1:$999,COLUMN(J$1),FALSE),0))*VLOOKUP($D187,素材!$1:$1016,COLUMN($E$1),FALSE),0),"")</f>
        <v>0</v>
      </c>
      <c r="K187">
        <f>IFERROR(ROUNDDOWN((VLOOKUP($C187,武器!$1:$998,COLUMN(I$1),FALSE)+IFERROR(VLOOKUP($CJ187,装強!$1:$999,COLUMN(K$1),FALSE),0))*VLOOKUP($D187,素材!$1:$1016,COLUMN($E$1),FALSE),0),"")</f>
        <v>0</v>
      </c>
      <c r="L187" t="str">
        <f>IFERROR(VLOOKUP($D187,素材!$1:$1016,COLUMN($F$1),FALSE),"")</f>
        <v>雷</v>
      </c>
      <c r="M187">
        <f>IFERROR(VLOOKUP($C187,武器!$1:$998,COLUMN(AA$1),FALSE)*VLOOKUP($D187,素材!$1:$1016,COLUMN($G$1),FALSE),"")</f>
        <v>0</v>
      </c>
      <c r="N187">
        <f>IFERROR(VLOOKUP($C187,武器!$1:$998,COLUMN(I$1),FALSE),"")</f>
        <v>0</v>
      </c>
      <c r="O187" s="23">
        <f>IFERROR((VLOOKUP($C187,武器!$1:$998,COLUMN(K$1),FALSE)+VLOOKUP($D187,素材!$1:$1016,COLUMN(H$1),FALSE))*100+IFERROR(VLOOKUP($CJ187,装強!$1:$999,COLUMN(O$1),FALSE),0),"")</f>
        <v>5</v>
      </c>
      <c r="P187" s="23">
        <f>IFERROR((VLOOKUP($C187,武器!$1:$998,COLUMN(L$1),FALSE)+VLOOKUP($D187,素材!$1:$1016,COLUMN(I$1),FALSE))*100+IFERROR(VLOOKUP($CJ187,装強!$1:$999,COLUMN(P$1),FALSE),0),"")</f>
        <v>125</v>
      </c>
      <c r="Q187">
        <f>IFERROR(ROUNDUP(VLOOKUP($C187,武器!$1:$998,COLUMN(M$1),FALSE)*(VLOOKUP($D187,素材!$1:$1002,COLUMN(D$1),FALSE)/100),1),"")</f>
        <v>-5</v>
      </c>
      <c r="R187">
        <f>IFERROR(ROUNDUP(VLOOKUP($C187,武器!$1:$998,COLUMN(N$1),FALSE)*(VLOOKUP($D187,素材!$1:$1002,COLUMN(D$1),FALSE)/100),1),"")</f>
        <v>0</v>
      </c>
      <c r="S187">
        <f>IFERROR(VLOOKUP($C187,武器!$1:$998,COLUMN(P$1),FALSE),"")</f>
        <v>0</v>
      </c>
      <c r="T187">
        <f>IFERROR(VLOOKUP($C187,武器!$1:$998,COLUMN(Q$1),FALSE),"")</f>
        <v>0</v>
      </c>
      <c r="U187">
        <f>IFERROR(VLOOKUP($C187,武器!$1:$998,COLUMN(R$1),FALSE),"")</f>
        <v>0</v>
      </c>
      <c r="V187">
        <f>IFERROR(VLOOKUP($C187,武器!$1:$998,COLUMN(Q$1),FALSE),"")</f>
        <v>0</v>
      </c>
      <c r="W187">
        <f>IFERROR(VLOOKUP($C187,武器!$1:$998,COLUMN(T$1),FALSE),"")</f>
        <v>0</v>
      </c>
      <c r="Y187">
        <f>IFERROR(VLOOKUP($C187,武器!$1:$998,COLUMN(U$1),FALSE),"")</f>
        <v>0</v>
      </c>
      <c r="Z187">
        <f>IFERROR(ROUNDUP(VLOOKUP($C187,武器!$1:$998,COLUMN(O$1),FALSE)*VLOOKUP($D187,素材!$1:$1016,COLUMN(E$1),FALSE),1),"")</f>
        <v>4</v>
      </c>
      <c r="AA187">
        <f>IF(ISNUMBER(SEARCH(SUBSTITUTE(AA$1,RIGHT(AA$1,2),""),VLOOKUP($D187,素材!$1:$1016,COLUMN($F$1),FALSE))),VLOOKUP($C187,武器!$1:$998,COLUMN($O$1),FALSE)*VLOOKUP($D187,素材!$1:$1016,COLUMN($E$1),FALSE)/(LEN(VLOOKUP($D187,素材!$1:$1016,COLUMN($F$1),FALSE))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B187">
        <f>IF(ISNUMBER(SEARCH(SUBSTITUTE(AB$1,RIGHT(AB$1,2),""),VLOOKUP($D187,素材!$1:$1016,COLUMN($F$1),FALSE))),VLOOKUP($C187,武器!$1:$998,COLUMN($O$1),FALSE)*VLOOKUP($D187,素材!$1:$1016,COLUMN($E$1),FALSE)/(LEN(VLOOKUP($D187,素材!$1:$1016,COLUMN($F$1),FALSE))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C187">
        <f>IF(ISNUMBER(SEARCH(SUBSTITUTE(AC$1,RIGHT(AC$1,2),""),VLOOKUP($D187,素材!$1:$1016,COLUMN($F$1),FALSE))),VLOOKUP($C187,武器!$1:$998,COLUMN($O$1),FALSE)*VLOOKUP($D187,素材!$1:$1016,COLUMN($E$1),FALSE)/(LEN(VLOOKUP($D187,素材!$1:$1016,COLUMN($F$1),FALSE))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D187">
        <f>IF(ISNUMBER(SEARCH(SUBSTITUTE(AD$1,RIGHT(AD$1,2),""),VLOOKUP($D187,素材!$1:$1016,COLUMN($F$1),FALSE))),VLOOKUP($C187,武器!$1:$998,COLUMN($O$1),FALSE)*VLOOKUP($D187,素材!$1:$1016,COLUMN($E$1),FALSE)/(LEN(VLOOKUP($D187,素材!$1:$1016,COLUMN($F$1),FALSE))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E187">
        <f>IF(ISNUMBER(SEARCH(SUBSTITUTE(AE$1,RIGHT(AE$1,2),""),VLOOKUP($D187,素材!$1:$1016,COLUMN($F$1),FALSE))),VLOOKUP($C187,武器!$1:$998,COLUMN($O$1),FALSE)*VLOOKUP($D187,素材!$1:$1016,COLUMN($E$1),FALSE)/(LEN(VLOOKUP($D187,素材!$1:$1016,COLUMN($F$1),FALSE))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F187">
        <f>IF(ISNUMBER(SEARCH(SUBSTITUTE(AF$1,RIGHT(AF$1,2),""),VLOOKUP($D187,素材!$1:$1016,COLUMN($F$1),FALSE))),VLOOKUP($C187,武器!$1:$998,COLUMN($O$1),FALSE)*VLOOKUP($D187,素材!$1:$1016,COLUMN($E$1),FALSE)/(LEN(VLOOKUP($D187,素材!$1:$1016,COLUMN($F$1),FALSE))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G187">
        <f>IF(ISNUMBER(SEARCH(SUBSTITUTE(AG$1,RIGHT(AG$1,2),""),VLOOKUP($D187,素材!$1:$1016,COLUMN($F$1),FALSE))),VLOOKUP($C187,武器!$1:$998,COLUMN($O$1),FALSE)*VLOOKUP($D187,素材!$1:$1016,COLUMN($E$1),FALSE)/(LEN(VLOOKUP($D187,素材!$1:$1016,COLUMN($F$1),FALSE))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4</v>
      </c>
      <c r="AH187">
        <f>IF(ISNUMBER(SEARCH(SUBSTITUTE(AH$1,RIGHT(AH$1,2),""),VLOOKUP($D187,素材!$1:$1016,COLUMN($F$1),FALSE))),VLOOKUP($C187,武器!$1:$998,COLUMN($O$1),FALSE)*VLOOKUP($D187,素材!$1:$1016,COLUMN($E$1),FALSE)/(LEN(VLOOKUP($D187,素材!$1:$1016,COLUMN($F$1),FALSE))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I187">
        <f>IF(ISNUMBER(SEARCH(SUBSTITUTE(AI$1,RIGHT(AI$1,2),""),VLOOKUP($D187,素材!$1:$1016,COLUMN($F$1),FALSE))),VLOOKUP($C187,武器!$1:$998,COLUMN($O$1),FALSE)*VLOOKUP($D187,素材!$1:$1016,COLUMN($E$1),FALSE)/(LEN(VLOOKUP($D187,素材!$1:$1016,COLUMN($F$1),FALSE))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J187">
        <f>IF(ISNUMBER(SEARCH(SUBSTITUTE(AJ$1,RIGHT(AJ$1,2),""),VLOOKUP($D187,素材!$1:$1016,COLUMN($F$1),FALSE))),VLOOKUP($C187,武器!$1:$998,COLUMN($O$1),FALSE)*VLOOKUP($D187,素材!$1:$1016,COLUMN($E$1),FALSE)/(LEN(VLOOKUP($D187,素材!$1:$1016,COLUMN($F$1),FALSE))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K187">
        <f>IF(ISNUMBER(SEARCH(SUBSTITUTE(AK$1,RIGHT(AK$1,2),""),VLOOKUP($D187,素材!$1:$1016,COLUMN($F$1),FALSE))),VLOOKUP($C187,武器!$1:$998,COLUMN($O$1),FALSE)*VLOOKUP($D187,素材!$1:$1016,COLUMN($E$1),FALSE)/(LEN(VLOOKUP($D187,素材!$1:$1016,COLUMN($F$1),FALSE))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L187">
        <f>IF(ISNUMBER(SEARCH(SUBSTITUTE(AL$1,RIGHT(AL$1,2),""),VLOOKUP($D187,素材!$1:$1016,COLUMN($F$1),FALSE))),VLOOKUP($C187,武器!$1:$998,COLUMN($O$1),FALSE)*VLOOKUP($D187,素材!$1:$1016,COLUMN($E$1),FALSE)/(LEN(VLOOKUP($D187,素材!$1:$1016,COLUMN($F$1),FALSE))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M187">
        <f>IF(ISNUMBER(SEARCH(SUBSTITUTE(AM$1,RIGHT(AM$1,2),""),VLOOKUP($D187,素材!$1:$1016,COLUMN($F$1),FALSE))),VLOOKUP($C187,武器!$1:$998,COLUMN($O$1),FALSE)*VLOOKUP($D187,素材!$1:$1016,COLUMN($E$1),FALSE)/(LEN(VLOOKUP($D187,素材!$1:$1016,COLUMN($F$1),FALSE))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N187">
        <f>IF(ISNUMBER(SEARCH(SUBSTITUTE(AN$1,RIGHT(AN$1,2),""),VLOOKUP($D187,素材!$1:$1016,COLUMN($F$1),FALSE))),VLOOKUP($C187,武器!$1:$998,COLUMN($O$1),FALSE)*VLOOKUP($D187,素材!$1:$1016,COLUMN($E$1),FALSE)/(LEN(VLOOKUP($D187,素材!$1:$1016,COLUMN($F$1),FALSE))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O187">
        <f>IF(ISNUMBER(SEARCH(SUBSTITUTE(AO$1,RIGHT(AO$1,2),""),VLOOKUP($D187,素材!$1:$1016,COLUMN($F$1),FALSE))),VLOOKUP($C187,武器!$1:$998,COLUMN($O$1),FALSE)*VLOOKUP($D187,素材!$1:$1016,COLUMN($E$1),FALSE)/(LEN(VLOOKUP($D187,素材!$1:$1016,COLUMN($F$1),FALSE))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P187">
        <f>IF(ISNUMBER(SEARCH(SUBSTITUTE(AP$1,RIGHT(AP$1,2),""),VLOOKUP($D187,素材!$1:$1016,COLUMN($F$1),FALSE))),VLOOKUP($C187,武器!$1:$998,COLUMN($O$1),FALSE)*VLOOKUP($D187,素材!$1:$1016,COLUMN($E$1),FALSE)/(LEN(VLOOKUP($D187,素材!$1:$1016,COLUMN($F$1),FALSE))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Q187">
        <f>IF(ISNUMBER(SEARCH(SUBSTITUTE(AQ$1,RIGHT(AQ$1,2),""),VLOOKUP($D187,素材!$1:$1016,COLUMN($F$1),FALSE))),VLOOKUP($C187,武器!$1:$998,COLUMN($O$1),FALSE)*VLOOKUP($D187,素材!$1:$1016,COLUMN($E$1),FALSE)/(LEN(VLOOKUP($D187,素材!$1:$1016,COLUMN($F$1),FALSE))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R187">
        <f>IF(ISNUMBER(SEARCH(SUBSTITUTE(AR$1,RIGHT(AR$1,2),""),VLOOKUP($D187,素材!$1:$1016,COLUMN($F$1),FALSE))),VLOOKUP($C187,武器!$1:$998,COLUMN($O$1),FALSE)*VLOOKUP($D187,素材!$1:$1016,COLUMN($E$1),FALSE)/(LEN(VLOOKUP($D187,素材!$1:$1016,COLUMN($F$1),FALSE))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S187">
        <f>IF(ISNUMBER(SEARCH(SUBSTITUTE(AS$1,RIGHT(AS$1,2),""),VLOOKUP($D187,素材!$1:$1016,COLUMN($F$1),FALSE))),VLOOKUP($C187,武器!$1:$998,COLUMN($O$1),FALSE)*VLOOKUP($D187,素材!$1:$1016,COLUMN($E$1),FALSE)/(LEN(VLOOKUP($D187,素材!$1:$1016,COLUMN($F$1),FALSE))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T187">
        <f>IF(ISNUMBER(SEARCH(SUBSTITUTE(AT$1,RIGHT(AT$1,2),""),VLOOKUP($D187,素材!$1:$1016,COLUMN($F$1),FALSE))),VLOOKUP($C187,武器!$1:$998,COLUMN($O$1),FALSE)*VLOOKUP($D187,素材!$1:$1016,COLUMN($E$1),FALSE)/(LEN(VLOOKUP($D187,素材!$1:$1016,COLUMN($F$1),FALSE))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U187">
        <f>IF(ISNUMBER(SEARCH(SUBSTITUTE(AU$1,RIGHT(AU$1,2),""),VLOOKUP($D187,素材!$1:$1016,COLUMN($F$1),FALSE))),VLOOKUP($C187,武器!$1:$998,COLUMN($O$1),FALSE)*VLOOKUP($D187,素材!$1:$1016,COLUMN($E$1),FALSE)/(LEN(VLOOKUP($D187,素材!$1:$1016,COLUMN($F$1),FALSE))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V187">
        <f>IF(ISNUMBER(SEARCH(SUBSTITUTE(AV$1,RIGHT(AV$1,2),""),VLOOKUP($D187,素材!$1:$1016,COLUMN($F$1),FALSE))),VLOOKUP($C187,武器!$1:$998,COLUMN($O$1),FALSE)*VLOOKUP($D187,素材!$1:$1016,COLUMN($E$1),FALSE)/(LEN(VLOOKUP($D187,素材!$1:$1016,COLUMN($F$1),FALSE))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W187">
        <f>IF(ISNUMBER(SEARCH(SUBSTITUTE(AW$1,RIGHT(AW$1,2),""),VLOOKUP($D187,素材!$1:$1016,COLUMN($F$1),FALSE))),VLOOKUP($C187,武器!$1:$998,COLUMN($O$1),FALSE)*VLOOKUP($D187,素材!$1:$1016,COLUMN($E$1),FALSE)/(LEN(VLOOKUP($D187,素材!$1:$1016,COLUMN($F$1),FALSE))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X187">
        <f>IF(ISNUMBER(SEARCH(SUBSTITUTE(AX$1,RIGHT(AX$1,2),""),VLOOKUP($D187,素材!$1:$1016,COLUMN($F$1),FALSE))),VLOOKUP($C187,武器!$1:$998,COLUMN($O$1),FALSE)*VLOOKUP($D187,素材!$1:$1016,COLUMN($E$1),FALSE)/(LEN(VLOOKUP($D187,素材!$1:$1016,COLUMN($F$1),FALSE))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Y187">
        <f>IF(ISNUMBER(SEARCH(SUBSTITUTE(AY$1,RIGHT(AY$1,2),""),VLOOKUP($D187,素材!$1:$1016,COLUMN($F$1),FALSE))),VLOOKUP($C187,武器!$1:$998,COLUMN($O$1),FALSE)*VLOOKUP($D187,素材!$1:$1016,COLUMN($E$1),FALSE)/(LEN(VLOOKUP($D187,素材!$1:$1016,COLUMN($F$1),FALSE))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AZ187">
        <f>IF(ISNUMBER(SEARCH(SUBSTITUTE(AZ$1,RIGHT(AZ$1,2),""),VLOOKUP($D187,素材!$1:$1016,COLUMN($F$1),FALSE))),VLOOKUP($C187,武器!$1:$998,COLUMN($O$1),FALSE)*VLOOKUP($D187,素材!$1:$1016,COLUMN($E$1),FALSE)/(LEN(VLOOKUP($D187,素材!$1:$1016,COLUMN($F$1),FALSE))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BA187">
        <f>IF(ISNUMBER(SEARCH(SUBSTITUTE(BA$1,RIGHT(BA$1,2),""),VLOOKUP($D187,素材!$1:$1016,COLUMN($F$1),FALSE))),VLOOKUP($C187,武器!$1:$998,COLUMN($O$1),FALSE)*VLOOKUP($D187,素材!$1:$1016,COLUMN($E$1),FALSE)/(LEN(VLOOKUP($D187,素材!$1:$1016,COLUMN($F$1),FALSE))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BB187">
        <f>IF(ISNUMBER(SEARCH(SUBSTITUTE(BB$1,RIGHT(BB$1,2),""),VLOOKUP($D187,素材!$1:$1016,COLUMN($F$1),FALSE))),VLOOKUP($C187,武器!$1:$998,COLUMN($O$1),FALSE)*VLOOKUP($D187,素材!$1:$1016,COLUMN($E$1),FALSE)/(LEN(VLOOKUP($D187,素材!$1:$1016,COLUMN($F$1),FALSE))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BC187">
        <f>IF(ISNUMBER(SEARCH(SUBSTITUTE(BC$1,RIGHT(BC$1,2),""),VLOOKUP($D187,素材!$1:$1016,COLUMN($F$1),FALSE))),VLOOKUP($C187,武器!$1:$998,COLUMN($O$1),FALSE)*VLOOKUP($D187,素材!$1:$1016,COLUMN($E$1),FALSE)/(LEN(VLOOKUP($D187,素材!$1:$1016,COLUMN($F$1),FALSE))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BD187">
        <f>IF(ISNUMBER(SEARCH(SUBSTITUTE(BD$1,RIGHT(BD$1,2),""),VLOOKUP($D187,素材!$1:$1016,COLUMN($F$1),FALSE))),VLOOKUP($C187,武器!$1:$998,COLUMN($O$1),FALSE)*VLOOKUP($D187,素材!$1:$1016,COLUMN($E$1),FALSE)/(LEN(VLOOKUP($D187,素材!$1:$1016,COLUMN($F$1),FALSE))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BE187">
        <f>IF(ISNUMBER(SEARCH(SUBSTITUTE(BE$1,RIGHT(BE$1,2),""),VLOOKUP($D187,素材!$1:$1016,COLUMN($F$1),FALSE))),VLOOKUP($C187,武器!$1:$998,COLUMN($O$1),FALSE)*VLOOKUP($D187,素材!$1:$1016,COLUMN($E$1),FALSE)/(LEN(VLOOKUP($D187,素材!$1:$1016,COLUMN($F$1),FALSE))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BF187">
        <f>IF(ISNUMBER(SEARCH(SUBSTITUTE(BF$1,RIGHT(BF$1,2),""),VLOOKUP($D187,素材!$1:$1016,COLUMN($F$1),FALSE))),VLOOKUP($C187,武器!$1:$998,COLUMN($O$1),FALSE)*VLOOKUP($D187,素材!$1:$1016,COLUMN($E$1),FALSE)/(LEN(VLOOKUP($D187,素材!$1:$1016,COLUMN($F$1),FALSE)) - LEN(SUBSTITUTE(VLOOKUP($D187,素材!$1:$1016,COLUMN($F$1),FALSE), "・", 0)) + 1), 0)</f>
        <v>0</v>
      </c>
      <c r="CM187">
        <f t="shared" si="19"/>
        <v>17</v>
      </c>
      <c r="CN187" s="22" t="str">
        <f>IF(E187="武器",IF(J187-1&gt;SUM(G187:I187),"盾",IF(MAX(G187:I187)=G187,"切断",IF(MAX(G187:I187)=H187,"貫通",IF(MAX(G187:I187)=I187,"打撃","射撃")))),E187)&amp;".webp"</f>
        <v>頭.webp</v>
      </c>
      <c r="CO187">
        <f>IFERROR(VLOOKUP($C187,武器!$1:$998,COLUMN(V$1),FALSE)*VLOOKUP($D187,素材!$1:$1016,COLUMN(N$1),FALSE)+IF(CJ187="",0,VLOOKUP($CJ187,装強!$1:$1008,COLUMN($CL$1),FALSE)),"")</f>
        <v>2250</v>
      </c>
      <c r="CP187">
        <f>VLOOKUP(D187,素材!$A:$O,COLUMN(素材!O$1),FALSE)</f>
        <v>0</v>
      </c>
      <c r="CQ187" t="str">
        <f>VLOOKUP(C187,武器!$A:$W,COLUMN(武器!W$1),FALSE)</f>
        <v>命中 魔防 Cr</v>
      </c>
      <c r="CS187" t="str">
        <f t="shared" si="21"/>
        <v>e_187</v>
      </c>
      <c r="CT187">
        <f t="shared" si="24"/>
        <v>225000</v>
      </c>
    </row>
    <row r="188" spans="1:98" outlineLevel="1" x14ac:dyDescent="0.4">
      <c r="A188" t="str">
        <f t="shared" si="30"/>
        <v>黒鋼鉄の鎧</v>
      </c>
      <c r="B188" t="str">
        <f>IFERROR(VLOOKUP($D188,素材!$1:$1016,COLUMN($B$1),FALSE)&amp;"・"&amp;VLOOKUP($C188,武器!$1:$998,COLUMN(B$1),FALSE),"")</f>
        <v>ブラックスティール・アーマー</v>
      </c>
      <c r="C188" t="s">
        <v>208</v>
      </c>
      <c r="D188" s="24" t="s">
        <v>244</v>
      </c>
      <c r="E188" t="str">
        <f>IFERROR(VLOOKUP(C188,武器!$1:$998,COLUMN(C$1),FALSE),"")</f>
        <v>体</v>
      </c>
      <c r="F188">
        <f>IFERROR(ROUNDDOWN((VLOOKUP($C188,武器!$1:$998,COLUMN(D$1),FALSE)+IFERROR(VLOOKUP($CJ188,装強!$1:$999,COLUMN(F$1),FALSE),0))*VLOOKUP($D188,素材!$1:$1016,COLUMN(D$1),FALSE),0),"")</f>
        <v>0</v>
      </c>
      <c r="G188">
        <f>IFERROR(ROUNDDOWN((VLOOKUP($C188,武器!$1:$998,COLUMN(E$1),FALSE)+IFERROR(VLOOKUP($CJ188,装強!$1:$999,COLUMN(G$1),FALSE),0))*VLOOKUP($D188,素材!$1:$1016,COLUMN($E$1),FALSE),0),"")</f>
        <v>0</v>
      </c>
      <c r="H188">
        <f>IFERROR(ROUNDDOWN((VLOOKUP($C188,武器!$1:$998,COLUMN(F$1),FALSE)+IFERROR(VLOOKUP($CJ188,装強!$1:$999,COLUMN(H$1),FALSE),0))*VLOOKUP($D188,素材!$1:$1016,COLUMN($E$1),FALSE),0),"")</f>
        <v>0</v>
      </c>
      <c r="I188">
        <f>IFERROR(ROUNDDOWN((VLOOKUP($C188,武器!$1:$998,COLUMN(G$1),FALSE)+IFERROR(VLOOKUP($CJ188,装強!$1:$999,COLUMN(I$1),FALSE),0))*VLOOKUP($D188,素材!$1:$1016,COLUMN($E$1),FALSE),0),"")</f>
        <v>0</v>
      </c>
      <c r="J188">
        <f>IFERROR(ROUNDDOWN((VLOOKUP($C188,武器!$1:$998,COLUMN(H$1),FALSE)+IFERROR(VLOOKUP($CJ188,装強!$1:$999,COLUMN(J$1),FALSE),0))*VLOOKUP($D188,素材!$1:$1016,COLUMN($E$1),FALSE),0),"")</f>
        <v>0</v>
      </c>
      <c r="K188">
        <f>IFERROR(ROUNDDOWN((VLOOKUP($C188,武器!$1:$998,COLUMN(I$1),FALSE)+IFERROR(VLOOKUP($CJ188,装強!$1:$999,COLUMN(K$1),FALSE),0))*VLOOKUP($D188,素材!$1:$1016,COLUMN($E$1),FALSE),0),"")</f>
        <v>0</v>
      </c>
      <c r="L188" t="str">
        <f>IFERROR(VLOOKUP($D188,素材!$1:$1016,COLUMN($F$1),FALSE),"")</f>
        <v>雷</v>
      </c>
      <c r="M188">
        <f>IFERROR(VLOOKUP($C188,武器!$1:$998,COLUMN(AA$1),FALSE)*VLOOKUP($D188,素材!$1:$1016,COLUMN($G$1),FALSE),"")</f>
        <v>0</v>
      </c>
      <c r="N188">
        <f>IFERROR(VLOOKUP($C188,武器!$1:$998,COLUMN(I$1),FALSE),"")</f>
        <v>0</v>
      </c>
      <c r="O188" s="23">
        <f>IFERROR((VLOOKUP($C188,武器!$1:$998,COLUMN(K$1),FALSE)+VLOOKUP($D188,素材!$1:$1016,COLUMN(H$1),FALSE))*100+IFERROR(VLOOKUP($CJ188,装強!$1:$999,COLUMN(O$1),FALSE),0),"")</f>
        <v>0</v>
      </c>
      <c r="P188" s="23">
        <f>IFERROR((VLOOKUP($C188,武器!$1:$998,COLUMN(L$1),FALSE)+VLOOKUP($D188,素材!$1:$1016,COLUMN(I$1),FALSE))*100+IFERROR(VLOOKUP($CJ188,装強!$1:$999,COLUMN(P$1),FALSE),0),"")</f>
        <v>0</v>
      </c>
      <c r="Q188">
        <f>IFERROR(ROUNDUP(VLOOKUP($C188,武器!$1:$998,COLUMN(M$1),FALSE)*(VLOOKUP($D188,素材!$1:$1002,COLUMN(D$1),FALSE)/100),1),"")</f>
        <v>-15</v>
      </c>
      <c r="R188">
        <f>IFERROR(ROUNDUP(VLOOKUP($C188,武器!$1:$998,COLUMN(N$1),FALSE)*(VLOOKUP($D188,素材!$1:$1002,COLUMN(D$1),FALSE)/100),1),"")</f>
        <v>0</v>
      </c>
      <c r="S188">
        <f>IFERROR(VLOOKUP($C188,武器!$1:$998,COLUMN(P$1),FALSE),"")</f>
        <v>0</v>
      </c>
      <c r="T188">
        <f>IFERROR(VLOOKUP($C188,武器!$1:$998,COLUMN(Q$1),FALSE),"")</f>
        <v>0</v>
      </c>
      <c r="U188">
        <f>IFERROR(VLOOKUP($C188,武器!$1:$998,COLUMN(R$1),FALSE),"")</f>
        <v>0</v>
      </c>
      <c r="V188">
        <f>IFERROR(VLOOKUP($C188,武器!$1:$998,COLUMN(Q$1),FALSE),"")</f>
        <v>0</v>
      </c>
      <c r="W188">
        <f>IFERROR(VLOOKUP($C188,武器!$1:$998,COLUMN(T$1),FALSE),"")</f>
        <v>0</v>
      </c>
      <c r="Y188">
        <f>IFERROR(VLOOKUP($C188,武器!$1:$998,COLUMN(U$1),FALSE),"")</f>
        <v>0</v>
      </c>
      <c r="Z188">
        <f>IFERROR(ROUNDUP(VLOOKUP($C188,武器!$1:$998,COLUMN(O$1),FALSE)*VLOOKUP($D188,素材!$1:$1016,COLUMN(E$1),FALSE),1),"")</f>
        <v>14</v>
      </c>
      <c r="AA188">
        <f>IF(ISNUMBER(SEARCH(SUBSTITUTE(AA$1,RIGHT(AA$1,2),""),VLOOKUP($D188,素材!$1:$1016,COLUMN($F$1),FALSE))),VLOOKUP($C188,武器!$1:$998,COLUMN($O$1),FALSE)*VLOOKUP($D188,素材!$1:$1016,COLUMN($E$1),FALSE)/(LEN(VLOOKUP($D188,素材!$1:$1016,COLUMN($F$1),FALSE))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B188">
        <f>IF(ISNUMBER(SEARCH(SUBSTITUTE(AB$1,RIGHT(AB$1,2),""),VLOOKUP($D188,素材!$1:$1016,COLUMN($F$1),FALSE))),VLOOKUP($C188,武器!$1:$998,COLUMN($O$1),FALSE)*VLOOKUP($D188,素材!$1:$1016,COLUMN($E$1),FALSE)/(LEN(VLOOKUP($D188,素材!$1:$1016,COLUMN($F$1),FALSE))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C188">
        <f>IF(ISNUMBER(SEARCH(SUBSTITUTE(AC$1,RIGHT(AC$1,2),""),VLOOKUP($D188,素材!$1:$1016,COLUMN($F$1),FALSE))),VLOOKUP($C188,武器!$1:$998,COLUMN($O$1),FALSE)*VLOOKUP($D188,素材!$1:$1016,COLUMN($E$1),FALSE)/(LEN(VLOOKUP($D188,素材!$1:$1016,COLUMN($F$1),FALSE))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D188">
        <f>IF(ISNUMBER(SEARCH(SUBSTITUTE(AD$1,RIGHT(AD$1,2),""),VLOOKUP($D188,素材!$1:$1016,COLUMN($F$1),FALSE))),VLOOKUP($C188,武器!$1:$998,COLUMN($O$1),FALSE)*VLOOKUP($D188,素材!$1:$1016,COLUMN($E$1),FALSE)/(LEN(VLOOKUP($D188,素材!$1:$1016,COLUMN($F$1),FALSE))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E188">
        <f>IF(ISNUMBER(SEARCH(SUBSTITUTE(AE$1,RIGHT(AE$1,2),""),VLOOKUP($D188,素材!$1:$1016,COLUMN($F$1),FALSE))),VLOOKUP($C188,武器!$1:$998,COLUMN($O$1),FALSE)*VLOOKUP($D188,素材!$1:$1016,COLUMN($E$1),FALSE)/(LEN(VLOOKUP($D188,素材!$1:$1016,COLUMN($F$1),FALSE))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F188">
        <f>IF(ISNUMBER(SEARCH(SUBSTITUTE(AF$1,RIGHT(AF$1,2),""),VLOOKUP($D188,素材!$1:$1016,COLUMN($F$1),FALSE))),VLOOKUP($C188,武器!$1:$998,COLUMN($O$1),FALSE)*VLOOKUP($D188,素材!$1:$1016,COLUMN($E$1),FALSE)/(LEN(VLOOKUP($D188,素材!$1:$1016,COLUMN($F$1),FALSE))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G188">
        <f>IF(ISNUMBER(SEARCH(SUBSTITUTE(AG$1,RIGHT(AG$1,2),""),VLOOKUP($D188,素材!$1:$1016,COLUMN($F$1),FALSE))),VLOOKUP($C188,武器!$1:$998,COLUMN($O$1),FALSE)*VLOOKUP($D188,素材!$1:$1016,COLUMN($E$1),FALSE)/(LEN(VLOOKUP($D188,素材!$1:$1016,COLUMN($F$1),FALSE))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14</v>
      </c>
      <c r="AH188">
        <f>IF(ISNUMBER(SEARCH(SUBSTITUTE(AH$1,RIGHT(AH$1,2),""),VLOOKUP($D188,素材!$1:$1016,COLUMN($F$1),FALSE))),VLOOKUP($C188,武器!$1:$998,COLUMN($O$1),FALSE)*VLOOKUP($D188,素材!$1:$1016,COLUMN($E$1),FALSE)/(LEN(VLOOKUP($D188,素材!$1:$1016,COLUMN($F$1),FALSE))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I188">
        <f>IF(ISNUMBER(SEARCH(SUBSTITUTE(AI$1,RIGHT(AI$1,2),""),VLOOKUP($D188,素材!$1:$1016,COLUMN($F$1),FALSE))),VLOOKUP($C188,武器!$1:$998,COLUMN($O$1),FALSE)*VLOOKUP($D188,素材!$1:$1016,COLUMN($E$1),FALSE)/(LEN(VLOOKUP($D188,素材!$1:$1016,COLUMN($F$1),FALSE))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J188">
        <f>IF(ISNUMBER(SEARCH(SUBSTITUTE(AJ$1,RIGHT(AJ$1,2),""),VLOOKUP($D188,素材!$1:$1016,COLUMN($F$1),FALSE))),VLOOKUP($C188,武器!$1:$998,COLUMN($O$1),FALSE)*VLOOKUP($D188,素材!$1:$1016,COLUMN($E$1),FALSE)/(LEN(VLOOKUP($D188,素材!$1:$1016,COLUMN($F$1),FALSE))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K188">
        <f>IF(ISNUMBER(SEARCH(SUBSTITUTE(AK$1,RIGHT(AK$1,2),""),VLOOKUP($D188,素材!$1:$1016,COLUMN($F$1),FALSE))),VLOOKUP($C188,武器!$1:$998,COLUMN($O$1),FALSE)*VLOOKUP($D188,素材!$1:$1016,COLUMN($E$1),FALSE)/(LEN(VLOOKUP($D188,素材!$1:$1016,COLUMN($F$1),FALSE))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L188">
        <f>IF(ISNUMBER(SEARCH(SUBSTITUTE(AL$1,RIGHT(AL$1,2),""),VLOOKUP($D188,素材!$1:$1016,COLUMN($F$1),FALSE))),VLOOKUP($C188,武器!$1:$998,COLUMN($O$1),FALSE)*VLOOKUP($D188,素材!$1:$1016,COLUMN($E$1),FALSE)/(LEN(VLOOKUP($D188,素材!$1:$1016,COLUMN($F$1),FALSE))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M188">
        <f>IF(ISNUMBER(SEARCH(SUBSTITUTE(AM$1,RIGHT(AM$1,2),""),VLOOKUP($D188,素材!$1:$1016,COLUMN($F$1),FALSE))),VLOOKUP($C188,武器!$1:$998,COLUMN($O$1),FALSE)*VLOOKUP($D188,素材!$1:$1016,COLUMN($E$1),FALSE)/(LEN(VLOOKUP($D188,素材!$1:$1016,COLUMN($F$1),FALSE))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N188">
        <f>IF(ISNUMBER(SEARCH(SUBSTITUTE(AN$1,RIGHT(AN$1,2),""),VLOOKUP($D188,素材!$1:$1016,COLUMN($F$1),FALSE))),VLOOKUP($C188,武器!$1:$998,COLUMN($O$1),FALSE)*VLOOKUP($D188,素材!$1:$1016,COLUMN($E$1),FALSE)/(LEN(VLOOKUP($D188,素材!$1:$1016,COLUMN($F$1),FALSE))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O188">
        <f>IF(ISNUMBER(SEARCH(SUBSTITUTE(AO$1,RIGHT(AO$1,2),""),VLOOKUP($D188,素材!$1:$1016,COLUMN($F$1),FALSE))),VLOOKUP($C188,武器!$1:$998,COLUMN($O$1),FALSE)*VLOOKUP($D188,素材!$1:$1016,COLUMN($E$1),FALSE)/(LEN(VLOOKUP($D188,素材!$1:$1016,COLUMN($F$1),FALSE))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P188">
        <f>IF(ISNUMBER(SEARCH(SUBSTITUTE(AP$1,RIGHT(AP$1,2),""),VLOOKUP($D188,素材!$1:$1016,COLUMN($F$1),FALSE))),VLOOKUP($C188,武器!$1:$998,COLUMN($O$1),FALSE)*VLOOKUP($D188,素材!$1:$1016,COLUMN($E$1),FALSE)/(LEN(VLOOKUP($D188,素材!$1:$1016,COLUMN($F$1),FALSE))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Q188">
        <f>IF(ISNUMBER(SEARCH(SUBSTITUTE(AQ$1,RIGHT(AQ$1,2),""),VLOOKUP($D188,素材!$1:$1016,COLUMN($F$1),FALSE))),VLOOKUP($C188,武器!$1:$998,COLUMN($O$1),FALSE)*VLOOKUP($D188,素材!$1:$1016,COLUMN($E$1),FALSE)/(LEN(VLOOKUP($D188,素材!$1:$1016,COLUMN($F$1),FALSE))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R188">
        <f>IF(ISNUMBER(SEARCH(SUBSTITUTE(AR$1,RIGHT(AR$1,2),""),VLOOKUP($D188,素材!$1:$1016,COLUMN($F$1),FALSE))),VLOOKUP($C188,武器!$1:$998,COLUMN($O$1),FALSE)*VLOOKUP($D188,素材!$1:$1016,COLUMN($E$1),FALSE)/(LEN(VLOOKUP($D188,素材!$1:$1016,COLUMN($F$1),FALSE))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S188">
        <f>IF(ISNUMBER(SEARCH(SUBSTITUTE(AS$1,RIGHT(AS$1,2),""),VLOOKUP($D188,素材!$1:$1016,COLUMN($F$1),FALSE))),VLOOKUP($C188,武器!$1:$998,COLUMN($O$1),FALSE)*VLOOKUP($D188,素材!$1:$1016,COLUMN($E$1),FALSE)/(LEN(VLOOKUP($D188,素材!$1:$1016,COLUMN($F$1),FALSE))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T188">
        <f>IF(ISNUMBER(SEARCH(SUBSTITUTE(AT$1,RIGHT(AT$1,2),""),VLOOKUP($D188,素材!$1:$1016,COLUMN($F$1),FALSE))),VLOOKUP($C188,武器!$1:$998,COLUMN($O$1),FALSE)*VLOOKUP($D188,素材!$1:$1016,COLUMN($E$1),FALSE)/(LEN(VLOOKUP($D188,素材!$1:$1016,COLUMN($F$1),FALSE))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U188">
        <f>IF(ISNUMBER(SEARCH(SUBSTITUTE(AU$1,RIGHT(AU$1,2),""),VLOOKUP($D188,素材!$1:$1016,COLUMN($F$1),FALSE))),VLOOKUP($C188,武器!$1:$998,COLUMN($O$1),FALSE)*VLOOKUP($D188,素材!$1:$1016,COLUMN($E$1),FALSE)/(LEN(VLOOKUP($D188,素材!$1:$1016,COLUMN($F$1),FALSE))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V188">
        <f>IF(ISNUMBER(SEARCH(SUBSTITUTE(AV$1,RIGHT(AV$1,2),""),VLOOKUP($D188,素材!$1:$1016,COLUMN($F$1),FALSE))),VLOOKUP($C188,武器!$1:$998,COLUMN($O$1),FALSE)*VLOOKUP($D188,素材!$1:$1016,COLUMN($E$1),FALSE)/(LEN(VLOOKUP($D188,素材!$1:$1016,COLUMN($F$1),FALSE))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W188">
        <f>IF(ISNUMBER(SEARCH(SUBSTITUTE(AW$1,RIGHT(AW$1,2),""),VLOOKUP($D188,素材!$1:$1016,COLUMN($F$1),FALSE))),VLOOKUP($C188,武器!$1:$998,COLUMN($O$1),FALSE)*VLOOKUP($D188,素材!$1:$1016,COLUMN($E$1),FALSE)/(LEN(VLOOKUP($D188,素材!$1:$1016,COLUMN($F$1),FALSE))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X188">
        <f>IF(ISNUMBER(SEARCH(SUBSTITUTE(AX$1,RIGHT(AX$1,2),""),VLOOKUP($D188,素材!$1:$1016,COLUMN($F$1),FALSE))),VLOOKUP($C188,武器!$1:$998,COLUMN($O$1),FALSE)*VLOOKUP($D188,素材!$1:$1016,COLUMN($E$1),FALSE)/(LEN(VLOOKUP($D188,素材!$1:$1016,COLUMN($F$1),FALSE))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Y188">
        <f>IF(ISNUMBER(SEARCH(SUBSTITUTE(AY$1,RIGHT(AY$1,2),""),VLOOKUP($D188,素材!$1:$1016,COLUMN($F$1),FALSE))),VLOOKUP($C188,武器!$1:$998,COLUMN($O$1),FALSE)*VLOOKUP($D188,素材!$1:$1016,COLUMN($E$1),FALSE)/(LEN(VLOOKUP($D188,素材!$1:$1016,COLUMN($F$1),FALSE))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AZ188">
        <f>IF(ISNUMBER(SEARCH(SUBSTITUTE(AZ$1,RIGHT(AZ$1,2),""),VLOOKUP($D188,素材!$1:$1016,COLUMN($F$1),FALSE))),VLOOKUP($C188,武器!$1:$998,COLUMN($O$1),FALSE)*VLOOKUP($D188,素材!$1:$1016,COLUMN($E$1),FALSE)/(LEN(VLOOKUP($D188,素材!$1:$1016,COLUMN($F$1),FALSE))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BA188">
        <f>IF(ISNUMBER(SEARCH(SUBSTITUTE(BA$1,RIGHT(BA$1,2),""),VLOOKUP($D188,素材!$1:$1016,COLUMN($F$1),FALSE))),VLOOKUP($C188,武器!$1:$998,COLUMN($O$1),FALSE)*VLOOKUP($D188,素材!$1:$1016,COLUMN($E$1),FALSE)/(LEN(VLOOKUP($D188,素材!$1:$1016,COLUMN($F$1),FALSE))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BB188">
        <f>IF(ISNUMBER(SEARCH(SUBSTITUTE(BB$1,RIGHT(BB$1,2),""),VLOOKUP($D188,素材!$1:$1016,COLUMN($F$1),FALSE))),VLOOKUP($C188,武器!$1:$998,COLUMN($O$1),FALSE)*VLOOKUP($D188,素材!$1:$1016,COLUMN($E$1),FALSE)/(LEN(VLOOKUP($D188,素材!$1:$1016,COLUMN($F$1),FALSE))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BC188">
        <f>IF(ISNUMBER(SEARCH(SUBSTITUTE(BC$1,RIGHT(BC$1,2),""),VLOOKUP($D188,素材!$1:$1016,COLUMN($F$1),FALSE))),VLOOKUP($C188,武器!$1:$998,COLUMN($O$1),FALSE)*VLOOKUP($D188,素材!$1:$1016,COLUMN($E$1),FALSE)/(LEN(VLOOKUP($D188,素材!$1:$1016,COLUMN($F$1),FALSE))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BD188">
        <f>IF(ISNUMBER(SEARCH(SUBSTITUTE(BD$1,RIGHT(BD$1,2),""),VLOOKUP($D188,素材!$1:$1016,COLUMN($F$1),FALSE))),VLOOKUP($C188,武器!$1:$998,COLUMN($O$1),FALSE)*VLOOKUP($D188,素材!$1:$1016,COLUMN($E$1),FALSE)/(LEN(VLOOKUP($D188,素材!$1:$1016,COLUMN($F$1),FALSE))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BE188">
        <f>IF(ISNUMBER(SEARCH(SUBSTITUTE(BE$1,RIGHT(BE$1,2),""),VLOOKUP($D188,素材!$1:$1016,COLUMN($F$1),FALSE))),VLOOKUP($C188,武器!$1:$998,COLUMN($O$1),FALSE)*VLOOKUP($D188,素材!$1:$1016,COLUMN($E$1),FALSE)/(LEN(VLOOKUP($D188,素材!$1:$1016,COLUMN($F$1),FALSE))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BF188">
        <f>IF(ISNUMBER(SEARCH(SUBSTITUTE(BF$1,RIGHT(BF$1,2),""),VLOOKUP($D188,素材!$1:$1016,COLUMN($F$1),FALSE))),VLOOKUP($C188,武器!$1:$998,COLUMN($O$1),FALSE)*VLOOKUP($D188,素材!$1:$1016,COLUMN($E$1),FALSE)/(LEN(VLOOKUP($D188,素材!$1:$1016,COLUMN($F$1),FALSE)) - LEN(SUBSTITUTE(VLOOKUP($D188,素材!$1:$1016,COLUMN($F$1),FALSE), "・", 0)) + 1), 0)</f>
        <v>0</v>
      </c>
      <c r="CM188">
        <f t="shared" si="19"/>
        <v>0</v>
      </c>
      <c r="CN188" s="22" t="str">
        <f>IF(E188="武器",IF(J188-1&gt;SUM(G188:I188),"盾",IF(MAX(G188:I188)=G188,"切断",IF(MAX(G188:I188)=H188,"貫通",IF(MAX(G188:I188)=I188,"打撃","射撃")))),E188)&amp;".webp"</f>
        <v>体.webp</v>
      </c>
      <c r="CO188">
        <f>IFERROR(VLOOKUP($C188,武器!$1:$998,COLUMN(V$1),FALSE)*VLOOKUP($D188,素材!$1:$1016,COLUMN(N$1),FALSE)+IF(CJ188="",0,VLOOKUP($CJ188,装強!$1:$1008,COLUMN($CL$1),FALSE)),"")</f>
        <v>4500</v>
      </c>
      <c r="CP188">
        <f>VLOOKUP(D188,素材!$A:$O,COLUMN(素材!O$1),FALSE)</f>
        <v>0</v>
      </c>
      <c r="CQ188" t="str">
        <f>VLOOKUP(C188,武器!$A:$W,COLUMN(武器!W$1),FALSE)</f>
        <v>HP 物理 魔法 体幹 出血 疲労 Cr</v>
      </c>
      <c r="CS188" t="str">
        <f t="shared" si="21"/>
        <v>e_188</v>
      </c>
      <c r="CT188">
        <f t="shared" si="24"/>
        <v>450000</v>
      </c>
    </row>
    <row r="189" spans="1:98" outlineLevel="1" x14ac:dyDescent="0.4">
      <c r="A189" t="str">
        <f t="shared" si="30"/>
        <v>黒鋼鉄の胴衣</v>
      </c>
      <c r="B189" t="str">
        <f>IFERROR(VLOOKUP($D189,素材!$1:$1016,COLUMN($B$1),FALSE)&amp;"・"&amp;VLOOKUP($C189,武器!$1:$998,COLUMN(B$1),FALSE),"")</f>
        <v>ブラックスティール・ベスト</v>
      </c>
      <c r="C189" t="s">
        <v>207</v>
      </c>
      <c r="D189" s="24" t="s">
        <v>244</v>
      </c>
      <c r="E189" t="str">
        <f>IFERROR(VLOOKUP(C189,武器!$1:$998,COLUMN(C$1),FALSE),"")</f>
        <v>体</v>
      </c>
      <c r="F189">
        <f>IFERROR(ROUNDDOWN((VLOOKUP($C189,武器!$1:$998,COLUMN(D$1),FALSE)+IFERROR(VLOOKUP($CJ189,装強!$1:$999,COLUMN(F$1),FALSE),0))*VLOOKUP($D189,素材!$1:$1016,COLUMN(D$1),FALSE),0),"")</f>
        <v>0</v>
      </c>
      <c r="G189">
        <f>IFERROR(ROUNDDOWN((VLOOKUP($C189,武器!$1:$998,COLUMN(E$1),FALSE)+IFERROR(VLOOKUP($CJ189,装強!$1:$999,COLUMN(G$1),FALSE),0))*VLOOKUP($D189,素材!$1:$1016,COLUMN($E$1),FALSE),0),"")</f>
        <v>0</v>
      </c>
      <c r="H189">
        <f>IFERROR(ROUNDDOWN((VLOOKUP($C189,武器!$1:$998,COLUMN(F$1),FALSE)+IFERROR(VLOOKUP($CJ189,装強!$1:$999,COLUMN(H$1),FALSE),0))*VLOOKUP($D189,素材!$1:$1016,COLUMN($E$1),FALSE),0),"")</f>
        <v>0</v>
      </c>
      <c r="I189">
        <f>IFERROR(ROUNDDOWN((VLOOKUP($C189,武器!$1:$998,COLUMN(G$1),FALSE)+IFERROR(VLOOKUP($CJ189,装強!$1:$999,COLUMN(I$1),FALSE),0))*VLOOKUP($D189,素材!$1:$1016,COLUMN($E$1),FALSE),0),"")</f>
        <v>0</v>
      </c>
      <c r="J189">
        <f>IFERROR(ROUNDDOWN((VLOOKUP($C189,武器!$1:$998,COLUMN(H$1),FALSE)+IFERROR(VLOOKUP($CJ189,装強!$1:$999,COLUMN(J$1),FALSE),0))*VLOOKUP($D189,素材!$1:$1016,COLUMN($E$1),FALSE),0),"")</f>
        <v>0</v>
      </c>
      <c r="K189">
        <f>IFERROR(ROUNDDOWN((VLOOKUP($C189,武器!$1:$998,COLUMN(I$1),FALSE)+IFERROR(VLOOKUP($CJ189,装強!$1:$999,COLUMN(K$1),FALSE),0))*VLOOKUP($D189,素材!$1:$1016,COLUMN($E$1),FALSE),0),"")</f>
        <v>0</v>
      </c>
      <c r="L189" t="str">
        <f>IFERROR(VLOOKUP($D189,素材!$1:$1016,COLUMN($F$1),FALSE),"")</f>
        <v>雷</v>
      </c>
      <c r="M189">
        <f>IFERROR(VLOOKUP($C189,武器!$1:$998,COLUMN(AA$1),FALSE)*VLOOKUP($D189,素材!$1:$1016,COLUMN($G$1),FALSE),"")</f>
        <v>0</v>
      </c>
      <c r="N189">
        <f>IFERROR(VLOOKUP($C189,武器!$1:$998,COLUMN(I$1),FALSE),"")</f>
        <v>0</v>
      </c>
      <c r="O189" s="23">
        <f>IFERROR((VLOOKUP($C189,武器!$1:$998,COLUMN(K$1),FALSE)+VLOOKUP($D189,素材!$1:$1016,COLUMN(H$1),FALSE))*100+IFERROR(VLOOKUP($CJ189,装強!$1:$999,COLUMN(O$1),FALSE),0),"")</f>
        <v>0</v>
      </c>
      <c r="P189" s="23">
        <f>IFERROR((VLOOKUP($C189,武器!$1:$998,COLUMN(L$1),FALSE)+VLOOKUP($D189,素材!$1:$1016,COLUMN(I$1),FALSE))*100+IFERROR(VLOOKUP($CJ189,装強!$1:$999,COLUMN(P$1),FALSE),0),"")</f>
        <v>0</v>
      </c>
      <c r="Q189">
        <f>IFERROR(ROUNDUP(VLOOKUP($C189,武器!$1:$998,COLUMN(M$1),FALSE)*(VLOOKUP($D189,素材!$1:$1002,COLUMN(D$1),FALSE)/100),1),"")</f>
        <v>-7.5</v>
      </c>
      <c r="R189">
        <f>IFERROR(ROUNDUP(VLOOKUP($C189,武器!$1:$998,COLUMN(N$1),FALSE)*(VLOOKUP($D189,素材!$1:$1002,COLUMN(D$1),FALSE)/100),1),"")</f>
        <v>0</v>
      </c>
      <c r="S189">
        <f>IFERROR(VLOOKUP($C189,武器!$1:$998,COLUMN(P$1),FALSE),"")</f>
        <v>0</v>
      </c>
      <c r="T189">
        <f>IFERROR(VLOOKUP($C189,武器!$1:$998,COLUMN(Q$1),FALSE),"")</f>
        <v>0</v>
      </c>
      <c r="U189">
        <f>IFERROR(VLOOKUP($C189,武器!$1:$998,COLUMN(R$1),FALSE),"")</f>
        <v>0</v>
      </c>
      <c r="V189">
        <f>IFERROR(VLOOKUP($C189,武器!$1:$998,COLUMN(Q$1),FALSE),"")</f>
        <v>0</v>
      </c>
      <c r="W189">
        <f>IFERROR(VLOOKUP($C189,武器!$1:$998,COLUMN(T$1),FALSE),"")</f>
        <v>0</v>
      </c>
      <c r="Y189">
        <f>IFERROR(VLOOKUP($C189,武器!$1:$998,COLUMN(U$1),FALSE),"")</f>
        <v>0</v>
      </c>
      <c r="Z189">
        <f>IFERROR(ROUNDUP(VLOOKUP($C189,武器!$1:$998,COLUMN(O$1),FALSE)*VLOOKUP($D189,素材!$1:$1016,COLUMN(E$1),FALSE),1),"")</f>
        <v>10</v>
      </c>
      <c r="AA189">
        <f>IF(ISNUMBER(SEARCH(SUBSTITUTE(AA$1,RIGHT(AA$1,2),""),VLOOKUP($D189,素材!$1:$1016,COLUMN($F$1),FALSE))),VLOOKUP($C189,武器!$1:$998,COLUMN($O$1),FALSE)*VLOOKUP($D189,素材!$1:$1016,COLUMN($E$1),FALSE)/(LEN(VLOOKUP($D189,素材!$1:$1016,COLUMN($F$1),FALSE))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B189">
        <f>IF(ISNUMBER(SEARCH(SUBSTITUTE(AB$1,RIGHT(AB$1,2),""),VLOOKUP($D189,素材!$1:$1016,COLUMN($F$1),FALSE))),VLOOKUP($C189,武器!$1:$998,COLUMN($O$1),FALSE)*VLOOKUP($D189,素材!$1:$1016,COLUMN($E$1),FALSE)/(LEN(VLOOKUP($D189,素材!$1:$1016,COLUMN($F$1),FALSE))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C189">
        <f>IF(ISNUMBER(SEARCH(SUBSTITUTE(AC$1,RIGHT(AC$1,2),""),VLOOKUP($D189,素材!$1:$1016,COLUMN($F$1),FALSE))),VLOOKUP($C189,武器!$1:$998,COLUMN($O$1),FALSE)*VLOOKUP($D189,素材!$1:$1016,COLUMN($E$1),FALSE)/(LEN(VLOOKUP($D189,素材!$1:$1016,COLUMN($F$1),FALSE))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D189">
        <f>IF(ISNUMBER(SEARCH(SUBSTITUTE(AD$1,RIGHT(AD$1,2),""),VLOOKUP($D189,素材!$1:$1016,COLUMN($F$1),FALSE))),VLOOKUP($C189,武器!$1:$998,COLUMN($O$1),FALSE)*VLOOKUP($D189,素材!$1:$1016,COLUMN($E$1),FALSE)/(LEN(VLOOKUP($D189,素材!$1:$1016,COLUMN($F$1),FALSE))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E189">
        <f>IF(ISNUMBER(SEARCH(SUBSTITUTE(AE$1,RIGHT(AE$1,2),""),VLOOKUP($D189,素材!$1:$1016,COLUMN($F$1),FALSE))),VLOOKUP($C189,武器!$1:$998,COLUMN($O$1),FALSE)*VLOOKUP($D189,素材!$1:$1016,COLUMN($E$1),FALSE)/(LEN(VLOOKUP($D189,素材!$1:$1016,COLUMN($F$1),FALSE))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F189">
        <f>IF(ISNUMBER(SEARCH(SUBSTITUTE(AF$1,RIGHT(AF$1,2),""),VLOOKUP($D189,素材!$1:$1016,COLUMN($F$1),FALSE))),VLOOKUP($C189,武器!$1:$998,COLUMN($O$1),FALSE)*VLOOKUP($D189,素材!$1:$1016,COLUMN($E$1),FALSE)/(LEN(VLOOKUP($D189,素材!$1:$1016,COLUMN($F$1),FALSE))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G189">
        <f>IF(ISNUMBER(SEARCH(SUBSTITUTE(AG$1,RIGHT(AG$1,2),""),VLOOKUP($D189,素材!$1:$1016,COLUMN($F$1),FALSE))),VLOOKUP($C189,武器!$1:$998,COLUMN($O$1),FALSE)*VLOOKUP($D189,素材!$1:$1016,COLUMN($E$1),FALSE)/(LEN(VLOOKUP($D189,素材!$1:$1016,COLUMN($F$1),FALSE))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10</v>
      </c>
      <c r="AH189">
        <f>IF(ISNUMBER(SEARCH(SUBSTITUTE(AH$1,RIGHT(AH$1,2),""),VLOOKUP($D189,素材!$1:$1016,COLUMN($F$1),FALSE))),VLOOKUP($C189,武器!$1:$998,COLUMN($O$1),FALSE)*VLOOKUP($D189,素材!$1:$1016,COLUMN($E$1),FALSE)/(LEN(VLOOKUP($D189,素材!$1:$1016,COLUMN($F$1),FALSE))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I189">
        <f>IF(ISNUMBER(SEARCH(SUBSTITUTE(AI$1,RIGHT(AI$1,2),""),VLOOKUP($D189,素材!$1:$1016,COLUMN($F$1),FALSE))),VLOOKUP($C189,武器!$1:$998,COLUMN($O$1),FALSE)*VLOOKUP($D189,素材!$1:$1016,COLUMN($E$1),FALSE)/(LEN(VLOOKUP($D189,素材!$1:$1016,COLUMN($F$1),FALSE))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J189">
        <f>IF(ISNUMBER(SEARCH(SUBSTITUTE(AJ$1,RIGHT(AJ$1,2),""),VLOOKUP($D189,素材!$1:$1016,COLUMN($F$1),FALSE))),VLOOKUP($C189,武器!$1:$998,COLUMN($O$1),FALSE)*VLOOKUP($D189,素材!$1:$1016,COLUMN($E$1),FALSE)/(LEN(VLOOKUP($D189,素材!$1:$1016,COLUMN($F$1),FALSE))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K189">
        <f>IF(ISNUMBER(SEARCH(SUBSTITUTE(AK$1,RIGHT(AK$1,2),""),VLOOKUP($D189,素材!$1:$1016,COLUMN($F$1),FALSE))),VLOOKUP($C189,武器!$1:$998,COLUMN($O$1),FALSE)*VLOOKUP($D189,素材!$1:$1016,COLUMN($E$1),FALSE)/(LEN(VLOOKUP($D189,素材!$1:$1016,COLUMN($F$1),FALSE))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L189">
        <f>IF(ISNUMBER(SEARCH(SUBSTITUTE(AL$1,RIGHT(AL$1,2),""),VLOOKUP($D189,素材!$1:$1016,COLUMN($F$1),FALSE))),VLOOKUP($C189,武器!$1:$998,COLUMN($O$1),FALSE)*VLOOKUP($D189,素材!$1:$1016,COLUMN($E$1),FALSE)/(LEN(VLOOKUP($D189,素材!$1:$1016,COLUMN($F$1),FALSE))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M189">
        <f>IF(ISNUMBER(SEARCH(SUBSTITUTE(AM$1,RIGHT(AM$1,2),""),VLOOKUP($D189,素材!$1:$1016,COLUMN($F$1),FALSE))),VLOOKUP($C189,武器!$1:$998,COLUMN($O$1),FALSE)*VLOOKUP($D189,素材!$1:$1016,COLUMN($E$1),FALSE)/(LEN(VLOOKUP($D189,素材!$1:$1016,COLUMN($F$1),FALSE))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N189">
        <f>IF(ISNUMBER(SEARCH(SUBSTITUTE(AN$1,RIGHT(AN$1,2),""),VLOOKUP($D189,素材!$1:$1016,COLUMN($F$1),FALSE))),VLOOKUP($C189,武器!$1:$998,COLUMN($O$1),FALSE)*VLOOKUP($D189,素材!$1:$1016,COLUMN($E$1),FALSE)/(LEN(VLOOKUP($D189,素材!$1:$1016,COLUMN($F$1),FALSE))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O189">
        <f>IF(ISNUMBER(SEARCH(SUBSTITUTE(AO$1,RIGHT(AO$1,2),""),VLOOKUP($D189,素材!$1:$1016,COLUMN($F$1),FALSE))),VLOOKUP($C189,武器!$1:$998,COLUMN($O$1),FALSE)*VLOOKUP($D189,素材!$1:$1016,COLUMN($E$1),FALSE)/(LEN(VLOOKUP($D189,素材!$1:$1016,COLUMN($F$1),FALSE))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P189">
        <f>IF(ISNUMBER(SEARCH(SUBSTITUTE(AP$1,RIGHT(AP$1,2),""),VLOOKUP($D189,素材!$1:$1016,COLUMN($F$1),FALSE))),VLOOKUP($C189,武器!$1:$998,COLUMN($O$1),FALSE)*VLOOKUP($D189,素材!$1:$1016,COLUMN($E$1),FALSE)/(LEN(VLOOKUP($D189,素材!$1:$1016,COLUMN($F$1),FALSE))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Q189">
        <f>IF(ISNUMBER(SEARCH(SUBSTITUTE(AQ$1,RIGHT(AQ$1,2),""),VLOOKUP($D189,素材!$1:$1016,COLUMN($F$1),FALSE))),VLOOKUP($C189,武器!$1:$998,COLUMN($O$1),FALSE)*VLOOKUP($D189,素材!$1:$1016,COLUMN($E$1),FALSE)/(LEN(VLOOKUP($D189,素材!$1:$1016,COLUMN($F$1),FALSE))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R189">
        <f>IF(ISNUMBER(SEARCH(SUBSTITUTE(AR$1,RIGHT(AR$1,2),""),VLOOKUP($D189,素材!$1:$1016,COLUMN($F$1),FALSE))),VLOOKUP($C189,武器!$1:$998,COLUMN($O$1),FALSE)*VLOOKUP($D189,素材!$1:$1016,COLUMN($E$1),FALSE)/(LEN(VLOOKUP($D189,素材!$1:$1016,COLUMN($F$1),FALSE))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S189">
        <f>IF(ISNUMBER(SEARCH(SUBSTITUTE(AS$1,RIGHT(AS$1,2),""),VLOOKUP($D189,素材!$1:$1016,COLUMN($F$1),FALSE))),VLOOKUP($C189,武器!$1:$998,COLUMN($O$1),FALSE)*VLOOKUP($D189,素材!$1:$1016,COLUMN($E$1),FALSE)/(LEN(VLOOKUP($D189,素材!$1:$1016,COLUMN($F$1),FALSE))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T189">
        <f>IF(ISNUMBER(SEARCH(SUBSTITUTE(AT$1,RIGHT(AT$1,2),""),VLOOKUP($D189,素材!$1:$1016,COLUMN($F$1),FALSE))),VLOOKUP($C189,武器!$1:$998,COLUMN($O$1),FALSE)*VLOOKUP($D189,素材!$1:$1016,COLUMN($E$1),FALSE)/(LEN(VLOOKUP($D189,素材!$1:$1016,COLUMN($F$1),FALSE))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U189">
        <f>IF(ISNUMBER(SEARCH(SUBSTITUTE(AU$1,RIGHT(AU$1,2),""),VLOOKUP($D189,素材!$1:$1016,COLUMN($F$1),FALSE))),VLOOKUP($C189,武器!$1:$998,COLUMN($O$1),FALSE)*VLOOKUP($D189,素材!$1:$1016,COLUMN($E$1),FALSE)/(LEN(VLOOKUP($D189,素材!$1:$1016,COLUMN($F$1),FALSE))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V189">
        <f>IF(ISNUMBER(SEARCH(SUBSTITUTE(AV$1,RIGHT(AV$1,2),""),VLOOKUP($D189,素材!$1:$1016,COLUMN($F$1),FALSE))),VLOOKUP($C189,武器!$1:$998,COLUMN($O$1),FALSE)*VLOOKUP($D189,素材!$1:$1016,COLUMN($E$1),FALSE)/(LEN(VLOOKUP($D189,素材!$1:$1016,COLUMN($F$1),FALSE))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W189">
        <f>IF(ISNUMBER(SEARCH(SUBSTITUTE(AW$1,RIGHT(AW$1,2),""),VLOOKUP($D189,素材!$1:$1016,COLUMN($F$1),FALSE))),VLOOKUP($C189,武器!$1:$998,COLUMN($O$1),FALSE)*VLOOKUP($D189,素材!$1:$1016,COLUMN($E$1),FALSE)/(LEN(VLOOKUP($D189,素材!$1:$1016,COLUMN($F$1),FALSE))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X189">
        <f>IF(ISNUMBER(SEARCH(SUBSTITUTE(AX$1,RIGHT(AX$1,2),""),VLOOKUP($D189,素材!$1:$1016,COLUMN($F$1),FALSE))),VLOOKUP($C189,武器!$1:$998,COLUMN($O$1),FALSE)*VLOOKUP($D189,素材!$1:$1016,COLUMN($E$1),FALSE)/(LEN(VLOOKUP($D189,素材!$1:$1016,COLUMN($F$1),FALSE))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Y189">
        <f>IF(ISNUMBER(SEARCH(SUBSTITUTE(AY$1,RIGHT(AY$1,2),""),VLOOKUP($D189,素材!$1:$1016,COLUMN($F$1),FALSE))),VLOOKUP($C189,武器!$1:$998,COLUMN($O$1),FALSE)*VLOOKUP($D189,素材!$1:$1016,COLUMN($E$1),FALSE)/(LEN(VLOOKUP($D189,素材!$1:$1016,COLUMN($F$1),FALSE))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AZ189">
        <f>IF(ISNUMBER(SEARCH(SUBSTITUTE(AZ$1,RIGHT(AZ$1,2),""),VLOOKUP($D189,素材!$1:$1016,COLUMN($F$1),FALSE))),VLOOKUP($C189,武器!$1:$998,COLUMN($O$1),FALSE)*VLOOKUP($D189,素材!$1:$1016,COLUMN($E$1),FALSE)/(LEN(VLOOKUP($D189,素材!$1:$1016,COLUMN($F$1),FALSE))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BA189">
        <f>IF(ISNUMBER(SEARCH(SUBSTITUTE(BA$1,RIGHT(BA$1,2),""),VLOOKUP($D189,素材!$1:$1016,COLUMN($F$1),FALSE))),VLOOKUP($C189,武器!$1:$998,COLUMN($O$1),FALSE)*VLOOKUP($D189,素材!$1:$1016,COLUMN($E$1),FALSE)/(LEN(VLOOKUP($D189,素材!$1:$1016,COLUMN($F$1),FALSE))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BB189">
        <f>IF(ISNUMBER(SEARCH(SUBSTITUTE(BB$1,RIGHT(BB$1,2),""),VLOOKUP($D189,素材!$1:$1016,COLUMN($F$1),FALSE))),VLOOKUP($C189,武器!$1:$998,COLUMN($O$1),FALSE)*VLOOKUP($D189,素材!$1:$1016,COLUMN($E$1),FALSE)/(LEN(VLOOKUP($D189,素材!$1:$1016,COLUMN($F$1),FALSE))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BC189">
        <f>IF(ISNUMBER(SEARCH(SUBSTITUTE(BC$1,RIGHT(BC$1,2),""),VLOOKUP($D189,素材!$1:$1016,COLUMN($F$1),FALSE))),VLOOKUP($C189,武器!$1:$998,COLUMN($O$1),FALSE)*VLOOKUP($D189,素材!$1:$1016,COLUMN($E$1),FALSE)/(LEN(VLOOKUP($D189,素材!$1:$1016,COLUMN($F$1),FALSE))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BD189">
        <f>IF(ISNUMBER(SEARCH(SUBSTITUTE(BD$1,RIGHT(BD$1,2),""),VLOOKUP($D189,素材!$1:$1016,COLUMN($F$1),FALSE))),VLOOKUP($C189,武器!$1:$998,COLUMN($O$1),FALSE)*VLOOKUP($D189,素材!$1:$1016,COLUMN($E$1),FALSE)/(LEN(VLOOKUP($D189,素材!$1:$1016,COLUMN($F$1),FALSE))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BE189">
        <f>IF(ISNUMBER(SEARCH(SUBSTITUTE(BE$1,RIGHT(BE$1,2),""),VLOOKUP($D189,素材!$1:$1016,COLUMN($F$1),FALSE))),VLOOKUP($C189,武器!$1:$998,COLUMN($O$1),FALSE)*VLOOKUP($D189,素材!$1:$1016,COLUMN($E$1),FALSE)/(LEN(VLOOKUP($D189,素材!$1:$1016,COLUMN($F$1),FALSE))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BF189">
        <f>IF(ISNUMBER(SEARCH(SUBSTITUTE(BF$1,RIGHT(BF$1,2),""),VLOOKUP($D189,素材!$1:$1016,COLUMN($F$1),FALSE))),VLOOKUP($C189,武器!$1:$998,COLUMN($O$1),FALSE)*VLOOKUP($D189,素材!$1:$1016,COLUMN($E$1),FALSE)/(LEN(VLOOKUP($D189,素材!$1:$1016,COLUMN($F$1),FALSE)) - LEN(SUBSTITUTE(VLOOKUP($D189,素材!$1:$1016,COLUMN($F$1),FALSE), "・", 0)) + 1), 0)</f>
        <v>0</v>
      </c>
      <c r="CM189">
        <f t="shared" si="19"/>
        <v>0</v>
      </c>
      <c r="CN189" s="22" t="str">
        <f>IF(E189="武器",IF(J189-1&gt;SUM(G189:I189),"盾",IF(MAX(G189:I189)=G189,"切断",IF(MAX(G189:I189)=H189,"貫通",IF(MAX(G189:I189)=I189,"打撃","射撃")))),E189)&amp;".webp"</f>
        <v>体.webp</v>
      </c>
      <c r="CO189">
        <f>IFERROR(VLOOKUP($C189,武器!$1:$998,COLUMN(V$1),FALSE)*VLOOKUP($D189,素材!$1:$1016,COLUMN(N$1),FALSE)+IF(CJ189="",0,VLOOKUP($CJ189,装強!$1:$1008,COLUMN($CL$1),FALSE)),"")</f>
        <v>3750</v>
      </c>
      <c r="CP189">
        <f>VLOOKUP(D189,素材!$A:$O,COLUMN(素材!O$1),FALSE)</f>
        <v>0</v>
      </c>
      <c r="CQ189" t="str">
        <f>VLOOKUP(C189,武器!$A:$W,COLUMN(武器!W$1),FALSE)</f>
        <v>HP 物理 魔法 体幹 出血 疲労 Cr</v>
      </c>
      <c r="CS189" t="str">
        <f t="shared" si="21"/>
        <v>e_189</v>
      </c>
      <c r="CT189">
        <f t="shared" si="24"/>
        <v>375000</v>
      </c>
    </row>
    <row r="190" spans="1:98" outlineLevel="1" x14ac:dyDescent="0.4">
      <c r="A190" t="str">
        <f t="shared" si="30"/>
        <v>黒鋼鉄の靴</v>
      </c>
      <c r="B190" t="str">
        <f>IFERROR(VLOOKUP($D190,素材!$1:$1016,COLUMN($B$1),FALSE)&amp;"・"&amp;VLOOKUP($C190,武器!$1:$998,COLUMN(B$1),FALSE),"")</f>
        <v>ブラックスティール・ブーツ</v>
      </c>
      <c r="C190" t="s">
        <v>206</v>
      </c>
      <c r="D190" s="24" t="s">
        <v>244</v>
      </c>
      <c r="E190" t="str">
        <f>IFERROR(VLOOKUP(C190,武器!$1:$998,COLUMN(C$1),FALSE),"")</f>
        <v>足</v>
      </c>
      <c r="F190">
        <f>IFERROR(ROUNDDOWN((VLOOKUP($C190,武器!$1:$998,COLUMN(D$1),FALSE)+IFERROR(VLOOKUP($CJ190,装強!$1:$999,COLUMN(F$1),FALSE),0))*VLOOKUP($D190,素材!$1:$1016,COLUMN(D$1),FALSE),0),"")</f>
        <v>0</v>
      </c>
      <c r="G190">
        <f>IFERROR(ROUNDDOWN((VLOOKUP($C190,武器!$1:$998,COLUMN(E$1),FALSE)+IFERROR(VLOOKUP($CJ190,装強!$1:$999,COLUMN(G$1),FALSE),0))*VLOOKUP($D190,素材!$1:$1016,COLUMN($E$1),FALSE),0),"")</f>
        <v>0</v>
      </c>
      <c r="H190">
        <f>IFERROR(ROUNDDOWN((VLOOKUP($C190,武器!$1:$998,COLUMN(F$1),FALSE)+IFERROR(VLOOKUP($CJ190,装強!$1:$999,COLUMN(H$1),FALSE),0))*VLOOKUP($D190,素材!$1:$1016,COLUMN($E$1),FALSE),0),"")</f>
        <v>0</v>
      </c>
      <c r="I190">
        <f>IFERROR(ROUNDDOWN((VLOOKUP($C190,武器!$1:$998,COLUMN(G$1),FALSE)+IFERROR(VLOOKUP($CJ190,装強!$1:$999,COLUMN(I$1),FALSE),0))*VLOOKUP($D190,素材!$1:$1016,COLUMN($E$1),FALSE),0),"")</f>
        <v>20</v>
      </c>
      <c r="J190">
        <f>IFERROR(ROUNDDOWN((VLOOKUP($C190,武器!$1:$998,COLUMN(H$1),FALSE)+IFERROR(VLOOKUP($CJ190,装強!$1:$999,COLUMN(J$1),FALSE),0))*VLOOKUP($D190,素材!$1:$1016,COLUMN($E$1),FALSE),0),"")</f>
        <v>0</v>
      </c>
      <c r="K190">
        <f>IFERROR(ROUNDDOWN((VLOOKUP($C190,武器!$1:$998,COLUMN(I$1),FALSE)+IFERROR(VLOOKUP($CJ190,装強!$1:$999,COLUMN(K$1),FALSE),0))*VLOOKUP($D190,素材!$1:$1016,COLUMN($E$1),FALSE),0),"")</f>
        <v>0</v>
      </c>
      <c r="L190" t="str">
        <f>IFERROR(VLOOKUP($D190,素材!$1:$1016,COLUMN($F$1),FALSE),"")</f>
        <v>雷</v>
      </c>
      <c r="M190">
        <f>IFERROR(VLOOKUP($C190,武器!$1:$998,COLUMN(AA$1),FALSE)*VLOOKUP($D190,素材!$1:$1016,COLUMN($G$1),FALSE),"")</f>
        <v>0</v>
      </c>
      <c r="N190">
        <f>IFERROR(VLOOKUP($C190,武器!$1:$998,COLUMN(I$1),FALSE),"")</f>
        <v>0</v>
      </c>
      <c r="O190" s="23">
        <f>IFERROR((VLOOKUP($C190,武器!$1:$998,COLUMN(K$1),FALSE)+VLOOKUP($D190,素材!$1:$1016,COLUMN(H$1),FALSE))*100+IFERROR(VLOOKUP($CJ190,装強!$1:$999,COLUMN(O$1),FALSE),0),"")</f>
        <v>10</v>
      </c>
      <c r="P190" s="23">
        <f>IFERROR((VLOOKUP($C190,武器!$1:$998,COLUMN(L$1),FALSE)+VLOOKUP($D190,素材!$1:$1016,COLUMN(I$1),FALSE))*100+IFERROR(VLOOKUP($CJ190,装強!$1:$999,COLUMN(P$1),FALSE),0),"")</f>
        <v>150</v>
      </c>
      <c r="Q190">
        <f>IFERROR(ROUNDUP(VLOOKUP($C190,武器!$1:$998,COLUMN(M$1),FALSE)*(VLOOKUP($D190,素材!$1:$1002,COLUMN(D$1),FALSE)/100),1),"")</f>
        <v>0</v>
      </c>
      <c r="R190">
        <f>IFERROR(ROUNDUP(VLOOKUP($C190,武器!$1:$998,COLUMN(N$1),FALSE)*(VLOOKUP($D190,素材!$1:$1002,COLUMN(D$1),FALSE)/100),1),"")</f>
        <v>0</v>
      </c>
      <c r="S190">
        <f>IFERROR(VLOOKUP($C190,武器!$1:$998,COLUMN(P$1),FALSE),"")</f>
        <v>0</v>
      </c>
      <c r="T190">
        <f>IFERROR(VLOOKUP($C190,武器!$1:$998,COLUMN(Q$1),FALSE),"")</f>
        <v>0</v>
      </c>
      <c r="U190">
        <f>IFERROR(VLOOKUP($C190,武器!$1:$998,COLUMN(R$1),FALSE),"")</f>
        <v>0</v>
      </c>
      <c r="V190">
        <f>IFERROR(VLOOKUP($C190,武器!$1:$998,COLUMN(Q$1),FALSE),"")</f>
        <v>0</v>
      </c>
      <c r="W190">
        <f>IFERROR(VLOOKUP($C190,武器!$1:$998,COLUMN(T$1),FALSE),"")</f>
        <v>0</v>
      </c>
      <c r="Y190" t="str">
        <f>IFERROR(VLOOKUP($C190,武器!$1:$998,COLUMN(U$1),FALSE),"")</f>
        <v>足</v>
      </c>
      <c r="Z190">
        <f>IFERROR(ROUNDUP(VLOOKUP($C190,武器!$1:$998,COLUMN(O$1),FALSE)*VLOOKUP($D190,素材!$1:$1016,COLUMN(E$1),FALSE),1),"")</f>
        <v>3</v>
      </c>
      <c r="AA190">
        <f>IF(ISNUMBER(SEARCH(SUBSTITUTE(AA$1,RIGHT(AA$1,2),""),VLOOKUP($D190,素材!$1:$1016,COLUMN($F$1),FALSE))),VLOOKUP($C190,武器!$1:$998,COLUMN($O$1),FALSE)*VLOOKUP($D190,素材!$1:$1016,COLUMN($E$1),FALSE)/(LEN(VLOOKUP($D190,素材!$1:$1016,COLUMN($F$1),FALSE))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B190">
        <f>IF(ISNUMBER(SEARCH(SUBSTITUTE(AB$1,RIGHT(AB$1,2),""),VLOOKUP($D190,素材!$1:$1016,COLUMN($F$1),FALSE))),VLOOKUP($C190,武器!$1:$998,COLUMN($O$1),FALSE)*VLOOKUP($D190,素材!$1:$1016,COLUMN($E$1),FALSE)/(LEN(VLOOKUP($D190,素材!$1:$1016,COLUMN($F$1),FALSE))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C190">
        <f>IF(ISNUMBER(SEARCH(SUBSTITUTE(AC$1,RIGHT(AC$1,2),""),VLOOKUP($D190,素材!$1:$1016,COLUMN($F$1),FALSE))),VLOOKUP($C190,武器!$1:$998,COLUMN($O$1),FALSE)*VLOOKUP($D190,素材!$1:$1016,COLUMN($E$1),FALSE)/(LEN(VLOOKUP($D190,素材!$1:$1016,COLUMN($F$1),FALSE))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D190">
        <f>IF(ISNUMBER(SEARCH(SUBSTITUTE(AD$1,RIGHT(AD$1,2),""),VLOOKUP($D190,素材!$1:$1016,COLUMN($F$1),FALSE))),VLOOKUP($C190,武器!$1:$998,COLUMN($O$1),FALSE)*VLOOKUP($D190,素材!$1:$1016,COLUMN($E$1),FALSE)/(LEN(VLOOKUP($D190,素材!$1:$1016,COLUMN($F$1),FALSE))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E190">
        <f>IF(ISNUMBER(SEARCH(SUBSTITUTE(AE$1,RIGHT(AE$1,2),""),VLOOKUP($D190,素材!$1:$1016,COLUMN($F$1),FALSE))),VLOOKUP($C190,武器!$1:$998,COLUMN($O$1),FALSE)*VLOOKUP($D190,素材!$1:$1016,COLUMN($E$1),FALSE)/(LEN(VLOOKUP($D190,素材!$1:$1016,COLUMN($F$1),FALSE))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F190">
        <f>IF(ISNUMBER(SEARCH(SUBSTITUTE(AF$1,RIGHT(AF$1,2),""),VLOOKUP($D190,素材!$1:$1016,COLUMN($F$1),FALSE))),VLOOKUP($C190,武器!$1:$998,COLUMN($O$1),FALSE)*VLOOKUP($D190,素材!$1:$1016,COLUMN($E$1),FALSE)/(LEN(VLOOKUP($D190,素材!$1:$1016,COLUMN($F$1),FALSE))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G190">
        <f>IF(ISNUMBER(SEARCH(SUBSTITUTE(AG$1,RIGHT(AG$1,2),""),VLOOKUP($D190,素材!$1:$1016,COLUMN($F$1),FALSE))),VLOOKUP($C190,武器!$1:$998,COLUMN($O$1),FALSE)*VLOOKUP($D190,素材!$1:$1016,COLUMN($E$1),FALSE)/(LEN(VLOOKUP($D190,素材!$1:$1016,COLUMN($F$1),FALSE))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3</v>
      </c>
      <c r="AH190">
        <f>IF(ISNUMBER(SEARCH(SUBSTITUTE(AH$1,RIGHT(AH$1,2),""),VLOOKUP($D190,素材!$1:$1016,COLUMN($F$1),FALSE))),VLOOKUP($C190,武器!$1:$998,COLUMN($O$1),FALSE)*VLOOKUP($D190,素材!$1:$1016,COLUMN($E$1),FALSE)/(LEN(VLOOKUP($D190,素材!$1:$1016,COLUMN($F$1),FALSE))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I190">
        <f>IF(ISNUMBER(SEARCH(SUBSTITUTE(AI$1,RIGHT(AI$1,2),""),VLOOKUP($D190,素材!$1:$1016,COLUMN($F$1),FALSE))),VLOOKUP($C190,武器!$1:$998,COLUMN($O$1),FALSE)*VLOOKUP($D190,素材!$1:$1016,COLUMN($E$1),FALSE)/(LEN(VLOOKUP($D190,素材!$1:$1016,COLUMN($F$1),FALSE))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J190">
        <f>IF(ISNUMBER(SEARCH(SUBSTITUTE(AJ$1,RIGHT(AJ$1,2),""),VLOOKUP($D190,素材!$1:$1016,COLUMN($F$1),FALSE))),VLOOKUP($C190,武器!$1:$998,COLUMN($O$1),FALSE)*VLOOKUP($D190,素材!$1:$1016,COLUMN($E$1),FALSE)/(LEN(VLOOKUP($D190,素材!$1:$1016,COLUMN($F$1),FALSE))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K190">
        <f>IF(ISNUMBER(SEARCH(SUBSTITUTE(AK$1,RIGHT(AK$1,2),""),VLOOKUP($D190,素材!$1:$1016,COLUMN($F$1),FALSE))),VLOOKUP($C190,武器!$1:$998,COLUMN($O$1),FALSE)*VLOOKUP($D190,素材!$1:$1016,COLUMN($E$1),FALSE)/(LEN(VLOOKUP($D190,素材!$1:$1016,COLUMN($F$1),FALSE))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L190">
        <f>IF(ISNUMBER(SEARCH(SUBSTITUTE(AL$1,RIGHT(AL$1,2),""),VLOOKUP($D190,素材!$1:$1016,COLUMN($F$1),FALSE))),VLOOKUP($C190,武器!$1:$998,COLUMN($O$1),FALSE)*VLOOKUP($D190,素材!$1:$1016,COLUMN($E$1),FALSE)/(LEN(VLOOKUP($D190,素材!$1:$1016,COLUMN($F$1),FALSE))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M190">
        <f>IF(ISNUMBER(SEARCH(SUBSTITUTE(AM$1,RIGHT(AM$1,2),""),VLOOKUP($D190,素材!$1:$1016,COLUMN($F$1),FALSE))),VLOOKUP($C190,武器!$1:$998,COLUMN($O$1),FALSE)*VLOOKUP($D190,素材!$1:$1016,COLUMN($E$1),FALSE)/(LEN(VLOOKUP($D190,素材!$1:$1016,COLUMN($F$1),FALSE))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N190">
        <f>IF(ISNUMBER(SEARCH(SUBSTITUTE(AN$1,RIGHT(AN$1,2),""),VLOOKUP($D190,素材!$1:$1016,COLUMN($F$1),FALSE))),VLOOKUP($C190,武器!$1:$998,COLUMN($O$1),FALSE)*VLOOKUP($D190,素材!$1:$1016,COLUMN($E$1),FALSE)/(LEN(VLOOKUP($D190,素材!$1:$1016,COLUMN($F$1),FALSE))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O190">
        <f>IF(ISNUMBER(SEARCH(SUBSTITUTE(AO$1,RIGHT(AO$1,2),""),VLOOKUP($D190,素材!$1:$1016,COLUMN($F$1),FALSE))),VLOOKUP($C190,武器!$1:$998,COLUMN($O$1),FALSE)*VLOOKUP($D190,素材!$1:$1016,COLUMN($E$1),FALSE)/(LEN(VLOOKUP($D190,素材!$1:$1016,COLUMN($F$1),FALSE))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P190">
        <f>IF(ISNUMBER(SEARCH(SUBSTITUTE(AP$1,RIGHT(AP$1,2),""),VLOOKUP($D190,素材!$1:$1016,COLUMN($F$1),FALSE))),VLOOKUP($C190,武器!$1:$998,COLUMN($O$1),FALSE)*VLOOKUP($D190,素材!$1:$1016,COLUMN($E$1),FALSE)/(LEN(VLOOKUP($D190,素材!$1:$1016,COLUMN($F$1),FALSE))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Q190">
        <f>IF(ISNUMBER(SEARCH(SUBSTITUTE(AQ$1,RIGHT(AQ$1,2),""),VLOOKUP($D190,素材!$1:$1016,COLUMN($F$1),FALSE))),VLOOKUP($C190,武器!$1:$998,COLUMN($O$1),FALSE)*VLOOKUP($D190,素材!$1:$1016,COLUMN($E$1),FALSE)/(LEN(VLOOKUP($D190,素材!$1:$1016,COLUMN($F$1),FALSE))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R190">
        <f>IF(ISNUMBER(SEARCH(SUBSTITUTE(AR$1,RIGHT(AR$1,2),""),VLOOKUP($D190,素材!$1:$1016,COLUMN($F$1),FALSE))),VLOOKUP($C190,武器!$1:$998,COLUMN($O$1),FALSE)*VLOOKUP($D190,素材!$1:$1016,COLUMN($E$1),FALSE)/(LEN(VLOOKUP($D190,素材!$1:$1016,COLUMN($F$1),FALSE))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S190">
        <f>IF(ISNUMBER(SEARCH(SUBSTITUTE(AS$1,RIGHT(AS$1,2),""),VLOOKUP($D190,素材!$1:$1016,COLUMN($F$1),FALSE))),VLOOKUP($C190,武器!$1:$998,COLUMN($O$1),FALSE)*VLOOKUP($D190,素材!$1:$1016,COLUMN($E$1),FALSE)/(LEN(VLOOKUP($D190,素材!$1:$1016,COLUMN($F$1),FALSE))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T190">
        <f>IF(ISNUMBER(SEARCH(SUBSTITUTE(AT$1,RIGHT(AT$1,2),""),VLOOKUP($D190,素材!$1:$1016,COLUMN($F$1),FALSE))),VLOOKUP($C190,武器!$1:$998,COLUMN($O$1),FALSE)*VLOOKUP($D190,素材!$1:$1016,COLUMN($E$1),FALSE)/(LEN(VLOOKUP($D190,素材!$1:$1016,COLUMN($F$1),FALSE))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U190">
        <f>IF(ISNUMBER(SEARCH(SUBSTITUTE(AU$1,RIGHT(AU$1,2),""),VLOOKUP($D190,素材!$1:$1016,COLUMN($F$1),FALSE))),VLOOKUP($C190,武器!$1:$998,COLUMN($O$1),FALSE)*VLOOKUP($D190,素材!$1:$1016,COLUMN($E$1),FALSE)/(LEN(VLOOKUP($D190,素材!$1:$1016,COLUMN($F$1),FALSE))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V190">
        <f>IF(ISNUMBER(SEARCH(SUBSTITUTE(AV$1,RIGHT(AV$1,2),""),VLOOKUP($D190,素材!$1:$1016,COLUMN($F$1),FALSE))),VLOOKUP($C190,武器!$1:$998,COLUMN($O$1),FALSE)*VLOOKUP($D190,素材!$1:$1016,COLUMN($E$1),FALSE)/(LEN(VLOOKUP($D190,素材!$1:$1016,COLUMN($F$1),FALSE))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W190">
        <f>IF(ISNUMBER(SEARCH(SUBSTITUTE(AW$1,RIGHT(AW$1,2),""),VLOOKUP($D190,素材!$1:$1016,COLUMN($F$1),FALSE))),VLOOKUP($C190,武器!$1:$998,COLUMN($O$1),FALSE)*VLOOKUP($D190,素材!$1:$1016,COLUMN($E$1),FALSE)/(LEN(VLOOKUP($D190,素材!$1:$1016,COLUMN($F$1),FALSE))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X190">
        <f>IF(ISNUMBER(SEARCH(SUBSTITUTE(AX$1,RIGHT(AX$1,2),""),VLOOKUP($D190,素材!$1:$1016,COLUMN($F$1),FALSE))),VLOOKUP($C190,武器!$1:$998,COLUMN($O$1),FALSE)*VLOOKUP($D190,素材!$1:$1016,COLUMN($E$1),FALSE)/(LEN(VLOOKUP($D190,素材!$1:$1016,COLUMN($F$1),FALSE))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Y190">
        <f>IF(ISNUMBER(SEARCH(SUBSTITUTE(AY$1,RIGHT(AY$1,2),""),VLOOKUP($D190,素材!$1:$1016,COLUMN($F$1),FALSE))),VLOOKUP($C190,武器!$1:$998,COLUMN($O$1),FALSE)*VLOOKUP($D190,素材!$1:$1016,COLUMN($E$1),FALSE)/(LEN(VLOOKUP($D190,素材!$1:$1016,COLUMN($F$1),FALSE))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AZ190">
        <f>IF(ISNUMBER(SEARCH(SUBSTITUTE(AZ$1,RIGHT(AZ$1,2),""),VLOOKUP($D190,素材!$1:$1016,COLUMN($F$1),FALSE))),VLOOKUP($C190,武器!$1:$998,COLUMN($O$1),FALSE)*VLOOKUP($D190,素材!$1:$1016,COLUMN($E$1),FALSE)/(LEN(VLOOKUP($D190,素材!$1:$1016,COLUMN($F$1),FALSE))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BA190">
        <f>IF(ISNUMBER(SEARCH(SUBSTITUTE(BA$1,RIGHT(BA$1,2),""),VLOOKUP($D190,素材!$1:$1016,COLUMN($F$1),FALSE))),VLOOKUP($C190,武器!$1:$998,COLUMN($O$1),FALSE)*VLOOKUP($D190,素材!$1:$1016,COLUMN($E$1),FALSE)/(LEN(VLOOKUP($D190,素材!$1:$1016,COLUMN($F$1),FALSE))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BB190">
        <f>IF(ISNUMBER(SEARCH(SUBSTITUTE(BB$1,RIGHT(BB$1,2),""),VLOOKUP($D190,素材!$1:$1016,COLUMN($F$1),FALSE))),VLOOKUP($C190,武器!$1:$998,COLUMN($O$1),FALSE)*VLOOKUP($D190,素材!$1:$1016,COLUMN($E$1),FALSE)/(LEN(VLOOKUP($D190,素材!$1:$1016,COLUMN($F$1),FALSE))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BC190">
        <f>IF(ISNUMBER(SEARCH(SUBSTITUTE(BC$1,RIGHT(BC$1,2),""),VLOOKUP($D190,素材!$1:$1016,COLUMN($F$1),FALSE))),VLOOKUP($C190,武器!$1:$998,COLUMN($O$1),FALSE)*VLOOKUP($D190,素材!$1:$1016,COLUMN($E$1),FALSE)/(LEN(VLOOKUP($D190,素材!$1:$1016,COLUMN($F$1),FALSE))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BD190">
        <f>IF(ISNUMBER(SEARCH(SUBSTITUTE(BD$1,RIGHT(BD$1,2),""),VLOOKUP($D190,素材!$1:$1016,COLUMN($F$1),FALSE))),VLOOKUP($C190,武器!$1:$998,COLUMN($O$1),FALSE)*VLOOKUP($D190,素材!$1:$1016,COLUMN($E$1),FALSE)/(LEN(VLOOKUP($D190,素材!$1:$1016,COLUMN($F$1),FALSE))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BE190">
        <f>IF(ISNUMBER(SEARCH(SUBSTITUTE(BE$1,RIGHT(BE$1,2),""),VLOOKUP($D190,素材!$1:$1016,COLUMN($F$1),FALSE))),VLOOKUP($C190,武器!$1:$998,COLUMN($O$1),FALSE)*VLOOKUP($D190,素材!$1:$1016,COLUMN($E$1),FALSE)/(LEN(VLOOKUP($D190,素材!$1:$1016,COLUMN($F$1),FALSE))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BF190">
        <f>IF(ISNUMBER(SEARCH(SUBSTITUTE(BF$1,RIGHT(BF$1,2),""),VLOOKUP($D190,素材!$1:$1016,COLUMN($F$1),FALSE))),VLOOKUP($C190,武器!$1:$998,COLUMN($O$1),FALSE)*VLOOKUP($D190,素材!$1:$1016,COLUMN($E$1),FALSE)/(LEN(VLOOKUP($D190,素材!$1:$1016,COLUMN($F$1),FALSE)) - LEN(SUBSTITUTE(VLOOKUP($D190,素材!$1:$1016,COLUMN($F$1),FALSE), "・", 0)) + 1), 0)</f>
        <v>0</v>
      </c>
      <c r="CM190">
        <f t="shared" si="19"/>
        <v>20</v>
      </c>
      <c r="CN190" s="22" t="str">
        <f>IF(E190="武器",IF(J190-1&gt;SUM(G190:I190),"盾",IF(MAX(G190:I190)=G190,"切断",IF(MAX(G190:I190)=H190,"貫通",IF(MAX(G190:I190)=I190,"打撃","射撃")))),E190)&amp;".webp"</f>
        <v>足.webp</v>
      </c>
      <c r="CO190">
        <f>IFERROR(VLOOKUP($C190,武器!$1:$998,COLUMN(V$1),FALSE)*VLOOKUP($D190,素材!$1:$1016,COLUMN(N$1),FALSE)+IF(CJ190="",0,VLOOKUP($CJ190,装強!$1:$1008,COLUMN($CL$1),FALSE)),"")</f>
        <v>1500</v>
      </c>
      <c r="CP190">
        <f>VLOOKUP(D190,素材!$A:$O,COLUMN(素材!O$1),FALSE)</f>
        <v>0</v>
      </c>
      <c r="CQ190" t="str">
        <f>VLOOKUP(C190,武器!$A:$W,COLUMN(武器!W$1),FALSE)</f>
        <v>速度 隠密 軽業 体幹</v>
      </c>
      <c r="CS190" t="str">
        <f t="shared" si="21"/>
        <v>e_190</v>
      </c>
      <c r="CT190">
        <f t="shared" si="24"/>
        <v>150000</v>
      </c>
    </row>
    <row r="191" spans="1:98" outlineLevel="1" x14ac:dyDescent="0.4">
      <c r="A191" t="str">
        <f t="shared" si="30"/>
        <v>冷気鉄の短刀</v>
      </c>
      <c r="B191" t="str">
        <f>IFERROR(VLOOKUP($D191,素材!$1:$1016,COLUMN($B$1),FALSE)&amp;"・"&amp;VLOOKUP($C191,武器!$1:$998,COLUMN(B$1),FALSE),"")</f>
        <v>ドゥララン・ナイフ</v>
      </c>
      <c r="C191" s="24" t="s">
        <v>242</v>
      </c>
      <c r="D191" s="24" t="s">
        <v>243</v>
      </c>
      <c r="E191" t="str">
        <f>IFERROR(VLOOKUP(C191,武器!$1:$998,COLUMN(C$1),FALSE),"")</f>
        <v>武器</v>
      </c>
      <c r="F191">
        <f>IFERROR(ROUNDDOWN((VLOOKUP($C191,武器!$1:$998,COLUMN(D$1),FALSE)+IFERROR(VLOOKUP($CJ191,装強!$1:$999,COLUMN(F$1),FALSE),0))*VLOOKUP($D191,素材!$1:$1016,COLUMN(D$1),FALSE),0),"")</f>
        <v>100</v>
      </c>
      <c r="G191">
        <f>IFERROR(ROUNDDOWN((VLOOKUP($C191,武器!$1:$998,COLUMN(E$1),FALSE)+IFERROR(VLOOKUP($CJ191,装強!$1:$999,COLUMN(G$1),FALSE),0))*VLOOKUP($D191,素材!$1:$1016,COLUMN($E$1),FALSE),0),"")</f>
        <v>10</v>
      </c>
      <c r="H191">
        <f>IFERROR(ROUNDDOWN((VLOOKUP($C191,武器!$1:$998,COLUMN(F$1),FALSE)+IFERROR(VLOOKUP($CJ191,装強!$1:$999,COLUMN(H$1),FALSE),0))*VLOOKUP($D191,素材!$1:$1016,COLUMN($E$1),FALSE),0),"")</f>
        <v>8</v>
      </c>
      <c r="I191">
        <f>IFERROR(ROUNDDOWN((VLOOKUP($C191,武器!$1:$998,COLUMN(G$1),FALSE)+IFERROR(VLOOKUP($CJ191,装強!$1:$999,COLUMN(I$1),FALSE),0))*VLOOKUP($D191,素材!$1:$1016,COLUMN($E$1),FALSE),0),"")</f>
        <v>2</v>
      </c>
      <c r="J191">
        <f>IFERROR(ROUNDDOWN((VLOOKUP($C191,武器!$1:$998,COLUMN(H$1),FALSE)+IFERROR(VLOOKUP($CJ191,装強!$1:$999,COLUMN(J$1),FALSE),0))*VLOOKUP($D191,素材!$1:$1016,COLUMN($E$1),FALSE),0),"")</f>
        <v>13</v>
      </c>
      <c r="K191">
        <f>IFERROR(ROUNDDOWN((VLOOKUP($C191,武器!$1:$998,COLUMN(I$1),FALSE)+IFERROR(VLOOKUP($CJ191,装強!$1:$999,COLUMN(K$1),FALSE),0))*VLOOKUP($D191,素材!$1:$1016,COLUMN($E$1),FALSE),0),"")</f>
        <v>0</v>
      </c>
      <c r="L191" t="str">
        <f>IFERROR(VLOOKUP($D191,素材!$1:$1016,COLUMN($F$1),FALSE),"")</f>
        <v>氷</v>
      </c>
      <c r="M191">
        <f>IFERROR(VLOOKUP($C191,武器!$1:$998,COLUMN(AA$1),FALSE)*VLOOKUP($D191,素材!$1:$1016,COLUMN($G$1),FALSE),"")</f>
        <v>35</v>
      </c>
      <c r="N191">
        <f>IFERROR(VLOOKUP($C191,武器!$1:$998,COLUMN(I$1),FALSE),"")</f>
        <v>0</v>
      </c>
      <c r="O191" s="23">
        <f>IFERROR((VLOOKUP($C191,武器!$1:$998,COLUMN(K$1),FALSE)+VLOOKUP($D191,素材!$1:$1016,COLUMN(H$1),FALSE))*100+IFERROR(VLOOKUP($CJ191,装強!$1:$999,COLUMN(O$1),FALSE),0),"")</f>
        <v>10</v>
      </c>
      <c r="P191" s="23">
        <f>IFERROR((VLOOKUP($C191,武器!$1:$998,COLUMN(L$1),FALSE)+VLOOKUP($D191,素材!$1:$1016,COLUMN(I$1),FALSE))*100+IFERROR(VLOOKUP($CJ191,装強!$1:$999,COLUMN(P$1),FALSE),0),"")</f>
        <v>175</v>
      </c>
      <c r="Q191">
        <f>IFERROR(ROUNDUP(VLOOKUP($C191,武器!$1:$998,COLUMN(M$1),FALSE)*(VLOOKUP($D191,素材!$1:$1002,COLUMN(D$1),FALSE)/100),1),"")</f>
        <v>0</v>
      </c>
      <c r="R191">
        <f>IFERROR(ROUNDUP(VLOOKUP($C191,武器!$1:$998,COLUMN(N$1),FALSE)*(VLOOKUP($D191,素材!$1:$1002,COLUMN(D$1),FALSE)/100),1),"")</f>
        <v>0</v>
      </c>
      <c r="S191">
        <f>IFERROR(VLOOKUP($C191,武器!$1:$998,COLUMN(P$1),FALSE),"")</f>
        <v>0</v>
      </c>
      <c r="T191">
        <f>IFERROR(VLOOKUP($C191,武器!$1:$998,COLUMN(Q$1),FALSE),"")</f>
        <v>0</v>
      </c>
      <c r="U191">
        <f>IFERROR(VLOOKUP($C191,武器!$1:$998,COLUMN(R$1),FALSE),"")</f>
        <v>0</v>
      </c>
      <c r="V191">
        <f>IFERROR(VLOOKUP($C191,武器!$1:$998,COLUMN(Q$1),FALSE),"")</f>
        <v>0</v>
      </c>
      <c r="W191" t="str">
        <f>IFERROR(VLOOKUP($C191,武器!$1:$998,COLUMN(T$1),FALSE),"")</f>
        <v>A</v>
      </c>
      <c r="Y191" t="str">
        <f>IFERROR(VLOOKUP($C191,武器!$1:$998,COLUMN(U$1),FALSE),"")</f>
        <v>暗殺強化,片手適正Ⅱ</v>
      </c>
      <c r="Z191">
        <f>IFERROR(ROUNDUP(VLOOKUP($C191,武器!$1:$998,COLUMN(O$1),FALSE)*VLOOKUP($D191,素材!$1:$1016,COLUMN(E$1),FALSE),1),"")</f>
        <v>0</v>
      </c>
      <c r="AA191">
        <f>IF(ISNUMBER(SEARCH(SUBSTITUTE(AA$1,RIGHT(AA$1,2),""),VLOOKUP($D191,素材!$1:$1016,COLUMN($F$1),FALSE))),VLOOKUP($C191,武器!$1:$998,COLUMN($O$1),FALSE)*VLOOKUP($D191,素材!$1:$1016,COLUMN($E$1),FALSE)/(LEN(VLOOKUP($D191,素材!$1:$1016,COLUMN($F$1),FALSE))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B191">
        <f>IF(ISNUMBER(SEARCH(SUBSTITUTE(AB$1,RIGHT(AB$1,2),""),VLOOKUP($D191,素材!$1:$1016,COLUMN($F$1),FALSE))),VLOOKUP($C191,武器!$1:$998,COLUMN($O$1),FALSE)*VLOOKUP($D191,素材!$1:$1016,COLUMN($E$1),FALSE)/(LEN(VLOOKUP($D191,素材!$1:$1016,COLUMN($F$1),FALSE))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C191">
        <f>IF(ISNUMBER(SEARCH(SUBSTITUTE(AC$1,RIGHT(AC$1,2),""),VLOOKUP($D191,素材!$1:$1016,COLUMN($F$1),FALSE))),VLOOKUP($C191,武器!$1:$998,COLUMN($O$1),FALSE)*VLOOKUP($D191,素材!$1:$1016,COLUMN($E$1),FALSE)/(LEN(VLOOKUP($D191,素材!$1:$1016,COLUMN($F$1),FALSE))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D191">
        <f>IF(ISNUMBER(SEARCH(SUBSTITUTE(AD$1,RIGHT(AD$1,2),""),VLOOKUP($D191,素材!$1:$1016,COLUMN($F$1),FALSE))),VLOOKUP($C191,武器!$1:$998,COLUMN($O$1),FALSE)*VLOOKUP($D191,素材!$1:$1016,COLUMN($E$1),FALSE)/(LEN(VLOOKUP($D191,素材!$1:$1016,COLUMN($F$1),FALSE))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E191">
        <f>IF(ISNUMBER(SEARCH(SUBSTITUTE(AE$1,RIGHT(AE$1,2),""),VLOOKUP($D191,素材!$1:$1016,COLUMN($F$1),FALSE))),VLOOKUP($C191,武器!$1:$998,COLUMN($O$1),FALSE)*VLOOKUP($D191,素材!$1:$1016,COLUMN($E$1),FALSE)/(LEN(VLOOKUP($D191,素材!$1:$1016,COLUMN($F$1),FALSE))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F191">
        <f>IF(ISNUMBER(SEARCH(SUBSTITUTE(AF$1,RIGHT(AF$1,2),""),VLOOKUP($D191,素材!$1:$1016,COLUMN($F$1),FALSE))),VLOOKUP($C191,武器!$1:$998,COLUMN($O$1),FALSE)*VLOOKUP($D191,素材!$1:$1016,COLUMN($E$1),FALSE)/(LEN(VLOOKUP($D191,素材!$1:$1016,COLUMN($F$1),FALSE))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G191">
        <f>IF(ISNUMBER(SEARCH(SUBSTITUTE(AG$1,RIGHT(AG$1,2),""),VLOOKUP($D191,素材!$1:$1016,COLUMN($F$1),FALSE))),VLOOKUP($C191,武器!$1:$998,COLUMN($O$1),FALSE)*VLOOKUP($D191,素材!$1:$1016,COLUMN($E$1),FALSE)/(LEN(VLOOKUP($D191,素材!$1:$1016,COLUMN($F$1),FALSE))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H191">
        <f>IF(ISNUMBER(SEARCH(SUBSTITUTE(AH$1,RIGHT(AH$1,2),""),VLOOKUP($D191,素材!$1:$1016,COLUMN($F$1),FALSE))),VLOOKUP($C191,武器!$1:$998,COLUMN($O$1),FALSE)*VLOOKUP($D191,素材!$1:$1016,COLUMN($E$1),FALSE)/(LEN(VLOOKUP($D191,素材!$1:$1016,COLUMN($F$1),FALSE))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I191">
        <f>IF(ISNUMBER(SEARCH(SUBSTITUTE(AI$1,RIGHT(AI$1,2),""),VLOOKUP($D191,素材!$1:$1016,COLUMN($F$1),FALSE))),VLOOKUP($C191,武器!$1:$998,COLUMN($O$1),FALSE)*VLOOKUP($D191,素材!$1:$1016,COLUMN($E$1),FALSE)/(LEN(VLOOKUP($D191,素材!$1:$1016,COLUMN($F$1),FALSE))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J191">
        <f>IF(ISNUMBER(SEARCH(SUBSTITUTE(AJ$1,RIGHT(AJ$1,2),""),VLOOKUP($D191,素材!$1:$1016,COLUMN($F$1),FALSE))),VLOOKUP($C191,武器!$1:$998,COLUMN($O$1),FALSE)*VLOOKUP($D191,素材!$1:$1016,COLUMN($E$1),FALSE)/(LEN(VLOOKUP($D191,素材!$1:$1016,COLUMN($F$1),FALSE))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K191">
        <f>IF(ISNUMBER(SEARCH(SUBSTITUTE(AK$1,RIGHT(AK$1,2),""),VLOOKUP($D191,素材!$1:$1016,COLUMN($F$1),FALSE))),VLOOKUP($C191,武器!$1:$998,COLUMN($O$1),FALSE)*VLOOKUP($D191,素材!$1:$1016,COLUMN($E$1),FALSE)/(LEN(VLOOKUP($D191,素材!$1:$1016,COLUMN($F$1),FALSE))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L191">
        <f>IF(ISNUMBER(SEARCH(SUBSTITUTE(AL$1,RIGHT(AL$1,2),""),VLOOKUP($D191,素材!$1:$1016,COLUMN($F$1),FALSE))),VLOOKUP($C191,武器!$1:$998,COLUMN($O$1),FALSE)*VLOOKUP($D191,素材!$1:$1016,COLUMN($E$1),FALSE)/(LEN(VLOOKUP($D191,素材!$1:$1016,COLUMN($F$1),FALSE))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M191">
        <f>IF(ISNUMBER(SEARCH(SUBSTITUTE(AM$1,RIGHT(AM$1,2),""),VLOOKUP($D191,素材!$1:$1016,COLUMN($F$1),FALSE))),VLOOKUP($C191,武器!$1:$998,COLUMN($O$1),FALSE)*VLOOKUP($D191,素材!$1:$1016,COLUMN($E$1),FALSE)/(LEN(VLOOKUP($D191,素材!$1:$1016,COLUMN($F$1),FALSE))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N191">
        <f>IF(ISNUMBER(SEARCH(SUBSTITUTE(AN$1,RIGHT(AN$1,2),""),VLOOKUP($D191,素材!$1:$1016,COLUMN($F$1),FALSE))),VLOOKUP($C191,武器!$1:$998,COLUMN($O$1),FALSE)*VLOOKUP($D191,素材!$1:$1016,COLUMN($E$1),FALSE)/(LEN(VLOOKUP($D191,素材!$1:$1016,COLUMN($F$1),FALSE))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O191">
        <f>IF(ISNUMBER(SEARCH(SUBSTITUTE(AO$1,RIGHT(AO$1,2),""),VLOOKUP($D191,素材!$1:$1016,COLUMN($F$1),FALSE))),VLOOKUP($C191,武器!$1:$998,COLUMN($O$1),FALSE)*VLOOKUP($D191,素材!$1:$1016,COLUMN($E$1),FALSE)/(LEN(VLOOKUP($D191,素材!$1:$1016,COLUMN($F$1),FALSE))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P191">
        <f>IF(ISNUMBER(SEARCH(SUBSTITUTE(AP$1,RIGHT(AP$1,2),""),VLOOKUP($D191,素材!$1:$1016,COLUMN($F$1),FALSE))),VLOOKUP($C191,武器!$1:$998,COLUMN($O$1),FALSE)*VLOOKUP($D191,素材!$1:$1016,COLUMN($E$1),FALSE)/(LEN(VLOOKUP($D191,素材!$1:$1016,COLUMN($F$1),FALSE))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Q191">
        <f>IF(ISNUMBER(SEARCH(SUBSTITUTE(AQ$1,RIGHT(AQ$1,2),""),VLOOKUP($D191,素材!$1:$1016,COLUMN($F$1),FALSE))),VLOOKUP($C191,武器!$1:$998,COLUMN($O$1),FALSE)*VLOOKUP($D191,素材!$1:$1016,COLUMN($E$1),FALSE)/(LEN(VLOOKUP($D191,素材!$1:$1016,COLUMN($F$1),FALSE))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R191">
        <f>IF(ISNUMBER(SEARCH(SUBSTITUTE(AR$1,RIGHT(AR$1,2),""),VLOOKUP($D191,素材!$1:$1016,COLUMN($F$1),FALSE))),VLOOKUP($C191,武器!$1:$998,COLUMN($O$1),FALSE)*VLOOKUP($D191,素材!$1:$1016,COLUMN($E$1),FALSE)/(LEN(VLOOKUP($D191,素材!$1:$1016,COLUMN($F$1),FALSE))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S191">
        <f>IF(ISNUMBER(SEARCH(SUBSTITUTE(AS$1,RIGHT(AS$1,2),""),VLOOKUP($D191,素材!$1:$1016,COLUMN($F$1),FALSE))),VLOOKUP($C191,武器!$1:$998,COLUMN($O$1),FALSE)*VLOOKUP($D191,素材!$1:$1016,COLUMN($E$1),FALSE)/(LEN(VLOOKUP($D191,素材!$1:$1016,COLUMN($F$1),FALSE))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T191">
        <f>IF(ISNUMBER(SEARCH(SUBSTITUTE(AT$1,RIGHT(AT$1,2),""),VLOOKUP($D191,素材!$1:$1016,COLUMN($F$1),FALSE))),VLOOKUP($C191,武器!$1:$998,COLUMN($O$1),FALSE)*VLOOKUP($D191,素材!$1:$1016,COLUMN($E$1),FALSE)/(LEN(VLOOKUP($D191,素材!$1:$1016,COLUMN($F$1),FALSE))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U191">
        <f>IF(ISNUMBER(SEARCH(SUBSTITUTE(AU$1,RIGHT(AU$1,2),""),VLOOKUP($D191,素材!$1:$1016,COLUMN($F$1),FALSE))),VLOOKUP($C191,武器!$1:$998,COLUMN($O$1),FALSE)*VLOOKUP($D191,素材!$1:$1016,COLUMN($E$1),FALSE)/(LEN(VLOOKUP($D191,素材!$1:$1016,COLUMN($F$1),FALSE))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V191">
        <f>IF(ISNUMBER(SEARCH(SUBSTITUTE(AV$1,RIGHT(AV$1,2),""),VLOOKUP($D191,素材!$1:$1016,COLUMN($F$1),FALSE))),VLOOKUP($C191,武器!$1:$998,COLUMN($O$1),FALSE)*VLOOKUP($D191,素材!$1:$1016,COLUMN($E$1),FALSE)/(LEN(VLOOKUP($D191,素材!$1:$1016,COLUMN($F$1),FALSE))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W191">
        <f>IF(ISNUMBER(SEARCH(SUBSTITUTE(AW$1,RIGHT(AW$1,2),""),VLOOKUP($D191,素材!$1:$1016,COLUMN($F$1),FALSE))),VLOOKUP($C191,武器!$1:$998,COLUMN($O$1),FALSE)*VLOOKUP($D191,素材!$1:$1016,COLUMN($E$1),FALSE)/(LEN(VLOOKUP($D191,素材!$1:$1016,COLUMN($F$1),FALSE))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X191">
        <f>IF(ISNUMBER(SEARCH(SUBSTITUTE(AX$1,RIGHT(AX$1,2),""),VLOOKUP($D191,素材!$1:$1016,COLUMN($F$1),FALSE))),VLOOKUP($C191,武器!$1:$998,COLUMN($O$1),FALSE)*VLOOKUP($D191,素材!$1:$1016,COLUMN($E$1),FALSE)/(LEN(VLOOKUP($D191,素材!$1:$1016,COLUMN($F$1),FALSE))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Y191">
        <f>IF(ISNUMBER(SEARCH(SUBSTITUTE(AY$1,RIGHT(AY$1,2),""),VLOOKUP($D191,素材!$1:$1016,COLUMN($F$1),FALSE))),VLOOKUP($C191,武器!$1:$998,COLUMN($O$1),FALSE)*VLOOKUP($D191,素材!$1:$1016,COLUMN($E$1),FALSE)/(LEN(VLOOKUP($D191,素材!$1:$1016,COLUMN($F$1),FALSE))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AZ191">
        <f>IF(ISNUMBER(SEARCH(SUBSTITUTE(AZ$1,RIGHT(AZ$1,2),""),VLOOKUP($D191,素材!$1:$1016,COLUMN($F$1),FALSE))),VLOOKUP($C191,武器!$1:$998,COLUMN($O$1),FALSE)*VLOOKUP($D191,素材!$1:$1016,COLUMN($E$1),FALSE)/(LEN(VLOOKUP($D191,素材!$1:$1016,COLUMN($F$1),FALSE))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BA191">
        <f>IF(ISNUMBER(SEARCH(SUBSTITUTE(BA$1,RIGHT(BA$1,2),""),VLOOKUP($D191,素材!$1:$1016,COLUMN($F$1),FALSE))),VLOOKUP($C191,武器!$1:$998,COLUMN($O$1),FALSE)*VLOOKUP($D191,素材!$1:$1016,COLUMN($E$1),FALSE)/(LEN(VLOOKUP($D191,素材!$1:$1016,COLUMN($F$1),FALSE))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BB191">
        <f>IF(ISNUMBER(SEARCH(SUBSTITUTE(BB$1,RIGHT(BB$1,2),""),VLOOKUP($D191,素材!$1:$1016,COLUMN($F$1),FALSE))),VLOOKUP($C191,武器!$1:$998,COLUMN($O$1),FALSE)*VLOOKUP($D191,素材!$1:$1016,COLUMN($E$1),FALSE)/(LEN(VLOOKUP($D191,素材!$1:$1016,COLUMN($F$1),FALSE))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BC191">
        <f>IF(ISNUMBER(SEARCH(SUBSTITUTE(BC$1,RIGHT(BC$1,2),""),VLOOKUP($D191,素材!$1:$1016,COLUMN($F$1),FALSE))),VLOOKUP($C191,武器!$1:$998,COLUMN($O$1),FALSE)*VLOOKUP($D191,素材!$1:$1016,COLUMN($E$1),FALSE)/(LEN(VLOOKUP($D191,素材!$1:$1016,COLUMN($F$1),FALSE))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BD191">
        <f>IF(ISNUMBER(SEARCH(SUBSTITUTE(BD$1,RIGHT(BD$1,2),""),VLOOKUP($D191,素材!$1:$1016,COLUMN($F$1),FALSE))),VLOOKUP($C191,武器!$1:$998,COLUMN($O$1),FALSE)*VLOOKUP($D191,素材!$1:$1016,COLUMN($E$1),FALSE)/(LEN(VLOOKUP($D191,素材!$1:$1016,COLUMN($F$1),FALSE))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BE191">
        <f>IF(ISNUMBER(SEARCH(SUBSTITUTE(BE$1,RIGHT(BE$1,2),""),VLOOKUP($D191,素材!$1:$1016,COLUMN($F$1),FALSE))),VLOOKUP($C191,武器!$1:$998,COLUMN($O$1),FALSE)*VLOOKUP($D191,素材!$1:$1016,COLUMN($E$1),FALSE)/(LEN(VLOOKUP($D191,素材!$1:$1016,COLUMN($F$1),FALSE))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BF191">
        <f>IF(ISNUMBER(SEARCH(SUBSTITUTE(BF$1,RIGHT(BF$1,2),""),VLOOKUP($D191,素材!$1:$1016,COLUMN($F$1),FALSE))),VLOOKUP($C191,武器!$1:$998,COLUMN($O$1),FALSE)*VLOOKUP($D191,素材!$1:$1016,COLUMN($E$1),FALSE)/(LEN(VLOOKUP($D191,素材!$1:$1016,COLUMN($F$1),FALSE)) - LEN(SUBSTITUTE(VLOOKUP($D191,素材!$1:$1016,COLUMN($F$1),FALSE), "・", 0)) + 1), 0)</f>
        <v>0</v>
      </c>
      <c r="CM191">
        <f t="shared" si="19"/>
        <v>20</v>
      </c>
      <c r="CN191" s="22" t="str">
        <f>IF(E191="武器",IF(J191-1&gt;SUM(G191:I191),"盾",IF(MAX(G191:I191)=G191,"切断",IF(MAX(G191:I191)=H191,"貫通",IF(MAX(G191:I191)=I191,"打撃","射撃")))),E191)&amp;".webp"</f>
        <v>切断.webp</v>
      </c>
      <c r="CO191">
        <f>IFERROR(VLOOKUP($C191,武器!$1:$998,COLUMN(V$1),FALSE)*VLOOKUP($D191,素材!$1:$1016,COLUMN(N$1),FALSE)+IF(CJ191="",0,VLOOKUP($CJ191,装強!$1:$1008,COLUMN($CL$1),FALSE)),"")</f>
        <v>1500</v>
      </c>
      <c r="CP191">
        <f>VLOOKUP(D191,素材!$A:$O,COLUMN(素材!O$1),FALSE)</f>
        <v>0</v>
      </c>
      <c r="CQ191" t="str">
        <f>VLOOKUP(C191,武器!$A:$W,COLUMN(武器!W$1),FALSE)</f>
        <v>短刀。暗殺向けの武器で、軽量かつ片手操作に適する。Cr威力が高い</v>
      </c>
      <c r="CS191" t="str">
        <f t="shared" si="21"/>
        <v>e_191</v>
      </c>
      <c r="CT191">
        <f t="shared" si="24"/>
        <v>150000</v>
      </c>
    </row>
    <row r="192" spans="1:98" outlineLevel="1" x14ac:dyDescent="0.4">
      <c r="A192" t="str">
        <f t="shared" si="30"/>
        <v>冷気鉄の刀</v>
      </c>
      <c r="B192" t="str">
        <f>IFERROR(VLOOKUP($D192,素材!$1:$1016,COLUMN($B$1),FALSE)&amp;"・"&amp;VLOOKUP($C192,武器!$1:$998,COLUMN(B$1),FALSE),"")</f>
        <v>ドゥララン・カタナ</v>
      </c>
      <c r="C192" s="24" t="s">
        <v>241</v>
      </c>
      <c r="D192" s="24" t="s">
        <v>243</v>
      </c>
      <c r="E192" t="str">
        <f>IFERROR(VLOOKUP(C192,武器!$1:$998,COLUMN(C$1),FALSE),"")</f>
        <v>武器</v>
      </c>
      <c r="F192">
        <f>IFERROR(ROUNDDOWN((VLOOKUP($C192,武器!$1:$998,COLUMN(D$1),FALSE)+IFERROR(VLOOKUP($CJ192,装強!$1:$999,COLUMN(F$1),FALSE),0))*VLOOKUP($D192,素材!$1:$1016,COLUMN(D$1),FALSE),0),"")</f>
        <v>105</v>
      </c>
      <c r="G192">
        <f>IFERROR(ROUNDDOWN((VLOOKUP($C192,武器!$1:$998,COLUMN(E$1),FALSE)+IFERROR(VLOOKUP($CJ192,装強!$1:$999,COLUMN(G$1),FALSE),0))*VLOOKUP($D192,素材!$1:$1016,COLUMN($E$1),FALSE),0),"")</f>
        <v>14</v>
      </c>
      <c r="H192">
        <f>IFERROR(ROUNDDOWN((VLOOKUP($C192,武器!$1:$998,COLUMN(F$1),FALSE)+IFERROR(VLOOKUP($CJ192,装強!$1:$999,COLUMN(H$1),FALSE),0))*VLOOKUP($D192,素材!$1:$1016,COLUMN($E$1),FALSE),0),"")</f>
        <v>8</v>
      </c>
      <c r="I192">
        <f>IFERROR(ROUNDDOWN((VLOOKUP($C192,武器!$1:$998,COLUMN(G$1),FALSE)+IFERROR(VLOOKUP($CJ192,装強!$1:$999,COLUMN(I$1),FALSE),0))*VLOOKUP($D192,素材!$1:$1016,COLUMN($E$1),FALSE),0),"")</f>
        <v>2</v>
      </c>
      <c r="J192">
        <f>IFERROR(ROUNDDOWN((VLOOKUP($C192,武器!$1:$998,COLUMN(H$1),FALSE)+IFERROR(VLOOKUP($CJ192,装強!$1:$999,COLUMN(J$1),FALSE),0))*VLOOKUP($D192,素材!$1:$1016,COLUMN($E$1),FALSE),0),"")</f>
        <v>17</v>
      </c>
      <c r="K192">
        <f>IFERROR(ROUNDDOWN((VLOOKUP($C192,武器!$1:$998,COLUMN(I$1),FALSE)+IFERROR(VLOOKUP($CJ192,装強!$1:$999,COLUMN(K$1),FALSE),0))*VLOOKUP($D192,素材!$1:$1016,COLUMN($E$1),FALSE),0),"")</f>
        <v>0</v>
      </c>
      <c r="L192" t="str">
        <f>IFERROR(VLOOKUP($D192,素材!$1:$1016,COLUMN($F$1),FALSE),"")</f>
        <v>氷</v>
      </c>
      <c r="M192">
        <f>IFERROR(VLOOKUP($C192,武器!$1:$998,COLUMN(AA$1),FALSE)*VLOOKUP($D192,素材!$1:$1016,COLUMN($G$1),FALSE),"")</f>
        <v>42</v>
      </c>
      <c r="N192">
        <f>IFERROR(VLOOKUP($C192,武器!$1:$998,COLUMN(I$1),FALSE),"")</f>
        <v>0</v>
      </c>
      <c r="O192" s="23">
        <f>IFERROR((VLOOKUP($C192,武器!$1:$998,COLUMN(K$1),FALSE)+VLOOKUP($D192,素材!$1:$1016,COLUMN(H$1),FALSE))*100+IFERROR(VLOOKUP($CJ192,装強!$1:$999,COLUMN(O$1),FALSE),0),"")</f>
        <v>10</v>
      </c>
      <c r="P192" s="23">
        <f>IFERROR((VLOOKUP($C192,武器!$1:$998,COLUMN(L$1),FALSE)+VLOOKUP($D192,素材!$1:$1016,COLUMN(I$1),FALSE))*100+IFERROR(VLOOKUP($CJ192,装強!$1:$999,COLUMN(P$1),FALSE),0),"")</f>
        <v>175</v>
      </c>
      <c r="Q192">
        <f>IFERROR(ROUNDUP(VLOOKUP($C192,武器!$1:$998,COLUMN(M$1),FALSE)*(VLOOKUP($D192,素材!$1:$1002,COLUMN(D$1),FALSE)/100),1),"")</f>
        <v>0</v>
      </c>
      <c r="R192">
        <f>IFERROR(ROUNDUP(VLOOKUP($C192,武器!$1:$998,COLUMN(N$1),FALSE)*(VLOOKUP($D192,素材!$1:$1002,COLUMN(D$1),FALSE)/100),1),"")</f>
        <v>0</v>
      </c>
      <c r="S192">
        <f>IFERROR(VLOOKUP($C192,武器!$1:$998,COLUMN(P$1),FALSE),"")</f>
        <v>0</v>
      </c>
      <c r="T192">
        <f>IFERROR(VLOOKUP($C192,武器!$1:$998,COLUMN(Q$1),FALSE),"")</f>
        <v>0</v>
      </c>
      <c r="U192">
        <f>IFERROR(VLOOKUP($C192,武器!$1:$998,COLUMN(R$1),FALSE),"")</f>
        <v>0</v>
      </c>
      <c r="V192">
        <f>IFERROR(VLOOKUP($C192,武器!$1:$998,COLUMN(Q$1),FALSE),"")</f>
        <v>0</v>
      </c>
      <c r="W192" t="str">
        <f>IFERROR(VLOOKUP($C192,武器!$1:$998,COLUMN(T$1),FALSE),"")</f>
        <v>A</v>
      </c>
      <c r="Y192">
        <f>IFERROR(VLOOKUP($C192,武器!$1:$998,COLUMN(U$1),FALSE),"")</f>
        <v>0</v>
      </c>
      <c r="Z192">
        <f>IFERROR(ROUNDUP(VLOOKUP($C192,武器!$1:$998,COLUMN(O$1),FALSE)*VLOOKUP($D192,素材!$1:$1016,COLUMN(E$1),FALSE),1),"")</f>
        <v>0</v>
      </c>
      <c r="AA192">
        <f>IF(ISNUMBER(SEARCH(SUBSTITUTE(AA$1,RIGHT(AA$1,2),""),VLOOKUP($D192,素材!$1:$1016,COLUMN($F$1),FALSE))),VLOOKUP($C192,武器!$1:$998,COLUMN($O$1),FALSE)*VLOOKUP($D192,素材!$1:$1016,COLUMN($E$1),FALSE)/(LEN(VLOOKUP($D192,素材!$1:$1016,COLUMN($F$1),FALSE))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B192">
        <f>IF(ISNUMBER(SEARCH(SUBSTITUTE(AB$1,RIGHT(AB$1,2),""),VLOOKUP($D192,素材!$1:$1016,COLUMN($F$1),FALSE))),VLOOKUP($C192,武器!$1:$998,COLUMN($O$1),FALSE)*VLOOKUP($D192,素材!$1:$1016,COLUMN($E$1),FALSE)/(LEN(VLOOKUP($D192,素材!$1:$1016,COLUMN($F$1),FALSE))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C192">
        <f>IF(ISNUMBER(SEARCH(SUBSTITUTE(AC$1,RIGHT(AC$1,2),""),VLOOKUP($D192,素材!$1:$1016,COLUMN($F$1),FALSE))),VLOOKUP($C192,武器!$1:$998,COLUMN($O$1),FALSE)*VLOOKUP($D192,素材!$1:$1016,COLUMN($E$1),FALSE)/(LEN(VLOOKUP($D192,素材!$1:$1016,COLUMN($F$1),FALSE))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D192">
        <f>IF(ISNUMBER(SEARCH(SUBSTITUTE(AD$1,RIGHT(AD$1,2),""),VLOOKUP($D192,素材!$1:$1016,COLUMN($F$1),FALSE))),VLOOKUP($C192,武器!$1:$998,COLUMN($O$1),FALSE)*VLOOKUP($D192,素材!$1:$1016,COLUMN($E$1),FALSE)/(LEN(VLOOKUP($D192,素材!$1:$1016,COLUMN($F$1),FALSE))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E192">
        <f>IF(ISNUMBER(SEARCH(SUBSTITUTE(AE$1,RIGHT(AE$1,2),""),VLOOKUP($D192,素材!$1:$1016,COLUMN($F$1),FALSE))),VLOOKUP($C192,武器!$1:$998,COLUMN($O$1),FALSE)*VLOOKUP($D192,素材!$1:$1016,COLUMN($E$1),FALSE)/(LEN(VLOOKUP($D192,素材!$1:$1016,COLUMN($F$1),FALSE))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F192">
        <f>IF(ISNUMBER(SEARCH(SUBSTITUTE(AF$1,RIGHT(AF$1,2),""),VLOOKUP($D192,素材!$1:$1016,COLUMN($F$1),FALSE))),VLOOKUP($C192,武器!$1:$998,COLUMN($O$1),FALSE)*VLOOKUP($D192,素材!$1:$1016,COLUMN($E$1),FALSE)/(LEN(VLOOKUP($D192,素材!$1:$1016,COLUMN($F$1),FALSE))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G192">
        <f>IF(ISNUMBER(SEARCH(SUBSTITUTE(AG$1,RIGHT(AG$1,2),""),VLOOKUP($D192,素材!$1:$1016,COLUMN($F$1),FALSE))),VLOOKUP($C192,武器!$1:$998,COLUMN($O$1),FALSE)*VLOOKUP($D192,素材!$1:$1016,COLUMN($E$1),FALSE)/(LEN(VLOOKUP($D192,素材!$1:$1016,COLUMN($F$1),FALSE))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H192">
        <f>IF(ISNUMBER(SEARCH(SUBSTITUTE(AH$1,RIGHT(AH$1,2),""),VLOOKUP($D192,素材!$1:$1016,COLUMN($F$1),FALSE))),VLOOKUP($C192,武器!$1:$998,COLUMN($O$1),FALSE)*VLOOKUP($D192,素材!$1:$1016,COLUMN($E$1),FALSE)/(LEN(VLOOKUP($D192,素材!$1:$1016,COLUMN($F$1),FALSE))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I192">
        <f>IF(ISNUMBER(SEARCH(SUBSTITUTE(AI$1,RIGHT(AI$1,2),""),VLOOKUP($D192,素材!$1:$1016,COLUMN($F$1),FALSE))),VLOOKUP($C192,武器!$1:$998,COLUMN($O$1),FALSE)*VLOOKUP($D192,素材!$1:$1016,COLUMN($E$1),FALSE)/(LEN(VLOOKUP($D192,素材!$1:$1016,COLUMN($F$1),FALSE))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J192">
        <f>IF(ISNUMBER(SEARCH(SUBSTITUTE(AJ$1,RIGHT(AJ$1,2),""),VLOOKUP($D192,素材!$1:$1016,COLUMN($F$1),FALSE))),VLOOKUP($C192,武器!$1:$998,COLUMN($O$1),FALSE)*VLOOKUP($D192,素材!$1:$1016,COLUMN($E$1),FALSE)/(LEN(VLOOKUP($D192,素材!$1:$1016,COLUMN($F$1),FALSE))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K192">
        <f>IF(ISNUMBER(SEARCH(SUBSTITUTE(AK$1,RIGHT(AK$1,2),""),VLOOKUP($D192,素材!$1:$1016,COLUMN($F$1),FALSE))),VLOOKUP($C192,武器!$1:$998,COLUMN($O$1),FALSE)*VLOOKUP($D192,素材!$1:$1016,COLUMN($E$1),FALSE)/(LEN(VLOOKUP($D192,素材!$1:$1016,COLUMN($F$1),FALSE))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L192">
        <f>IF(ISNUMBER(SEARCH(SUBSTITUTE(AL$1,RIGHT(AL$1,2),""),VLOOKUP($D192,素材!$1:$1016,COLUMN($F$1),FALSE))),VLOOKUP($C192,武器!$1:$998,COLUMN($O$1),FALSE)*VLOOKUP($D192,素材!$1:$1016,COLUMN($E$1),FALSE)/(LEN(VLOOKUP($D192,素材!$1:$1016,COLUMN($F$1),FALSE))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M192">
        <f>IF(ISNUMBER(SEARCH(SUBSTITUTE(AM$1,RIGHT(AM$1,2),""),VLOOKUP($D192,素材!$1:$1016,COLUMN($F$1),FALSE))),VLOOKUP($C192,武器!$1:$998,COLUMN($O$1),FALSE)*VLOOKUP($D192,素材!$1:$1016,COLUMN($E$1),FALSE)/(LEN(VLOOKUP($D192,素材!$1:$1016,COLUMN($F$1),FALSE))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N192">
        <f>IF(ISNUMBER(SEARCH(SUBSTITUTE(AN$1,RIGHT(AN$1,2),""),VLOOKUP($D192,素材!$1:$1016,COLUMN($F$1),FALSE))),VLOOKUP($C192,武器!$1:$998,COLUMN($O$1),FALSE)*VLOOKUP($D192,素材!$1:$1016,COLUMN($E$1),FALSE)/(LEN(VLOOKUP($D192,素材!$1:$1016,COLUMN($F$1),FALSE))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O192">
        <f>IF(ISNUMBER(SEARCH(SUBSTITUTE(AO$1,RIGHT(AO$1,2),""),VLOOKUP($D192,素材!$1:$1016,COLUMN($F$1),FALSE))),VLOOKUP($C192,武器!$1:$998,COLUMN($O$1),FALSE)*VLOOKUP($D192,素材!$1:$1016,COLUMN($E$1),FALSE)/(LEN(VLOOKUP($D192,素材!$1:$1016,COLUMN($F$1),FALSE))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P192">
        <f>IF(ISNUMBER(SEARCH(SUBSTITUTE(AP$1,RIGHT(AP$1,2),""),VLOOKUP($D192,素材!$1:$1016,COLUMN($F$1),FALSE))),VLOOKUP($C192,武器!$1:$998,COLUMN($O$1),FALSE)*VLOOKUP($D192,素材!$1:$1016,COLUMN($E$1),FALSE)/(LEN(VLOOKUP($D192,素材!$1:$1016,COLUMN($F$1),FALSE))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Q192">
        <f>IF(ISNUMBER(SEARCH(SUBSTITUTE(AQ$1,RIGHT(AQ$1,2),""),VLOOKUP($D192,素材!$1:$1016,COLUMN($F$1),FALSE))),VLOOKUP($C192,武器!$1:$998,COLUMN($O$1),FALSE)*VLOOKUP($D192,素材!$1:$1016,COLUMN($E$1),FALSE)/(LEN(VLOOKUP($D192,素材!$1:$1016,COLUMN($F$1),FALSE))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R192">
        <f>IF(ISNUMBER(SEARCH(SUBSTITUTE(AR$1,RIGHT(AR$1,2),""),VLOOKUP($D192,素材!$1:$1016,COLUMN($F$1),FALSE))),VLOOKUP($C192,武器!$1:$998,COLUMN($O$1),FALSE)*VLOOKUP($D192,素材!$1:$1016,COLUMN($E$1),FALSE)/(LEN(VLOOKUP($D192,素材!$1:$1016,COLUMN($F$1),FALSE))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S192">
        <f>IF(ISNUMBER(SEARCH(SUBSTITUTE(AS$1,RIGHT(AS$1,2),""),VLOOKUP($D192,素材!$1:$1016,COLUMN($F$1),FALSE))),VLOOKUP($C192,武器!$1:$998,COLUMN($O$1),FALSE)*VLOOKUP($D192,素材!$1:$1016,COLUMN($E$1),FALSE)/(LEN(VLOOKUP($D192,素材!$1:$1016,COLUMN($F$1),FALSE))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T192">
        <f>IF(ISNUMBER(SEARCH(SUBSTITUTE(AT$1,RIGHT(AT$1,2),""),VLOOKUP($D192,素材!$1:$1016,COLUMN($F$1),FALSE))),VLOOKUP($C192,武器!$1:$998,COLUMN($O$1),FALSE)*VLOOKUP($D192,素材!$1:$1016,COLUMN($E$1),FALSE)/(LEN(VLOOKUP($D192,素材!$1:$1016,COLUMN($F$1),FALSE))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U192">
        <f>IF(ISNUMBER(SEARCH(SUBSTITUTE(AU$1,RIGHT(AU$1,2),""),VLOOKUP($D192,素材!$1:$1016,COLUMN($F$1),FALSE))),VLOOKUP($C192,武器!$1:$998,COLUMN($O$1),FALSE)*VLOOKUP($D192,素材!$1:$1016,COLUMN($E$1),FALSE)/(LEN(VLOOKUP($D192,素材!$1:$1016,COLUMN($F$1),FALSE))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V192">
        <f>IF(ISNUMBER(SEARCH(SUBSTITUTE(AV$1,RIGHT(AV$1,2),""),VLOOKUP($D192,素材!$1:$1016,COLUMN($F$1),FALSE))),VLOOKUP($C192,武器!$1:$998,COLUMN($O$1),FALSE)*VLOOKUP($D192,素材!$1:$1016,COLUMN($E$1),FALSE)/(LEN(VLOOKUP($D192,素材!$1:$1016,COLUMN($F$1),FALSE))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W192">
        <f>IF(ISNUMBER(SEARCH(SUBSTITUTE(AW$1,RIGHT(AW$1,2),""),VLOOKUP($D192,素材!$1:$1016,COLUMN($F$1),FALSE))),VLOOKUP($C192,武器!$1:$998,COLUMN($O$1),FALSE)*VLOOKUP($D192,素材!$1:$1016,COLUMN($E$1),FALSE)/(LEN(VLOOKUP($D192,素材!$1:$1016,COLUMN($F$1),FALSE))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X192">
        <f>IF(ISNUMBER(SEARCH(SUBSTITUTE(AX$1,RIGHT(AX$1,2),""),VLOOKUP($D192,素材!$1:$1016,COLUMN($F$1),FALSE))),VLOOKUP($C192,武器!$1:$998,COLUMN($O$1),FALSE)*VLOOKUP($D192,素材!$1:$1016,COLUMN($E$1),FALSE)/(LEN(VLOOKUP($D192,素材!$1:$1016,COLUMN($F$1),FALSE))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Y192">
        <f>IF(ISNUMBER(SEARCH(SUBSTITUTE(AY$1,RIGHT(AY$1,2),""),VLOOKUP($D192,素材!$1:$1016,COLUMN($F$1),FALSE))),VLOOKUP($C192,武器!$1:$998,COLUMN($O$1),FALSE)*VLOOKUP($D192,素材!$1:$1016,COLUMN($E$1),FALSE)/(LEN(VLOOKUP($D192,素材!$1:$1016,COLUMN($F$1),FALSE))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AZ192">
        <f>IF(ISNUMBER(SEARCH(SUBSTITUTE(AZ$1,RIGHT(AZ$1,2),""),VLOOKUP($D192,素材!$1:$1016,COLUMN($F$1),FALSE))),VLOOKUP($C192,武器!$1:$998,COLUMN($O$1),FALSE)*VLOOKUP($D192,素材!$1:$1016,COLUMN($E$1),FALSE)/(LEN(VLOOKUP($D192,素材!$1:$1016,COLUMN($F$1),FALSE))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BA192">
        <f>IF(ISNUMBER(SEARCH(SUBSTITUTE(BA$1,RIGHT(BA$1,2),""),VLOOKUP($D192,素材!$1:$1016,COLUMN($F$1),FALSE))),VLOOKUP($C192,武器!$1:$998,COLUMN($O$1),FALSE)*VLOOKUP($D192,素材!$1:$1016,COLUMN($E$1),FALSE)/(LEN(VLOOKUP($D192,素材!$1:$1016,COLUMN($F$1),FALSE))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BB192">
        <f>IF(ISNUMBER(SEARCH(SUBSTITUTE(BB$1,RIGHT(BB$1,2),""),VLOOKUP($D192,素材!$1:$1016,COLUMN($F$1),FALSE))),VLOOKUP($C192,武器!$1:$998,COLUMN($O$1),FALSE)*VLOOKUP($D192,素材!$1:$1016,COLUMN($E$1),FALSE)/(LEN(VLOOKUP($D192,素材!$1:$1016,COLUMN($F$1),FALSE))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BC192">
        <f>IF(ISNUMBER(SEARCH(SUBSTITUTE(BC$1,RIGHT(BC$1,2),""),VLOOKUP($D192,素材!$1:$1016,COLUMN($F$1),FALSE))),VLOOKUP($C192,武器!$1:$998,COLUMN($O$1),FALSE)*VLOOKUP($D192,素材!$1:$1016,COLUMN($E$1),FALSE)/(LEN(VLOOKUP($D192,素材!$1:$1016,COLUMN($F$1),FALSE))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BD192">
        <f>IF(ISNUMBER(SEARCH(SUBSTITUTE(BD$1,RIGHT(BD$1,2),""),VLOOKUP($D192,素材!$1:$1016,COLUMN($F$1),FALSE))),VLOOKUP($C192,武器!$1:$998,COLUMN($O$1),FALSE)*VLOOKUP($D192,素材!$1:$1016,COLUMN($E$1),FALSE)/(LEN(VLOOKUP($D192,素材!$1:$1016,COLUMN($F$1),FALSE))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BE192">
        <f>IF(ISNUMBER(SEARCH(SUBSTITUTE(BE$1,RIGHT(BE$1,2),""),VLOOKUP($D192,素材!$1:$1016,COLUMN($F$1),FALSE))),VLOOKUP($C192,武器!$1:$998,COLUMN($O$1),FALSE)*VLOOKUP($D192,素材!$1:$1016,COLUMN($E$1),FALSE)/(LEN(VLOOKUP($D192,素材!$1:$1016,COLUMN($F$1),FALSE))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BF192">
        <f>IF(ISNUMBER(SEARCH(SUBSTITUTE(BF$1,RIGHT(BF$1,2),""),VLOOKUP($D192,素材!$1:$1016,COLUMN($F$1),FALSE))),VLOOKUP($C192,武器!$1:$998,COLUMN($O$1),FALSE)*VLOOKUP($D192,素材!$1:$1016,COLUMN($E$1),FALSE)/(LEN(VLOOKUP($D192,素材!$1:$1016,COLUMN($F$1),FALSE)) - LEN(SUBSTITUTE(VLOOKUP($D192,素材!$1:$1016,COLUMN($F$1),FALSE), "・", 0)) + 1), 0)</f>
        <v>0</v>
      </c>
      <c r="CM192">
        <f t="shared" si="19"/>
        <v>24</v>
      </c>
      <c r="CN192" s="22" t="str">
        <f>IF(E192="武器",IF(J192-1&gt;SUM(G192:I192),"盾",IF(MAX(G192:I192)=G192,"切断",IF(MAX(G192:I192)=H192,"貫通",IF(MAX(G192:I192)=I192,"打撃","射撃")))),E192)&amp;".webp"</f>
        <v>切断.webp</v>
      </c>
      <c r="CO192">
        <f>IFERROR(VLOOKUP($C192,武器!$1:$998,COLUMN(V$1),FALSE)*VLOOKUP($D192,素材!$1:$1016,COLUMN(N$1),FALSE)+IF(CJ192="",0,VLOOKUP($CJ192,装強!$1:$1008,COLUMN($CL$1),FALSE)),"")</f>
        <v>3000</v>
      </c>
      <c r="CP192">
        <f>VLOOKUP(D192,素材!$A:$O,COLUMN(素材!O$1),FALSE)</f>
        <v>0</v>
      </c>
      <c r="CQ192" t="str">
        <f>VLOOKUP(C192,武器!$A:$W,COLUMN(武器!W$1),FALSE)</f>
        <v>刀。切断力に優れた武器で、Cr威力が高い</v>
      </c>
      <c r="CS192" t="str">
        <f t="shared" si="21"/>
        <v>e_192</v>
      </c>
      <c r="CT192">
        <f t="shared" si="24"/>
        <v>300000</v>
      </c>
    </row>
    <row r="193" spans="1:98" outlineLevel="1" x14ac:dyDescent="0.4">
      <c r="A193" t="str">
        <f t="shared" si="30"/>
        <v>冷気鉄の剣</v>
      </c>
      <c r="B193" t="str">
        <f>IFERROR(VLOOKUP($D193,素材!$1:$1016,COLUMN($B$1),FALSE)&amp;"・"&amp;VLOOKUP($C193,武器!$1:$998,COLUMN(B$1),FALSE),"")</f>
        <v>ドゥララン・ソード</v>
      </c>
      <c r="C193" s="24" t="s">
        <v>240</v>
      </c>
      <c r="D193" s="24" t="s">
        <v>243</v>
      </c>
      <c r="E193" t="str">
        <f>IFERROR(VLOOKUP(C193,武器!$1:$998,COLUMN(C$1),FALSE),"")</f>
        <v>武器</v>
      </c>
      <c r="F193">
        <f>IFERROR(ROUNDDOWN((VLOOKUP($C193,武器!$1:$998,COLUMN(D$1),FALSE)+IFERROR(VLOOKUP($CJ193,装強!$1:$999,COLUMN(F$1),FALSE),0))*VLOOKUP($D193,素材!$1:$1016,COLUMN(D$1),FALSE),0),"")</f>
        <v>100</v>
      </c>
      <c r="G193">
        <f>IFERROR(ROUNDDOWN((VLOOKUP($C193,武器!$1:$998,COLUMN(E$1),FALSE)+IFERROR(VLOOKUP($CJ193,装強!$1:$999,COLUMN(G$1),FALSE),0))*VLOOKUP($D193,素材!$1:$1016,COLUMN($E$1),FALSE),0),"")</f>
        <v>12</v>
      </c>
      <c r="H193">
        <f>IFERROR(ROUNDDOWN((VLOOKUP($C193,武器!$1:$998,COLUMN(F$1),FALSE)+IFERROR(VLOOKUP($CJ193,装強!$1:$999,COLUMN(H$1),FALSE),0))*VLOOKUP($D193,素材!$1:$1016,COLUMN($E$1),FALSE),0),"")</f>
        <v>9</v>
      </c>
      <c r="I193">
        <f>IFERROR(ROUNDDOWN((VLOOKUP($C193,武器!$1:$998,COLUMN(G$1),FALSE)+IFERROR(VLOOKUP($CJ193,装強!$1:$999,COLUMN(I$1),FALSE),0))*VLOOKUP($D193,素材!$1:$1016,COLUMN($E$1),FALSE),0),"")</f>
        <v>3</v>
      </c>
      <c r="J193">
        <f>IFERROR(ROUNDDOWN((VLOOKUP($C193,武器!$1:$998,COLUMN(H$1),FALSE)+IFERROR(VLOOKUP($CJ193,装強!$1:$999,COLUMN(J$1),FALSE),0))*VLOOKUP($D193,素材!$1:$1016,COLUMN($E$1),FALSE),0),"")</f>
        <v>19</v>
      </c>
      <c r="K193">
        <f>IFERROR(ROUNDDOWN((VLOOKUP($C193,武器!$1:$998,COLUMN(I$1),FALSE)+IFERROR(VLOOKUP($CJ193,装強!$1:$999,COLUMN(K$1),FALSE),0))*VLOOKUP($D193,素材!$1:$1016,COLUMN($E$1),FALSE),0),"")</f>
        <v>0</v>
      </c>
      <c r="L193" t="str">
        <f>IFERROR(VLOOKUP($D193,素材!$1:$1016,COLUMN($F$1),FALSE),"")</f>
        <v>氷</v>
      </c>
      <c r="M193">
        <f>IFERROR(VLOOKUP($C193,武器!$1:$998,COLUMN(AA$1),FALSE)*VLOOKUP($D193,素材!$1:$1016,COLUMN($G$1),FALSE),"")</f>
        <v>40.25</v>
      </c>
      <c r="N193">
        <f>IFERROR(VLOOKUP($C193,武器!$1:$998,COLUMN(I$1),FALSE),"")</f>
        <v>0</v>
      </c>
      <c r="O193" s="23">
        <f>IFERROR((VLOOKUP($C193,武器!$1:$998,COLUMN(K$1),FALSE)+VLOOKUP($D193,素材!$1:$1016,COLUMN(H$1),FALSE))*100+IFERROR(VLOOKUP($CJ193,装強!$1:$999,COLUMN(O$1),FALSE),0),"")</f>
        <v>10</v>
      </c>
      <c r="P193" s="23">
        <f>IFERROR((VLOOKUP($C193,武器!$1:$998,COLUMN(L$1),FALSE)+VLOOKUP($D193,素材!$1:$1016,COLUMN(I$1),FALSE))*100+IFERROR(VLOOKUP($CJ193,装強!$1:$999,COLUMN(P$1),FALSE),0),"")</f>
        <v>150</v>
      </c>
      <c r="Q193">
        <f>IFERROR(ROUNDUP(VLOOKUP($C193,武器!$1:$998,COLUMN(M$1),FALSE)*(VLOOKUP($D193,素材!$1:$1002,COLUMN(D$1),FALSE)/100),1),"")</f>
        <v>0</v>
      </c>
      <c r="R193">
        <f>IFERROR(ROUNDUP(VLOOKUP($C193,武器!$1:$998,COLUMN(N$1),FALSE)*(VLOOKUP($D193,素材!$1:$1002,COLUMN(D$1),FALSE)/100),1),"")</f>
        <v>0</v>
      </c>
      <c r="S193">
        <f>IFERROR(VLOOKUP($C193,武器!$1:$998,COLUMN(P$1),FALSE),"")</f>
        <v>0</v>
      </c>
      <c r="T193">
        <f>IFERROR(VLOOKUP($C193,武器!$1:$998,COLUMN(Q$1),FALSE),"")</f>
        <v>0</v>
      </c>
      <c r="U193">
        <f>IFERROR(VLOOKUP($C193,武器!$1:$998,COLUMN(R$1),FALSE),"")</f>
        <v>0</v>
      </c>
      <c r="V193">
        <f>IFERROR(VLOOKUP($C193,武器!$1:$998,COLUMN(Q$1),FALSE),"")</f>
        <v>0</v>
      </c>
      <c r="W193" t="str">
        <f>IFERROR(VLOOKUP($C193,武器!$1:$998,COLUMN(T$1),FALSE),"")</f>
        <v>A</v>
      </c>
      <c r="Y193" t="str">
        <f>IFERROR(VLOOKUP($C193,武器!$1:$998,COLUMN(U$1),FALSE),"")</f>
        <v>片手適正Ⅰ</v>
      </c>
      <c r="Z193">
        <f>IFERROR(ROUNDUP(VLOOKUP($C193,武器!$1:$998,COLUMN(O$1),FALSE)*VLOOKUP($D193,素材!$1:$1016,COLUMN(E$1),FALSE),1),"")</f>
        <v>0</v>
      </c>
      <c r="AA193">
        <f>IF(ISNUMBER(SEARCH(SUBSTITUTE(AA$1,RIGHT(AA$1,2),""),VLOOKUP($D193,素材!$1:$1016,COLUMN($F$1),FALSE))),VLOOKUP($C193,武器!$1:$998,COLUMN($O$1),FALSE)*VLOOKUP($D193,素材!$1:$1016,COLUMN($E$1),FALSE)/(LEN(VLOOKUP($D193,素材!$1:$1016,COLUMN($F$1),FALSE))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B193">
        <f>IF(ISNUMBER(SEARCH(SUBSTITUTE(AB$1,RIGHT(AB$1,2),""),VLOOKUP($D193,素材!$1:$1016,COLUMN($F$1),FALSE))),VLOOKUP($C193,武器!$1:$998,COLUMN($O$1),FALSE)*VLOOKUP($D193,素材!$1:$1016,COLUMN($E$1),FALSE)/(LEN(VLOOKUP($D193,素材!$1:$1016,COLUMN($F$1),FALSE))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C193">
        <f>IF(ISNUMBER(SEARCH(SUBSTITUTE(AC$1,RIGHT(AC$1,2),""),VLOOKUP($D193,素材!$1:$1016,COLUMN($F$1),FALSE))),VLOOKUP($C193,武器!$1:$998,COLUMN($O$1),FALSE)*VLOOKUP($D193,素材!$1:$1016,COLUMN($E$1),FALSE)/(LEN(VLOOKUP($D193,素材!$1:$1016,COLUMN($F$1),FALSE))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D193">
        <f>IF(ISNUMBER(SEARCH(SUBSTITUTE(AD$1,RIGHT(AD$1,2),""),VLOOKUP($D193,素材!$1:$1016,COLUMN($F$1),FALSE))),VLOOKUP($C193,武器!$1:$998,COLUMN($O$1),FALSE)*VLOOKUP($D193,素材!$1:$1016,COLUMN($E$1),FALSE)/(LEN(VLOOKUP($D193,素材!$1:$1016,COLUMN($F$1),FALSE))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E193">
        <f>IF(ISNUMBER(SEARCH(SUBSTITUTE(AE$1,RIGHT(AE$1,2),""),VLOOKUP($D193,素材!$1:$1016,COLUMN($F$1),FALSE))),VLOOKUP($C193,武器!$1:$998,COLUMN($O$1),FALSE)*VLOOKUP($D193,素材!$1:$1016,COLUMN($E$1),FALSE)/(LEN(VLOOKUP($D193,素材!$1:$1016,COLUMN($F$1),FALSE))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F193">
        <f>IF(ISNUMBER(SEARCH(SUBSTITUTE(AF$1,RIGHT(AF$1,2),""),VLOOKUP($D193,素材!$1:$1016,COLUMN($F$1),FALSE))),VLOOKUP($C193,武器!$1:$998,COLUMN($O$1),FALSE)*VLOOKUP($D193,素材!$1:$1016,COLUMN($E$1),FALSE)/(LEN(VLOOKUP($D193,素材!$1:$1016,COLUMN($F$1),FALSE))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G193">
        <f>IF(ISNUMBER(SEARCH(SUBSTITUTE(AG$1,RIGHT(AG$1,2),""),VLOOKUP($D193,素材!$1:$1016,COLUMN($F$1),FALSE))),VLOOKUP($C193,武器!$1:$998,COLUMN($O$1),FALSE)*VLOOKUP($D193,素材!$1:$1016,COLUMN($E$1),FALSE)/(LEN(VLOOKUP($D193,素材!$1:$1016,COLUMN($F$1),FALSE))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H193">
        <f>IF(ISNUMBER(SEARCH(SUBSTITUTE(AH$1,RIGHT(AH$1,2),""),VLOOKUP($D193,素材!$1:$1016,COLUMN($F$1),FALSE))),VLOOKUP($C193,武器!$1:$998,COLUMN($O$1),FALSE)*VLOOKUP($D193,素材!$1:$1016,COLUMN($E$1),FALSE)/(LEN(VLOOKUP($D193,素材!$1:$1016,COLUMN($F$1),FALSE))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I193">
        <f>IF(ISNUMBER(SEARCH(SUBSTITUTE(AI$1,RIGHT(AI$1,2),""),VLOOKUP($D193,素材!$1:$1016,COLUMN($F$1),FALSE))),VLOOKUP($C193,武器!$1:$998,COLUMN($O$1),FALSE)*VLOOKUP($D193,素材!$1:$1016,COLUMN($E$1),FALSE)/(LEN(VLOOKUP($D193,素材!$1:$1016,COLUMN($F$1),FALSE))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J193">
        <f>IF(ISNUMBER(SEARCH(SUBSTITUTE(AJ$1,RIGHT(AJ$1,2),""),VLOOKUP($D193,素材!$1:$1016,COLUMN($F$1),FALSE))),VLOOKUP($C193,武器!$1:$998,COLUMN($O$1),FALSE)*VLOOKUP($D193,素材!$1:$1016,COLUMN($E$1),FALSE)/(LEN(VLOOKUP($D193,素材!$1:$1016,COLUMN($F$1),FALSE))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K193">
        <f>IF(ISNUMBER(SEARCH(SUBSTITUTE(AK$1,RIGHT(AK$1,2),""),VLOOKUP($D193,素材!$1:$1016,COLUMN($F$1),FALSE))),VLOOKUP($C193,武器!$1:$998,COLUMN($O$1),FALSE)*VLOOKUP($D193,素材!$1:$1016,COLUMN($E$1),FALSE)/(LEN(VLOOKUP($D193,素材!$1:$1016,COLUMN($F$1),FALSE))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L193">
        <f>IF(ISNUMBER(SEARCH(SUBSTITUTE(AL$1,RIGHT(AL$1,2),""),VLOOKUP($D193,素材!$1:$1016,COLUMN($F$1),FALSE))),VLOOKUP($C193,武器!$1:$998,COLUMN($O$1),FALSE)*VLOOKUP($D193,素材!$1:$1016,COLUMN($E$1),FALSE)/(LEN(VLOOKUP($D193,素材!$1:$1016,COLUMN($F$1),FALSE))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M193">
        <f>IF(ISNUMBER(SEARCH(SUBSTITUTE(AM$1,RIGHT(AM$1,2),""),VLOOKUP($D193,素材!$1:$1016,COLUMN($F$1),FALSE))),VLOOKUP($C193,武器!$1:$998,COLUMN($O$1),FALSE)*VLOOKUP($D193,素材!$1:$1016,COLUMN($E$1),FALSE)/(LEN(VLOOKUP($D193,素材!$1:$1016,COLUMN($F$1),FALSE))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N193">
        <f>IF(ISNUMBER(SEARCH(SUBSTITUTE(AN$1,RIGHT(AN$1,2),""),VLOOKUP($D193,素材!$1:$1016,COLUMN($F$1),FALSE))),VLOOKUP($C193,武器!$1:$998,COLUMN($O$1),FALSE)*VLOOKUP($D193,素材!$1:$1016,COLUMN($E$1),FALSE)/(LEN(VLOOKUP($D193,素材!$1:$1016,COLUMN($F$1),FALSE))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O193">
        <f>IF(ISNUMBER(SEARCH(SUBSTITUTE(AO$1,RIGHT(AO$1,2),""),VLOOKUP($D193,素材!$1:$1016,COLUMN($F$1),FALSE))),VLOOKUP($C193,武器!$1:$998,COLUMN($O$1),FALSE)*VLOOKUP($D193,素材!$1:$1016,COLUMN($E$1),FALSE)/(LEN(VLOOKUP($D193,素材!$1:$1016,COLUMN($F$1),FALSE))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P193">
        <f>IF(ISNUMBER(SEARCH(SUBSTITUTE(AP$1,RIGHT(AP$1,2),""),VLOOKUP($D193,素材!$1:$1016,COLUMN($F$1),FALSE))),VLOOKUP($C193,武器!$1:$998,COLUMN($O$1),FALSE)*VLOOKUP($D193,素材!$1:$1016,COLUMN($E$1),FALSE)/(LEN(VLOOKUP($D193,素材!$1:$1016,COLUMN($F$1),FALSE))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Q193">
        <f>IF(ISNUMBER(SEARCH(SUBSTITUTE(AQ$1,RIGHT(AQ$1,2),""),VLOOKUP($D193,素材!$1:$1016,COLUMN($F$1),FALSE))),VLOOKUP($C193,武器!$1:$998,COLUMN($O$1),FALSE)*VLOOKUP($D193,素材!$1:$1016,COLUMN($E$1),FALSE)/(LEN(VLOOKUP($D193,素材!$1:$1016,COLUMN($F$1),FALSE))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R193">
        <f>IF(ISNUMBER(SEARCH(SUBSTITUTE(AR$1,RIGHT(AR$1,2),""),VLOOKUP($D193,素材!$1:$1016,COLUMN($F$1),FALSE))),VLOOKUP($C193,武器!$1:$998,COLUMN($O$1),FALSE)*VLOOKUP($D193,素材!$1:$1016,COLUMN($E$1),FALSE)/(LEN(VLOOKUP($D193,素材!$1:$1016,COLUMN($F$1),FALSE))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S193">
        <f>IF(ISNUMBER(SEARCH(SUBSTITUTE(AS$1,RIGHT(AS$1,2),""),VLOOKUP($D193,素材!$1:$1016,COLUMN($F$1),FALSE))),VLOOKUP($C193,武器!$1:$998,COLUMN($O$1),FALSE)*VLOOKUP($D193,素材!$1:$1016,COLUMN($E$1),FALSE)/(LEN(VLOOKUP($D193,素材!$1:$1016,COLUMN($F$1),FALSE))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T193">
        <f>IF(ISNUMBER(SEARCH(SUBSTITUTE(AT$1,RIGHT(AT$1,2),""),VLOOKUP($D193,素材!$1:$1016,COLUMN($F$1),FALSE))),VLOOKUP($C193,武器!$1:$998,COLUMN($O$1),FALSE)*VLOOKUP($D193,素材!$1:$1016,COLUMN($E$1),FALSE)/(LEN(VLOOKUP($D193,素材!$1:$1016,COLUMN($F$1),FALSE))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U193">
        <f>IF(ISNUMBER(SEARCH(SUBSTITUTE(AU$1,RIGHT(AU$1,2),""),VLOOKUP($D193,素材!$1:$1016,COLUMN($F$1),FALSE))),VLOOKUP($C193,武器!$1:$998,COLUMN($O$1),FALSE)*VLOOKUP($D193,素材!$1:$1016,COLUMN($E$1),FALSE)/(LEN(VLOOKUP($D193,素材!$1:$1016,COLUMN($F$1),FALSE))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V193">
        <f>IF(ISNUMBER(SEARCH(SUBSTITUTE(AV$1,RIGHT(AV$1,2),""),VLOOKUP($D193,素材!$1:$1016,COLUMN($F$1),FALSE))),VLOOKUP($C193,武器!$1:$998,COLUMN($O$1),FALSE)*VLOOKUP($D193,素材!$1:$1016,COLUMN($E$1),FALSE)/(LEN(VLOOKUP($D193,素材!$1:$1016,COLUMN($F$1),FALSE))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W193">
        <f>IF(ISNUMBER(SEARCH(SUBSTITUTE(AW$1,RIGHT(AW$1,2),""),VLOOKUP($D193,素材!$1:$1016,COLUMN($F$1),FALSE))),VLOOKUP($C193,武器!$1:$998,COLUMN($O$1),FALSE)*VLOOKUP($D193,素材!$1:$1016,COLUMN($E$1),FALSE)/(LEN(VLOOKUP($D193,素材!$1:$1016,COLUMN($F$1),FALSE))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X193">
        <f>IF(ISNUMBER(SEARCH(SUBSTITUTE(AX$1,RIGHT(AX$1,2),""),VLOOKUP($D193,素材!$1:$1016,COLUMN($F$1),FALSE))),VLOOKUP($C193,武器!$1:$998,COLUMN($O$1),FALSE)*VLOOKUP($D193,素材!$1:$1016,COLUMN($E$1),FALSE)/(LEN(VLOOKUP($D193,素材!$1:$1016,COLUMN($F$1),FALSE))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Y193">
        <f>IF(ISNUMBER(SEARCH(SUBSTITUTE(AY$1,RIGHT(AY$1,2),""),VLOOKUP($D193,素材!$1:$1016,COLUMN($F$1),FALSE))),VLOOKUP($C193,武器!$1:$998,COLUMN($O$1),FALSE)*VLOOKUP($D193,素材!$1:$1016,COLUMN($E$1),FALSE)/(LEN(VLOOKUP($D193,素材!$1:$1016,COLUMN($F$1),FALSE))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AZ193">
        <f>IF(ISNUMBER(SEARCH(SUBSTITUTE(AZ$1,RIGHT(AZ$1,2),""),VLOOKUP($D193,素材!$1:$1016,COLUMN($F$1),FALSE))),VLOOKUP($C193,武器!$1:$998,COLUMN($O$1),FALSE)*VLOOKUP($D193,素材!$1:$1016,COLUMN($E$1),FALSE)/(LEN(VLOOKUP($D193,素材!$1:$1016,COLUMN($F$1),FALSE))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BA193">
        <f>IF(ISNUMBER(SEARCH(SUBSTITUTE(BA$1,RIGHT(BA$1,2),""),VLOOKUP($D193,素材!$1:$1016,COLUMN($F$1),FALSE))),VLOOKUP($C193,武器!$1:$998,COLUMN($O$1),FALSE)*VLOOKUP($D193,素材!$1:$1016,COLUMN($E$1),FALSE)/(LEN(VLOOKUP($D193,素材!$1:$1016,COLUMN($F$1),FALSE))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BB193">
        <f>IF(ISNUMBER(SEARCH(SUBSTITUTE(BB$1,RIGHT(BB$1,2),""),VLOOKUP($D193,素材!$1:$1016,COLUMN($F$1),FALSE))),VLOOKUP($C193,武器!$1:$998,COLUMN($O$1),FALSE)*VLOOKUP($D193,素材!$1:$1016,COLUMN($E$1),FALSE)/(LEN(VLOOKUP($D193,素材!$1:$1016,COLUMN($F$1),FALSE))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BC193">
        <f>IF(ISNUMBER(SEARCH(SUBSTITUTE(BC$1,RIGHT(BC$1,2),""),VLOOKUP($D193,素材!$1:$1016,COLUMN($F$1),FALSE))),VLOOKUP($C193,武器!$1:$998,COLUMN($O$1),FALSE)*VLOOKUP($D193,素材!$1:$1016,COLUMN($E$1),FALSE)/(LEN(VLOOKUP($D193,素材!$1:$1016,COLUMN($F$1),FALSE))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BD193">
        <f>IF(ISNUMBER(SEARCH(SUBSTITUTE(BD$1,RIGHT(BD$1,2),""),VLOOKUP($D193,素材!$1:$1016,COLUMN($F$1),FALSE))),VLOOKUP($C193,武器!$1:$998,COLUMN($O$1),FALSE)*VLOOKUP($D193,素材!$1:$1016,COLUMN($E$1),FALSE)/(LEN(VLOOKUP($D193,素材!$1:$1016,COLUMN($F$1),FALSE))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BE193">
        <f>IF(ISNUMBER(SEARCH(SUBSTITUTE(BE$1,RIGHT(BE$1,2),""),VLOOKUP($D193,素材!$1:$1016,COLUMN($F$1),FALSE))),VLOOKUP($C193,武器!$1:$998,COLUMN($O$1),FALSE)*VLOOKUP($D193,素材!$1:$1016,COLUMN($E$1),FALSE)/(LEN(VLOOKUP($D193,素材!$1:$1016,COLUMN($F$1),FALSE))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BF193">
        <f>IF(ISNUMBER(SEARCH(SUBSTITUTE(BF$1,RIGHT(BF$1,2),""),VLOOKUP($D193,素材!$1:$1016,COLUMN($F$1),FALSE))),VLOOKUP($C193,武器!$1:$998,COLUMN($O$1),FALSE)*VLOOKUP($D193,素材!$1:$1016,COLUMN($E$1),FALSE)/(LEN(VLOOKUP($D193,素材!$1:$1016,COLUMN($F$1),FALSE)) - LEN(SUBSTITUTE(VLOOKUP($D193,素材!$1:$1016,COLUMN($F$1),FALSE), "・", 0)) + 1), 0)</f>
        <v>0</v>
      </c>
      <c r="CM193">
        <f t="shared" si="19"/>
        <v>24</v>
      </c>
      <c r="CN193" s="22" t="str">
        <f>IF(E193="武器",IF(J193-1&gt;SUM(G193:I193),"盾",IF(MAX(G193:I193)=G193,"切断",IF(MAX(G193:I193)=H193,"貫通",IF(MAX(G193:I193)=I193,"打撃","射撃")))),E193)&amp;".webp"</f>
        <v>切断.webp</v>
      </c>
      <c r="CO193">
        <f>IFERROR(VLOOKUP($C193,武器!$1:$998,COLUMN(V$1),FALSE)*VLOOKUP($D193,素材!$1:$1016,COLUMN(N$1),FALSE)+IF(CJ193="",0,VLOOKUP($CJ193,装強!$1:$1008,COLUMN($CL$1),FALSE)),"")</f>
        <v>2250</v>
      </c>
      <c r="CP193">
        <f>VLOOKUP(D193,素材!$A:$O,COLUMN(素材!O$1),FALSE)</f>
        <v>0</v>
      </c>
      <c r="CQ193" t="str">
        <f>VLOOKUP(C193,武器!$A:$W,COLUMN(武器!W$1),FALSE)</f>
        <v>剣。短い剣で片手で扱いやすく、初心者向けの武器。</v>
      </c>
      <c r="CS193" t="str">
        <f t="shared" si="21"/>
        <v>e_193</v>
      </c>
      <c r="CT193">
        <f t="shared" si="24"/>
        <v>225000</v>
      </c>
    </row>
    <row r="194" spans="1:98" outlineLevel="1" x14ac:dyDescent="0.4">
      <c r="A194" t="str">
        <f t="shared" si="30"/>
        <v>冷気鉄の広剣</v>
      </c>
      <c r="B194" t="str">
        <f>IFERROR(VLOOKUP($D194,素材!$1:$1016,COLUMN($B$1),FALSE)&amp;"・"&amp;VLOOKUP($C194,武器!$1:$998,COLUMN(B$1),FALSE),"")</f>
        <v>ドゥララン・ブロードソード</v>
      </c>
      <c r="C194" s="24" t="s">
        <v>239</v>
      </c>
      <c r="D194" s="24" t="s">
        <v>243</v>
      </c>
      <c r="E194" t="str">
        <f>IFERROR(VLOOKUP(C194,武器!$1:$998,COLUMN(C$1),FALSE),"")</f>
        <v>武器</v>
      </c>
      <c r="F194">
        <f>IFERROR(ROUNDDOWN((VLOOKUP($C194,武器!$1:$998,COLUMN(D$1),FALSE)+IFERROR(VLOOKUP($CJ194,装強!$1:$999,COLUMN(F$1),FALSE),0))*VLOOKUP($D194,素材!$1:$1016,COLUMN(D$1),FALSE),0),"")</f>
        <v>110</v>
      </c>
      <c r="G194">
        <f>IFERROR(ROUNDDOWN((VLOOKUP($C194,武器!$1:$998,COLUMN(E$1),FALSE)+IFERROR(VLOOKUP($CJ194,装強!$1:$999,COLUMN(G$1),FALSE),0))*VLOOKUP($D194,素材!$1:$1016,COLUMN($E$1),FALSE),0),"")</f>
        <v>12</v>
      </c>
      <c r="H194">
        <f>IFERROR(ROUNDDOWN((VLOOKUP($C194,武器!$1:$998,COLUMN(F$1),FALSE)+IFERROR(VLOOKUP($CJ194,装強!$1:$999,COLUMN(H$1),FALSE),0))*VLOOKUP($D194,素材!$1:$1016,COLUMN($E$1),FALSE),0),"")</f>
        <v>8</v>
      </c>
      <c r="I194">
        <f>IFERROR(ROUNDDOWN((VLOOKUP($C194,武器!$1:$998,COLUMN(G$1),FALSE)+IFERROR(VLOOKUP($CJ194,装強!$1:$999,COLUMN(I$1),FALSE),0))*VLOOKUP($D194,素材!$1:$1016,COLUMN($E$1),FALSE),0),"")</f>
        <v>3</v>
      </c>
      <c r="J194">
        <f>IFERROR(ROUNDDOWN((VLOOKUP($C194,武器!$1:$998,COLUMN(H$1),FALSE)+IFERROR(VLOOKUP($CJ194,装強!$1:$999,COLUMN(J$1),FALSE),0))*VLOOKUP($D194,素材!$1:$1016,COLUMN($E$1),FALSE),0),"")</f>
        <v>23</v>
      </c>
      <c r="K194">
        <f>IFERROR(ROUNDDOWN((VLOOKUP($C194,武器!$1:$998,COLUMN(I$1),FALSE)+IFERROR(VLOOKUP($CJ194,装強!$1:$999,COLUMN(K$1),FALSE),0))*VLOOKUP($D194,素材!$1:$1016,COLUMN($E$1),FALSE),0),"")</f>
        <v>0</v>
      </c>
      <c r="L194" t="str">
        <f>IFERROR(VLOOKUP($D194,素材!$1:$1016,COLUMN($F$1),FALSE),"")</f>
        <v>氷</v>
      </c>
      <c r="M194">
        <f>IFERROR(VLOOKUP($C194,武器!$1:$998,COLUMN(AA$1),FALSE)*VLOOKUP($D194,素材!$1:$1016,COLUMN($G$1),FALSE),"")</f>
        <v>40.25</v>
      </c>
      <c r="N194">
        <f>IFERROR(VLOOKUP($C194,武器!$1:$998,COLUMN(I$1),FALSE),"")</f>
        <v>0</v>
      </c>
      <c r="O194" s="23">
        <f>IFERROR((VLOOKUP($C194,武器!$1:$998,COLUMN(K$1),FALSE)+VLOOKUP($D194,素材!$1:$1016,COLUMN(H$1),FALSE))*100+IFERROR(VLOOKUP($CJ194,装強!$1:$999,COLUMN(O$1),FALSE),0),"")</f>
        <v>10</v>
      </c>
      <c r="P194" s="23">
        <f>IFERROR((VLOOKUP($C194,武器!$1:$998,COLUMN(L$1),FALSE)+VLOOKUP($D194,素材!$1:$1016,COLUMN(I$1),FALSE))*100+IFERROR(VLOOKUP($CJ194,装強!$1:$999,COLUMN(P$1),FALSE),0),"")</f>
        <v>150</v>
      </c>
      <c r="Q194">
        <f>IFERROR(ROUNDUP(VLOOKUP($C194,武器!$1:$998,COLUMN(M$1),FALSE)*(VLOOKUP($D194,素材!$1:$1002,COLUMN(D$1),FALSE)/100),1),"")</f>
        <v>-2.5</v>
      </c>
      <c r="R194">
        <f>IFERROR(ROUNDUP(VLOOKUP($C194,武器!$1:$998,COLUMN(N$1),FALSE)*(VLOOKUP($D194,素材!$1:$1002,COLUMN(D$1),FALSE)/100),1),"")</f>
        <v>-2.5</v>
      </c>
      <c r="S194">
        <f>IFERROR(VLOOKUP($C194,武器!$1:$998,COLUMN(P$1),FALSE),"")</f>
        <v>0</v>
      </c>
      <c r="T194">
        <f>IFERROR(VLOOKUP($C194,武器!$1:$998,COLUMN(Q$1),FALSE),"")</f>
        <v>0</v>
      </c>
      <c r="U194">
        <f>IFERROR(VLOOKUP($C194,武器!$1:$998,COLUMN(R$1),FALSE),"")</f>
        <v>0</v>
      </c>
      <c r="V194">
        <f>IFERROR(VLOOKUP($C194,武器!$1:$998,COLUMN(Q$1),FALSE),"")</f>
        <v>0</v>
      </c>
      <c r="W194" t="str">
        <f>IFERROR(VLOOKUP($C194,武器!$1:$998,COLUMN(T$1),FALSE),"")</f>
        <v>A</v>
      </c>
      <c r="Y194">
        <f>IFERROR(VLOOKUP($C194,武器!$1:$998,COLUMN(U$1),FALSE),"")</f>
        <v>0</v>
      </c>
      <c r="Z194">
        <f>IFERROR(ROUNDUP(VLOOKUP($C194,武器!$1:$998,COLUMN(O$1),FALSE)*VLOOKUP($D194,素材!$1:$1016,COLUMN(E$1),FALSE),1),"")</f>
        <v>0</v>
      </c>
      <c r="AA194">
        <f>IF(ISNUMBER(SEARCH(SUBSTITUTE(AA$1,RIGHT(AA$1,2),""),VLOOKUP($D194,素材!$1:$1016,COLUMN($F$1),FALSE))),VLOOKUP($C194,武器!$1:$998,COLUMN($O$1),FALSE)*VLOOKUP($D194,素材!$1:$1016,COLUMN($E$1),FALSE)/(LEN(VLOOKUP($D194,素材!$1:$1016,COLUMN($F$1),FALSE))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B194">
        <f>IF(ISNUMBER(SEARCH(SUBSTITUTE(AB$1,RIGHT(AB$1,2),""),VLOOKUP($D194,素材!$1:$1016,COLUMN($F$1),FALSE))),VLOOKUP($C194,武器!$1:$998,COLUMN($O$1),FALSE)*VLOOKUP($D194,素材!$1:$1016,COLUMN($E$1),FALSE)/(LEN(VLOOKUP($D194,素材!$1:$1016,COLUMN($F$1),FALSE))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C194">
        <f>IF(ISNUMBER(SEARCH(SUBSTITUTE(AC$1,RIGHT(AC$1,2),""),VLOOKUP($D194,素材!$1:$1016,COLUMN($F$1),FALSE))),VLOOKUP($C194,武器!$1:$998,COLUMN($O$1),FALSE)*VLOOKUP($D194,素材!$1:$1016,COLUMN($E$1),FALSE)/(LEN(VLOOKUP($D194,素材!$1:$1016,COLUMN($F$1),FALSE))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D194">
        <f>IF(ISNUMBER(SEARCH(SUBSTITUTE(AD$1,RIGHT(AD$1,2),""),VLOOKUP($D194,素材!$1:$1016,COLUMN($F$1),FALSE))),VLOOKUP($C194,武器!$1:$998,COLUMN($O$1),FALSE)*VLOOKUP($D194,素材!$1:$1016,COLUMN($E$1),FALSE)/(LEN(VLOOKUP($D194,素材!$1:$1016,COLUMN($F$1),FALSE))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E194">
        <f>IF(ISNUMBER(SEARCH(SUBSTITUTE(AE$1,RIGHT(AE$1,2),""),VLOOKUP($D194,素材!$1:$1016,COLUMN($F$1),FALSE))),VLOOKUP($C194,武器!$1:$998,COLUMN($O$1),FALSE)*VLOOKUP($D194,素材!$1:$1016,COLUMN($E$1),FALSE)/(LEN(VLOOKUP($D194,素材!$1:$1016,COLUMN($F$1),FALSE))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F194">
        <f>IF(ISNUMBER(SEARCH(SUBSTITUTE(AF$1,RIGHT(AF$1,2),""),VLOOKUP($D194,素材!$1:$1016,COLUMN($F$1),FALSE))),VLOOKUP($C194,武器!$1:$998,COLUMN($O$1),FALSE)*VLOOKUP($D194,素材!$1:$1016,COLUMN($E$1),FALSE)/(LEN(VLOOKUP($D194,素材!$1:$1016,COLUMN($F$1),FALSE))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G194">
        <f>IF(ISNUMBER(SEARCH(SUBSTITUTE(AG$1,RIGHT(AG$1,2),""),VLOOKUP($D194,素材!$1:$1016,COLUMN($F$1),FALSE))),VLOOKUP($C194,武器!$1:$998,COLUMN($O$1),FALSE)*VLOOKUP($D194,素材!$1:$1016,COLUMN($E$1),FALSE)/(LEN(VLOOKUP($D194,素材!$1:$1016,COLUMN($F$1),FALSE))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H194">
        <f>IF(ISNUMBER(SEARCH(SUBSTITUTE(AH$1,RIGHT(AH$1,2),""),VLOOKUP($D194,素材!$1:$1016,COLUMN($F$1),FALSE))),VLOOKUP($C194,武器!$1:$998,COLUMN($O$1),FALSE)*VLOOKUP($D194,素材!$1:$1016,COLUMN($E$1),FALSE)/(LEN(VLOOKUP($D194,素材!$1:$1016,COLUMN($F$1),FALSE))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I194">
        <f>IF(ISNUMBER(SEARCH(SUBSTITUTE(AI$1,RIGHT(AI$1,2),""),VLOOKUP($D194,素材!$1:$1016,COLUMN($F$1),FALSE))),VLOOKUP($C194,武器!$1:$998,COLUMN($O$1),FALSE)*VLOOKUP($D194,素材!$1:$1016,COLUMN($E$1),FALSE)/(LEN(VLOOKUP($D194,素材!$1:$1016,COLUMN($F$1),FALSE))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J194">
        <f>IF(ISNUMBER(SEARCH(SUBSTITUTE(AJ$1,RIGHT(AJ$1,2),""),VLOOKUP($D194,素材!$1:$1016,COLUMN($F$1),FALSE))),VLOOKUP($C194,武器!$1:$998,COLUMN($O$1),FALSE)*VLOOKUP($D194,素材!$1:$1016,COLUMN($E$1),FALSE)/(LEN(VLOOKUP($D194,素材!$1:$1016,COLUMN($F$1),FALSE))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K194">
        <f>IF(ISNUMBER(SEARCH(SUBSTITUTE(AK$1,RIGHT(AK$1,2),""),VLOOKUP($D194,素材!$1:$1016,COLUMN($F$1),FALSE))),VLOOKUP($C194,武器!$1:$998,COLUMN($O$1),FALSE)*VLOOKUP($D194,素材!$1:$1016,COLUMN($E$1),FALSE)/(LEN(VLOOKUP($D194,素材!$1:$1016,COLUMN($F$1),FALSE))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L194">
        <f>IF(ISNUMBER(SEARCH(SUBSTITUTE(AL$1,RIGHT(AL$1,2),""),VLOOKUP($D194,素材!$1:$1016,COLUMN($F$1),FALSE))),VLOOKUP($C194,武器!$1:$998,COLUMN($O$1),FALSE)*VLOOKUP($D194,素材!$1:$1016,COLUMN($E$1),FALSE)/(LEN(VLOOKUP($D194,素材!$1:$1016,COLUMN($F$1),FALSE))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M194">
        <f>IF(ISNUMBER(SEARCH(SUBSTITUTE(AM$1,RIGHT(AM$1,2),""),VLOOKUP($D194,素材!$1:$1016,COLUMN($F$1),FALSE))),VLOOKUP($C194,武器!$1:$998,COLUMN($O$1),FALSE)*VLOOKUP($D194,素材!$1:$1016,COLUMN($E$1),FALSE)/(LEN(VLOOKUP($D194,素材!$1:$1016,COLUMN($F$1),FALSE))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N194">
        <f>IF(ISNUMBER(SEARCH(SUBSTITUTE(AN$1,RIGHT(AN$1,2),""),VLOOKUP($D194,素材!$1:$1016,COLUMN($F$1),FALSE))),VLOOKUP($C194,武器!$1:$998,COLUMN($O$1),FALSE)*VLOOKUP($D194,素材!$1:$1016,COLUMN($E$1),FALSE)/(LEN(VLOOKUP($D194,素材!$1:$1016,COLUMN($F$1),FALSE))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O194">
        <f>IF(ISNUMBER(SEARCH(SUBSTITUTE(AO$1,RIGHT(AO$1,2),""),VLOOKUP($D194,素材!$1:$1016,COLUMN($F$1),FALSE))),VLOOKUP($C194,武器!$1:$998,COLUMN($O$1),FALSE)*VLOOKUP($D194,素材!$1:$1016,COLUMN($E$1),FALSE)/(LEN(VLOOKUP($D194,素材!$1:$1016,COLUMN($F$1),FALSE))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P194">
        <f>IF(ISNUMBER(SEARCH(SUBSTITUTE(AP$1,RIGHT(AP$1,2),""),VLOOKUP($D194,素材!$1:$1016,COLUMN($F$1),FALSE))),VLOOKUP($C194,武器!$1:$998,COLUMN($O$1),FALSE)*VLOOKUP($D194,素材!$1:$1016,COLUMN($E$1),FALSE)/(LEN(VLOOKUP($D194,素材!$1:$1016,COLUMN($F$1),FALSE))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Q194">
        <f>IF(ISNUMBER(SEARCH(SUBSTITUTE(AQ$1,RIGHT(AQ$1,2),""),VLOOKUP($D194,素材!$1:$1016,COLUMN($F$1),FALSE))),VLOOKUP($C194,武器!$1:$998,COLUMN($O$1),FALSE)*VLOOKUP($D194,素材!$1:$1016,COLUMN($E$1),FALSE)/(LEN(VLOOKUP($D194,素材!$1:$1016,COLUMN($F$1),FALSE))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R194">
        <f>IF(ISNUMBER(SEARCH(SUBSTITUTE(AR$1,RIGHT(AR$1,2),""),VLOOKUP($D194,素材!$1:$1016,COLUMN($F$1),FALSE))),VLOOKUP($C194,武器!$1:$998,COLUMN($O$1),FALSE)*VLOOKUP($D194,素材!$1:$1016,COLUMN($E$1),FALSE)/(LEN(VLOOKUP($D194,素材!$1:$1016,COLUMN($F$1),FALSE))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S194">
        <f>IF(ISNUMBER(SEARCH(SUBSTITUTE(AS$1,RIGHT(AS$1,2),""),VLOOKUP($D194,素材!$1:$1016,COLUMN($F$1),FALSE))),VLOOKUP($C194,武器!$1:$998,COLUMN($O$1),FALSE)*VLOOKUP($D194,素材!$1:$1016,COLUMN($E$1),FALSE)/(LEN(VLOOKUP($D194,素材!$1:$1016,COLUMN($F$1),FALSE))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T194">
        <f>IF(ISNUMBER(SEARCH(SUBSTITUTE(AT$1,RIGHT(AT$1,2),""),VLOOKUP($D194,素材!$1:$1016,COLUMN($F$1),FALSE))),VLOOKUP($C194,武器!$1:$998,COLUMN($O$1),FALSE)*VLOOKUP($D194,素材!$1:$1016,COLUMN($E$1),FALSE)/(LEN(VLOOKUP($D194,素材!$1:$1016,COLUMN($F$1),FALSE))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U194">
        <f>IF(ISNUMBER(SEARCH(SUBSTITUTE(AU$1,RIGHT(AU$1,2),""),VLOOKUP($D194,素材!$1:$1016,COLUMN($F$1),FALSE))),VLOOKUP($C194,武器!$1:$998,COLUMN($O$1),FALSE)*VLOOKUP($D194,素材!$1:$1016,COLUMN($E$1),FALSE)/(LEN(VLOOKUP($D194,素材!$1:$1016,COLUMN($F$1),FALSE))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V194">
        <f>IF(ISNUMBER(SEARCH(SUBSTITUTE(AV$1,RIGHT(AV$1,2),""),VLOOKUP($D194,素材!$1:$1016,COLUMN($F$1),FALSE))),VLOOKUP($C194,武器!$1:$998,COLUMN($O$1),FALSE)*VLOOKUP($D194,素材!$1:$1016,COLUMN($E$1),FALSE)/(LEN(VLOOKUP($D194,素材!$1:$1016,COLUMN($F$1),FALSE))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W194">
        <f>IF(ISNUMBER(SEARCH(SUBSTITUTE(AW$1,RIGHT(AW$1,2),""),VLOOKUP($D194,素材!$1:$1016,COLUMN($F$1),FALSE))),VLOOKUP($C194,武器!$1:$998,COLUMN($O$1),FALSE)*VLOOKUP($D194,素材!$1:$1016,COLUMN($E$1),FALSE)/(LEN(VLOOKUP($D194,素材!$1:$1016,COLUMN($F$1),FALSE))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X194">
        <f>IF(ISNUMBER(SEARCH(SUBSTITUTE(AX$1,RIGHT(AX$1,2),""),VLOOKUP($D194,素材!$1:$1016,COLUMN($F$1),FALSE))),VLOOKUP($C194,武器!$1:$998,COLUMN($O$1),FALSE)*VLOOKUP($D194,素材!$1:$1016,COLUMN($E$1),FALSE)/(LEN(VLOOKUP($D194,素材!$1:$1016,COLUMN($F$1),FALSE))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Y194">
        <f>IF(ISNUMBER(SEARCH(SUBSTITUTE(AY$1,RIGHT(AY$1,2),""),VLOOKUP($D194,素材!$1:$1016,COLUMN($F$1),FALSE))),VLOOKUP($C194,武器!$1:$998,COLUMN($O$1),FALSE)*VLOOKUP($D194,素材!$1:$1016,COLUMN($E$1),FALSE)/(LEN(VLOOKUP($D194,素材!$1:$1016,COLUMN($F$1),FALSE))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AZ194">
        <f>IF(ISNUMBER(SEARCH(SUBSTITUTE(AZ$1,RIGHT(AZ$1,2),""),VLOOKUP($D194,素材!$1:$1016,COLUMN($F$1),FALSE))),VLOOKUP($C194,武器!$1:$998,COLUMN($O$1),FALSE)*VLOOKUP($D194,素材!$1:$1016,COLUMN($E$1),FALSE)/(LEN(VLOOKUP($D194,素材!$1:$1016,COLUMN($F$1),FALSE))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BA194">
        <f>IF(ISNUMBER(SEARCH(SUBSTITUTE(BA$1,RIGHT(BA$1,2),""),VLOOKUP($D194,素材!$1:$1016,COLUMN($F$1),FALSE))),VLOOKUP($C194,武器!$1:$998,COLUMN($O$1),FALSE)*VLOOKUP($D194,素材!$1:$1016,COLUMN($E$1),FALSE)/(LEN(VLOOKUP($D194,素材!$1:$1016,COLUMN($F$1),FALSE))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BB194">
        <f>IF(ISNUMBER(SEARCH(SUBSTITUTE(BB$1,RIGHT(BB$1,2),""),VLOOKUP($D194,素材!$1:$1016,COLUMN($F$1),FALSE))),VLOOKUP($C194,武器!$1:$998,COLUMN($O$1),FALSE)*VLOOKUP($D194,素材!$1:$1016,COLUMN($E$1),FALSE)/(LEN(VLOOKUP($D194,素材!$1:$1016,COLUMN($F$1),FALSE))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BC194">
        <f>IF(ISNUMBER(SEARCH(SUBSTITUTE(BC$1,RIGHT(BC$1,2),""),VLOOKUP($D194,素材!$1:$1016,COLUMN($F$1),FALSE))),VLOOKUP($C194,武器!$1:$998,COLUMN($O$1),FALSE)*VLOOKUP($D194,素材!$1:$1016,COLUMN($E$1),FALSE)/(LEN(VLOOKUP($D194,素材!$1:$1016,COLUMN($F$1),FALSE))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BD194">
        <f>IF(ISNUMBER(SEARCH(SUBSTITUTE(BD$1,RIGHT(BD$1,2),""),VLOOKUP($D194,素材!$1:$1016,COLUMN($F$1),FALSE))),VLOOKUP($C194,武器!$1:$998,COLUMN($O$1),FALSE)*VLOOKUP($D194,素材!$1:$1016,COLUMN($E$1),FALSE)/(LEN(VLOOKUP($D194,素材!$1:$1016,COLUMN($F$1),FALSE))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BE194">
        <f>IF(ISNUMBER(SEARCH(SUBSTITUTE(BE$1,RIGHT(BE$1,2),""),VLOOKUP($D194,素材!$1:$1016,COLUMN($F$1),FALSE))),VLOOKUP($C194,武器!$1:$998,COLUMN($O$1),FALSE)*VLOOKUP($D194,素材!$1:$1016,COLUMN($E$1),FALSE)/(LEN(VLOOKUP($D194,素材!$1:$1016,COLUMN($F$1),FALSE))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BF194">
        <f>IF(ISNUMBER(SEARCH(SUBSTITUTE(BF$1,RIGHT(BF$1,2),""),VLOOKUP($D194,素材!$1:$1016,COLUMN($F$1),FALSE))),VLOOKUP($C194,武器!$1:$998,COLUMN($O$1),FALSE)*VLOOKUP($D194,素材!$1:$1016,COLUMN($E$1),FALSE)/(LEN(VLOOKUP($D194,素材!$1:$1016,COLUMN($F$1),FALSE)) - LEN(SUBSTITUTE(VLOOKUP($D194,素材!$1:$1016,COLUMN($F$1),FALSE), "・", 0)) + 1), 0)</f>
        <v>0</v>
      </c>
      <c r="CM194">
        <f t="shared" si="19"/>
        <v>23</v>
      </c>
      <c r="CN194" s="22" t="str">
        <f>IF(E194="武器",IF(J194-1&gt;SUM(G194:I194),"盾",IF(MAX(G194:I194)=G194,"切断",IF(MAX(G194:I194)=H194,"貫通",IF(MAX(G194:I194)=I194,"打撃","射撃")))),E194)&amp;".webp"</f>
        <v>切断.webp</v>
      </c>
      <c r="CO194">
        <f>IFERROR(VLOOKUP($C194,武器!$1:$998,COLUMN(V$1),FALSE)*VLOOKUP($D194,素材!$1:$1016,COLUMN(N$1),FALSE)+IF(CJ194="",0,VLOOKUP($CJ194,装強!$1:$1008,COLUMN($CL$1),FALSE)),"")</f>
        <v>3000</v>
      </c>
      <c r="CP194">
        <f>VLOOKUP(D194,素材!$A:$O,COLUMN(素材!O$1),FALSE)</f>
        <v>0</v>
      </c>
      <c r="CQ194" t="str">
        <f>VLOOKUP(C194,武器!$A:$W,COLUMN(武器!W$1),FALSE)</f>
        <v>幅の広い剣。扱いにくいが攻撃と防御にも優れている。状況に合わせて立ち回ろう。</v>
      </c>
      <c r="CS194" t="str">
        <f t="shared" si="21"/>
        <v>e_194</v>
      </c>
      <c r="CT194">
        <f t="shared" si="24"/>
        <v>300000</v>
      </c>
    </row>
    <row r="195" spans="1:98" outlineLevel="1" x14ac:dyDescent="0.4">
      <c r="A195" t="str">
        <f t="shared" si="30"/>
        <v>冷気鉄の長剣</v>
      </c>
      <c r="B195" t="str">
        <f>IFERROR(VLOOKUP($D195,素材!$1:$1016,COLUMN($B$1),FALSE)&amp;"・"&amp;VLOOKUP($C195,武器!$1:$998,COLUMN(B$1),FALSE),"")</f>
        <v>ドゥララン・ロングソード</v>
      </c>
      <c r="C195" s="24" t="s">
        <v>238</v>
      </c>
      <c r="D195" s="24" t="s">
        <v>243</v>
      </c>
      <c r="E195" t="str">
        <f>IFERROR(VLOOKUP(C195,武器!$1:$998,COLUMN(C$1),FALSE),"")</f>
        <v>武器</v>
      </c>
      <c r="F195">
        <f>IFERROR(ROUNDDOWN((VLOOKUP($C195,武器!$1:$998,COLUMN(D$1),FALSE)+IFERROR(VLOOKUP($CJ195,装強!$1:$999,COLUMN(F$1),FALSE),0))*VLOOKUP($D195,素材!$1:$1016,COLUMN(D$1),FALSE),0),"")</f>
        <v>115</v>
      </c>
      <c r="G195">
        <f>IFERROR(ROUNDDOWN((VLOOKUP($C195,武器!$1:$998,COLUMN(E$1),FALSE)+IFERROR(VLOOKUP($CJ195,装強!$1:$999,COLUMN(G$1),FALSE),0))*VLOOKUP($D195,素材!$1:$1016,COLUMN($E$1),FALSE),0),"")</f>
        <v>15</v>
      </c>
      <c r="H195">
        <f>IFERROR(ROUNDDOWN((VLOOKUP($C195,武器!$1:$998,COLUMN(F$1),FALSE)+IFERROR(VLOOKUP($CJ195,装強!$1:$999,COLUMN(H$1),FALSE),0))*VLOOKUP($D195,素材!$1:$1016,COLUMN($E$1),FALSE),0),"")</f>
        <v>9</v>
      </c>
      <c r="I195">
        <f>IFERROR(ROUNDDOWN((VLOOKUP($C195,武器!$1:$998,COLUMN(G$1),FALSE)+IFERROR(VLOOKUP($CJ195,装強!$1:$999,COLUMN(I$1),FALSE),0))*VLOOKUP($D195,素材!$1:$1016,COLUMN($E$1),FALSE),0),"")</f>
        <v>3</v>
      </c>
      <c r="J195">
        <f>IFERROR(ROUNDDOWN((VLOOKUP($C195,武器!$1:$998,COLUMN(H$1),FALSE)+IFERROR(VLOOKUP($CJ195,装強!$1:$999,COLUMN(J$1),FALSE),0))*VLOOKUP($D195,素材!$1:$1016,COLUMN($E$1),FALSE),0),"")</f>
        <v>20</v>
      </c>
      <c r="K195">
        <f>IFERROR(ROUNDDOWN((VLOOKUP($C195,武器!$1:$998,COLUMN(I$1),FALSE)+IFERROR(VLOOKUP($CJ195,装強!$1:$999,COLUMN(K$1),FALSE),0))*VLOOKUP($D195,素材!$1:$1016,COLUMN($E$1),FALSE),0),"")</f>
        <v>0</v>
      </c>
      <c r="L195" t="str">
        <f>IFERROR(VLOOKUP($D195,素材!$1:$1016,COLUMN($F$1),FALSE),"")</f>
        <v>氷</v>
      </c>
      <c r="M195">
        <f>IFERROR(VLOOKUP($C195,武器!$1:$998,COLUMN(AA$1),FALSE)*VLOOKUP($D195,素材!$1:$1016,COLUMN($G$1),FALSE),"")</f>
        <v>47.25</v>
      </c>
      <c r="N195">
        <f>IFERROR(VLOOKUP($C195,武器!$1:$998,COLUMN(I$1),FALSE),"")</f>
        <v>0</v>
      </c>
      <c r="O195" s="23">
        <f>IFERROR((VLOOKUP($C195,武器!$1:$998,COLUMN(K$1),FALSE)+VLOOKUP($D195,素材!$1:$1016,COLUMN(H$1),FALSE))*100+IFERROR(VLOOKUP($CJ195,装強!$1:$999,COLUMN(O$1),FALSE),0),"")</f>
        <v>10</v>
      </c>
      <c r="P195" s="23">
        <f>IFERROR((VLOOKUP($C195,武器!$1:$998,COLUMN(L$1),FALSE)+VLOOKUP($D195,素材!$1:$1016,COLUMN(I$1),FALSE))*100+IFERROR(VLOOKUP($CJ195,装強!$1:$999,COLUMN(P$1),FALSE),0),"")</f>
        <v>150</v>
      </c>
      <c r="Q195">
        <f>IFERROR(ROUNDUP(VLOOKUP($C195,武器!$1:$998,COLUMN(M$1),FALSE)*(VLOOKUP($D195,素材!$1:$1002,COLUMN(D$1),FALSE)/100),1),"")</f>
        <v>-2.5</v>
      </c>
      <c r="R195">
        <f>IFERROR(ROUNDUP(VLOOKUP($C195,武器!$1:$998,COLUMN(N$1),FALSE)*(VLOOKUP($D195,素材!$1:$1002,COLUMN(D$1),FALSE)/100),1),"")</f>
        <v>-2.5</v>
      </c>
      <c r="S195">
        <f>IFERROR(VLOOKUP($C195,武器!$1:$998,COLUMN(P$1),FALSE),"")</f>
        <v>0</v>
      </c>
      <c r="T195">
        <f>IFERROR(VLOOKUP($C195,武器!$1:$998,COLUMN(Q$1),FALSE),"")</f>
        <v>0</v>
      </c>
      <c r="U195">
        <f>IFERROR(VLOOKUP($C195,武器!$1:$998,COLUMN(R$1),FALSE),"")</f>
        <v>0</v>
      </c>
      <c r="V195">
        <f>IFERROR(VLOOKUP($C195,武器!$1:$998,COLUMN(Q$1),FALSE),"")</f>
        <v>0</v>
      </c>
      <c r="W195" t="str">
        <f>IFERROR(VLOOKUP($C195,武器!$1:$998,COLUMN(T$1),FALSE),"")</f>
        <v>A</v>
      </c>
      <c r="Y195">
        <f>IFERROR(VLOOKUP($C195,武器!$1:$998,COLUMN(U$1),FALSE),"")</f>
        <v>0</v>
      </c>
      <c r="Z195">
        <f>IFERROR(ROUNDUP(VLOOKUP($C195,武器!$1:$998,COLUMN(O$1),FALSE)*VLOOKUP($D195,素材!$1:$1016,COLUMN(E$1),FALSE),1),"")</f>
        <v>0</v>
      </c>
      <c r="AA195">
        <f>IF(ISNUMBER(SEARCH(SUBSTITUTE(AA$1,RIGHT(AA$1,2),""),VLOOKUP($D195,素材!$1:$1016,COLUMN($F$1),FALSE))),VLOOKUP($C195,武器!$1:$998,COLUMN($O$1),FALSE)*VLOOKUP($D195,素材!$1:$1016,COLUMN($E$1),FALSE)/(LEN(VLOOKUP($D195,素材!$1:$1016,COLUMN($F$1),FALSE))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B195">
        <f>IF(ISNUMBER(SEARCH(SUBSTITUTE(AB$1,RIGHT(AB$1,2),""),VLOOKUP($D195,素材!$1:$1016,COLUMN($F$1),FALSE))),VLOOKUP($C195,武器!$1:$998,COLUMN($O$1),FALSE)*VLOOKUP($D195,素材!$1:$1016,COLUMN($E$1),FALSE)/(LEN(VLOOKUP($D195,素材!$1:$1016,COLUMN($F$1),FALSE))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C195">
        <f>IF(ISNUMBER(SEARCH(SUBSTITUTE(AC$1,RIGHT(AC$1,2),""),VLOOKUP($D195,素材!$1:$1016,COLUMN($F$1),FALSE))),VLOOKUP($C195,武器!$1:$998,COLUMN($O$1),FALSE)*VLOOKUP($D195,素材!$1:$1016,COLUMN($E$1),FALSE)/(LEN(VLOOKUP($D195,素材!$1:$1016,COLUMN($F$1),FALSE))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D195">
        <f>IF(ISNUMBER(SEARCH(SUBSTITUTE(AD$1,RIGHT(AD$1,2),""),VLOOKUP($D195,素材!$1:$1016,COLUMN($F$1),FALSE))),VLOOKUP($C195,武器!$1:$998,COLUMN($O$1),FALSE)*VLOOKUP($D195,素材!$1:$1016,COLUMN($E$1),FALSE)/(LEN(VLOOKUP($D195,素材!$1:$1016,COLUMN($F$1),FALSE))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E195">
        <f>IF(ISNUMBER(SEARCH(SUBSTITUTE(AE$1,RIGHT(AE$1,2),""),VLOOKUP($D195,素材!$1:$1016,COLUMN($F$1),FALSE))),VLOOKUP($C195,武器!$1:$998,COLUMN($O$1),FALSE)*VLOOKUP($D195,素材!$1:$1016,COLUMN($E$1),FALSE)/(LEN(VLOOKUP($D195,素材!$1:$1016,COLUMN($F$1),FALSE))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F195">
        <f>IF(ISNUMBER(SEARCH(SUBSTITUTE(AF$1,RIGHT(AF$1,2),""),VLOOKUP($D195,素材!$1:$1016,COLUMN($F$1),FALSE))),VLOOKUP($C195,武器!$1:$998,COLUMN($O$1),FALSE)*VLOOKUP($D195,素材!$1:$1016,COLUMN($E$1),FALSE)/(LEN(VLOOKUP($D195,素材!$1:$1016,COLUMN($F$1),FALSE))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G195">
        <f>IF(ISNUMBER(SEARCH(SUBSTITUTE(AG$1,RIGHT(AG$1,2),""),VLOOKUP($D195,素材!$1:$1016,COLUMN($F$1),FALSE))),VLOOKUP($C195,武器!$1:$998,COLUMN($O$1),FALSE)*VLOOKUP($D195,素材!$1:$1016,COLUMN($E$1),FALSE)/(LEN(VLOOKUP($D195,素材!$1:$1016,COLUMN($F$1),FALSE))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H195">
        <f>IF(ISNUMBER(SEARCH(SUBSTITUTE(AH$1,RIGHT(AH$1,2),""),VLOOKUP($D195,素材!$1:$1016,COLUMN($F$1),FALSE))),VLOOKUP($C195,武器!$1:$998,COLUMN($O$1),FALSE)*VLOOKUP($D195,素材!$1:$1016,COLUMN($E$1),FALSE)/(LEN(VLOOKUP($D195,素材!$1:$1016,COLUMN($F$1),FALSE))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I195">
        <f>IF(ISNUMBER(SEARCH(SUBSTITUTE(AI$1,RIGHT(AI$1,2),""),VLOOKUP($D195,素材!$1:$1016,COLUMN($F$1),FALSE))),VLOOKUP($C195,武器!$1:$998,COLUMN($O$1),FALSE)*VLOOKUP($D195,素材!$1:$1016,COLUMN($E$1),FALSE)/(LEN(VLOOKUP($D195,素材!$1:$1016,COLUMN($F$1),FALSE))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J195">
        <f>IF(ISNUMBER(SEARCH(SUBSTITUTE(AJ$1,RIGHT(AJ$1,2),""),VLOOKUP($D195,素材!$1:$1016,COLUMN($F$1),FALSE))),VLOOKUP($C195,武器!$1:$998,COLUMN($O$1),FALSE)*VLOOKUP($D195,素材!$1:$1016,COLUMN($E$1),FALSE)/(LEN(VLOOKUP($D195,素材!$1:$1016,COLUMN($F$1),FALSE))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K195">
        <f>IF(ISNUMBER(SEARCH(SUBSTITUTE(AK$1,RIGHT(AK$1,2),""),VLOOKUP($D195,素材!$1:$1016,COLUMN($F$1),FALSE))),VLOOKUP($C195,武器!$1:$998,COLUMN($O$1),FALSE)*VLOOKUP($D195,素材!$1:$1016,COLUMN($E$1),FALSE)/(LEN(VLOOKUP($D195,素材!$1:$1016,COLUMN($F$1),FALSE))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L195">
        <f>IF(ISNUMBER(SEARCH(SUBSTITUTE(AL$1,RIGHT(AL$1,2),""),VLOOKUP($D195,素材!$1:$1016,COLUMN($F$1),FALSE))),VLOOKUP($C195,武器!$1:$998,COLUMN($O$1),FALSE)*VLOOKUP($D195,素材!$1:$1016,COLUMN($E$1),FALSE)/(LEN(VLOOKUP($D195,素材!$1:$1016,COLUMN($F$1),FALSE))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M195">
        <f>IF(ISNUMBER(SEARCH(SUBSTITUTE(AM$1,RIGHT(AM$1,2),""),VLOOKUP($D195,素材!$1:$1016,COLUMN($F$1),FALSE))),VLOOKUP($C195,武器!$1:$998,COLUMN($O$1),FALSE)*VLOOKUP($D195,素材!$1:$1016,COLUMN($E$1),FALSE)/(LEN(VLOOKUP($D195,素材!$1:$1016,COLUMN($F$1),FALSE))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N195">
        <f>IF(ISNUMBER(SEARCH(SUBSTITUTE(AN$1,RIGHT(AN$1,2),""),VLOOKUP($D195,素材!$1:$1016,COLUMN($F$1),FALSE))),VLOOKUP($C195,武器!$1:$998,COLUMN($O$1),FALSE)*VLOOKUP($D195,素材!$1:$1016,COLUMN($E$1),FALSE)/(LEN(VLOOKUP($D195,素材!$1:$1016,COLUMN($F$1),FALSE))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O195">
        <f>IF(ISNUMBER(SEARCH(SUBSTITUTE(AO$1,RIGHT(AO$1,2),""),VLOOKUP($D195,素材!$1:$1016,COLUMN($F$1),FALSE))),VLOOKUP($C195,武器!$1:$998,COLUMN($O$1),FALSE)*VLOOKUP($D195,素材!$1:$1016,COLUMN($E$1),FALSE)/(LEN(VLOOKUP($D195,素材!$1:$1016,COLUMN($F$1),FALSE))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P195">
        <f>IF(ISNUMBER(SEARCH(SUBSTITUTE(AP$1,RIGHT(AP$1,2),""),VLOOKUP($D195,素材!$1:$1016,COLUMN($F$1),FALSE))),VLOOKUP($C195,武器!$1:$998,COLUMN($O$1),FALSE)*VLOOKUP($D195,素材!$1:$1016,COLUMN($E$1),FALSE)/(LEN(VLOOKUP($D195,素材!$1:$1016,COLUMN($F$1),FALSE))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Q195">
        <f>IF(ISNUMBER(SEARCH(SUBSTITUTE(AQ$1,RIGHT(AQ$1,2),""),VLOOKUP($D195,素材!$1:$1016,COLUMN($F$1),FALSE))),VLOOKUP($C195,武器!$1:$998,COLUMN($O$1),FALSE)*VLOOKUP($D195,素材!$1:$1016,COLUMN($E$1),FALSE)/(LEN(VLOOKUP($D195,素材!$1:$1016,COLUMN($F$1),FALSE))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R195">
        <f>IF(ISNUMBER(SEARCH(SUBSTITUTE(AR$1,RIGHT(AR$1,2),""),VLOOKUP($D195,素材!$1:$1016,COLUMN($F$1),FALSE))),VLOOKUP($C195,武器!$1:$998,COLUMN($O$1),FALSE)*VLOOKUP($D195,素材!$1:$1016,COLUMN($E$1),FALSE)/(LEN(VLOOKUP($D195,素材!$1:$1016,COLUMN($F$1),FALSE))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S195">
        <f>IF(ISNUMBER(SEARCH(SUBSTITUTE(AS$1,RIGHT(AS$1,2),""),VLOOKUP($D195,素材!$1:$1016,COLUMN($F$1),FALSE))),VLOOKUP($C195,武器!$1:$998,COLUMN($O$1),FALSE)*VLOOKUP($D195,素材!$1:$1016,COLUMN($E$1),FALSE)/(LEN(VLOOKUP($D195,素材!$1:$1016,COLUMN($F$1),FALSE))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T195">
        <f>IF(ISNUMBER(SEARCH(SUBSTITUTE(AT$1,RIGHT(AT$1,2),""),VLOOKUP($D195,素材!$1:$1016,COLUMN($F$1),FALSE))),VLOOKUP($C195,武器!$1:$998,COLUMN($O$1),FALSE)*VLOOKUP($D195,素材!$1:$1016,COLUMN($E$1),FALSE)/(LEN(VLOOKUP($D195,素材!$1:$1016,COLUMN($F$1),FALSE))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U195">
        <f>IF(ISNUMBER(SEARCH(SUBSTITUTE(AU$1,RIGHT(AU$1,2),""),VLOOKUP($D195,素材!$1:$1016,COLUMN($F$1),FALSE))),VLOOKUP($C195,武器!$1:$998,COLUMN($O$1),FALSE)*VLOOKUP($D195,素材!$1:$1016,COLUMN($E$1),FALSE)/(LEN(VLOOKUP($D195,素材!$1:$1016,COLUMN($F$1),FALSE))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V195">
        <f>IF(ISNUMBER(SEARCH(SUBSTITUTE(AV$1,RIGHT(AV$1,2),""),VLOOKUP($D195,素材!$1:$1016,COLUMN($F$1),FALSE))),VLOOKUP($C195,武器!$1:$998,COLUMN($O$1),FALSE)*VLOOKUP($D195,素材!$1:$1016,COLUMN($E$1),FALSE)/(LEN(VLOOKUP($D195,素材!$1:$1016,COLUMN($F$1),FALSE))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W195">
        <f>IF(ISNUMBER(SEARCH(SUBSTITUTE(AW$1,RIGHT(AW$1,2),""),VLOOKUP($D195,素材!$1:$1016,COLUMN($F$1),FALSE))),VLOOKUP($C195,武器!$1:$998,COLUMN($O$1),FALSE)*VLOOKUP($D195,素材!$1:$1016,COLUMN($E$1),FALSE)/(LEN(VLOOKUP($D195,素材!$1:$1016,COLUMN($F$1),FALSE))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X195">
        <f>IF(ISNUMBER(SEARCH(SUBSTITUTE(AX$1,RIGHT(AX$1,2),""),VLOOKUP($D195,素材!$1:$1016,COLUMN($F$1),FALSE))),VLOOKUP($C195,武器!$1:$998,COLUMN($O$1),FALSE)*VLOOKUP($D195,素材!$1:$1016,COLUMN($E$1),FALSE)/(LEN(VLOOKUP($D195,素材!$1:$1016,COLUMN($F$1),FALSE))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Y195">
        <f>IF(ISNUMBER(SEARCH(SUBSTITUTE(AY$1,RIGHT(AY$1,2),""),VLOOKUP($D195,素材!$1:$1016,COLUMN($F$1),FALSE))),VLOOKUP($C195,武器!$1:$998,COLUMN($O$1),FALSE)*VLOOKUP($D195,素材!$1:$1016,COLUMN($E$1),FALSE)/(LEN(VLOOKUP($D195,素材!$1:$1016,COLUMN($F$1),FALSE))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AZ195">
        <f>IF(ISNUMBER(SEARCH(SUBSTITUTE(AZ$1,RIGHT(AZ$1,2),""),VLOOKUP($D195,素材!$1:$1016,COLUMN($F$1),FALSE))),VLOOKUP($C195,武器!$1:$998,COLUMN($O$1),FALSE)*VLOOKUP($D195,素材!$1:$1016,COLUMN($E$1),FALSE)/(LEN(VLOOKUP($D195,素材!$1:$1016,COLUMN($F$1),FALSE))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BA195">
        <f>IF(ISNUMBER(SEARCH(SUBSTITUTE(BA$1,RIGHT(BA$1,2),""),VLOOKUP($D195,素材!$1:$1016,COLUMN($F$1),FALSE))),VLOOKUP($C195,武器!$1:$998,COLUMN($O$1),FALSE)*VLOOKUP($D195,素材!$1:$1016,COLUMN($E$1),FALSE)/(LEN(VLOOKUP($D195,素材!$1:$1016,COLUMN($F$1),FALSE))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BB195">
        <f>IF(ISNUMBER(SEARCH(SUBSTITUTE(BB$1,RIGHT(BB$1,2),""),VLOOKUP($D195,素材!$1:$1016,COLUMN($F$1),FALSE))),VLOOKUP($C195,武器!$1:$998,COLUMN($O$1),FALSE)*VLOOKUP($D195,素材!$1:$1016,COLUMN($E$1),FALSE)/(LEN(VLOOKUP($D195,素材!$1:$1016,COLUMN($F$1),FALSE))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BC195">
        <f>IF(ISNUMBER(SEARCH(SUBSTITUTE(BC$1,RIGHT(BC$1,2),""),VLOOKUP($D195,素材!$1:$1016,COLUMN($F$1),FALSE))),VLOOKUP($C195,武器!$1:$998,COLUMN($O$1),FALSE)*VLOOKUP($D195,素材!$1:$1016,COLUMN($E$1),FALSE)/(LEN(VLOOKUP($D195,素材!$1:$1016,COLUMN($F$1),FALSE))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BD195">
        <f>IF(ISNUMBER(SEARCH(SUBSTITUTE(BD$1,RIGHT(BD$1,2),""),VLOOKUP($D195,素材!$1:$1016,COLUMN($F$1),FALSE))),VLOOKUP($C195,武器!$1:$998,COLUMN($O$1),FALSE)*VLOOKUP($D195,素材!$1:$1016,COLUMN($E$1),FALSE)/(LEN(VLOOKUP($D195,素材!$1:$1016,COLUMN($F$1),FALSE))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BE195">
        <f>IF(ISNUMBER(SEARCH(SUBSTITUTE(BE$1,RIGHT(BE$1,2),""),VLOOKUP($D195,素材!$1:$1016,COLUMN($F$1),FALSE))),VLOOKUP($C195,武器!$1:$998,COLUMN($O$1),FALSE)*VLOOKUP($D195,素材!$1:$1016,COLUMN($E$1),FALSE)/(LEN(VLOOKUP($D195,素材!$1:$1016,COLUMN($F$1),FALSE))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BF195">
        <f>IF(ISNUMBER(SEARCH(SUBSTITUTE(BF$1,RIGHT(BF$1,2),""),VLOOKUP($D195,素材!$1:$1016,COLUMN($F$1),FALSE))),VLOOKUP($C195,武器!$1:$998,COLUMN($O$1),FALSE)*VLOOKUP($D195,素材!$1:$1016,COLUMN($E$1),FALSE)/(LEN(VLOOKUP($D195,素材!$1:$1016,COLUMN($F$1),FALSE)) - LEN(SUBSTITUTE(VLOOKUP($D195,素材!$1:$1016,COLUMN($F$1),FALSE), "・", 0)) + 1), 0)</f>
        <v>0</v>
      </c>
      <c r="CM195">
        <f t="shared" si="19"/>
        <v>27</v>
      </c>
      <c r="CN195" s="22" t="str">
        <f>IF(E195="武器",IF(J195-1&gt;SUM(G195:I195),"盾",IF(MAX(G195:I195)=G195,"切断",IF(MAX(G195:I195)=H195,"貫通",IF(MAX(G195:I195)=I195,"打撃","射撃")))),E195)&amp;".webp"</f>
        <v>切断.webp</v>
      </c>
      <c r="CO195">
        <f>IFERROR(VLOOKUP($C195,武器!$1:$998,COLUMN(V$1),FALSE)*VLOOKUP($D195,素材!$1:$1016,COLUMN(N$1),FALSE)+IF(CJ195="",0,VLOOKUP($CJ195,装強!$1:$1008,COLUMN($CL$1),FALSE)),"")</f>
        <v>3000</v>
      </c>
      <c r="CP195">
        <f>VLOOKUP(D195,素材!$A:$O,COLUMN(素材!O$1),FALSE)</f>
        <v>0</v>
      </c>
      <c r="CQ195" t="str">
        <f>VLOOKUP(C195,武器!$A:$W,COLUMN(武器!W$1),FALSE)</f>
        <v>長剣。長く重い分扱いにくいが威力が高い。</v>
      </c>
      <c r="CS195" t="str">
        <f t="shared" si="21"/>
        <v>e_195</v>
      </c>
      <c r="CT195">
        <f t="shared" si="24"/>
        <v>300000</v>
      </c>
    </row>
    <row r="196" spans="1:98" outlineLevel="1" x14ac:dyDescent="0.4">
      <c r="A196" t="str">
        <f t="shared" si="30"/>
        <v>冷気鉄の大剣</v>
      </c>
      <c r="B196" t="str">
        <f>IFERROR(VLOOKUP($D196,素材!$1:$1016,COLUMN($B$1),FALSE)&amp;"・"&amp;VLOOKUP($C196,武器!$1:$998,COLUMN(B$1),FALSE),"")</f>
        <v>ドゥララン・バスターソード</v>
      </c>
      <c r="C196" s="24" t="s">
        <v>237</v>
      </c>
      <c r="D196" s="24" t="s">
        <v>243</v>
      </c>
      <c r="E196" t="str">
        <f>IFERROR(VLOOKUP(C196,武器!$1:$998,COLUMN(C$1),FALSE),"")</f>
        <v>武器</v>
      </c>
      <c r="F196">
        <f>IFERROR(ROUNDDOWN((VLOOKUP($C196,武器!$1:$998,COLUMN(D$1),FALSE)+IFERROR(VLOOKUP($CJ196,装強!$1:$999,COLUMN(F$1),FALSE),0))*VLOOKUP($D196,素材!$1:$1016,COLUMN(D$1),FALSE),0),"")</f>
        <v>125</v>
      </c>
      <c r="G196">
        <f>IFERROR(ROUNDDOWN((VLOOKUP($C196,武器!$1:$998,COLUMN(E$1),FALSE)+IFERROR(VLOOKUP($CJ196,装強!$1:$999,COLUMN(G$1),FALSE),0))*VLOOKUP($D196,素材!$1:$1016,COLUMN($E$1),FALSE),0),"")</f>
        <v>18</v>
      </c>
      <c r="H196">
        <f>IFERROR(ROUNDDOWN((VLOOKUP($C196,武器!$1:$998,COLUMN(F$1),FALSE)+IFERROR(VLOOKUP($CJ196,装強!$1:$999,COLUMN(H$1),FALSE),0))*VLOOKUP($D196,素材!$1:$1016,COLUMN($E$1),FALSE),0),"")</f>
        <v>9</v>
      </c>
      <c r="I196">
        <f>IFERROR(ROUNDDOWN((VLOOKUP($C196,武器!$1:$998,COLUMN(G$1),FALSE)+IFERROR(VLOOKUP($CJ196,装強!$1:$999,COLUMN(I$1),FALSE),0))*VLOOKUP($D196,素材!$1:$1016,COLUMN($E$1),FALSE),0),"")</f>
        <v>4</v>
      </c>
      <c r="J196">
        <f>IFERROR(ROUNDDOWN((VLOOKUP($C196,武器!$1:$998,COLUMN(H$1),FALSE)+IFERROR(VLOOKUP($CJ196,装強!$1:$999,COLUMN(J$1),FALSE),0))*VLOOKUP($D196,素材!$1:$1016,COLUMN($E$1),FALSE),0),"")</f>
        <v>22</v>
      </c>
      <c r="K196">
        <f>IFERROR(ROUNDDOWN((VLOOKUP($C196,武器!$1:$998,COLUMN(I$1),FALSE)+IFERROR(VLOOKUP($CJ196,装強!$1:$999,COLUMN(K$1),FALSE),0))*VLOOKUP($D196,素材!$1:$1016,COLUMN($E$1),FALSE),0),"")</f>
        <v>0</v>
      </c>
      <c r="L196" t="str">
        <f>IFERROR(VLOOKUP($D196,素材!$1:$1016,COLUMN($F$1),FALSE),"")</f>
        <v>氷</v>
      </c>
      <c r="M196">
        <f>IFERROR(VLOOKUP($C196,武器!$1:$998,COLUMN(AA$1),FALSE)*VLOOKUP($D196,素材!$1:$1016,COLUMN($G$1),FALSE),"")</f>
        <v>54.25</v>
      </c>
      <c r="N196">
        <f>IFERROR(VLOOKUP($C196,武器!$1:$998,COLUMN(I$1),FALSE),"")</f>
        <v>0</v>
      </c>
      <c r="O196" s="23">
        <f>IFERROR((VLOOKUP($C196,武器!$1:$998,COLUMN(K$1),FALSE)+VLOOKUP($D196,素材!$1:$1016,COLUMN(H$1),FALSE))*100+IFERROR(VLOOKUP($CJ196,装強!$1:$999,COLUMN(O$1),FALSE),0),"")</f>
        <v>10</v>
      </c>
      <c r="P196" s="23">
        <f>IFERROR((VLOOKUP($C196,武器!$1:$998,COLUMN(L$1),FALSE)+VLOOKUP($D196,素材!$1:$1016,COLUMN(I$1),FALSE))*100+IFERROR(VLOOKUP($CJ196,装強!$1:$999,COLUMN(P$1),FALSE),0),"")</f>
        <v>150</v>
      </c>
      <c r="Q196">
        <f>IFERROR(ROUNDUP(VLOOKUP($C196,武器!$1:$998,COLUMN(M$1),FALSE)*(VLOOKUP($D196,素材!$1:$1002,COLUMN(D$1),FALSE)/100),1),"")</f>
        <v>-7.5</v>
      </c>
      <c r="R196">
        <f>IFERROR(ROUNDUP(VLOOKUP($C196,武器!$1:$998,COLUMN(N$1),FALSE)*(VLOOKUP($D196,素材!$1:$1002,COLUMN(D$1),FALSE)/100),1),"")</f>
        <v>-7.5</v>
      </c>
      <c r="S196">
        <f>IFERROR(VLOOKUP($C196,武器!$1:$998,COLUMN(P$1),FALSE),"")</f>
        <v>0</v>
      </c>
      <c r="T196">
        <f>IFERROR(VLOOKUP($C196,武器!$1:$998,COLUMN(Q$1),FALSE),"")</f>
        <v>0</v>
      </c>
      <c r="U196">
        <f>IFERROR(VLOOKUP($C196,武器!$1:$998,COLUMN(R$1),FALSE),"")</f>
        <v>0</v>
      </c>
      <c r="V196">
        <f>IFERROR(VLOOKUP($C196,武器!$1:$998,COLUMN(Q$1),FALSE),"")</f>
        <v>0</v>
      </c>
      <c r="W196" t="str">
        <f>IFERROR(VLOOKUP($C196,武器!$1:$998,COLUMN(T$1),FALSE),"")</f>
        <v>A</v>
      </c>
      <c r="Y196">
        <f>IFERROR(VLOOKUP($C196,武器!$1:$998,COLUMN(U$1),FALSE),"")</f>
        <v>0</v>
      </c>
      <c r="Z196">
        <f>IFERROR(ROUNDUP(VLOOKUP($C196,武器!$1:$998,COLUMN(O$1),FALSE)*VLOOKUP($D196,素材!$1:$1016,COLUMN(E$1),FALSE),1),"")</f>
        <v>0</v>
      </c>
      <c r="AA196">
        <f>IF(ISNUMBER(SEARCH(SUBSTITUTE(AA$1,RIGHT(AA$1,2),""),VLOOKUP($D196,素材!$1:$1016,COLUMN($F$1),FALSE))),VLOOKUP($C196,武器!$1:$998,COLUMN($O$1),FALSE)*VLOOKUP($D196,素材!$1:$1016,COLUMN($E$1),FALSE)/(LEN(VLOOKUP($D196,素材!$1:$1016,COLUMN($F$1),FALSE))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B196">
        <f>IF(ISNUMBER(SEARCH(SUBSTITUTE(AB$1,RIGHT(AB$1,2),""),VLOOKUP($D196,素材!$1:$1016,COLUMN($F$1),FALSE))),VLOOKUP($C196,武器!$1:$998,COLUMN($O$1),FALSE)*VLOOKUP($D196,素材!$1:$1016,COLUMN($E$1),FALSE)/(LEN(VLOOKUP($D196,素材!$1:$1016,COLUMN($F$1),FALSE))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C196">
        <f>IF(ISNUMBER(SEARCH(SUBSTITUTE(AC$1,RIGHT(AC$1,2),""),VLOOKUP($D196,素材!$1:$1016,COLUMN($F$1),FALSE))),VLOOKUP($C196,武器!$1:$998,COLUMN($O$1),FALSE)*VLOOKUP($D196,素材!$1:$1016,COLUMN($E$1),FALSE)/(LEN(VLOOKUP($D196,素材!$1:$1016,COLUMN($F$1),FALSE))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D196">
        <f>IF(ISNUMBER(SEARCH(SUBSTITUTE(AD$1,RIGHT(AD$1,2),""),VLOOKUP($D196,素材!$1:$1016,COLUMN($F$1),FALSE))),VLOOKUP($C196,武器!$1:$998,COLUMN($O$1),FALSE)*VLOOKUP($D196,素材!$1:$1016,COLUMN($E$1),FALSE)/(LEN(VLOOKUP($D196,素材!$1:$1016,COLUMN($F$1),FALSE))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E196">
        <f>IF(ISNUMBER(SEARCH(SUBSTITUTE(AE$1,RIGHT(AE$1,2),""),VLOOKUP($D196,素材!$1:$1016,COLUMN($F$1),FALSE))),VLOOKUP($C196,武器!$1:$998,COLUMN($O$1),FALSE)*VLOOKUP($D196,素材!$1:$1016,COLUMN($E$1),FALSE)/(LEN(VLOOKUP($D196,素材!$1:$1016,COLUMN($F$1),FALSE))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F196">
        <f>IF(ISNUMBER(SEARCH(SUBSTITUTE(AF$1,RIGHT(AF$1,2),""),VLOOKUP($D196,素材!$1:$1016,COLUMN($F$1),FALSE))),VLOOKUP($C196,武器!$1:$998,COLUMN($O$1),FALSE)*VLOOKUP($D196,素材!$1:$1016,COLUMN($E$1),FALSE)/(LEN(VLOOKUP($D196,素材!$1:$1016,COLUMN($F$1),FALSE))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G196">
        <f>IF(ISNUMBER(SEARCH(SUBSTITUTE(AG$1,RIGHT(AG$1,2),""),VLOOKUP($D196,素材!$1:$1016,COLUMN($F$1),FALSE))),VLOOKUP($C196,武器!$1:$998,COLUMN($O$1),FALSE)*VLOOKUP($D196,素材!$1:$1016,COLUMN($E$1),FALSE)/(LEN(VLOOKUP($D196,素材!$1:$1016,COLUMN($F$1),FALSE))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H196">
        <f>IF(ISNUMBER(SEARCH(SUBSTITUTE(AH$1,RIGHT(AH$1,2),""),VLOOKUP($D196,素材!$1:$1016,COLUMN($F$1),FALSE))),VLOOKUP($C196,武器!$1:$998,COLUMN($O$1),FALSE)*VLOOKUP($D196,素材!$1:$1016,COLUMN($E$1),FALSE)/(LEN(VLOOKUP($D196,素材!$1:$1016,COLUMN($F$1),FALSE))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I196">
        <f>IF(ISNUMBER(SEARCH(SUBSTITUTE(AI$1,RIGHT(AI$1,2),""),VLOOKUP($D196,素材!$1:$1016,COLUMN($F$1),FALSE))),VLOOKUP($C196,武器!$1:$998,COLUMN($O$1),FALSE)*VLOOKUP($D196,素材!$1:$1016,COLUMN($E$1),FALSE)/(LEN(VLOOKUP($D196,素材!$1:$1016,COLUMN($F$1),FALSE))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J196">
        <f>IF(ISNUMBER(SEARCH(SUBSTITUTE(AJ$1,RIGHT(AJ$1,2),""),VLOOKUP($D196,素材!$1:$1016,COLUMN($F$1),FALSE))),VLOOKUP($C196,武器!$1:$998,COLUMN($O$1),FALSE)*VLOOKUP($D196,素材!$1:$1016,COLUMN($E$1),FALSE)/(LEN(VLOOKUP($D196,素材!$1:$1016,COLUMN($F$1),FALSE))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K196">
        <f>IF(ISNUMBER(SEARCH(SUBSTITUTE(AK$1,RIGHT(AK$1,2),""),VLOOKUP($D196,素材!$1:$1016,COLUMN($F$1),FALSE))),VLOOKUP($C196,武器!$1:$998,COLUMN($O$1),FALSE)*VLOOKUP($D196,素材!$1:$1016,COLUMN($E$1),FALSE)/(LEN(VLOOKUP($D196,素材!$1:$1016,COLUMN($F$1),FALSE))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L196">
        <f>IF(ISNUMBER(SEARCH(SUBSTITUTE(AL$1,RIGHT(AL$1,2),""),VLOOKUP($D196,素材!$1:$1016,COLUMN($F$1),FALSE))),VLOOKUP($C196,武器!$1:$998,COLUMN($O$1),FALSE)*VLOOKUP($D196,素材!$1:$1016,COLUMN($E$1),FALSE)/(LEN(VLOOKUP($D196,素材!$1:$1016,COLUMN($F$1),FALSE))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M196">
        <f>IF(ISNUMBER(SEARCH(SUBSTITUTE(AM$1,RIGHT(AM$1,2),""),VLOOKUP($D196,素材!$1:$1016,COLUMN($F$1),FALSE))),VLOOKUP($C196,武器!$1:$998,COLUMN($O$1),FALSE)*VLOOKUP($D196,素材!$1:$1016,COLUMN($E$1),FALSE)/(LEN(VLOOKUP($D196,素材!$1:$1016,COLUMN($F$1),FALSE))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N196">
        <f>IF(ISNUMBER(SEARCH(SUBSTITUTE(AN$1,RIGHT(AN$1,2),""),VLOOKUP($D196,素材!$1:$1016,COLUMN($F$1),FALSE))),VLOOKUP($C196,武器!$1:$998,COLUMN($O$1),FALSE)*VLOOKUP($D196,素材!$1:$1016,COLUMN($E$1),FALSE)/(LEN(VLOOKUP($D196,素材!$1:$1016,COLUMN($F$1),FALSE))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O196">
        <f>IF(ISNUMBER(SEARCH(SUBSTITUTE(AO$1,RIGHT(AO$1,2),""),VLOOKUP($D196,素材!$1:$1016,COLUMN($F$1),FALSE))),VLOOKUP($C196,武器!$1:$998,COLUMN($O$1),FALSE)*VLOOKUP($D196,素材!$1:$1016,COLUMN($E$1),FALSE)/(LEN(VLOOKUP($D196,素材!$1:$1016,COLUMN($F$1),FALSE))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P196">
        <f>IF(ISNUMBER(SEARCH(SUBSTITUTE(AP$1,RIGHT(AP$1,2),""),VLOOKUP($D196,素材!$1:$1016,COLUMN($F$1),FALSE))),VLOOKUP($C196,武器!$1:$998,COLUMN($O$1),FALSE)*VLOOKUP($D196,素材!$1:$1016,COLUMN($E$1),FALSE)/(LEN(VLOOKUP($D196,素材!$1:$1016,COLUMN($F$1),FALSE))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Q196">
        <f>IF(ISNUMBER(SEARCH(SUBSTITUTE(AQ$1,RIGHT(AQ$1,2),""),VLOOKUP($D196,素材!$1:$1016,COLUMN($F$1),FALSE))),VLOOKUP($C196,武器!$1:$998,COLUMN($O$1),FALSE)*VLOOKUP($D196,素材!$1:$1016,COLUMN($E$1),FALSE)/(LEN(VLOOKUP($D196,素材!$1:$1016,COLUMN($F$1),FALSE))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R196">
        <f>IF(ISNUMBER(SEARCH(SUBSTITUTE(AR$1,RIGHT(AR$1,2),""),VLOOKUP($D196,素材!$1:$1016,COLUMN($F$1),FALSE))),VLOOKUP($C196,武器!$1:$998,COLUMN($O$1),FALSE)*VLOOKUP($D196,素材!$1:$1016,COLUMN($E$1),FALSE)/(LEN(VLOOKUP($D196,素材!$1:$1016,COLUMN($F$1),FALSE))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S196">
        <f>IF(ISNUMBER(SEARCH(SUBSTITUTE(AS$1,RIGHT(AS$1,2),""),VLOOKUP($D196,素材!$1:$1016,COLUMN($F$1),FALSE))),VLOOKUP($C196,武器!$1:$998,COLUMN($O$1),FALSE)*VLOOKUP($D196,素材!$1:$1016,COLUMN($E$1),FALSE)/(LEN(VLOOKUP($D196,素材!$1:$1016,COLUMN($F$1),FALSE))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T196">
        <f>IF(ISNUMBER(SEARCH(SUBSTITUTE(AT$1,RIGHT(AT$1,2),""),VLOOKUP($D196,素材!$1:$1016,COLUMN($F$1),FALSE))),VLOOKUP($C196,武器!$1:$998,COLUMN($O$1),FALSE)*VLOOKUP($D196,素材!$1:$1016,COLUMN($E$1),FALSE)/(LEN(VLOOKUP($D196,素材!$1:$1016,COLUMN($F$1),FALSE))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U196">
        <f>IF(ISNUMBER(SEARCH(SUBSTITUTE(AU$1,RIGHT(AU$1,2),""),VLOOKUP($D196,素材!$1:$1016,COLUMN($F$1),FALSE))),VLOOKUP($C196,武器!$1:$998,COLUMN($O$1),FALSE)*VLOOKUP($D196,素材!$1:$1016,COLUMN($E$1),FALSE)/(LEN(VLOOKUP($D196,素材!$1:$1016,COLUMN($F$1),FALSE))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V196">
        <f>IF(ISNUMBER(SEARCH(SUBSTITUTE(AV$1,RIGHT(AV$1,2),""),VLOOKUP($D196,素材!$1:$1016,COLUMN($F$1),FALSE))),VLOOKUP($C196,武器!$1:$998,COLUMN($O$1),FALSE)*VLOOKUP($D196,素材!$1:$1016,COLUMN($E$1),FALSE)/(LEN(VLOOKUP($D196,素材!$1:$1016,COLUMN($F$1),FALSE))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W196">
        <f>IF(ISNUMBER(SEARCH(SUBSTITUTE(AW$1,RIGHT(AW$1,2),""),VLOOKUP($D196,素材!$1:$1016,COLUMN($F$1),FALSE))),VLOOKUP($C196,武器!$1:$998,COLUMN($O$1),FALSE)*VLOOKUP($D196,素材!$1:$1016,COLUMN($E$1),FALSE)/(LEN(VLOOKUP($D196,素材!$1:$1016,COLUMN($F$1),FALSE))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X196">
        <f>IF(ISNUMBER(SEARCH(SUBSTITUTE(AX$1,RIGHT(AX$1,2),""),VLOOKUP($D196,素材!$1:$1016,COLUMN($F$1),FALSE))),VLOOKUP($C196,武器!$1:$998,COLUMN($O$1),FALSE)*VLOOKUP($D196,素材!$1:$1016,COLUMN($E$1),FALSE)/(LEN(VLOOKUP($D196,素材!$1:$1016,COLUMN($F$1),FALSE))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Y196">
        <f>IF(ISNUMBER(SEARCH(SUBSTITUTE(AY$1,RIGHT(AY$1,2),""),VLOOKUP($D196,素材!$1:$1016,COLUMN($F$1),FALSE))),VLOOKUP($C196,武器!$1:$998,COLUMN($O$1),FALSE)*VLOOKUP($D196,素材!$1:$1016,COLUMN($E$1),FALSE)/(LEN(VLOOKUP($D196,素材!$1:$1016,COLUMN($F$1),FALSE))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AZ196">
        <f>IF(ISNUMBER(SEARCH(SUBSTITUTE(AZ$1,RIGHT(AZ$1,2),""),VLOOKUP($D196,素材!$1:$1016,COLUMN($F$1),FALSE))),VLOOKUP($C196,武器!$1:$998,COLUMN($O$1),FALSE)*VLOOKUP($D196,素材!$1:$1016,COLUMN($E$1),FALSE)/(LEN(VLOOKUP($D196,素材!$1:$1016,COLUMN($F$1),FALSE))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BA196">
        <f>IF(ISNUMBER(SEARCH(SUBSTITUTE(BA$1,RIGHT(BA$1,2),""),VLOOKUP($D196,素材!$1:$1016,COLUMN($F$1),FALSE))),VLOOKUP($C196,武器!$1:$998,COLUMN($O$1),FALSE)*VLOOKUP($D196,素材!$1:$1016,COLUMN($E$1),FALSE)/(LEN(VLOOKUP($D196,素材!$1:$1016,COLUMN($F$1),FALSE))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BB196">
        <f>IF(ISNUMBER(SEARCH(SUBSTITUTE(BB$1,RIGHT(BB$1,2),""),VLOOKUP($D196,素材!$1:$1016,COLUMN($F$1),FALSE))),VLOOKUP($C196,武器!$1:$998,COLUMN($O$1),FALSE)*VLOOKUP($D196,素材!$1:$1016,COLUMN($E$1),FALSE)/(LEN(VLOOKUP($D196,素材!$1:$1016,COLUMN($F$1),FALSE))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BC196">
        <f>IF(ISNUMBER(SEARCH(SUBSTITUTE(BC$1,RIGHT(BC$1,2),""),VLOOKUP($D196,素材!$1:$1016,COLUMN($F$1),FALSE))),VLOOKUP($C196,武器!$1:$998,COLUMN($O$1),FALSE)*VLOOKUP($D196,素材!$1:$1016,COLUMN($E$1),FALSE)/(LEN(VLOOKUP($D196,素材!$1:$1016,COLUMN($F$1),FALSE))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BD196">
        <f>IF(ISNUMBER(SEARCH(SUBSTITUTE(BD$1,RIGHT(BD$1,2),""),VLOOKUP($D196,素材!$1:$1016,COLUMN($F$1),FALSE))),VLOOKUP($C196,武器!$1:$998,COLUMN($O$1),FALSE)*VLOOKUP($D196,素材!$1:$1016,COLUMN($E$1),FALSE)/(LEN(VLOOKUP($D196,素材!$1:$1016,COLUMN($F$1),FALSE))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BE196">
        <f>IF(ISNUMBER(SEARCH(SUBSTITUTE(BE$1,RIGHT(BE$1,2),""),VLOOKUP($D196,素材!$1:$1016,COLUMN($F$1),FALSE))),VLOOKUP($C196,武器!$1:$998,COLUMN($O$1),FALSE)*VLOOKUP($D196,素材!$1:$1016,COLUMN($E$1),FALSE)/(LEN(VLOOKUP($D196,素材!$1:$1016,COLUMN($F$1),FALSE))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BF196">
        <f>IF(ISNUMBER(SEARCH(SUBSTITUTE(BF$1,RIGHT(BF$1,2),""),VLOOKUP($D196,素材!$1:$1016,COLUMN($F$1),FALSE))),VLOOKUP($C196,武器!$1:$998,COLUMN($O$1),FALSE)*VLOOKUP($D196,素材!$1:$1016,COLUMN($E$1),FALSE)/(LEN(VLOOKUP($D196,素材!$1:$1016,COLUMN($F$1),FALSE)) - LEN(SUBSTITUTE(VLOOKUP($D196,素材!$1:$1016,COLUMN($F$1),FALSE), "・", 0)) + 1), 0)</f>
        <v>0</v>
      </c>
      <c r="CM196">
        <f t="shared" ref="CM196:CM259" si="31">SUM(G196:I196)</f>
        <v>31</v>
      </c>
      <c r="CN196" s="22" t="str">
        <f>IF(E196="武器",IF(J196-1&gt;SUM(G196:I196),"盾",IF(MAX(G196:I196)=G196,"切断",IF(MAX(G196:I196)=H196,"貫通",IF(MAX(G196:I196)=I196,"打撃","射撃")))),E196)&amp;".webp"</f>
        <v>切断.webp</v>
      </c>
      <c r="CO196">
        <f>IFERROR(VLOOKUP($C196,武器!$1:$998,COLUMN(V$1),FALSE)*VLOOKUP($D196,素材!$1:$1016,COLUMN(N$1),FALSE)+IF(CJ196="",0,VLOOKUP($CJ196,装強!$1:$1008,COLUMN($CL$1),FALSE)),"")</f>
        <v>4500</v>
      </c>
      <c r="CP196">
        <f>VLOOKUP(D196,素材!$A:$O,COLUMN(素材!O$1),FALSE)</f>
        <v>0</v>
      </c>
      <c r="CQ196" t="str">
        <f>VLOOKUP(C196,武器!$A:$W,COLUMN(武器!W$1),FALSE)</f>
        <v>大剣。非常に重いが威力が突出して高い武器。大きい分ガードにも向いている</v>
      </c>
      <c r="CS196" t="str">
        <f t="shared" si="21"/>
        <v>e_196</v>
      </c>
      <c r="CT196">
        <f t="shared" si="24"/>
        <v>450000</v>
      </c>
    </row>
    <row r="197" spans="1:98" outlineLevel="1" x14ac:dyDescent="0.4">
      <c r="A197" t="str">
        <f t="shared" si="30"/>
        <v>冷気鉄の細剣</v>
      </c>
      <c r="B197" t="str">
        <f>IFERROR(VLOOKUP($D197,素材!$1:$1016,COLUMN($B$1),FALSE)&amp;"・"&amp;VLOOKUP($C197,武器!$1:$998,COLUMN(B$1),FALSE),"")</f>
        <v>ドゥララン・レイピア</v>
      </c>
      <c r="C197" s="24" t="s">
        <v>236</v>
      </c>
      <c r="D197" s="24" t="s">
        <v>243</v>
      </c>
      <c r="E197" t="str">
        <f>IFERROR(VLOOKUP(C197,武器!$1:$998,COLUMN(C$1),FALSE),"")</f>
        <v>武器</v>
      </c>
      <c r="F197">
        <f>IFERROR(ROUNDDOWN((VLOOKUP($C197,武器!$1:$998,COLUMN(D$1),FALSE)+IFERROR(VLOOKUP($CJ197,装強!$1:$999,COLUMN(F$1),FALSE),0))*VLOOKUP($D197,素材!$1:$1016,COLUMN(D$1),FALSE),0),"")</f>
        <v>100</v>
      </c>
      <c r="G197">
        <f>IFERROR(ROUNDDOWN((VLOOKUP($C197,武器!$1:$998,COLUMN(E$1),FALSE)+IFERROR(VLOOKUP($CJ197,装強!$1:$999,COLUMN(G$1),FALSE),0))*VLOOKUP($D197,素材!$1:$1016,COLUMN($E$1),FALSE),0),"")</f>
        <v>9</v>
      </c>
      <c r="H197">
        <f>IFERROR(ROUNDDOWN((VLOOKUP($C197,武器!$1:$998,COLUMN(F$1),FALSE)+IFERROR(VLOOKUP($CJ197,装強!$1:$999,COLUMN(H$1),FALSE),0))*VLOOKUP($D197,素材!$1:$1016,COLUMN($E$1),FALSE),0),"")</f>
        <v>13</v>
      </c>
      <c r="I197">
        <f>IFERROR(ROUNDDOWN((VLOOKUP($C197,武器!$1:$998,COLUMN(G$1),FALSE)+IFERROR(VLOOKUP($CJ197,装強!$1:$999,COLUMN(I$1),FALSE),0))*VLOOKUP($D197,素材!$1:$1016,COLUMN($E$1),FALSE),0),"")</f>
        <v>0</v>
      </c>
      <c r="J197">
        <f>IFERROR(ROUNDDOWN((VLOOKUP($C197,武器!$1:$998,COLUMN(H$1),FALSE)+IFERROR(VLOOKUP($CJ197,装強!$1:$999,COLUMN(J$1),FALSE),0))*VLOOKUP($D197,素材!$1:$1016,COLUMN($E$1),FALSE),0),"")</f>
        <v>16</v>
      </c>
      <c r="K197">
        <f>IFERROR(ROUNDDOWN((VLOOKUP($C197,武器!$1:$998,COLUMN(I$1),FALSE)+IFERROR(VLOOKUP($CJ197,装強!$1:$999,COLUMN(K$1),FALSE),0))*VLOOKUP($D197,素材!$1:$1016,COLUMN($E$1),FALSE),0),"")</f>
        <v>0</v>
      </c>
      <c r="L197" t="str">
        <f>IFERROR(VLOOKUP($D197,素材!$1:$1016,COLUMN($F$1),FALSE),"")</f>
        <v>氷</v>
      </c>
      <c r="M197">
        <f>IFERROR(VLOOKUP($C197,武器!$1:$998,COLUMN(AA$1),FALSE)*VLOOKUP($D197,素材!$1:$1016,COLUMN($G$1),FALSE),"")</f>
        <v>42</v>
      </c>
      <c r="N197">
        <f>IFERROR(VLOOKUP($C197,武器!$1:$998,COLUMN(I$1),FALSE),"")</f>
        <v>0</v>
      </c>
      <c r="O197" s="23">
        <f>IFERROR((VLOOKUP($C197,武器!$1:$998,COLUMN(K$1),FALSE)+VLOOKUP($D197,素材!$1:$1016,COLUMN(H$1),FALSE))*100+IFERROR(VLOOKUP($CJ197,装強!$1:$999,COLUMN(O$1),FALSE),0),"")</f>
        <v>15</v>
      </c>
      <c r="P197" s="23">
        <f>IFERROR((VLOOKUP($C197,武器!$1:$998,COLUMN(L$1),FALSE)+VLOOKUP($D197,素材!$1:$1016,COLUMN(I$1),FALSE))*100+IFERROR(VLOOKUP($CJ197,装強!$1:$999,COLUMN(P$1),FALSE),0),"")</f>
        <v>125</v>
      </c>
      <c r="Q197">
        <f>IFERROR(ROUNDUP(VLOOKUP($C197,武器!$1:$998,COLUMN(M$1),FALSE)*(VLOOKUP($D197,素材!$1:$1002,COLUMN(D$1),FALSE)/100),1),"")</f>
        <v>0</v>
      </c>
      <c r="R197">
        <f>IFERROR(ROUNDUP(VLOOKUP($C197,武器!$1:$998,COLUMN(N$1),FALSE)*(VLOOKUP($D197,素材!$1:$1002,COLUMN(D$1),FALSE)/100),1),"")</f>
        <v>0</v>
      </c>
      <c r="S197">
        <f>IFERROR(VLOOKUP($C197,武器!$1:$998,COLUMN(P$1),FALSE),"")</f>
        <v>0</v>
      </c>
      <c r="T197">
        <f>IFERROR(VLOOKUP($C197,武器!$1:$998,COLUMN(Q$1),FALSE),"")</f>
        <v>0</v>
      </c>
      <c r="U197">
        <f>IFERROR(VLOOKUP($C197,武器!$1:$998,COLUMN(R$1),FALSE),"")</f>
        <v>0</v>
      </c>
      <c r="V197">
        <f>IFERROR(VLOOKUP($C197,武器!$1:$998,COLUMN(Q$1),FALSE),"")</f>
        <v>0</v>
      </c>
      <c r="W197" t="str">
        <f>IFERROR(VLOOKUP($C197,武器!$1:$998,COLUMN(T$1),FALSE),"")</f>
        <v>A</v>
      </c>
      <c r="Y197" t="str">
        <f>IFERROR(VLOOKUP($C197,武器!$1:$998,COLUMN(U$1),FALSE),"")</f>
        <v>片手適正Ⅰ</v>
      </c>
      <c r="Z197">
        <f>IFERROR(ROUNDUP(VLOOKUP($C197,武器!$1:$998,COLUMN(O$1),FALSE)*VLOOKUP($D197,素材!$1:$1016,COLUMN(E$1),FALSE),1),"")</f>
        <v>0</v>
      </c>
      <c r="AA197">
        <f>IF(ISNUMBER(SEARCH(SUBSTITUTE(AA$1,RIGHT(AA$1,2),""),VLOOKUP($D197,素材!$1:$1016,COLUMN($F$1),FALSE))),VLOOKUP($C197,武器!$1:$998,COLUMN($O$1),FALSE)*VLOOKUP($D197,素材!$1:$1016,COLUMN($E$1),FALSE)/(LEN(VLOOKUP($D197,素材!$1:$1016,COLUMN($F$1),FALSE))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B197">
        <f>IF(ISNUMBER(SEARCH(SUBSTITUTE(AB$1,RIGHT(AB$1,2),""),VLOOKUP($D197,素材!$1:$1016,COLUMN($F$1),FALSE))),VLOOKUP($C197,武器!$1:$998,COLUMN($O$1),FALSE)*VLOOKUP($D197,素材!$1:$1016,COLUMN($E$1),FALSE)/(LEN(VLOOKUP($D197,素材!$1:$1016,COLUMN($F$1),FALSE))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C197">
        <f>IF(ISNUMBER(SEARCH(SUBSTITUTE(AC$1,RIGHT(AC$1,2),""),VLOOKUP($D197,素材!$1:$1016,COLUMN($F$1),FALSE))),VLOOKUP($C197,武器!$1:$998,COLUMN($O$1),FALSE)*VLOOKUP($D197,素材!$1:$1016,COLUMN($E$1),FALSE)/(LEN(VLOOKUP($D197,素材!$1:$1016,COLUMN($F$1),FALSE))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D197">
        <f>IF(ISNUMBER(SEARCH(SUBSTITUTE(AD$1,RIGHT(AD$1,2),""),VLOOKUP($D197,素材!$1:$1016,COLUMN($F$1),FALSE))),VLOOKUP($C197,武器!$1:$998,COLUMN($O$1),FALSE)*VLOOKUP($D197,素材!$1:$1016,COLUMN($E$1),FALSE)/(LEN(VLOOKUP($D197,素材!$1:$1016,COLUMN($F$1),FALSE))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E197">
        <f>IF(ISNUMBER(SEARCH(SUBSTITUTE(AE$1,RIGHT(AE$1,2),""),VLOOKUP($D197,素材!$1:$1016,COLUMN($F$1),FALSE))),VLOOKUP($C197,武器!$1:$998,COLUMN($O$1),FALSE)*VLOOKUP($D197,素材!$1:$1016,COLUMN($E$1),FALSE)/(LEN(VLOOKUP($D197,素材!$1:$1016,COLUMN($F$1),FALSE))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F197">
        <f>IF(ISNUMBER(SEARCH(SUBSTITUTE(AF$1,RIGHT(AF$1,2),""),VLOOKUP($D197,素材!$1:$1016,COLUMN($F$1),FALSE))),VLOOKUP($C197,武器!$1:$998,COLUMN($O$1),FALSE)*VLOOKUP($D197,素材!$1:$1016,COLUMN($E$1),FALSE)/(LEN(VLOOKUP($D197,素材!$1:$1016,COLUMN($F$1),FALSE))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G197">
        <f>IF(ISNUMBER(SEARCH(SUBSTITUTE(AG$1,RIGHT(AG$1,2),""),VLOOKUP($D197,素材!$1:$1016,COLUMN($F$1),FALSE))),VLOOKUP($C197,武器!$1:$998,COLUMN($O$1),FALSE)*VLOOKUP($D197,素材!$1:$1016,COLUMN($E$1),FALSE)/(LEN(VLOOKUP($D197,素材!$1:$1016,COLUMN($F$1),FALSE))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H197">
        <f>IF(ISNUMBER(SEARCH(SUBSTITUTE(AH$1,RIGHT(AH$1,2),""),VLOOKUP($D197,素材!$1:$1016,COLUMN($F$1),FALSE))),VLOOKUP($C197,武器!$1:$998,COLUMN($O$1),FALSE)*VLOOKUP($D197,素材!$1:$1016,COLUMN($E$1),FALSE)/(LEN(VLOOKUP($D197,素材!$1:$1016,COLUMN($F$1),FALSE))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I197">
        <f>IF(ISNUMBER(SEARCH(SUBSTITUTE(AI$1,RIGHT(AI$1,2),""),VLOOKUP($D197,素材!$1:$1016,COLUMN($F$1),FALSE))),VLOOKUP($C197,武器!$1:$998,COLUMN($O$1),FALSE)*VLOOKUP($D197,素材!$1:$1016,COLUMN($E$1),FALSE)/(LEN(VLOOKUP($D197,素材!$1:$1016,COLUMN($F$1),FALSE))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J197">
        <f>IF(ISNUMBER(SEARCH(SUBSTITUTE(AJ$1,RIGHT(AJ$1,2),""),VLOOKUP($D197,素材!$1:$1016,COLUMN($F$1),FALSE))),VLOOKUP($C197,武器!$1:$998,COLUMN($O$1),FALSE)*VLOOKUP($D197,素材!$1:$1016,COLUMN($E$1),FALSE)/(LEN(VLOOKUP($D197,素材!$1:$1016,COLUMN($F$1),FALSE))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K197">
        <f>IF(ISNUMBER(SEARCH(SUBSTITUTE(AK$1,RIGHT(AK$1,2),""),VLOOKUP($D197,素材!$1:$1016,COLUMN($F$1),FALSE))),VLOOKUP($C197,武器!$1:$998,COLUMN($O$1),FALSE)*VLOOKUP($D197,素材!$1:$1016,COLUMN($E$1),FALSE)/(LEN(VLOOKUP($D197,素材!$1:$1016,COLUMN($F$1),FALSE))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L197">
        <f>IF(ISNUMBER(SEARCH(SUBSTITUTE(AL$1,RIGHT(AL$1,2),""),VLOOKUP($D197,素材!$1:$1016,COLUMN($F$1),FALSE))),VLOOKUP($C197,武器!$1:$998,COLUMN($O$1),FALSE)*VLOOKUP($D197,素材!$1:$1016,COLUMN($E$1),FALSE)/(LEN(VLOOKUP($D197,素材!$1:$1016,COLUMN($F$1),FALSE))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M197">
        <f>IF(ISNUMBER(SEARCH(SUBSTITUTE(AM$1,RIGHT(AM$1,2),""),VLOOKUP($D197,素材!$1:$1016,COLUMN($F$1),FALSE))),VLOOKUP($C197,武器!$1:$998,COLUMN($O$1),FALSE)*VLOOKUP($D197,素材!$1:$1016,COLUMN($E$1),FALSE)/(LEN(VLOOKUP($D197,素材!$1:$1016,COLUMN($F$1),FALSE))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N197">
        <f>IF(ISNUMBER(SEARCH(SUBSTITUTE(AN$1,RIGHT(AN$1,2),""),VLOOKUP($D197,素材!$1:$1016,COLUMN($F$1),FALSE))),VLOOKUP($C197,武器!$1:$998,COLUMN($O$1),FALSE)*VLOOKUP($D197,素材!$1:$1016,COLUMN($E$1),FALSE)/(LEN(VLOOKUP($D197,素材!$1:$1016,COLUMN($F$1),FALSE))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O197">
        <f>IF(ISNUMBER(SEARCH(SUBSTITUTE(AO$1,RIGHT(AO$1,2),""),VLOOKUP($D197,素材!$1:$1016,COLUMN($F$1),FALSE))),VLOOKUP($C197,武器!$1:$998,COLUMN($O$1),FALSE)*VLOOKUP($D197,素材!$1:$1016,COLUMN($E$1),FALSE)/(LEN(VLOOKUP($D197,素材!$1:$1016,COLUMN($F$1),FALSE))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P197">
        <f>IF(ISNUMBER(SEARCH(SUBSTITUTE(AP$1,RIGHT(AP$1,2),""),VLOOKUP($D197,素材!$1:$1016,COLUMN($F$1),FALSE))),VLOOKUP($C197,武器!$1:$998,COLUMN($O$1),FALSE)*VLOOKUP($D197,素材!$1:$1016,COLUMN($E$1),FALSE)/(LEN(VLOOKUP($D197,素材!$1:$1016,COLUMN($F$1),FALSE))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Q197">
        <f>IF(ISNUMBER(SEARCH(SUBSTITUTE(AQ$1,RIGHT(AQ$1,2),""),VLOOKUP($D197,素材!$1:$1016,COLUMN($F$1),FALSE))),VLOOKUP($C197,武器!$1:$998,COLUMN($O$1),FALSE)*VLOOKUP($D197,素材!$1:$1016,COLUMN($E$1),FALSE)/(LEN(VLOOKUP($D197,素材!$1:$1016,COLUMN($F$1),FALSE))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R197">
        <f>IF(ISNUMBER(SEARCH(SUBSTITUTE(AR$1,RIGHT(AR$1,2),""),VLOOKUP($D197,素材!$1:$1016,COLUMN($F$1),FALSE))),VLOOKUP($C197,武器!$1:$998,COLUMN($O$1),FALSE)*VLOOKUP($D197,素材!$1:$1016,COLUMN($E$1),FALSE)/(LEN(VLOOKUP($D197,素材!$1:$1016,COLUMN($F$1),FALSE))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S197">
        <f>IF(ISNUMBER(SEARCH(SUBSTITUTE(AS$1,RIGHT(AS$1,2),""),VLOOKUP($D197,素材!$1:$1016,COLUMN($F$1),FALSE))),VLOOKUP($C197,武器!$1:$998,COLUMN($O$1),FALSE)*VLOOKUP($D197,素材!$1:$1016,COLUMN($E$1),FALSE)/(LEN(VLOOKUP($D197,素材!$1:$1016,COLUMN($F$1),FALSE))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T197">
        <f>IF(ISNUMBER(SEARCH(SUBSTITUTE(AT$1,RIGHT(AT$1,2),""),VLOOKUP($D197,素材!$1:$1016,COLUMN($F$1),FALSE))),VLOOKUP($C197,武器!$1:$998,COLUMN($O$1),FALSE)*VLOOKUP($D197,素材!$1:$1016,COLUMN($E$1),FALSE)/(LEN(VLOOKUP($D197,素材!$1:$1016,COLUMN($F$1),FALSE))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U197">
        <f>IF(ISNUMBER(SEARCH(SUBSTITUTE(AU$1,RIGHT(AU$1,2),""),VLOOKUP($D197,素材!$1:$1016,COLUMN($F$1),FALSE))),VLOOKUP($C197,武器!$1:$998,COLUMN($O$1),FALSE)*VLOOKUP($D197,素材!$1:$1016,COLUMN($E$1),FALSE)/(LEN(VLOOKUP($D197,素材!$1:$1016,COLUMN($F$1),FALSE))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V197">
        <f>IF(ISNUMBER(SEARCH(SUBSTITUTE(AV$1,RIGHT(AV$1,2),""),VLOOKUP($D197,素材!$1:$1016,COLUMN($F$1),FALSE))),VLOOKUP($C197,武器!$1:$998,COLUMN($O$1),FALSE)*VLOOKUP($D197,素材!$1:$1016,COLUMN($E$1),FALSE)/(LEN(VLOOKUP($D197,素材!$1:$1016,COLUMN($F$1),FALSE))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W197">
        <f>IF(ISNUMBER(SEARCH(SUBSTITUTE(AW$1,RIGHT(AW$1,2),""),VLOOKUP($D197,素材!$1:$1016,COLUMN($F$1),FALSE))),VLOOKUP($C197,武器!$1:$998,COLUMN($O$1),FALSE)*VLOOKUP($D197,素材!$1:$1016,COLUMN($E$1),FALSE)/(LEN(VLOOKUP($D197,素材!$1:$1016,COLUMN($F$1),FALSE))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X197">
        <f>IF(ISNUMBER(SEARCH(SUBSTITUTE(AX$1,RIGHT(AX$1,2),""),VLOOKUP($D197,素材!$1:$1016,COLUMN($F$1),FALSE))),VLOOKUP($C197,武器!$1:$998,COLUMN($O$1),FALSE)*VLOOKUP($D197,素材!$1:$1016,COLUMN($E$1),FALSE)/(LEN(VLOOKUP($D197,素材!$1:$1016,COLUMN($F$1),FALSE))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Y197">
        <f>IF(ISNUMBER(SEARCH(SUBSTITUTE(AY$1,RIGHT(AY$1,2),""),VLOOKUP($D197,素材!$1:$1016,COLUMN($F$1),FALSE))),VLOOKUP($C197,武器!$1:$998,COLUMN($O$1),FALSE)*VLOOKUP($D197,素材!$1:$1016,COLUMN($E$1),FALSE)/(LEN(VLOOKUP($D197,素材!$1:$1016,COLUMN($F$1),FALSE))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AZ197">
        <f>IF(ISNUMBER(SEARCH(SUBSTITUTE(AZ$1,RIGHT(AZ$1,2),""),VLOOKUP($D197,素材!$1:$1016,COLUMN($F$1),FALSE))),VLOOKUP($C197,武器!$1:$998,COLUMN($O$1),FALSE)*VLOOKUP($D197,素材!$1:$1016,COLUMN($E$1),FALSE)/(LEN(VLOOKUP($D197,素材!$1:$1016,COLUMN($F$1),FALSE))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BA197">
        <f>IF(ISNUMBER(SEARCH(SUBSTITUTE(BA$1,RIGHT(BA$1,2),""),VLOOKUP($D197,素材!$1:$1016,COLUMN($F$1),FALSE))),VLOOKUP($C197,武器!$1:$998,COLUMN($O$1),FALSE)*VLOOKUP($D197,素材!$1:$1016,COLUMN($E$1),FALSE)/(LEN(VLOOKUP($D197,素材!$1:$1016,COLUMN($F$1),FALSE))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BB197">
        <f>IF(ISNUMBER(SEARCH(SUBSTITUTE(BB$1,RIGHT(BB$1,2),""),VLOOKUP($D197,素材!$1:$1016,COLUMN($F$1),FALSE))),VLOOKUP($C197,武器!$1:$998,COLUMN($O$1),FALSE)*VLOOKUP($D197,素材!$1:$1016,COLUMN($E$1),FALSE)/(LEN(VLOOKUP($D197,素材!$1:$1016,COLUMN($F$1),FALSE))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BC197">
        <f>IF(ISNUMBER(SEARCH(SUBSTITUTE(BC$1,RIGHT(BC$1,2),""),VLOOKUP($D197,素材!$1:$1016,COLUMN($F$1),FALSE))),VLOOKUP($C197,武器!$1:$998,COLUMN($O$1),FALSE)*VLOOKUP($D197,素材!$1:$1016,COLUMN($E$1),FALSE)/(LEN(VLOOKUP($D197,素材!$1:$1016,COLUMN($F$1),FALSE))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BD197">
        <f>IF(ISNUMBER(SEARCH(SUBSTITUTE(BD$1,RIGHT(BD$1,2),""),VLOOKUP($D197,素材!$1:$1016,COLUMN($F$1),FALSE))),VLOOKUP($C197,武器!$1:$998,COLUMN($O$1),FALSE)*VLOOKUP($D197,素材!$1:$1016,COLUMN($E$1),FALSE)/(LEN(VLOOKUP($D197,素材!$1:$1016,COLUMN($F$1),FALSE))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BE197">
        <f>IF(ISNUMBER(SEARCH(SUBSTITUTE(BE$1,RIGHT(BE$1,2),""),VLOOKUP($D197,素材!$1:$1016,COLUMN($F$1),FALSE))),VLOOKUP($C197,武器!$1:$998,COLUMN($O$1),FALSE)*VLOOKUP($D197,素材!$1:$1016,COLUMN($E$1),FALSE)/(LEN(VLOOKUP($D197,素材!$1:$1016,COLUMN($F$1),FALSE))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BF197">
        <f>IF(ISNUMBER(SEARCH(SUBSTITUTE(BF$1,RIGHT(BF$1,2),""),VLOOKUP($D197,素材!$1:$1016,COLUMN($F$1),FALSE))),VLOOKUP($C197,武器!$1:$998,COLUMN($O$1),FALSE)*VLOOKUP($D197,素材!$1:$1016,COLUMN($E$1),FALSE)/(LEN(VLOOKUP($D197,素材!$1:$1016,COLUMN($F$1),FALSE)) - LEN(SUBSTITUTE(VLOOKUP($D197,素材!$1:$1016,COLUMN($F$1),FALSE), "・", 0)) + 1), 0)</f>
        <v>0</v>
      </c>
      <c r="CM197">
        <f t="shared" si="31"/>
        <v>22</v>
      </c>
      <c r="CN197" s="22" t="str">
        <f>IF(E197="武器",IF(J197-1&gt;SUM(G197:I197),"盾",IF(MAX(G197:I197)=G197,"切断",IF(MAX(G197:I197)=H197,"貫通",IF(MAX(G197:I197)=I197,"打撃","射撃")))),E197)&amp;".webp"</f>
        <v>貫通.webp</v>
      </c>
      <c r="CO197">
        <f>IFERROR(VLOOKUP($C197,武器!$1:$998,COLUMN(V$1),FALSE)*VLOOKUP($D197,素材!$1:$1016,COLUMN(N$1),FALSE)+IF(CJ197="",0,VLOOKUP($CJ197,装強!$1:$1008,COLUMN($CL$1),FALSE)),"")</f>
        <v>3000</v>
      </c>
      <c r="CP197">
        <f>VLOOKUP(D197,素材!$A:$O,COLUMN(素材!O$1),FALSE)</f>
        <v>0</v>
      </c>
      <c r="CQ197" t="str">
        <f>VLOOKUP(C197,武器!$A:$W,COLUMN(武器!W$1),FALSE)</f>
        <v>細剣。刺突に優れた武器でCr率が高い</v>
      </c>
      <c r="CS197" t="str">
        <f t="shared" si="21"/>
        <v>e_197</v>
      </c>
      <c r="CT197">
        <f t="shared" si="24"/>
        <v>300000</v>
      </c>
    </row>
    <row r="198" spans="1:98" outlineLevel="1" x14ac:dyDescent="0.4">
      <c r="A198" t="str">
        <f t="shared" si="30"/>
        <v>冷気鉄の刺剣</v>
      </c>
      <c r="B198" t="str">
        <f>IFERROR(VLOOKUP($D198,素材!$1:$1016,COLUMN($B$1),FALSE)&amp;"・"&amp;VLOOKUP($C198,武器!$1:$998,COLUMN(B$1),FALSE),"")</f>
        <v>ドゥララン・スティレット</v>
      </c>
      <c r="C198" s="24" t="s">
        <v>235</v>
      </c>
      <c r="D198" s="24" t="s">
        <v>243</v>
      </c>
      <c r="E198" t="str">
        <f>IFERROR(VLOOKUP(C198,武器!$1:$998,COLUMN(C$1),FALSE),"")</f>
        <v>武器</v>
      </c>
      <c r="F198">
        <f>IFERROR(ROUNDDOWN((VLOOKUP($C198,武器!$1:$998,COLUMN(D$1),FALSE)+IFERROR(VLOOKUP($CJ198,装強!$1:$999,COLUMN(F$1),FALSE),0))*VLOOKUP($D198,素材!$1:$1016,COLUMN(D$1),FALSE),0),"")</f>
        <v>110</v>
      </c>
      <c r="G198">
        <f>IFERROR(ROUNDDOWN((VLOOKUP($C198,武器!$1:$998,COLUMN(E$1),FALSE)+IFERROR(VLOOKUP($CJ198,装強!$1:$999,COLUMN(G$1),FALSE),0))*VLOOKUP($D198,素材!$1:$1016,COLUMN($E$1),FALSE),0),"")</f>
        <v>4</v>
      </c>
      <c r="H198">
        <f>IFERROR(ROUNDDOWN((VLOOKUP($C198,武器!$1:$998,COLUMN(F$1),FALSE)+IFERROR(VLOOKUP($CJ198,装強!$1:$999,COLUMN(H$1),FALSE),0))*VLOOKUP($D198,素材!$1:$1016,COLUMN($E$1),FALSE),0),"")</f>
        <v>18</v>
      </c>
      <c r="I198">
        <f>IFERROR(ROUNDDOWN((VLOOKUP($C198,武器!$1:$998,COLUMN(G$1),FALSE)+IFERROR(VLOOKUP($CJ198,装強!$1:$999,COLUMN(I$1),FALSE),0))*VLOOKUP($D198,素材!$1:$1016,COLUMN($E$1),FALSE),0),"")</f>
        <v>0</v>
      </c>
      <c r="J198">
        <f>IFERROR(ROUNDDOWN((VLOOKUP($C198,武器!$1:$998,COLUMN(H$1),FALSE)+IFERROR(VLOOKUP($CJ198,装強!$1:$999,COLUMN(J$1),FALSE),0))*VLOOKUP($D198,素材!$1:$1016,COLUMN($E$1),FALSE),0),"")</f>
        <v>17</v>
      </c>
      <c r="K198">
        <f>IFERROR(ROUNDDOWN((VLOOKUP($C198,武器!$1:$998,COLUMN(I$1),FALSE)+IFERROR(VLOOKUP($CJ198,装強!$1:$999,COLUMN(K$1),FALSE),0))*VLOOKUP($D198,素材!$1:$1016,COLUMN($E$1),FALSE),0),"")</f>
        <v>0</v>
      </c>
      <c r="L198" t="str">
        <f>IFERROR(VLOOKUP($D198,素材!$1:$1016,COLUMN($F$1),FALSE),"")</f>
        <v>氷</v>
      </c>
      <c r="M198">
        <f>IFERROR(VLOOKUP($C198,武器!$1:$998,COLUMN(AA$1),FALSE)*VLOOKUP($D198,素材!$1:$1016,COLUMN($G$1),FALSE),"")</f>
        <v>38.5</v>
      </c>
      <c r="N198">
        <f>IFERROR(VLOOKUP($C198,武器!$1:$998,COLUMN(I$1),FALSE),"")</f>
        <v>0</v>
      </c>
      <c r="O198" s="23">
        <f>IFERROR((VLOOKUP($C198,武器!$1:$998,COLUMN(K$1),FALSE)+VLOOKUP($D198,素材!$1:$1016,COLUMN(H$1),FALSE))*100+IFERROR(VLOOKUP($CJ198,装強!$1:$999,COLUMN(O$1),FALSE),0),"")</f>
        <v>10</v>
      </c>
      <c r="P198" s="23">
        <f>IFERROR((VLOOKUP($C198,武器!$1:$998,COLUMN(L$1),FALSE)+VLOOKUP($D198,素材!$1:$1016,COLUMN(I$1),FALSE))*100+IFERROR(VLOOKUP($CJ198,装強!$1:$999,COLUMN(P$1),FALSE),0),"")</f>
        <v>150</v>
      </c>
      <c r="Q198">
        <f>IFERROR(ROUNDUP(VLOOKUP($C198,武器!$1:$998,COLUMN(M$1),FALSE)*(VLOOKUP($D198,素材!$1:$1002,COLUMN(D$1),FALSE)/100),1),"")</f>
        <v>0</v>
      </c>
      <c r="R198">
        <f>IFERROR(ROUNDUP(VLOOKUP($C198,武器!$1:$998,COLUMN(N$1),FALSE)*(VLOOKUP($D198,素材!$1:$1002,COLUMN(D$1),FALSE)/100),1),"")</f>
        <v>0</v>
      </c>
      <c r="S198">
        <f>IFERROR(VLOOKUP($C198,武器!$1:$998,COLUMN(P$1),FALSE),"")</f>
        <v>0</v>
      </c>
      <c r="T198">
        <f>IFERROR(VLOOKUP($C198,武器!$1:$998,COLUMN(Q$1),FALSE),"")</f>
        <v>0</v>
      </c>
      <c r="U198">
        <f>IFERROR(VLOOKUP($C198,武器!$1:$998,COLUMN(R$1),FALSE),"")</f>
        <v>0</v>
      </c>
      <c r="V198">
        <f>IFERROR(VLOOKUP($C198,武器!$1:$998,COLUMN(Q$1),FALSE),"")</f>
        <v>0</v>
      </c>
      <c r="W198" t="str">
        <f>IFERROR(VLOOKUP($C198,武器!$1:$998,COLUMN(T$1),FALSE),"")</f>
        <v>A</v>
      </c>
      <c r="Y198" t="str">
        <f>IFERROR(VLOOKUP($C198,武器!$1:$998,COLUMN(U$1),FALSE),"")</f>
        <v>片手適正Ⅰ</v>
      </c>
      <c r="Z198">
        <f>IFERROR(ROUNDUP(VLOOKUP($C198,武器!$1:$998,COLUMN(O$1),FALSE)*VLOOKUP($D198,素材!$1:$1016,COLUMN(E$1),FALSE),1),"")</f>
        <v>0</v>
      </c>
      <c r="AA198">
        <f>IF(ISNUMBER(SEARCH(SUBSTITUTE(AA$1,RIGHT(AA$1,2),""),VLOOKUP($D198,素材!$1:$1016,COLUMN($F$1),FALSE))),VLOOKUP($C198,武器!$1:$998,COLUMN($O$1),FALSE)*VLOOKUP($D198,素材!$1:$1016,COLUMN($E$1),FALSE)/(LEN(VLOOKUP($D198,素材!$1:$1016,COLUMN($F$1),FALSE))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B198">
        <f>IF(ISNUMBER(SEARCH(SUBSTITUTE(AB$1,RIGHT(AB$1,2),""),VLOOKUP($D198,素材!$1:$1016,COLUMN($F$1),FALSE))),VLOOKUP($C198,武器!$1:$998,COLUMN($O$1),FALSE)*VLOOKUP($D198,素材!$1:$1016,COLUMN($E$1),FALSE)/(LEN(VLOOKUP($D198,素材!$1:$1016,COLUMN($F$1),FALSE))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C198">
        <f>IF(ISNUMBER(SEARCH(SUBSTITUTE(AC$1,RIGHT(AC$1,2),""),VLOOKUP($D198,素材!$1:$1016,COLUMN($F$1),FALSE))),VLOOKUP($C198,武器!$1:$998,COLUMN($O$1),FALSE)*VLOOKUP($D198,素材!$1:$1016,COLUMN($E$1),FALSE)/(LEN(VLOOKUP($D198,素材!$1:$1016,COLUMN($F$1),FALSE))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D198">
        <f>IF(ISNUMBER(SEARCH(SUBSTITUTE(AD$1,RIGHT(AD$1,2),""),VLOOKUP($D198,素材!$1:$1016,COLUMN($F$1),FALSE))),VLOOKUP($C198,武器!$1:$998,COLUMN($O$1),FALSE)*VLOOKUP($D198,素材!$1:$1016,COLUMN($E$1),FALSE)/(LEN(VLOOKUP($D198,素材!$1:$1016,COLUMN($F$1),FALSE))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E198">
        <f>IF(ISNUMBER(SEARCH(SUBSTITUTE(AE$1,RIGHT(AE$1,2),""),VLOOKUP($D198,素材!$1:$1016,COLUMN($F$1),FALSE))),VLOOKUP($C198,武器!$1:$998,COLUMN($O$1),FALSE)*VLOOKUP($D198,素材!$1:$1016,COLUMN($E$1),FALSE)/(LEN(VLOOKUP($D198,素材!$1:$1016,COLUMN($F$1),FALSE))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F198">
        <f>IF(ISNUMBER(SEARCH(SUBSTITUTE(AF$1,RIGHT(AF$1,2),""),VLOOKUP($D198,素材!$1:$1016,COLUMN($F$1),FALSE))),VLOOKUP($C198,武器!$1:$998,COLUMN($O$1),FALSE)*VLOOKUP($D198,素材!$1:$1016,COLUMN($E$1),FALSE)/(LEN(VLOOKUP($D198,素材!$1:$1016,COLUMN($F$1),FALSE))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G198">
        <f>IF(ISNUMBER(SEARCH(SUBSTITUTE(AG$1,RIGHT(AG$1,2),""),VLOOKUP($D198,素材!$1:$1016,COLUMN($F$1),FALSE))),VLOOKUP($C198,武器!$1:$998,COLUMN($O$1),FALSE)*VLOOKUP($D198,素材!$1:$1016,COLUMN($E$1),FALSE)/(LEN(VLOOKUP($D198,素材!$1:$1016,COLUMN($F$1),FALSE))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H198">
        <f>IF(ISNUMBER(SEARCH(SUBSTITUTE(AH$1,RIGHT(AH$1,2),""),VLOOKUP($D198,素材!$1:$1016,COLUMN($F$1),FALSE))),VLOOKUP($C198,武器!$1:$998,COLUMN($O$1),FALSE)*VLOOKUP($D198,素材!$1:$1016,COLUMN($E$1),FALSE)/(LEN(VLOOKUP($D198,素材!$1:$1016,COLUMN($F$1),FALSE))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I198">
        <f>IF(ISNUMBER(SEARCH(SUBSTITUTE(AI$1,RIGHT(AI$1,2),""),VLOOKUP($D198,素材!$1:$1016,COLUMN($F$1),FALSE))),VLOOKUP($C198,武器!$1:$998,COLUMN($O$1),FALSE)*VLOOKUP($D198,素材!$1:$1016,COLUMN($E$1),FALSE)/(LEN(VLOOKUP($D198,素材!$1:$1016,COLUMN($F$1),FALSE))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J198">
        <f>IF(ISNUMBER(SEARCH(SUBSTITUTE(AJ$1,RIGHT(AJ$1,2),""),VLOOKUP($D198,素材!$1:$1016,COLUMN($F$1),FALSE))),VLOOKUP($C198,武器!$1:$998,COLUMN($O$1),FALSE)*VLOOKUP($D198,素材!$1:$1016,COLUMN($E$1),FALSE)/(LEN(VLOOKUP($D198,素材!$1:$1016,COLUMN($F$1),FALSE))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K198">
        <f>IF(ISNUMBER(SEARCH(SUBSTITUTE(AK$1,RIGHT(AK$1,2),""),VLOOKUP($D198,素材!$1:$1016,COLUMN($F$1),FALSE))),VLOOKUP($C198,武器!$1:$998,COLUMN($O$1),FALSE)*VLOOKUP($D198,素材!$1:$1016,COLUMN($E$1),FALSE)/(LEN(VLOOKUP($D198,素材!$1:$1016,COLUMN($F$1),FALSE))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L198">
        <f>IF(ISNUMBER(SEARCH(SUBSTITUTE(AL$1,RIGHT(AL$1,2),""),VLOOKUP($D198,素材!$1:$1016,COLUMN($F$1),FALSE))),VLOOKUP($C198,武器!$1:$998,COLUMN($O$1),FALSE)*VLOOKUP($D198,素材!$1:$1016,COLUMN($E$1),FALSE)/(LEN(VLOOKUP($D198,素材!$1:$1016,COLUMN($F$1),FALSE))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M198">
        <f>IF(ISNUMBER(SEARCH(SUBSTITUTE(AM$1,RIGHT(AM$1,2),""),VLOOKUP($D198,素材!$1:$1016,COLUMN($F$1),FALSE))),VLOOKUP($C198,武器!$1:$998,COLUMN($O$1),FALSE)*VLOOKUP($D198,素材!$1:$1016,COLUMN($E$1),FALSE)/(LEN(VLOOKUP($D198,素材!$1:$1016,COLUMN($F$1),FALSE))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N198">
        <f>IF(ISNUMBER(SEARCH(SUBSTITUTE(AN$1,RIGHT(AN$1,2),""),VLOOKUP($D198,素材!$1:$1016,COLUMN($F$1),FALSE))),VLOOKUP($C198,武器!$1:$998,COLUMN($O$1),FALSE)*VLOOKUP($D198,素材!$1:$1016,COLUMN($E$1),FALSE)/(LEN(VLOOKUP($D198,素材!$1:$1016,COLUMN($F$1),FALSE))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O198">
        <f>IF(ISNUMBER(SEARCH(SUBSTITUTE(AO$1,RIGHT(AO$1,2),""),VLOOKUP($D198,素材!$1:$1016,COLUMN($F$1),FALSE))),VLOOKUP($C198,武器!$1:$998,COLUMN($O$1),FALSE)*VLOOKUP($D198,素材!$1:$1016,COLUMN($E$1),FALSE)/(LEN(VLOOKUP($D198,素材!$1:$1016,COLUMN($F$1),FALSE))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P198">
        <f>IF(ISNUMBER(SEARCH(SUBSTITUTE(AP$1,RIGHT(AP$1,2),""),VLOOKUP($D198,素材!$1:$1016,COLUMN($F$1),FALSE))),VLOOKUP($C198,武器!$1:$998,COLUMN($O$1),FALSE)*VLOOKUP($D198,素材!$1:$1016,COLUMN($E$1),FALSE)/(LEN(VLOOKUP($D198,素材!$1:$1016,COLUMN($F$1),FALSE))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Q198">
        <f>IF(ISNUMBER(SEARCH(SUBSTITUTE(AQ$1,RIGHT(AQ$1,2),""),VLOOKUP($D198,素材!$1:$1016,COLUMN($F$1),FALSE))),VLOOKUP($C198,武器!$1:$998,COLUMN($O$1),FALSE)*VLOOKUP($D198,素材!$1:$1016,COLUMN($E$1),FALSE)/(LEN(VLOOKUP($D198,素材!$1:$1016,COLUMN($F$1),FALSE))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R198">
        <f>IF(ISNUMBER(SEARCH(SUBSTITUTE(AR$1,RIGHT(AR$1,2),""),VLOOKUP($D198,素材!$1:$1016,COLUMN($F$1),FALSE))),VLOOKUP($C198,武器!$1:$998,COLUMN($O$1),FALSE)*VLOOKUP($D198,素材!$1:$1016,COLUMN($E$1),FALSE)/(LEN(VLOOKUP($D198,素材!$1:$1016,COLUMN($F$1),FALSE))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S198">
        <f>IF(ISNUMBER(SEARCH(SUBSTITUTE(AS$1,RIGHT(AS$1,2),""),VLOOKUP($D198,素材!$1:$1016,COLUMN($F$1),FALSE))),VLOOKUP($C198,武器!$1:$998,COLUMN($O$1),FALSE)*VLOOKUP($D198,素材!$1:$1016,COLUMN($E$1),FALSE)/(LEN(VLOOKUP($D198,素材!$1:$1016,COLUMN($F$1),FALSE))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T198">
        <f>IF(ISNUMBER(SEARCH(SUBSTITUTE(AT$1,RIGHT(AT$1,2),""),VLOOKUP($D198,素材!$1:$1016,COLUMN($F$1),FALSE))),VLOOKUP($C198,武器!$1:$998,COLUMN($O$1),FALSE)*VLOOKUP($D198,素材!$1:$1016,COLUMN($E$1),FALSE)/(LEN(VLOOKUP($D198,素材!$1:$1016,COLUMN($F$1),FALSE))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U198">
        <f>IF(ISNUMBER(SEARCH(SUBSTITUTE(AU$1,RIGHT(AU$1,2),""),VLOOKUP($D198,素材!$1:$1016,COLUMN($F$1),FALSE))),VLOOKUP($C198,武器!$1:$998,COLUMN($O$1),FALSE)*VLOOKUP($D198,素材!$1:$1016,COLUMN($E$1),FALSE)/(LEN(VLOOKUP($D198,素材!$1:$1016,COLUMN($F$1),FALSE))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V198">
        <f>IF(ISNUMBER(SEARCH(SUBSTITUTE(AV$1,RIGHT(AV$1,2),""),VLOOKUP($D198,素材!$1:$1016,COLUMN($F$1),FALSE))),VLOOKUP($C198,武器!$1:$998,COLUMN($O$1),FALSE)*VLOOKUP($D198,素材!$1:$1016,COLUMN($E$1),FALSE)/(LEN(VLOOKUP($D198,素材!$1:$1016,COLUMN($F$1),FALSE))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W198">
        <f>IF(ISNUMBER(SEARCH(SUBSTITUTE(AW$1,RIGHT(AW$1,2),""),VLOOKUP($D198,素材!$1:$1016,COLUMN($F$1),FALSE))),VLOOKUP($C198,武器!$1:$998,COLUMN($O$1),FALSE)*VLOOKUP($D198,素材!$1:$1016,COLUMN($E$1),FALSE)/(LEN(VLOOKUP($D198,素材!$1:$1016,COLUMN($F$1),FALSE))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X198">
        <f>IF(ISNUMBER(SEARCH(SUBSTITUTE(AX$1,RIGHT(AX$1,2),""),VLOOKUP($D198,素材!$1:$1016,COLUMN($F$1),FALSE))),VLOOKUP($C198,武器!$1:$998,COLUMN($O$1),FALSE)*VLOOKUP($D198,素材!$1:$1016,COLUMN($E$1),FALSE)/(LEN(VLOOKUP($D198,素材!$1:$1016,COLUMN($F$1),FALSE))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Y198">
        <f>IF(ISNUMBER(SEARCH(SUBSTITUTE(AY$1,RIGHT(AY$1,2),""),VLOOKUP($D198,素材!$1:$1016,COLUMN($F$1),FALSE))),VLOOKUP($C198,武器!$1:$998,COLUMN($O$1),FALSE)*VLOOKUP($D198,素材!$1:$1016,COLUMN($E$1),FALSE)/(LEN(VLOOKUP($D198,素材!$1:$1016,COLUMN($F$1),FALSE))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AZ198">
        <f>IF(ISNUMBER(SEARCH(SUBSTITUTE(AZ$1,RIGHT(AZ$1,2),""),VLOOKUP($D198,素材!$1:$1016,COLUMN($F$1),FALSE))),VLOOKUP($C198,武器!$1:$998,COLUMN($O$1),FALSE)*VLOOKUP($D198,素材!$1:$1016,COLUMN($E$1),FALSE)/(LEN(VLOOKUP($D198,素材!$1:$1016,COLUMN($F$1),FALSE))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BA198">
        <f>IF(ISNUMBER(SEARCH(SUBSTITUTE(BA$1,RIGHT(BA$1,2),""),VLOOKUP($D198,素材!$1:$1016,COLUMN($F$1),FALSE))),VLOOKUP($C198,武器!$1:$998,COLUMN($O$1),FALSE)*VLOOKUP($D198,素材!$1:$1016,COLUMN($E$1),FALSE)/(LEN(VLOOKUP($D198,素材!$1:$1016,COLUMN($F$1),FALSE))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BB198">
        <f>IF(ISNUMBER(SEARCH(SUBSTITUTE(BB$1,RIGHT(BB$1,2),""),VLOOKUP($D198,素材!$1:$1016,COLUMN($F$1),FALSE))),VLOOKUP($C198,武器!$1:$998,COLUMN($O$1),FALSE)*VLOOKUP($D198,素材!$1:$1016,COLUMN($E$1),FALSE)/(LEN(VLOOKUP($D198,素材!$1:$1016,COLUMN($F$1),FALSE))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BC198">
        <f>IF(ISNUMBER(SEARCH(SUBSTITUTE(BC$1,RIGHT(BC$1,2),""),VLOOKUP($D198,素材!$1:$1016,COLUMN($F$1),FALSE))),VLOOKUP($C198,武器!$1:$998,COLUMN($O$1),FALSE)*VLOOKUP($D198,素材!$1:$1016,COLUMN($E$1),FALSE)/(LEN(VLOOKUP($D198,素材!$1:$1016,COLUMN($F$1),FALSE))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BD198">
        <f>IF(ISNUMBER(SEARCH(SUBSTITUTE(BD$1,RIGHT(BD$1,2),""),VLOOKUP($D198,素材!$1:$1016,COLUMN($F$1),FALSE))),VLOOKUP($C198,武器!$1:$998,COLUMN($O$1),FALSE)*VLOOKUP($D198,素材!$1:$1016,COLUMN($E$1),FALSE)/(LEN(VLOOKUP($D198,素材!$1:$1016,COLUMN($F$1),FALSE))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BE198">
        <f>IF(ISNUMBER(SEARCH(SUBSTITUTE(BE$1,RIGHT(BE$1,2),""),VLOOKUP($D198,素材!$1:$1016,COLUMN($F$1),FALSE))),VLOOKUP($C198,武器!$1:$998,COLUMN($O$1),FALSE)*VLOOKUP($D198,素材!$1:$1016,COLUMN($E$1),FALSE)/(LEN(VLOOKUP($D198,素材!$1:$1016,COLUMN($F$1),FALSE))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BF198">
        <f>IF(ISNUMBER(SEARCH(SUBSTITUTE(BF$1,RIGHT(BF$1,2),""),VLOOKUP($D198,素材!$1:$1016,COLUMN($F$1),FALSE))),VLOOKUP($C198,武器!$1:$998,COLUMN($O$1),FALSE)*VLOOKUP($D198,素材!$1:$1016,COLUMN($E$1),FALSE)/(LEN(VLOOKUP($D198,素材!$1:$1016,COLUMN($F$1),FALSE)) - LEN(SUBSTITUTE(VLOOKUP($D198,素材!$1:$1016,COLUMN($F$1),FALSE), "・", 0)) + 1), 0)</f>
        <v>0</v>
      </c>
      <c r="CM198">
        <f t="shared" si="31"/>
        <v>22</v>
      </c>
      <c r="CN198" s="22" t="str">
        <f>IF(E198="武器",IF(J198-1&gt;SUM(G198:I198),"盾",IF(MAX(G198:I198)=G198,"切断",IF(MAX(G198:I198)=H198,"貫通",IF(MAX(G198:I198)=I198,"打撃","射撃")))),E198)&amp;".webp"</f>
        <v>貫通.webp</v>
      </c>
      <c r="CO198">
        <f>IFERROR(VLOOKUP($C198,武器!$1:$998,COLUMN(V$1),FALSE)*VLOOKUP($D198,素材!$1:$1016,COLUMN(N$1),FALSE)+IF(CJ198="",0,VLOOKUP($CJ198,装強!$1:$1008,COLUMN($CL$1),FALSE)),"")</f>
        <v>2250</v>
      </c>
      <c r="CP198">
        <f>VLOOKUP(D198,素材!$A:$O,COLUMN(素材!O$1),FALSE)</f>
        <v>0</v>
      </c>
      <c r="CQ198" t="str">
        <f>VLOOKUP(C198,武器!$A:$W,COLUMN(武器!W$1),FALSE)</f>
        <v>刺剣。小型で精密な攻撃が可能な武器。</v>
      </c>
      <c r="CS198" t="str">
        <f t="shared" si="21"/>
        <v>e_198</v>
      </c>
      <c r="CT198">
        <f t="shared" si="24"/>
        <v>225000</v>
      </c>
    </row>
    <row r="199" spans="1:98" outlineLevel="1" x14ac:dyDescent="0.4">
      <c r="A199" t="str">
        <f t="shared" si="30"/>
        <v>冷気鉄の短槍</v>
      </c>
      <c r="B199" t="str">
        <f>IFERROR(VLOOKUP($D199,素材!$1:$1016,COLUMN($B$1),FALSE)&amp;"・"&amp;VLOOKUP($C199,武器!$1:$998,COLUMN(B$1),FALSE),"")</f>
        <v>ドゥララン・ショートスピア</v>
      </c>
      <c r="C199" s="24" t="s">
        <v>234</v>
      </c>
      <c r="D199" s="24" t="s">
        <v>243</v>
      </c>
      <c r="E199" t="str">
        <f>IFERROR(VLOOKUP(C199,武器!$1:$998,COLUMN(C$1),FALSE),"")</f>
        <v>武器</v>
      </c>
      <c r="F199">
        <f>IFERROR(ROUNDDOWN((VLOOKUP($C199,武器!$1:$998,COLUMN(D$1),FALSE)+IFERROR(VLOOKUP($CJ199,装強!$1:$999,COLUMN(F$1),FALSE),0))*VLOOKUP($D199,素材!$1:$1016,COLUMN(D$1),FALSE),0),"")</f>
        <v>105</v>
      </c>
      <c r="G199">
        <f>IFERROR(ROUNDDOWN((VLOOKUP($C199,武器!$1:$998,COLUMN(E$1),FALSE)+IFERROR(VLOOKUP($CJ199,装強!$1:$999,COLUMN(G$1),FALSE),0))*VLOOKUP($D199,素材!$1:$1016,COLUMN($E$1),FALSE),0),"")</f>
        <v>8</v>
      </c>
      <c r="H199">
        <f>IFERROR(ROUNDDOWN((VLOOKUP($C199,武器!$1:$998,COLUMN(F$1),FALSE)+IFERROR(VLOOKUP($CJ199,装強!$1:$999,COLUMN(H$1),FALSE),0))*VLOOKUP($D199,素材!$1:$1016,COLUMN($E$1),FALSE),0),"")</f>
        <v>14</v>
      </c>
      <c r="I199">
        <f>IFERROR(ROUNDDOWN((VLOOKUP($C199,武器!$1:$998,COLUMN(G$1),FALSE)+IFERROR(VLOOKUP($CJ199,装強!$1:$999,COLUMN(I$1),FALSE),0))*VLOOKUP($D199,素材!$1:$1016,COLUMN($E$1),FALSE),0),"")</f>
        <v>3</v>
      </c>
      <c r="J199">
        <f>IFERROR(ROUNDDOWN((VLOOKUP($C199,武器!$1:$998,COLUMN(H$1),FALSE)+IFERROR(VLOOKUP($CJ199,装強!$1:$999,COLUMN(J$1),FALSE),0))*VLOOKUP($D199,素材!$1:$1016,COLUMN($E$1),FALSE),0),"")</f>
        <v>17</v>
      </c>
      <c r="K199">
        <f>IFERROR(ROUNDDOWN((VLOOKUP($C199,武器!$1:$998,COLUMN(I$1),FALSE)+IFERROR(VLOOKUP($CJ199,装強!$1:$999,COLUMN(K$1),FALSE),0))*VLOOKUP($D199,素材!$1:$1016,COLUMN($E$1),FALSE),0),"")</f>
        <v>0</v>
      </c>
      <c r="L199" t="str">
        <f>IFERROR(VLOOKUP($D199,素材!$1:$1016,COLUMN($F$1),FALSE),"")</f>
        <v>氷</v>
      </c>
      <c r="M199">
        <f>IFERROR(VLOOKUP($C199,武器!$1:$998,COLUMN(AA$1),FALSE)*VLOOKUP($D199,素材!$1:$1016,COLUMN($G$1),FALSE),"")</f>
        <v>43.75</v>
      </c>
      <c r="N199">
        <f>IFERROR(VLOOKUP($C199,武器!$1:$998,COLUMN(I$1),FALSE),"")</f>
        <v>0</v>
      </c>
      <c r="O199" s="23">
        <f>IFERROR((VLOOKUP($C199,武器!$1:$998,COLUMN(K$1),FALSE)+VLOOKUP($D199,素材!$1:$1016,COLUMN(H$1),FALSE))*100+IFERROR(VLOOKUP($CJ199,装強!$1:$999,COLUMN(O$1),FALSE),0),"")</f>
        <v>10</v>
      </c>
      <c r="P199" s="23">
        <f>IFERROR((VLOOKUP($C199,武器!$1:$998,COLUMN(L$1),FALSE)+VLOOKUP($D199,素材!$1:$1016,COLUMN(I$1),FALSE))*100+IFERROR(VLOOKUP($CJ199,装強!$1:$999,COLUMN(P$1),FALSE),0),"")</f>
        <v>150</v>
      </c>
      <c r="Q199">
        <f>IFERROR(ROUNDUP(VLOOKUP($C199,武器!$1:$998,COLUMN(M$1),FALSE)*(VLOOKUP($D199,素材!$1:$1002,COLUMN(D$1),FALSE)/100),1),"")</f>
        <v>0</v>
      </c>
      <c r="R199">
        <f>IFERROR(ROUNDUP(VLOOKUP($C199,武器!$1:$998,COLUMN(N$1),FALSE)*(VLOOKUP($D199,素材!$1:$1002,COLUMN(D$1),FALSE)/100),1),"")</f>
        <v>0</v>
      </c>
      <c r="S199">
        <f>IFERROR(VLOOKUP($C199,武器!$1:$998,COLUMN(P$1),FALSE),"")</f>
        <v>0</v>
      </c>
      <c r="T199">
        <f>IFERROR(VLOOKUP($C199,武器!$1:$998,COLUMN(Q$1),FALSE),"")</f>
        <v>0</v>
      </c>
      <c r="U199">
        <f>IFERROR(VLOOKUP($C199,武器!$1:$998,COLUMN(R$1),FALSE),"")</f>
        <v>0</v>
      </c>
      <c r="V199">
        <f>IFERROR(VLOOKUP($C199,武器!$1:$998,COLUMN(Q$1),FALSE),"")</f>
        <v>0</v>
      </c>
      <c r="W199" t="str">
        <f>IFERROR(VLOOKUP($C199,武器!$1:$998,COLUMN(T$1),FALSE),"")</f>
        <v>A</v>
      </c>
      <c r="Y199" t="str">
        <f>IFERROR(VLOOKUP($C199,武器!$1:$998,COLUMN(U$1),FALSE),"")</f>
        <v>投擲強化</v>
      </c>
      <c r="Z199">
        <f>IFERROR(ROUNDUP(VLOOKUP($C199,武器!$1:$998,COLUMN(O$1),FALSE)*VLOOKUP($D199,素材!$1:$1016,COLUMN(E$1),FALSE),1),"")</f>
        <v>0</v>
      </c>
      <c r="AA199">
        <f>IF(ISNUMBER(SEARCH(SUBSTITUTE(AA$1,RIGHT(AA$1,2),""),VLOOKUP($D199,素材!$1:$1016,COLUMN($F$1),FALSE))),VLOOKUP($C199,武器!$1:$998,COLUMN($O$1),FALSE)*VLOOKUP($D199,素材!$1:$1016,COLUMN($E$1),FALSE)/(LEN(VLOOKUP($D199,素材!$1:$1016,COLUMN($F$1),FALSE))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B199">
        <f>IF(ISNUMBER(SEARCH(SUBSTITUTE(AB$1,RIGHT(AB$1,2),""),VLOOKUP($D199,素材!$1:$1016,COLUMN($F$1),FALSE))),VLOOKUP($C199,武器!$1:$998,COLUMN($O$1),FALSE)*VLOOKUP($D199,素材!$1:$1016,COLUMN($E$1),FALSE)/(LEN(VLOOKUP($D199,素材!$1:$1016,COLUMN($F$1),FALSE))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C199">
        <f>IF(ISNUMBER(SEARCH(SUBSTITUTE(AC$1,RIGHT(AC$1,2),""),VLOOKUP($D199,素材!$1:$1016,COLUMN($F$1),FALSE))),VLOOKUP($C199,武器!$1:$998,COLUMN($O$1),FALSE)*VLOOKUP($D199,素材!$1:$1016,COLUMN($E$1),FALSE)/(LEN(VLOOKUP($D199,素材!$1:$1016,COLUMN($F$1),FALSE))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D199">
        <f>IF(ISNUMBER(SEARCH(SUBSTITUTE(AD$1,RIGHT(AD$1,2),""),VLOOKUP($D199,素材!$1:$1016,COLUMN($F$1),FALSE))),VLOOKUP($C199,武器!$1:$998,COLUMN($O$1),FALSE)*VLOOKUP($D199,素材!$1:$1016,COLUMN($E$1),FALSE)/(LEN(VLOOKUP($D199,素材!$1:$1016,COLUMN($F$1),FALSE))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E199">
        <f>IF(ISNUMBER(SEARCH(SUBSTITUTE(AE$1,RIGHT(AE$1,2),""),VLOOKUP($D199,素材!$1:$1016,COLUMN($F$1),FALSE))),VLOOKUP($C199,武器!$1:$998,COLUMN($O$1),FALSE)*VLOOKUP($D199,素材!$1:$1016,COLUMN($E$1),FALSE)/(LEN(VLOOKUP($D199,素材!$1:$1016,COLUMN($F$1),FALSE))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F199">
        <f>IF(ISNUMBER(SEARCH(SUBSTITUTE(AF$1,RIGHT(AF$1,2),""),VLOOKUP($D199,素材!$1:$1016,COLUMN($F$1),FALSE))),VLOOKUP($C199,武器!$1:$998,COLUMN($O$1),FALSE)*VLOOKUP($D199,素材!$1:$1016,COLUMN($E$1),FALSE)/(LEN(VLOOKUP($D199,素材!$1:$1016,COLUMN($F$1),FALSE))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G199">
        <f>IF(ISNUMBER(SEARCH(SUBSTITUTE(AG$1,RIGHT(AG$1,2),""),VLOOKUP($D199,素材!$1:$1016,COLUMN($F$1),FALSE))),VLOOKUP($C199,武器!$1:$998,COLUMN($O$1),FALSE)*VLOOKUP($D199,素材!$1:$1016,COLUMN($E$1),FALSE)/(LEN(VLOOKUP($D199,素材!$1:$1016,COLUMN($F$1),FALSE))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H199">
        <f>IF(ISNUMBER(SEARCH(SUBSTITUTE(AH$1,RIGHT(AH$1,2),""),VLOOKUP($D199,素材!$1:$1016,COLUMN($F$1),FALSE))),VLOOKUP($C199,武器!$1:$998,COLUMN($O$1),FALSE)*VLOOKUP($D199,素材!$1:$1016,COLUMN($E$1),FALSE)/(LEN(VLOOKUP($D199,素材!$1:$1016,COLUMN($F$1),FALSE))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I199">
        <f>IF(ISNUMBER(SEARCH(SUBSTITUTE(AI$1,RIGHT(AI$1,2),""),VLOOKUP($D199,素材!$1:$1016,COLUMN($F$1),FALSE))),VLOOKUP($C199,武器!$1:$998,COLUMN($O$1),FALSE)*VLOOKUP($D199,素材!$1:$1016,COLUMN($E$1),FALSE)/(LEN(VLOOKUP($D199,素材!$1:$1016,COLUMN($F$1),FALSE))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J199">
        <f>IF(ISNUMBER(SEARCH(SUBSTITUTE(AJ$1,RIGHT(AJ$1,2),""),VLOOKUP($D199,素材!$1:$1016,COLUMN($F$1),FALSE))),VLOOKUP($C199,武器!$1:$998,COLUMN($O$1),FALSE)*VLOOKUP($D199,素材!$1:$1016,COLUMN($E$1),FALSE)/(LEN(VLOOKUP($D199,素材!$1:$1016,COLUMN($F$1),FALSE))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K199">
        <f>IF(ISNUMBER(SEARCH(SUBSTITUTE(AK$1,RIGHT(AK$1,2),""),VLOOKUP($D199,素材!$1:$1016,COLUMN($F$1),FALSE))),VLOOKUP($C199,武器!$1:$998,COLUMN($O$1),FALSE)*VLOOKUP($D199,素材!$1:$1016,COLUMN($E$1),FALSE)/(LEN(VLOOKUP($D199,素材!$1:$1016,COLUMN($F$1),FALSE))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L199">
        <f>IF(ISNUMBER(SEARCH(SUBSTITUTE(AL$1,RIGHT(AL$1,2),""),VLOOKUP($D199,素材!$1:$1016,COLUMN($F$1),FALSE))),VLOOKUP($C199,武器!$1:$998,COLUMN($O$1),FALSE)*VLOOKUP($D199,素材!$1:$1016,COLUMN($E$1),FALSE)/(LEN(VLOOKUP($D199,素材!$1:$1016,COLUMN($F$1),FALSE))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M199">
        <f>IF(ISNUMBER(SEARCH(SUBSTITUTE(AM$1,RIGHT(AM$1,2),""),VLOOKUP($D199,素材!$1:$1016,COLUMN($F$1),FALSE))),VLOOKUP($C199,武器!$1:$998,COLUMN($O$1),FALSE)*VLOOKUP($D199,素材!$1:$1016,COLUMN($E$1),FALSE)/(LEN(VLOOKUP($D199,素材!$1:$1016,COLUMN($F$1),FALSE))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N199">
        <f>IF(ISNUMBER(SEARCH(SUBSTITUTE(AN$1,RIGHT(AN$1,2),""),VLOOKUP($D199,素材!$1:$1016,COLUMN($F$1),FALSE))),VLOOKUP($C199,武器!$1:$998,COLUMN($O$1),FALSE)*VLOOKUP($D199,素材!$1:$1016,COLUMN($E$1),FALSE)/(LEN(VLOOKUP($D199,素材!$1:$1016,COLUMN($F$1),FALSE))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O199">
        <f>IF(ISNUMBER(SEARCH(SUBSTITUTE(AO$1,RIGHT(AO$1,2),""),VLOOKUP($D199,素材!$1:$1016,COLUMN($F$1),FALSE))),VLOOKUP($C199,武器!$1:$998,COLUMN($O$1),FALSE)*VLOOKUP($D199,素材!$1:$1016,COLUMN($E$1),FALSE)/(LEN(VLOOKUP($D199,素材!$1:$1016,COLUMN($F$1),FALSE))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P199">
        <f>IF(ISNUMBER(SEARCH(SUBSTITUTE(AP$1,RIGHT(AP$1,2),""),VLOOKUP($D199,素材!$1:$1016,COLUMN($F$1),FALSE))),VLOOKUP($C199,武器!$1:$998,COLUMN($O$1),FALSE)*VLOOKUP($D199,素材!$1:$1016,COLUMN($E$1),FALSE)/(LEN(VLOOKUP($D199,素材!$1:$1016,COLUMN($F$1),FALSE))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Q199">
        <f>IF(ISNUMBER(SEARCH(SUBSTITUTE(AQ$1,RIGHT(AQ$1,2),""),VLOOKUP($D199,素材!$1:$1016,COLUMN($F$1),FALSE))),VLOOKUP($C199,武器!$1:$998,COLUMN($O$1),FALSE)*VLOOKUP($D199,素材!$1:$1016,COLUMN($E$1),FALSE)/(LEN(VLOOKUP($D199,素材!$1:$1016,COLUMN($F$1),FALSE))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R199">
        <f>IF(ISNUMBER(SEARCH(SUBSTITUTE(AR$1,RIGHT(AR$1,2),""),VLOOKUP($D199,素材!$1:$1016,COLUMN($F$1),FALSE))),VLOOKUP($C199,武器!$1:$998,COLUMN($O$1),FALSE)*VLOOKUP($D199,素材!$1:$1016,COLUMN($E$1),FALSE)/(LEN(VLOOKUP($D199,素材!$1:$1016,COLUMN($F$1),FALSE))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S199">
        <f>IF(ISNUMBER(SEARCH(SUBSTITUTE(AS$1,RIGHT(AS$1,2),""),VLOOKUP($D199,素材!$1:$1016,COLUMN($F$1),FALSE))),VLOOKUP($C199,武器!$1:$998,COLUMN($O$1),FALSE)*VLOOKUP($D199,素材!$1:$1016,COLUMN($E$1),FALSE)/(LEN(VLOOKUP($D199,素材!$1:$1016,COLUMN($F$1),FALSE))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T199">
        <f>IF(ISNUMBER(SEARCH(SUBSTITUTE(AT$1,RIGHT(AT$1,2),""),VLOOKUP($D199,素材!$1:$1016,COLUMN($F$1),FALSE))),VLOOKUP($C199,武器!$1:$998,COLUMN($O$1),FALSE)*VLOOKUP($D199,素材!$1:$1016,COLUMN($E$1),FALSE)/(LEN(VLOOKUP($D199,素材!$1:$1016,COLUMN($F$1),FALSE))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U199">
        <f>IF(ISNUMBER(SEARCH(SUBSTITUTE(AU$1,RIGHT(AU$1,2),""),VLOOKUP($D199,素材!$1:$1016,COLUMN($F$1),FALSE))),VLOOKUP($C199,武器!$1:$998,COLUMN($O$1),FALSE)*VLOOKUP($D199,素材!$1:$1016,COLUMN($E$1),FALSE)/(LEN(VLOOKUP($D199,素材!$1:$1016,COLUMN($F$1),FALSE))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V199">
        <f>IF(ISNUMBER(SEARCH(SUBSTITUTE(AV$1,RIGHT(AV$1,2),""),VLOOKUP($D199,素材!$1:$1016,COLUMN($F$1),FALSE))),VLOOKUP($C199,武器!$1:$998,COLUMN($O$1),FALSE)*VLOOKUP($D199,素材!$1:$1016,COLUMN($E$1),FALSE)/(LEN(VLOOKUP($D199,素材!$1:$1016,COLUMN($F$1),FALSE))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W199">
        <f>IF(ISNUMBER(SEARCH(SUBSTITUTE(AW$1,RIGHT(AW$1,2),""),VLOOKUP($D199,素材!$1:$1016,COLUMN($F$1),FALSE))),VLOOKUP($C199,武器!$1:$998,COLUMN($O$1),FALSE)*VLOOKUP($D199,素材!$1:$1016,COLUMN($E$1),FALSE)/(LEN(VLOOKUP($D199,素材!$1:$1016,COLUMN($F$1),FALSE))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X199">
        <f>IF(ISNUMBER(SEARCH(SUBSTITUTE(AX$1,RIGHT(AX$1,2),""),VLOOKUP($D199,素材!$1:$1016,COLUMN($F$1),FALSE))),VLOOKUP($C199,武器!$1:$998,COLUMN($O$1),FALSE)*VLOOKUP($D199,素材!$1:$1016,COLUMN($E$1),FALSE)/(LEN(VLOOKUP($D199,素材!$1:$1016,COLUMN($F$1),FALSE))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Y199">
        <f>IF(ISNUMBER(SEARCH(SUBSTITUTE(AY$1,RIGHT(AY$1,2),""),VLOOKUP($D199,素材!$1:$1016,COLUMN($F$1),FALSE))),VLOOKUP($C199,武器!$1:$998,COLUMN($O$1),FALSE)*VLOOKUP($D199,素材!$1:$1016,COLUMN($E$1),FALSE)/(LEN(VLOOKUP($D199,素材!$1:$1016,COLUMN($F$1),FALSE))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AZ199">
        <f>IF(ISNUMBER(SEARCH(SUBSTITUTE(AZ$1,RIGHT(AZ$1,2),""),VLOOKUP($D199,素材!$1:$1016,COLUMN($F$1),FALSE))),VLOOKUP($C199,武器!$1:$998,COLUMN($O$1),FALSE)*VLOOKUP($D199,素材!$1:$1016,COLUMN($E$1),FALSE)/(LEN(VLOOKUP($D199,素材!$1:$1016,COLUMN($F$1),FALSE))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BA199">
        <f>IF(ISNUMBER(SEARCH(SUBSTITUTE(BA$1,RIGHT(BA$1,2),""),VLOOKUP($D199,素材!$1:$1016,COLUMN($F$1),FALSE))),VLOOKUP($C199,武器!$1:$998,COLUMN($O$1),FALSE)*VLOOKUP($D199,素材!$1:$1016,COLUMN($E$1),FALSE)/(LEN(VLOOKUP($D199,素材!$1:$1016,COLUMN($F$1),FALSE))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BB199">
        <f>IF(ISNUMBER(SEARCH(SUBSTITUTE(BB$1,RIGHT(BB$1,2),""),VLOOKUP($D199,素材!$1:$1016,COLUMN($F$1),FALSE))),VLOOKUP($C199,武器!$1:$998,COLUMN($O$1),FALSE)*VLOOKUP($D199,素材!$1:$1016,COLUMN($E$1),FALSE)/(LEN(VLOOKUP($D199,素材!$1:$1016,COLUMN($F$1),FALSE))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BC199">
        <f>IF(ISNUMBER(SEARCH(SUBSTITUTE(BC$1,RIGHT(BC$1,2),""),VLOOKUP($D199,素材!$1:$1016,COLUMN($F$1),FALSE))),VLOOKUP($C199,武器!$1:$998,COLUMN($O$1),FALSE)*VLOOKUP($D199,素材!$1:$1016,COLUMN($E$1),FALSE)/(LEN(VLOOKUP($D199,素材!$1:$1016,COLUMN($F$1),FALSE))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BD199">
        <f>IF(ISNUMBER(SEARCH(SUBSTITUTE(BD$1,RIGHT(BD$1,2),""),VLOOKUP($D199,素材!$1:$1016,COLUMN($F$1),FALSE))),VLOOKUP($C199,武器!$1:$998,COLUMN($O$1),FALSE)*VLOOKUP($D199,素材!$1:$1016,COLUMN($E$1),FALSE)/(LEN(VLOOKUP($D199,素材!$1:$1016,COLUMN($F$1),FALSE))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BE199">
        <f>IF(ISNUMBER(SEARCH(SUBSTITUTE(BE$1,RIGHT(BE$1,2),""),VLOOKUP($D199,素材!$1:$1016,COLUMN($F$1),FALSE))),VLOOKUP($C199,武器!$1:$998,COLUMN($O$1),FALSE)*VLOOKUP($D199,素材!$1:$1016,COLUMN($E$1),FALSE)/(LEN(VLOOKUP($D199,素材!$1:$1016,COLUMN($F$1),FALSE))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BF199">
        <f>IF(ISNUMBER(SEARCH(SUBSTITUTE(BF$1,RIGHT(BF$1,2),""),VLOOKUP($D199,素材!$1:$1016,COLUMN($F$1),FALSE))),VLOOKUP($C199,武器!$1:$998,COLUMN($O$1),FALSE)*VLOOKUP($D199,素材!$1:$1016,COLUMN($E$1),FALSE)/(LEN(VLOOKUP($D199,素材!$1:$1016,COLUMN($F$1),FALSE)) - LEN(SUBSTITUTE(VLOOKUP($D199,素材!$1:$1016,COLUMN($F$1),FALSE), "・", 0)) + 1), 0)</f>
        <v>0</v>
      </c>
      <c r="CM199">
        <f t="shared" si="31"/>
        <v>25</v>
      </c>
      <c r="CN199" s="22" t="str">
        <f>IF(E199="武器",IF(J199-1&gt;SUM(G199:I199),"盾",IF(MAX(G199:I199)=G199,"切断",IF(MAX(G199:I199)=H199,"貫通",IF(MAX(G199:I199)=I199,"打撃","射撃")))),E199)&amp;".webp"</f>
        <v>貫通.webp</v>
      </c>
      <c r="CO199">
        <f>IFERROR(VLOOKUP($C199,武器!$1:$998,COLUMN(V$1),FALSE)*VLOOKUP($D199,素材!$1:$1016,COLUMN(N$1),FALSE)+IF(CJ199="",0,VLOOKUP($CJ199,装強!$1:$1008,COLUMN($CL$1),FALSE)),"")</f>
        <v>2250</v>
      </c>
      <c r="CP199">
        <f>VLOOKUP(D199,素材!$A:$O,COLUMN(素材!O$1),FALSE)</f>
        <v>0</v>
      </c>
      <c r="CQ199" t="str">
        <f>VLOOKUP(C199,武器!$A:$W,COLUMN(武器!W$1),FALSE)</f>
        <v>短槍。短く扱いやすい槍で、投擲にも対応。</v>
      </c>
      <c r="CS199" t="str">
        <f t="shared" si="21"/>
        <v>e_199</v>
      </c>
      <c r="CT199">
        <f t="shared" si="24"/>
        <v>225000</v>
      </c>
    </row>
    <row r="200" spans="1:98" outlineLevel="1" x14ac:dyDescent="0.4">
      <c r="A200" t="str">
        <f t="shared" si="30"/>
        <v>冷気鉄の槍</v>
      </c>
      <c r="B200" t="str">
        <f>IFERROR(VLOOKUP($D200,素材!$1:$1016,COLUMN($B$1),FALSE)&amp;"・"&amp;VLOOKUP($C200,武器!$1:$998,COLUMN(B$1),FALSE),"")</f>
        <v>ドゥララン・スピア</v>
      </c>
      <c r="C200" s="24" t="s">
        <v>233</v>
      </c>
      <c r="D200" s="24" t="s">
        <v>243</v>
      </c>
      <c r="E200" t="str">
        <f>IFERROR(VLOOKUP(C200,武器!$1:$998,COLUMN(C$1),FALSE),"")</f>
        <v>武器</v>
      </c>
      <c r="F200">
        <f>IFERROR(ROUNDDOWN((VLOOKUP($C200,武器!$1:$998,COLUMN(D$1),FALSE)+IFERROR(VLOOKUP($CJ200,装強!$1:$999,COLUMN(F$1),FALSE),0))*VLOOKUP($D200,素材!$1:$1016,COLUMN(D$1),FALSE),0),"")</f>
        <v>115</v>
      </c>
      <c r="G200">
        <f>IFERROR(ROUNDDOWN((VLOOKUP($C200,武器!$1:$998,COLUMN(E$1),FALSE)+IFERROR(VLOOKUP($CJ200,装強!$1:$999,COLUMN(G$1),FALSE),0))*VLOOKUP($D200,素材!$1:$1016,COLUMN($E$1),FALSE),0),"")</f>
        <v>8</v>
      </c>
      <c r="H200">
        <f>IFERROR(ROUNDDOWN((VLOOKUP($C200,武器!$1:$998,COLUMN(F$1),FALSE)+IFERROR(VLOOKUP($CJ200,装強!$1:$999,COLUMN(H$1),FALSE),0))*VLOOKUP($D200,素材!$1:$1016,COLUMN($E$1),FALSE),0),"")</f>
        <v>16</v>
      </c>
      <c r="I200">
        <f>IFERROR(ROUNDDOWN((VLOOKUP($C200,武器!$1:$998,COLUMN(G$1),FALSE)+IFERROR(VLOOKUP($CJ200,装強!$1:$999,COLUMN(I$1),FALSE),0))*VLOOKUP($D200,素材!$1:$1016,COLUMN($E$1),FALSE),0),"")</f>
        <v>3</v>
      </c>
      <c r="J200">
        <f>IFERROR(ROUNDDOWN((VLOOKUP($C200,武器!$1:$998,COLUMN(H$1),FALSE)+IFERROR(VLOOKUP($CJ200,装強!$1:$999,COLUMN(J$1),FALSE),0))*VLOOKUP($D200,素材!$1:$1016,COLUMN($E$1),FALSE),0),"")</f>
        <v>17</v>
      </c>
      <c r="K200">
        <f>IFERROR(ROUNDDOWN((VLOOKUP($C200,武器!$1:$998,COLUMN(I$1),FALSE)+IFERROR(VLOOKUP($CJ200,装強!$1:$999,COLUMN(K$1),FALSE),0))*VLOOKUP($D200,素材!$1:$1016,COLUMN($E$1),FALSE),0),"")</f>
        <v>0</v>
      </c>
      <c r="L200" t="str">
        <f>IFERROR(VLOOKUP($D200,素材!$1:$1016,COLUMN($F$1),FALSE),"")</f>
        <v>氷</v>
      </c>
      <c r="M200">
        <f>IFERROR(VLOOKUP($C200,武器!$1:$998,COLUMN(AA$1),FALSE)*VLOOKUP($D200,素材!$1:$1016,COLUMN($G$1),FALSE),"")</f>
        <v>47.25</v>
      </c>
      <c r="N200">
        <f>IFERROR(VLOOKUP($C200,武器!$1:$998,COLUMN(I$1),FALSE),"")</f>
        <v>0</v>
      </c>
      <c r="O200" s="23">
        <f>IFERROR((VLOOKUP($C200,武器!$1:$998,COLUMN(K$1),FALSE)+VLOOKUP($D200,素材!$1:$1016,COLUMN(H$1),FALSE))*100+IFERROR(VLOOKUP($CJ200,装強!$1:$999,COLUMN(O$1),FALSE),0),"")</f>
        <v>10</v>
      </c>
      <c r="P200" s="23">
        <f>IFERROR((VLOOKUP($C200,武器!$1:$998,COLUMN(L$1),FALSE)+VLOOKUP($D200,素材!$1:$1016,COLUMN(I$1),FALSE))*100+IFERROR(VLOOKUP($CJ200,装強!$1:$999,COLUMN(P$1),FALSE),0),"")</f>
        <v>150</v>
      </c>
      <c r="Q200">
        <f>IFERROR(ROUNDUP(VLOOKUP($C200,武器!$1:$998,COLUMN(M$1),FALSE)*(VLOOKUP($D200,素材!$1:$1002,COLUMN(D$1),FALSE)/100),1),"")</f>
        <v>0</v>
      </c>
      <c r="R200">
        <f>IFERROR(ROUNDUP(VLOOKUP($C200,武器!$1:$998,COLUMN(N$1),FALSE)*(VLOOKUP($D200,素材!$1:$1002,COLUMN(D$1),FALSE)/100),1),"")</f>
        <v>-5</v>
      </c>
      <c r="S200">
        <f>IFERROR(VLOOKUP($C200,武器!$1:$998,COLUMN(P$1),FALSE),"")</f>
        <v>0</v>
      </c>
      <c r="T200">
        <f>IFERROR(VLOOKUP($C200,武器!$1:$998,COLUMN(Q$1),FALSE),"")</f>
        <v>0</v>
      </c>
      <c r="U200">
        <f>IFERROR(VLOOKUP($C200,武器!$1:$998,COLUMN(R$1),FALSE),"")</f>
        <v>0</v>
      </c>
      <c r="V200">
        <f>IFERROR(VLOOKUP($C200,武器!$1:$998,COLUMN(Q$1),FALSE),"")</f>
        <v>0</v>
      </c>
      <c r="W200" t="str">
        <f>IFERROR(VLOOKUP($C200,武器!$1:$998,COLUMN(T$1),FALSE),"")</f>
        <v>A</v>
      </c>
      <c r="Y200" t="str">
        <f>IFERROR(VLOOKUP($C200,武器!$1:$998,COLUMN(U$1),FALSE),"")</f>
        <v>投擲強化</v>
      </c>
      <c r="Z200">
        <f>IFERROR(ROUNDUP(VLOOKUP($C200,武器!$1:$998,COLUMN(O$1),FALSE)*VLOOKUP($D200,素材!$1:$1016,COLUMN(E$1),FALSE),1),"")</f>
        <v>0</v>
      </c>
      <c r="AA200">
        <f>IF(ISNUMBER(SEARCH(SUBSTITUTE(AA$1,RIGHT(AA$1,2),""),VLOOKUP($D200,素材!$1:$1016,COLUMN($F$1),FALSE))),VLOOKUP($C200,武器!$1:$998,COLUMN($O$1),FALSE)*VLOOKUP($D200,素材!$1:$1016,COLUMN($E$1),FALSE)/(LEN(VLOOKUP($D200,素材!$1:$1016,COLUMN($F$1),FALSE))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B200">
        <f>IF(ISNUMBER(SEARCH(SUBSTITUTE(AB$1,RIGHT(AB$1,2),""),VLOOKUP($D200,素材!$1:$1016,COLUMN($F$1),FALSE))),VLOOKUP($C200,武器!$1:$998,COLUMN($O$1),FALSE)*VLOOKUP($D200,素材!$1:$1016,COLUMN($E$1),FALSE)/(LEN(VLOOKUP($D200,素材!$1:$1016,COLUMN($F$1),FALSE))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C200">
        <f>IF(ISNUMBER(SEARCH(SUBSTITUTE(AC$1,RIGHT(AC$1,2),""),VLOOKUP($D200,素材!$1:$1016,COLUMN($F$1),FALSE))),VLOOKUP($C200,武器!$1:$998,COLUMN($O$1),FALSE)*VLOOKUP($D200,素材!$1:$1016,COLUMN($E$1),FALSE)/(LEN(VLOOKUP($D200,素材!$1:$1016,COLUMN($F$1),FALSE))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D200">
        <f>IF(ISNUMBER(SEARCH(SUBSTITUTE(AD$1,RIGHT(AD$1,2),""),VLOOKUP($D200,素材!$1:$1016,COLUMN($F$1),FALSE))),VLOOKUP($C200,武器!$1:$998,COLUMN($O$1),FALSE)*VLOOKUP($D200,素材!$1:$1016,COLUMN($E$1),FALSE)/(LEN(VLOOKUP($D200,素材!$1:$1016,COLUMN($F$1),FALSE))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E200">
        <f>IF(ISNUMBER(SEARCH(SUBSTITUTE(AE$1,RIGHT(AE$1,2),""),VLOOKUP($D200,素材!$1:$1016,COLUMN($F$1),FALSE))),VLOOKUP($C200,武器!$1:$998,COLUMN($O$1),FALSE)*VLOOKUP($D200,素材!$1:$1016,COLUMN($E$1),FALSE)/(LEN(VLOOKUP($D200,素材!$1:$1016,COLUMN($F$1),FALSE))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F200">
        <f>IF(ISNUMBER(SEARCH(SUBSTITUTE(AF$1,RIGHT(AF$1,2),""),VLOOKUP($D200,素材!$1:$1016,COLUMN($F$1),FALSE))),VLOOKUP($C200,武器!$1:$998,COLUMN($O$1),FALSE)*VLOOKUP($D200,素材!$1:$1016,COLUMN($E$1),FALSE)/(LEN(VLOOKUP($D200,素材!$1:$1016,COLUMN($F$1),FALSE))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G200">
        <f>IF(ISNUMBER(SEARCH(SUBSTITUTE(AG$1,RIGHT(AG$1,2),""),VLOOKUP($D200,素材!$1:$1016,COLUMN($F$1),FALSE))),VLOOKUP($C200,武器!$1:$998,COLUMN($O$1),FALSE)*VLOOKUP($D200,素材!$1:$1016,COLUMN($E$1),FALSE)/(LEN(VLOOKUP($D200,素材!$1:$1016,COLUMN($F$1),FALSE))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H200">
        <f>IF(ISNUMBER(SEARCH(SUBSTITUTE(AH$1,RIGHT(AH$1,2),""),VLOOKUP($D200,素材!$1:$1016,COLUMN($F$1),FALSE))),VLOOKUP($C200,武器!$1:$998,COLUMN($O$1),FALSE)*VLOOKUP($D200,素材!$1:$1016,COLUMN($E$1),FALSE)/(LEN(VLOOKUP($D200,素材!$1:$1016,COLUMN($F$1),FALSE))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I200">
        <f>IF(ISNUMBER(SEARCH(SUBSTITUTE(AI$1,RIGHT(AI$1,2),""),VLOOKUP($D200,素材!$1:$1016,COLUMN($F$1),FALSE))),VLOOKUP($C200,武器!$1:$998,COLUMN($O$1),FALSE)*VLOOKUP($D200,素材!$1:$1016,COLUMN($E$1),FALSE)/(LEN(VLOOKUP($D200,素材!$1:$1016,COLUMN($F$1),FALSE))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J200">
        <f>IF(ISNUMBER(SEARCH(SUBSTITUTE(AJ$1,RIGHT(AJ$1,2),""),VLOOKUP($D200,素材!$1:$1016,COLUMN($F$1),FALSE))),VLOOKUP($C200,武器!$1:$998,COLUMN($O$1),FALSE)*VLOOKUP($D200,素材!$1:$1016,COLUMN($E$1),FALSE)/(LEN(VLOOKUP($D200,素材!$1:$1016,COLUMN($F$1),FALSE))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K200">
        <f>IF(ISNUMBER(SEARCH(SUBSTITUTE(AK$1,RIGHT(AK$1,2),""),VLOOKUP($D200,素材!$1:$1016,COLUMN($F$1),FALSE))),VLOOKUP($C200,武器!$1:$998,COLUMN($O$1),FALSE)*VLOOKUP($D200,素材!$1:$1016,COLUMN($E$1),FALSE)/(LEN(VLOOKUP($D200,素材!$1:$1016,COLUMN($F$1),FALSE))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L200">
        <f>IF(ISNUMBER(SEARCH(SUBSTITUTE(AL$1,RIGHT(AL$1,2),""),VLOOKUP($D200,素材!$1:$1016,COLUMN($F$1),FALSE))),VLOOKUP($C200,武器!$1:$998,COLUMN($O$1),FALSE)*VLOOKUP($D200,素材!$1:$1016,COLUMN($E$1),FALSE)/(LEN(VLOOKUP($D200,素材!$1:$1016,COLUMN($F$1),FALSE))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M200">
        <f>IF(ISNUMBER(SEARCH(SUBSTITUTE(AM$1,RIGHT(AM$1,2),""),VLOOKUP($D200,素材!$1:$1016,COLUMN($F$1),FALSE))),VLOOKUP($C200,武器!$1:$998,COLUMN($O$1),FALSE)*VLOOKUP($D200,素材!$1:$1016,COLUMN($E$1),FALSE)/(LEN(VLOOKUP($D200,素材!$1:$1016,COLUMN($F$1),FALSE))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N200">
        <f>IF(ISNUMBER(SEARCH(SUBSTITUTE(AN$1,RIGHT(AN$1,2),""),VLOOKUP($D200,素材!$1:$1016,COLUMN($F$1),FALSE))),VLOOKUP($C200,武器!$1:$998,COLUMN($O$1),FALSE)*VLOOKUP($D200,素材!$1:$1016,COLUMN($E$1),FALSE)/(LEN(VLOOKUP($D200,素材!$1:$1016,COLUMN($F$1),FALSE))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O200">
        <f>IF(ISNUMBER(SEARCH(SUBSTITUTE(AO$1,RIGHT(AO$1,2),""),VLOOKUP($D200,素材!$1:$1016,COLUMN($F$1),FALSE))),VLOOKUP($C200,武器!$1:$998,COLUMN($O$1),FALSE)*VLOOKUP($D200,素材!$1:$1016,COLUMN($E$1),FALSE)/(LEN(VLOOKUP($D200,素材!$1:$1016,COLUMN($F$1),FALSE))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P200">
        <f>IF(ISNUMBER(SEARCH(SUBSTITUTE(AP$1,RIGHT(AP$1,2),""),VLOOKUP($D200,素材!$1:$1016,COLUMN($F$1),FALSE))),VLOOKUP($C200,武器!$1:$998,COLUMN($O$1),FALSE)*VLOOKUP($D200,素材!$1:$1016,COLUMN($E$1),FALSE)/(LEN(VLOOKUP($D200,素材!$1:$1016,COLUMN($F$1),FALSE))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Q200">
        <f>IF(ISNUMBER(SEARCH(SUBSTITUTE(AQ$1,RIGHT(AQ$1,2),""),VLOOKUP($D200,素材!$1:$1016,COLUMN($F$1),FALSE))),VLOOKUP($C200,武器!$1:$998,COLUMN($O$1),FALSE)*VLOOKUP($D200,素材!$1:$1016,COLUMN($E$1),FALSE)/(LEN(VLOOKUP($D200,素材!$1:$1016,COLUMN($F$1),FALSE))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R200">
        <f>IF(ISNUMBER(SEARCH(SUBSTITUTE(AR$1,RIGHT(AR$1,2),""),VLOOKUP($D200,素材!$1:$1016,COLUMN($F$1),FALSE))),VLOOKUP($C200,武器!$1:$998,COLUMN($O$1),FALSE)*VLOOKUP($D200,素材!$1:$1016,COLUMN($E$1),FALSE)/(LEN(VLOOKUP($D200,素材!$1:$1016,COLUMN($F$1),FALSE))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S200">
        <f>IF(ISNUMBER(SEARCH(SUBSTITUTE(AS$1,RIGHT(AS$1,2),""),VLOOKUP($D200,素材!$1:$1016,COLUMN($F$1),FALSE))),VLOOKUP($C200,武器!$1:$998,COLUMN($O$1),FALSE)*VLOOKUP($D200,素材!$1:$1016,COLUMN($E$1),FALSE)/(LEN(VLOOKUP($D200,素材!$1:$1016,COLUMN($F$1),FALSE))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T200">
        <f>IF(ISNUMBER(SEARCH(SUBSTITUTE(AT$1,RIGHT(AT$1,2),""),VLOOKUP($D200,素材!$1:$1016,COLUMN($F$1),FALSE))),VLOOKUP($C200,武器!$1:$998,COLUMN($O$1),FALSE)*VLOOKUP($D200,素材!$1:$1016,COLUMN($E$1),FALSE)/(LEN(VLOOKUP($D200,素材!$1:$1016,COLUMN($F$1),FALSE))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U200">
        <f>IF(ISNUMBER(SEARCH(SUBSTITUTE(AU$1,RIGHT(AU$1,2),""),VLOOKUP($D200,素材!$1:$1016,COLUMN($F$1),FALSE))),VLOOKUP($C200,武器!$1:$998,COLUMN($O$1),FALSE)*VLOOKUP($D200,素材!$1:$1016,COLUMN($E$1),FALSE)/(LEN(VLOOKUP($D200,素材!$1:$1016,COLUMN($F$1),FALSE))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V200">
        <f>IF(ISNUMBER(SEARCH(SUBSTITUTE(AV$1,RIGHT(AV$1,2),""),VLOOKUP($D200,素材!$1:$1016,COLUMN($F$1),FALSE))),VLOOKUP($C200,武器!$1:$998,COLUMN($O$1),FALSE)*VLOOKUP($D200,素材!$1:$1016,COLUMN($E$1),FALSE)/(LEN(VLOOKUP($D200,素材!$1:$1016,COLUMN($F$1),FALSE))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W200">
        <f>IF(ISNUMBER(SEARCH(SUBSTITUTE(AW$1,RIGHT(AW$1,2),""),VLOOKUP($D200,素材!$1:$1016,COLUMN($F$1),FALSE))),VLOOKUP($C200,武器!$1:$998,COLUMN($O$1),FALSE)*VLOOKUP($D200,素材!$1:$1016,COLUMN($E$1),FALSE)/(LEN(VLOOKUP($D200,素材!$1:$1016,COLUMN($F$1),FALSE))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X200">
        <f>IF(ISNUMBER(SEARCH(SUBSTITUTE(AX$1,RIGHT(AX$1,2),""),VLOOKUP($D200,素材!$1:$1016,COLUMN($F$1),FALSE))),VLOOKUP($C200,武器!$1:$998,COLUMN($O$1),FALSE)*VLOOKUP($D200,素材!$1:$1016,COLUMN($E$1),FALSE)/(LEN(VLOOKUP($D200,素材!$1:$1016,COLUMN($F$1),FALSE))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Y200">
        <f>IF(ISNUMBER(SEARCH(SUBSTITUTE(AY$1,RIGHT(AY$1,2),""),VLOOKUP($D200,素材!$1:$1016,COLUMN($F$1),FALSE))),VLOOKUP($C200,武器!$1:$998,COLUMN($O$1),FALSE)*VLOOKUP($D200,素材!$1:$1016,COLUMN($E$1),FALSE)/(LEN(VLOOKUP($D200,素材!$1:$1016,COLUMN($F$1),FALSE))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AZ200">
        <f>IF(ISNUMBER(SEARCH(SUBSTITUTE(AZ$1,RIGHT(AZ$1,2),""),VLOOKUP($D200,素材!$1:$1016,COLUMN($F$1),FALSE))),VLOOKUP($C200,武器!$1:$998,COLUMN($O$1),FALSE)*VLOOKUP($D200,素材!$1:$1016,COLUMN($E$1),FALSE)/(LEN(VLOOKUP($D200,素材!$1:$1016,COLUMN($F$1),FALSE))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BA200">
        <f>IF(ISNUMBER(SEARCH(SUBSTITUTE(BA$1,RIGHT(BA$1,2),""),VLOOKUP($D200,素材!$1:$1016,COLUMN($F$1),FALSE))),VLOOKUP($C200,武器!$1:$998,COLUMN($O$1),FALSE)*VLOOKUP($D200,素材!$1:$1016,COLUMN($E$1),FALSE)/(LEN(VLOOKUP($D200,素材!$1:$1016,COLUMN($F$1),FALSE))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BB200">
        <f>IF(ISNUMBER(SEARCH(SUBSTITUTE(BB$1,RIGHT(BB$1,2),""),VLOOKUP($D200,素材!$1:$1016,COLUMN($F$1),FALSE))),VLOOKUP($C200,武器!$1:$998,COLUMN($O$1),FALSE)*VLOOKUP($D200,素材!$1:$1016,COLUMN($E$1),FALSE)/(LEN(VLOOKUP($D200,素材!$1:$1016,COLUMN($F$1),FALSE))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BC200">
        <f>IF(ISNUMBER(SEARCH(SUBSTITUTE(BC$1,RIGHT(BC$1,2),""),VLOOKUP($D200,素材!$1:$1016,COLUMN($F$1),FALSE))),VLOOKUP($C200,武器!$1:$998,COLUMN($O$1),FALSE)*VLOOKUP($D200,素材!$1:$1016,COLUMN($E$1),FALSE)/(LEN(VLOOKUP($D200,素材!$1:$1016,COLUMN($F$1),FALSE))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BD200">
        <f>IF(ISNUMBER(SEARCH(SUBSTITUTE(BD$1,RIGHT(BD$1,2),""),VLOOKUP($D200,素材!$1:$1016,COLUMN($F$1),FALSE))),VLOOKUP($C200,武器!$1:$998,COLUMN($O$1),FALSE)*VLOOKUP($D200,素材!$1:$1016,COLUMN($E$1),FALSE)/(LEN(VLOOKUP($D200,素材!$1:$1016,COLUMN($F$1),FALSE))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BE200">
        <f>IF(ISNUMBER(SEARCH(SUBSTITUTE(BE$1,RIGHT(BE$1,2),""),VLOOKUP($D200,素材!$1:$1016,COLUMN($F$1),FALSE))),VLOOKUP($C200,武器!$1:$998,COLUMN($O$1),FALSE)*VLOOKUP($D200,素材!$1:$1016,COLUMN($E$1),FALSE)/(LEN(VLOOKUP($D200,素材!$1:$1016,COLUMN($F$1),FALSE))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BF200">
        <f>IF(ISNUMBER(SEARCH(SUBSTITUTE(BF$1,RIGHT(BF$1,2),""),VLOOKUP($D200,素材!$1:$1016,COLUMN($F$1),FALSE))),VLOOKUP($C200,武器!$1:$998,COLUMN($O$1),FALSE)*VLOOKUP($D200,素材!$1:$1016,COLUMN($E$1),FALSE)/(LEN(VLOOKUP($D200,素材!$1:$1016,COLUMN($F$1),FALSE)) - LEN(SUBSTITUTE(VLOOKUP($D200,素材!$1:$1016,COLUMN($F$1),FALSE), "・", 0)) + 1), 0)</f>
        <v>0</v>
      </c>
      <c r="CM200">
        <f t="shared" si="31"/>
        <v>27</v>
      </c>
      <c r="CN200" s="22" t="str">
        <f>IF(E200="武器",IF(J200-1&gt;SUM(G200:I200),"盾",IF(MAX(G200:I200)=G200,"切断",IF(MAX(G200:I200)=H200,"貫通",IF(MAX(G200:I200)=I200,"打撃","射撃")))),E200)&amp;".webp"</f>
        <v>貫通.webp</v>
      </c>
      <c r="CO200">
        <f>IFERROR(VLOOKUP($C200,武器!$1:$998,COLUMN(V$1),FALSE)*VLOOKUP($D200,素材!$1:$1016,COLUMN(N$1),FALSE)+IF(CJ200="",0,VLOOKUP($CJ200,装強!$1:$1008,COLUMN($CL$1),FALSE)),"")</f>
        <v>3000</v>
      </c>
      <c r="CP200">
        <f>VLOOKUP(D200,素材!$A:$O,COLUMN(素材!O$1),FALSE)</f>
        <v>0</v>
      </c>
      <c r="CQ200" t="str">
        <f>VLOOKUP(C200,武器!$A:$W,COLUMN(武器!W$1),FALSE)</f>
        <v>槍。リーチが長く、刺突に優れる武器。</v>
      </c>
      <c r="CS200" t="str">
        <f t="shared" si="21"/>
        <v>e_200</v>
      </c>
      <c r="CT200">
        <f t="shared" si="24"/>
        <v>300000</v>
      </c>
    </row>
    <row r="201" spans="1:98" outlineLevel="1" x14ac:dyDescent="0.4">
      <c r="A201" t="str">
        <f t="shared" si="30"/>
        <v>冷気鉄の騎士槍</v>
      </c>
      <c r="B201" t="str">
        <f>IFERROR(VLOOKUP($D201,素材!$1:$1016,COLUMN($B$1),FALSE)&amp;"・"&amp;VLOOKUP($C201,武器!$1:$998,COLUMN(B$1),FALSE),"")</f>
        <v>ドゥララン・ランス</v>
      </c>
      <c r="C201" s="24" t="s">
        <v>232</v>
      </c>
      <c r="D201" s="24" t="s">
        <v>243</v>
      </c>
      <c r="E201" t="str">
        <f>IFERROR(VLOOKUP(C201,武器!$1:$998,COLUMN(C$1),FALSE),"")</f>
        <v>武器</v>
      </c>
      <c r="F201">
        <f>IFERROR(ROUNDDOWN((VLOOKUP($C201,武器!$1:$998,COLUMN(D$1),FALSE)+IFERROR(VLOOKUP($CJ201,装強!$1:$999,COLUMN(F$1),FALSE),0))*VLOOKUP($D201,素材!$1:$1016,COLUMN(D$1),FALSE),0),"")</f>
        <v>115</v>
      </c>
      <c r="G201">
        <f>IFERROR(ROUNDDOWN((VLOOKUP($C201,武器!$1:$998,COLUMN(E$1),FALSE)+IFERROR(VLOOKUP($CJ201,装強!$1:$999,COLUMN(G$1),FALSE),0))*VLOOKUP($D201,素材!$1:$1016,COLUMN($E$1),FALSE),0),"")</f>
        <v>0</v>
      </c>
      <c r="H201">
        <f>IFERROR(ROUNDDOWN((VLOOKUP($C201,武器!$1:$998,COLUMN(F$1),FALSE)+IFERROR(VLOOKUP($CJ201,装強!$1:$999,COLUMN(H$1),FALSE),0))*VLOOKUP($D201,素材!$1:$1016,COLUMN($E$1),FALSE),0),"")</f>
        <v>19</v>
      </c>
      <c r="I201">
        <f>IFERROR(ROUNDDOWN((VLOOKUP($C201,武器!$1:$998,COLUMN(G$1),FALSE)+IFERROR(VLOOKUP($CJ201,装強!$1:$999,COLUMN(I$1),FALSE),0))*VLOOKUP($D201,素材!$1:$1016,COLUMN($E$1),FALSE),0),"")</f>
        <v>9</v>
      </c>
      <c r="J201">
        <f>IFERROR(ROUNDDOWN((VLOOKUP($C201,武器!$1:$998,COLUMN(H$1),FALSE)+IFERROR(VLOOKUP($CJ201,装強!$1:$999,COLUMN(J$1),FALSE),0))*VLOOKUP($D201,素材!$1:$1016,COLUMN($E$1),FALSE),0),"")</f>
        <v>20</v>
      </c>
      <c r="K201">
        <f>IFERROR(ROUNDDOWN((VLOOKUP($C201,武器!$1:$998,COLUMN(I$1),FALSE)+IFERROR(VLOOKUP($CJ201,装強!$1:$999,COLUMN(K$1),FALSE),0))*VLOOKUP($D201,素材!$1:$1016,COLUMN($E$1),FALSE),0),"")</f>
        <v>0</v>
      </c>
      <c r="L201" t="str">
        <f>IFERROR(VLOOKUP($D201,素材!$1:$1016,COLUMN($F$1),FALSE),"")</f>
        <v>氷</v>
      </c>
      <c r="M201">
        <f>IFERROR(VLOOKUP($C201,武器!$1:$998,COLUMN(AA$1),FALSE)*VLOOKUP($D201,素材!$1:$1016,COLUMN($G$1),FALSE),"")</f>
        <v>49</v>
      </c>
      <c r="N201">
        <f>IFERROR(VLOOKUP($C201,武器!$1:$998,COLUMN(I$1),FALSE),"")</f>
        <v>0</v>
      </c>
      <c r="O201" s="23">
        <f>IFERROR((VLOOKUP($C201,武器!$1:$998,COLUMN(K$1),FALSE)+VLOOKUP($D201,素材!$1:$1016,COLUMN(H$1),FALSE))*100+IFERROR(VLOOKUP($CJ201,装強!$1:$999,COLUMN(O$1),FALSE),0),"")</f>
        <v>5</v>
      </c>
      <c r="P201" s="23">
        <f>IFERROR((VLOOKUP($C201,武器!$1:$998,COLUMN(L$1),FALSE)+VLOOKUP($D201,素材!$1:$1016,COLUMN(I$1),FALSE))*100+IFERROR(VLOOKUP($CJ201,装強!$1:$999,COLUMN(P$1),FALSE),0),"")</f>
        <v>175</v>
      </c>
      <c r="Q201">
        <f>IFERROR(ROUNDUP(VLOOKUP($C201,武器!$1:$998,COLUMN(M$1),FALSE)*(VLOOKUP($D201,素材!$1:$1002,COLUMN(D$1),FALSE)/100),1),"")</f>
        <v>-5</v>
      </c>
      <c r="R201">
        <f>IFERROR(ROUNDUP(VLOOKUP($C201,武器!$1:$998,COLUMN(N$1),FALSE)*(VLOOKUP($D201,素材!$1:$1002,COLUMN(D$1),FALSE)/100),1),"")</f>
        <v>-5</v>
      </c>
      <c r="S201">
        <f>IFERROR(VLOOKUP($C201,武器!$1:$998,COLUMN(P$1),FALSE),"")</f>
        <v>0</v>
      </c>
      <c r="T201">
        <f>IFERROR(VLOOKUP($C201,武器!$1:$998,COLUMN(Q$1),FALSE),"")</f>
        <v>0</v>
      </c>
      <c r="U201">
        <f>IFERROR(VLOOKUP($C201,武器!$1:$998,COLUMN(R$1),FALSE),"")</f>
        <v>0</v>
      </c>
      <c r="V201">
        <f>IFERROR(VLOOKUP($C201,武器!$1:$998,COLUMN(Q$1),FALSE),"")</f>
        <v>0</v>
      </c>
      <c r="W201" t="str">
        <f>IFERROR(VLOOKUP($C201,武器!$1:$998,COLUMN(T$1),FALSE),"")</f>
        <v>A</v>
      </c>
      <c r="Y201" t="str">
        <f>IFERROR(VLOOKUP($C201,武器!$1:$998,COLUMN(U$1),FALSE),"")</f>
        <v>突撃強化</v>
      </c>
      <c r="Z201">
        <f>IFERROR(ROUNDUP(VLOOKUP($C201,武器!$1:$998,COLUMN(O$1),FALSE)*VLOOKUP($D201,素材!$1:$1016,COLUMN(E$1),FALSE),1),"")</f>
        <v>0</v>
      </c>
      <c r="AA201">
        <f>IF(ISNUMBER(SEARCH(SUBSTITUTE(AA$1,RIGHT(AA$1,2),""),VLOOKUP($D201,素材!$1:$1016,COLUMN($F$1),FALSE))),VLOOKUP($C201,武器!$1:$998,COLUMN($O$1),FALSE)*VLOOKUP($D201,素材!$1:$1016,COLUMN($E$1),FALSE)/(LEN(VLOOKUP($D201,素材!$1:$1016,COLUMN($F$1),FALSE))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B201">
        <f>IF(ISNUMBER(SEARCH(SUBSTITUTE(AB$1,RIGHT(AB$1,2),""),VLOOKUP($D201,素材!$1:$1016,COLUMN($F$1),FALSE))),VLOOKUP($C201,武器!$1:$998,COLUMN($O$1),FALSE)*VLOOKUP($D201,素材!$1:$1016,COLUMN($E$1),FALSE)/(LEN(VLOOKUP($D201,素材!$1:$1016,COLUMN($F$1),FALSE))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C201">
        <f>IF(ISNUMBER(SEARCH(SUBSTITUTE(AC$1,RIGHT(AC$1,2),""),VLOOKUP($D201,素材!$1:$1016,COLUMN($F$1),FALSE))),VLOOKUP($C201,武器!$1:$998,COLUMN($O$1),FALSE)*VLOOKUP($D201,素材!$1:$1016,COLUMN($E$1),FALSE)/(LEN(VLOOKUP($D201,素材!$1:$1016,COLUMN($F$1),FALSE))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D201">
        <f>IF(ISNUMBER(SEARCH(SUBSTITUTE(AD$1,RIGHT(AD$1,2),""),VLOOKUP($D201,素材!$1:$1016,COLUMN($F$1),FALSE))),VLOOKUP($C201,武器!$1:$998,COLUMN($O$1),FALSE)*VLOOKUP($D201,素材!$1:$1016,COLUMN($E$1),FALSE)/(LEN(VLOOKUP($D201,素材!$1:$1016,COLUMN($F$1),FALSE))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E201">
        <f>IF(ISNUMBER(SEARCH(SUBSTITUTE(AE$1,RIGHT(AE$1,2),""),VLOOKUP($D201,素材!$1:$1016,COLUMN($F$1),FALSE))),VLOOKUP($C201,武器!$1:$998,COLUMN($O$1),FALSE)*VLOOKUP($D201,素材!$1:$1016,COLUMN($E$1),FALSE)/(LEN(VLOOKUP($D201,素材!$1:$1016,COLUMN($F$1),FALSE))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F201">
        <f>IF(ISNUMBER(SEARCH(SUBSTITUTE(AF$1,RIGHT(AF$1,2),""),VLOOKUP($D201,素材!$1:$1016,COLUMN($F$1),FALSE))),VLOOKUP($C201,武器!$1:$998,COLUMN($O$1),FALSE)*VLOOKUP($D201,素材!$1:$1016,COLUMN($E$1),FALSE)/(LEN(VLOOKUP($D201,素材!$1:$1016,COLUMN($F$1),FALSE))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G201">
        <f>IF(ISNUMBER(SEARCH(SUBSTITUTE(AG$1,RIGHT(AG$1,2),""),VLOOKUP($D201,素材!$1:$1016,COLUMN($F$1),FALSE))),VLOOKUP($C201,武器!$1:$998,COLUMN($O$1),FALSE)*VLOOKUP($D201,素材!$1:$1016,COLUMN($E$1),FALSE)/(LEN(VLOOKUP($D201,素材!$1:$1016,COLUMN($F$1),FALSE))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H201">
        <f>IF(ISNUMBER(SEARCH(SUBSTITUTE(AH$1,RIGHT(AH$1,2),""),VLOOKUP($D201,素材!$1:$1016,COLUMN($F$1),FALSE))),VLOOKUP($C201,武器!$1:$998,COLUMN($O$1),FALSE)*VLOOKUP($D201,素材!$1:$1016,COLUMN($E$1),FALSE)/(LEN(VLOOKUP($D201,素材!$1:$1016,COLUMN($F$1),FALSE))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I201">
        <f>IF(ISNUMBER(SEARCH(SUBSTITUTE(AI$1,RIGHT(AI$1,2),""),VLOOKUP($D201,素材!$1:$1016,COLUMN($F$1),FALSE))),VLOOKUP($C201,武器!$1:$998,COLUMN($O$1),FALSE)*VLOOKUP($D201,素材!$1:$1016,COLUMN($E$1),FALSE)/(LEN(VLOOKUP($D201,素材!$1:$1016,COLUMN($F$1),FALSE))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J201">
        <f>IF(ISNUMBER(SEARCH(SUBSTITUTE(AJ$1,RIGHT(AJ$1,2),""),VLOOKUP($D201,素材!$1:$1016,COLUMN($F$1),FALSE))),VLOOKUP($C201,武器!$1:$998,COLUMN($O$1),FALSE)*VLOOKUP($D201,素材!$1:$1016,COLUMN($E$1),FALSE)/(LEN(VLOOKUP($D201,素材!$1:$1016,COLUMN($F$1),FALSE))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K201">
        <f>IF(ISNUMBER(SEARCH(SUBSTITUTE(AK$1,RIGHT(AK$1,2),""),VLOOKUP($D201,素材!$1:$1016,COLUMN($F$1),FALSE))),VLOOKUP($C201,武器!$1:$998,COLUMN($O$1),FALSE)*VLOOKUP($D201,素材!$1:$1016,COLUMN($E$1),FALSE)/(LEN(VLOOKUP($D201,素材!$1:$1016,COLUMN($F$1),FALSE))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L201">
        <f>IF(ISNUMBER(SEARCH(SUBSTITUTE(AL$1,RIGHT(AL$1,2),""),VLOOKUP($D201,素材!$1:$1016,COLUMN($F$1),FALSE))),VLOOKUP($C201,武器!$1:$998,COLUMN($O$1),FALSE)*VLOOKUP($D201,素材!$1:$1016,COLUMN($E$1),FALSE)/(LEN(VLOOKUP($D201,素材!$1:$1016,COLUMN($F$1),FALSE))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M201">
        <f>IF(ISNUMBER(SEARCH(SUBSTITUTE(AM$1,RIGHT(AM$1,2),""),VLOOKUP($D201,素材!$1:$1016,COLUMN($F$1),FALSE))),VLOOKUP($C201,武器!$1:$998,COLUMN($O$1),FALSE)*VLOOKUP($D201,素材!$1:$1016,COLUMN($E$1),FALSE)/(LEN(VLOOKUP($D201,素材!$1:$1016,COLUMN($F$1),FALSE))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N201">
        <f>IF(ISNUMBER(SEARCH(SUBSTITUTE(AN$1,RIGHT(AN$1,2),""),VLOOKUP($D201,素材!$1:$1016,COLUMN($F$1),FALSE))),VLOOKUP($C201,武器!$1:$998,COLUMN($O$1),FALSE)*VLOOKUP($D201,素材!$1:$1016,COLUMN($E$1),FALSE)/(LEN(VLOOKUP($D201,素材!$1:$1016,COLUMN($F$1),FALSE))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O201">
        <f>IF(ISNUMBER(SEARCH(SUBSTITUTE(AO$1,RIGHT(AO$1,2),""),VLOOKUP($D201,素材!$1:$1016,COLUMN($F$1),FALSE))),VLOOKUP($C201,武器!$1:$998,COLUMN($O$1),FALSE)*VLOOKUP($D201,素材!$1:$1016,COLUMN($E$1),FALSE)/(LEN(VLOOKUP($D201,素材!$1:$1016,COLUMN($F$1),FALSE))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P201">
        <f>IF(ISNUMBER(SEARCH(SUBSTITUTE(AP$1,RIGHT(AP$1,2),""),VLOOKUP($D201,素材!$1:$1016,COLUMN($F$1),FALSE))),VLOOKUP($C201,武器!$1:$998,COLUMN($O$1),FALSE)*VLOOKUP($D201,素材!$1:$1016,COLUMN($E$1),FALSE)/(LEN(VLOOKUP($D201,素材!$1:$1016,COLUMN($F$1),FALSE))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Q201">
        <f>IF(ISNUMBER(SEARCH(SUBSTITUTE(AQ$1,RIGHT(AQ$1,2),""),VLOOKUP($D201,素材!$1:$1016,COLUMN($F$1),FALSE))),VLOOKUP($C201,武器!$1:$998,COLUMN($O$1),FALSE)*VLOOKUP($D201,素材!$1:$1016,COLUMN($E$1),FALSE)/(LEN(VLOOKUP($D201,素材!$1:$1016,COLUMN($F$1),FALSE))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R201">
        <f>IF(ISNUMBER(SEARCH(SUBSTITUTE(AR$1,RIGHT(AR$1,2),""),VLOOKUP($D201,素材!$1:$1016,COLUMN($F$1),FALSE))),VLOOKUP($C201,武器!$1:$998,COLUMN($O$1),FALSE)*VLOOKUP($D201,素材!$1:$1016,COLUMN($E$1),FALSE)/(LEN(VLOOKUP($D201,素材!$1:$1016,COLUMN($F$1),FALSE))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S201">
        <f>IF(ISNUMBER(SEARCH(SUBSTITUTE(AS$1,RIGHT(AS$1,2),""),VLOOKUP($D201,素材!$1:$1016,COLUMN($F$1),FALSE))),VLOOKUP($C201,武器!$1:$998,COLUMN($O$1),FALSE)*VLOOKUP($D201,素材!$1:$1016,COLUMN($E$1),FALSE)/(LEN(VLOOKUP($D201,素材!$1:$1016,COLUMN($F$1),FALSE))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T201">
        <f>IF(ISNUMBER(SEARCH(SUBSTITUTE(AT$1,RIGHT(AT$1,2),""),VLOOKUP($D201,素材!$1:$1016,COLUMN($F$1),FALSE))),VLOOKUP($C201,武器!$1:$998,COLUMN($O$1),FALSE)*VLOOKUP($D201,素材!$1:$1016,COLUMN($E$1),FALSE)/(LEN(VLOOKUP($D201,素材!$1:$1016,COLUMN($F$1),FALSE))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U201">
        <f>IF(ISNUMBER(SEARCH(SUBSTITUTE(AU$1,RIGHT(AU$1,2),""),VLOOKUP($D201,素材!$1:$1016,COLUMN($F$1),FALSE))),VLOOKUP($C201,武器!$1:$998,COLUMN($O$1),FALSE)*VLOOKUP($D201,素材!$1:$1016,COLUMN($E$1),FALSE)/(LEN(VLOOKUP($D201,素材!$1:$1016,COLUMN($F$1),FALSE))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V201">
        <f>IF(ISNUMBER(SEARCH(SUBSTITUTE(AV$1,RIGHT(AV$1,2),""),VLOOKUP($D201,素材!$1:$1016,COLUMN($F$1),FALSE))),VLOOKUP($C201,武器!$1:$998,COLUMN($O$1),FALSE)*VLOOKUP($D201,素材!$1:$1016,COLUMN($E$1),FALSE)/(LEN(VLOOKUP($D201,素材!$1:$1016,COLUMN($F$1),FALSE))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W201">
        <f>IF(ISNUMBER(SEARCH(SUBSTITUTE(AW$1,RIGHT(AW$1,2),""),VLOOKUP($D201,素材!$1:$1016,COLUMN($F$1),FALSE))),VLOOKUP($C201,武器!$1:$998,COLUMN($O$1),FALSE)*VLOOKUP($D201,素材!$1:$1016,COLUMN($E$1),FALSE)/(LEN(VLOOKUP($D201,素材!$1:$1016,COLUMN($F$1),FALSE))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X201">
        <f>IF(ISNUMBER(SEARCH(SUBSTITUTE(AX$1,RIGHT(AX$1,2),""),VLOOKUP($D201,素材!$1:$1016,COLUMN($F$1),FALSE))),VLOOKUP($C201,武器!$1:$998,COLUMN($O$1),FALSE)*VLOOKUP($D201,素材!$1:$1016,COLUMN($E$1),FALSE)/(LEN(VLOOKUP($D201,素材!$1:$1016,COLUMN($F$1),FALSE))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Y201">
        <f>IF(ISNUMBER(SEARCH(SUBSTITUTE(AY$1,RIGHT(AY$1,2),""),VLOOKUP($D201,素材!$1:$1016,COLUMN($F$1),FALSE))),VLOOKUP($C201,武器!$1:$998,COLUMN($O$1),FALSE)*VLOOKUP($D201,素材!$1:$1016,COLUMN($E$1),FALSE)/(LEN(VLOOKUP($D201,素材!$1:$1016,COLUMN($F$1),FALSE))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AZ201">
        <f>IF(ISNUMBER(SEARCH(SUBSTITUTE(AZ$1,RIGHT(AZ$1,2),""),VLOOKUP($D201,素材!$1:$1016,COLUMN($F$1),FALSE))),VLOOKUP($C201,武器!$1:$998,COLUMN($O$1),FALSE)*VLOOKUP($D201,素材!$1:$1016,COLUMN($E$1),FALSE)/(LEN(VLOOKUP($D201,素材!$1:$1016,COLUMN($F$1),FALSE))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BA201">
        <f>IF(ISNUMBER(SEARCH(SUBSTITUTE(BA$1,RIGHT(BA$1,2),""),VLOOKUP($D201,素材!$1:$1016,COLUMN($F$1),FALSE))),VLOOKUP($C201,武器!$1:$998,COLUMN($O$1),FALSE)*VLOOKUP($D201,素材!$1:$1016,COLUMN($E$1),FALSE)/(LEN(VLOOKUP($D201,素材!$1:$1016,COLUMN($F$1),FALSE))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BB201">
        <f>IF(ISNUMBER(SEARCH(SUBSTITUTE(BB$1,RIGHT(BB$1,2),""),VLOOKUP($D201,素材!$1:$1016,COLUMN($F$1),FALSE))),VLOOKUP($C201,武器!$1:$998,COLUMN($O$1),FALSE)*VLOOKUP($D201,素材!$1:$1016,COLUMN($E$1),FALSE)/(LEN(VLOOKUP($D201,素材!$1:$1016,COLUMN($F$1),FALSE))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BC201">
        <f>IF(ISNUMBER(SEARCH(SUBSTITUTE(BC$1,RIGHT(BC$1,2),""),VLOOKUP($D201,素材!$1:$1016,COLUMN($F$1),FALSE))),VLOOKUP($C201,武器!$1:$998,COLUMN($O$1),FALSE)*VLOOKUP($D201,素材!$1:$1016,COLUMN($E$1),FALSE)/(LEN(VLOOKUP($D201,素材!$1:$1016,COLUMN($F$1),FALSE))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BD201">
        <f>IF(ISNUMBER(SEARCH(SUBSTITUTE(BD$1,RIGHT(BD$1,2),""),VLOOKUP($D201,素材!$1:$1016,COLUMN($F$1),FALSE))),VLOOKUP($C201,武器!$1:$998,COLUMN($O$1),FALSE)*VLOOKUP($D201,素材!$1:$1016,COLUMN($E$1),FALSE)/(LEN(VLOOKUP($D201,素材!$1:$1016,COLUMN($F$1),FALSE))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BE201">
        <f>IF(ISNUMBER(SEARCH(SUBSTITUTE(BE$1,RIGHT(BE$1,2),""),VLOOKUP($D201,素材!$1:$1016,COLUMN($F$1),FALSE))),VLOOKUP($C201,武器!$1:$998,COLUMN($O$1),FALSE)*VLOOKUP($D201,素材!$1:$1016,COLUMN($E$1),FALSE)/(LEN(VLOOKUP($D201,素材!$1:$1016,COLUMN($F$1),FALSE))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BF201">
        <f>IF(ISNUMBER(SEARCH(SUBSTITUTE(BF$1,RIGHT(BF$1,2),""),VLOOKUP($D201,素材!$1:$1016,COLUMN($F$1),FALSE))),VLOOKUP($C201,武器!$1:$998,COLUMN($O$1),FALSE)*VLOOKUP($D201,素材!$1:$1016,COLUMN($E$1),FALSE)/(LEN(VLOOKUP($D201,素材!$1:$1016,COLUMN($F$1),FALSE)) - LEN(SUBSTITUTE(VLOOKUP($D201,素材!$1:$1016,COLUMN($F$1),FALSE), "・", 0)) + 1), 0)</f>
        <v>0</v>
      </c>
      <c r="CM201">
        <f t="shared" si="31"/>
        <v>28</v>
      </c>
      <c r="CN201" s="22" t="str">
        <f>IF(E201="武器",IF(J201-1&gt;SUM(G201:I201),"盾",IF(MAX(G201:I201)=G201,"切断",IF(MAX(G201:I201)=H201,"貫通",IF(MAX(G201:I201)=I201,"打撃","射撃")))),E201)&amp;".webp"</f>
        <v>貫通.webp</v>
      </c>
      <c r="CO201">
        <f>IFERROR(VLOOKUP($C201,武器!$1:$998,COLUMN(V$1),FALSE)*VLOOKUP($D201,素材!$1:$1016,COLUMN(N$1),FALSE)+IF(CJ201="",0,VLOOKUP($CJ201,装強!$1:$1008,COLUMN($CL$1),FALSE)),"")</f>
        <v>4500</v>
      </c>
      <c r="CP201">
        <f>VLOOKUP(D201,素材!$A:$O,COLUMN(素材!O$1),FALSE)</f>
        <v>0</v>
      </c>
      <c r="CQ201" t="str">
        <f>VLOOKUP(C201,武器!$A:$W,COLUMN(武器!W$1),FALSE)</f>
        <v>騎士槍。突撃に特化した武器で、高い攻撃力を誇る。</v>
      </c>
      <c r="CS201" t="str">
        <f t="shared" si="21"/>
        <v>e_201</v>
      </c>
      <c r="CT201">
        <f t="shared" si="24"/>
        <v>450000</v>
      </c>
    </row>
    <row r="202" spans="1:98" outlineLevel="1" x14ac:dyDescent="0.4">
      <c r="A202" t="str">
        <f t="shared" si="30"/>
        <v>冷気鉄の斧槍</v>
      </c>
      <c r="B202" t="str">
        <f>IFERROR(VLOOKUP($D202,素材!$1:$1016,COLUMN($B$1),FALSE)&amp;"・"&amp;VLOOKUP($C202,武器!$1:$998,COLUMN(B$1),FALSE),"")</f>
        <v>ドゥララン・ハルバート</v>
      </c>
      <c r="C202" s="24" t="s">
        <v>231</v>
      </c>
      <c r="D202" s="24" t="s">
        <v>243</v>
      </c>
      <c r="E202" t="str">
        <f>IFERROR(VLOOKUP(C202,武器!$1:$998,COLUMN(C$1),FALSE),"")</f>
        <v>武器</v>
      </c>
      <c r="F202">
        <f>IFERROR(ROUNDDOWN((VLOOKUP($C202,武器!$1:$998,COLUMN(D$1),FALSE)+IFERROR(VLOOKUP($CJ202,装強!$1:$999,COLUMN(F$1),FALSE),0))*VLOOKUP($D202,素材!$1:$1016,COLUMN(D$1),FALSE),0),"")</f>
        <v>110</v>
      </c>
      <c r="G202">
        <f>IFERROR(ROUNDDOWN((VLOOKUP($C202,武器!$1:$998,COLUMN(E$1),FALSE)+IFERROR(VLOOKUP($CJ202,装強!$1:$999,COLUMN(G$1),FALSE),0))*VLOOKUP($D202,素材!$1:$1016,COLUMN($E$1),FALSE),0),"")</f>
        <v>8</v>
      </c>
      <c r="H202">
        <f>IFERROR(ROUNDDOWN((VLOOKUP($C202,武器!$1:$998,COLUMN(F$1),FALSE)+IFERROR(VLOOKUP($CJ202,装強!$1:$999,COLUMN(H$1),FALSE),0))*VLOOKUP($D202,素材!$1:$1016,COLUMN($E$1),FALSE),0),"")</f>
        <v>10</v>
      </c>
      <c r="I202">
        <f>IFERROR(ROUNDDOWN((VLOOKUP($C202,武器!$1:$998,COLUMN(G$1),FALSE)+IFERROR(VLOOKUP($CJ202,装強!$1:$999,COLUMN(I$1),FALSE),0))*VLOOKUP($D202,素材!$1:$1016,COLUMN($E$1),FALSE),0),"")</f>
        <v>6</v>
      </c>
      <c r="J202">
        <f>IFERROR(ROUNDDOWN((VLOOKUP($C202,武器!$1:$998,COLUMN(H$1),FALSE)+IFERROR(VLOOKUP($CJ202,装強!$1:$999,COLUMN(J$1),FALSE),0))*VLOOKUP($D202,素材!$1:$1016,COLUMN($E$1),FALSE),0),"")</f>
        <v>19</v>
      </c>
      <c r="K202">
        <f>IFERROR(ROUNDDOWN((VLOOKUP($C202,武器!$1:$998,COLUMN(I$1),FALSE)+IFERROR(VLOOKUP($CJ202,装強!$1:$999,COLUMN(K$1),FALSE),0))*VLOOKUP($D202,素材!$1:$1016,COLUMN($E$1),FALSE),0),"")</f>
        <v>0</v>
      </c>
      <c r="L202" t="str">
        <f>IFERROR(VLOOKUP($D202,素材!$1:$1016,COLUMN($F$1),FALSE),"")</f>
        <v>氷</v>
      </c>
      <c r="M202">
        <f>IFERROR(VLOOKUP($C202,武器!$1:$998,COLUMN(AA$1),FALSE)*VLOOKUP($D202,素材!$1:$1016,COLUMN($G$1),FALSE),"")</f>
        <v>42</v>
      </c>
      <c r="N202">
        <f>IFERROR(VLOOKUP($C202,武器!$1:$998,COLUMN(I$1),FALSE),"")</f>
        <v>0</v>
      </c>
      <c r="O202" s="23">
        <f>IFERROR((VLOOKUP($C202,武器!$1:$998,COLUMN(K$1),FALSE)+VLOOKUP($D202,素材!$1:$1016,COLUMN(H$1),FALSE))*100+IFERROR(VLOOKUP($CJ202,装強!$1:$999,COLUMN(O$1),FALSE),0),"")</f>
        <v>10</v>
      </c>
      <c r="P202" s="23">
        <f>IFERROR((VLOOKUP($C202,武器!$1:$998,COLUMN(L$1),FALSE)+VLOOKUP($D202,素材!$1:$1016,COLUMN(I$1),FALSE))*100+IFERROR(VLOOKUP($CJ202,装強!$1:$999,COLUMN(P$1),FALSE),0),"")</f>
        <v>150</v>
      </c>
      <c r="Q202">
        <f>IFERROR(ROUNDUP(VLOOKUP($C202,武器!$1:$998,COLUMN(M$1),FALSE)*(VLOOKUP($D202,素材!$1:$1002,COLUMN(D$1),FALSE)/100),1),"")</f>
        <v>-5</v>
      </c>
      <c r="R202">
        <f>IFERROR(ROUNDUP(VLOOKUP($C202,武器!$1:$998,COLUMN(N$1),FALSE)*(VLOOKUP($D202,素材!$1:$1002,COLUMN(D$1),FALSE)/100),1),"")</f>
        <v>-5</v>
      </c>
      <c r="S202">
        <f>IFERROR(VLOOKUP($C202,武器!$1:$998,COLUMN(P$1),FALSE),"")</f>
        <v>0</v>
      </c>
      <c r="T202">
        <f>IFERROR(VLOOKUP($C202,武器!$1:$998,COLUMN(Q$1),FALSE),"")</f>
        <v>0</v>
      </c>
      <c r="U202">
        <f>IFERROR(VLOOKUP($C202,武器!$1:$998,COLUMN(R$1),FALSE),"")</f>
        <v>0</v>
      </c>
      <c r="V202">
        <f>IFERROR(VLOOKUP($C202,武器!$1:$998,COLUMN(Q$1),FALSE),"")</f>
        <v>0</v>
      </c>
      <c r="W202" t="str">
        <f>IFERROR(VLOOKUP($C202,武器!$1:$998,COLUMN(T$1),FALSE),"")</f>
        <v>A</v>
      </c>
      <c r="Y202">
        <f>IFERROR(VLOOKUP($C202,武器!$1:$998,COLUMN(U$1),FALSE),"")</f>
        <v>0</v>
      </c>
      <c r="Z202">
        <f>IFERROR(ROUNDUP(VLOOKUP($C202,武器!$1:$998,COLUMN(O$1),FALSE)*VLOOKUP($D202,素材!$1:$1016,COLUMN(E$1),FALSE),1),"")</f>
        <v>0</v>
      </c>
      <c r="AA202">
        <f>IF(ISNUMBER(SEARCH(SUBSTITUTE(AA$1,RIGHT(AA$1,2),""),VLOOKUP($D202,素材!$1:$1016,COLUMN($F$1),FALSE))),VLOOKUP($C202,武器!$1:$998,COLUMN($O$1),FALSE)*VLOOKUP($D202,素材!$1:$1016,COLUMN($E$1),FALSE)/(LEN(VLOOKUP($D202,素材!$1:$1016,COLUMN($F$1),FALSE))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B202">
        <f>IF(ISNUMBER(SEARCH(SUBSTITUTE(AB$1,RIGHT(AB$1,2),""),VLOOKUP($D202,素材!$1:$1016,COLUMN($F$1),FALSE))),VLOOKUP($C202,武器!$1:$998,COLUMN($O$1),FALSE)*VLOOKUP($D202,素材!$1:$1016,COLUMN($E$1),FALSE)/(LEN(VLOOKUP($D202,素材!$1:$1016,COLUMN($F$1),FALSE))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C202">
        <f>IF(ISNUMBER(SEARCH(SUBSTITUTE(AC$1,RIGHT(AC$1,2),""),VLOOKUP($D202,素材!$1:$1016,COLUMN($F$1),FALSE))),VLOOKUP($C202,武器!$1:$998,COLUMN($O$1),FALSE)*VLOOKUP($D202,素材!$1:$1016,COLUMN($E$1),FALSE)/(LEN(VLOOKUP($D202,素材!$1:$1016,COLUMN($F$1),FALSE))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D202">
        <f>IF(ISNUMBER(SEARCH(SUBSTITUTE(AD$1,RIGHT(AD$1,2),""),VLOOKUP($D202,素材!$1:$1016,COLUMN($F$1),FALSE))),VLOOKUP($C202,武器!$1:$998,COLUMN($O$1),FALSE)*VLOOKUP($D202,素材!$1:$1016,COLUMN($E$1),FALSE)/(LEN(VLOOKUP($D202,素材!$1:$1016,COLUMN($F$1),FALSE))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E202">
        <f>IF(ISNUMBER(SEARCH(SUBSTITUTE(AE$1,RIGHT(AE$1,2),""),VLOOKUP($D202,素材!$1:$1016,COLUMN($F$1),FALSE))),VLOOKUP($C202,武器!$1:$998,COLUMN($O$1),FALSE)*VLOOKUP($D202,素材!$1:$1016,COLUMN($E$1),FALSE)/(LEN(VLOOKUP($D202,素材!$1:$1016,COLUMN($F$1),FALSE))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F202">
        <f>IF(ISNUMBER(SEARCH(SUBSTITUTE(AF$1,RIGHT(AF$1,2),""),VLOOKUP($D202,素材!$1:$1016,COLUMN($F$1),FALSE))),VLOOKUP($C202,武器!$1:$998,COLUMN($O$1),FALSE)*VLOOKUP($D202,素材!$1:$1016,COLUMN($E$1),FALSE)/(LEN(VLOOKUP($D202,素材!$1:$1016,COLUMN($F$1),FALSE))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G202">
        <f>IF(ISNUMBER(SEARCH(SUBSTITUTE(AG$1,RIGHT(AG$1,2),""),VLOOKUP($D202,素材!$1:$1016,COLUMN($F$1),FALSE))),VLOOKUP($C202,武器!$1:$998,COLUMN($O$1),FALSE)*VLOOKUP($D202,素材!$1:$1016,COLUMN($E$1),FALSE)/(LEN(VLOOKUP($D202,素材!$1:$1016,COLUMN($F$1),FALSE))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H202">
        <f>IF(ISNUMBER(SEARCH(SUBSTITUTE(AH$1,RIGHT(AH$1,2),""),VLOOKUP($D202,素材!$1:$1016,COLUMN($F$1),FALSE))),VLOOKUP($C202,武器!$1:$998,COLUMN($O$1),FALSE)*VLOOKUP($D202,素材!$1:$1016,COLUMN($E$1),FALSE)/(LEN(VLOOKUP($D202,素材!$1:$1016,COLUMN($F$1),FALSE))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I202">
        <f>IF(ISNUMBER(SEARCH(SUBSTITUTE(AI$1,RIGHT(AI$1,2),""),VLOOKUP($D202,素材!$1:$1016,COLUMN($F$1),FALSE))),VLOOKUP($C202,武器!$1:$998,COLUMN($O$1),FALSE)*VLOOKUP($D202,素材!$1:$1016,COLUMN($E$1),FALSE)/(LEN(VLOOKUP($D202,素材!$1:$1016,COLUMN($F$1),FALSE))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J202">
        <f>IF(ISNUMBER(SEARCH(SUBSTITUTE(AJ$1,RIGHT(AJ$1,2),""),VLOOKUP($D202,素材!$1:$1016,COLUMN($F$1),FALSE))),VLOOKUP($C202,武器!$1:$998,COLUMN($O$1),FALSE)*VLOOKUP($D202,素材!$1:$1016,COLUMN($E$1),FALSE)/(LEN(VLOOKUP($D202,素材!$1:$1016,COLUMN($F$1),FALSE))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K202">
        <f>IF(ISNUMBER(SEARCH(SUBSTITUTE(AK$1,RIGHT(AK$1,2),""),VLOOKUP($D202,素材!$1:$1016,COLUMN($F$1),FALSE))),VLOOKUP($C202,武器!$1:$998,COLUMN($O$1),FALSE)*VLOOKUP($D202,素材!$1:$1016,COLUMN($E$1),FALSE)/(LEN(VLOOKUP($D202,素材!$1:$1016,COLUMN($F$1),FALSE))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L202">
        <f>IF(ISNUMBER(SEARCH(SUBSTITUTE(AL$1,RIGHT(AL$1,2),""),VLOOKUP($D202,素材!$1:$1016,COLUMN($F$1),FALSE))),VLOOKUP($C202,武器!$1:$998,COLUMN($O$1),FALSE)*VLOOKUP($D202,素材!$1:$1016,COLUMN($E$1),FALSE)/(LEN(VLOOKUP($D202,素材!$1:$1016,COLUMN($F$1),FALSE))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M202">
        <f>IF(ISNUMBER(SEARCH(SUBSTITUTE(AM$1,RIGHT(AM$1,2),""),VLOOKUP($D202,素材!$1:$1016,COLUMN($F$1),FALSE))),VLOOKUP($C202,武器!$1:$998,COLUMN($O$1),FALSE)*VLOOKUP($D202,素材!$1:$1016,COLUMN($E$1),FALSE)/(LEN(VLOOKUP($D202,素材!$1:$1016,COLUMN($F$1),FALSE))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N202">
        <f>IF(ISNUMBER(SEARCH(SUBSTITUTE(AN$1,RIGHT(AN$1,2),""),VLOOKUP($D202,素材!$1:$1016,COLUMN($F$1),FALSE))),VLOOKUP($C202,武器!$1:$998,COLUMN($O$1),FALSE)*VLOOKUP($D202,素材!$1:$1016,COLUMN($E$1),FALSE)/(LEN(VLOOKUP($D202,素材!$1:$1016,COLUMN($F$1),FALSE))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O202">
        <f>IF(ISNUMBER(SEARCH(SUBSTITUTE(AO$1,RIGHT(AO$1,2),""),VLOOKUP($D202,素材!$1:$1016,COLUMN($F$1),FALSE))),VLOOKUP($C202,武器!$1:$998,COLUMN($O$1),FALSE)*VLOOKUP($D202,素材!$1:$1016,COLUMN($E$1),FALSE)/(LEN(VLOOKUP($D202,素材!$1:$1016,COLUMN($F$1),FALSE))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P202">
        <f>IF(ISNUMBER(SEARCH(SUBSTITUTE(AP$1,RIGHT(AP$1,2),""),VLOOKUP($D202,素材!$1:$1016,COLUMN($F$1),FALSE))),VLOOKUP($C202,武器!$1:$998,COLUMN($O$1),FALSE)*VLOOKUP($D202,素材!$1:$1016,COLUMN($E$1),FALSE)/(LEN(VLOOKUP($D202,素材!$1:$1016,COLUMN($F$1),FALSE))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Q202">
        <f>IF(ISNUMBER(SEARCH(SUBSTITUTE(AQ$1,RIGHT(AQ$1,2),""),VLOOKUP($D202,素材!$1:$1016,COLUMN($F$1),FALSE))),VLOOKUP($C202,武器!$1:$998,COLUMN($O$1),FALSE)*VLOOKUP($D202,素材!$1:$1016,COLUMN($E$1),FALSE)/(LEN(VLOOKUP($D202,素材!$1:$1016,COLUMN($F$1),FALSE))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R202">
        <f>IF(ISNUMBER(SEARCH(SUBSTITUTE(AR$1,RIGHT(AR$1,2),""),VLOOKUP($D202,素材!$1:$1016,COLUMN($F$1),FALSE))),VLOOKUP($C202,武器!$1:$998,COLUMN($O$1),FALSE)*VLOOKUP($D202,素材!$1:$1016,COLUMN($E$1),FALSE)/(LEN(VLOOKUP($D202,素材!$1:$1016,COLUMN($F$1),FALSE))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S202">
        <f>IF(ISNUMBER(SEARCH(SUBSTITUTE(AS$1,RIGHT(AS$1,2),""),VLOOKUP($D202,素材!$1:$1016,COLUMN($F$1),FALSE))),VLOOKUP($C202,武器!$1:$998,COLUMN($O$1),FALSE)*VLOOKUP($D202,素材!$1:$1016,COLUMN($E$1),FALSE)/(LEN(VLOOKUP($D202,素材!$1:$1016,COLUMN($F$1),FALSE))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T202">
        <f>IF(ISNUMBER(SEARCH(SUBSTITUTE(AT$1,RIGHT(AT$1,2),""),VLOOKUP($D202,素材!$1:$1016,COLUMN($F$1),FALSE))),VLOOKUP($C202,武器!$1:$998,COLUMN($O$1),FALSE)*VLOOKUP($D202,素材!$1:$1016,COLUMN($E$1),FALSE)/(LEN(VLOOKUP($D202,素材!$1:$1016,COLUMN($F$1),FALSE))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U202">
        <f>IF(ISNUMBER(SEARCH(SUBSTITUTE(AU$1,RIGHT(AU$1,2),""),VLOOKUP($D202,素材!$1:$1016,COLUMN($F$1),FALSE))),VLOOKUP($C202,武器!$1:$998,COLUMN($O$1),FALSE)*VLOOKUP($D202,素材!$1:$1016,COLUMN($E$1),FALSE)/(LEN(VLOOKUP($D202,素材!$1:$1016,COLUMN($F$1),FALSE))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V202">
        <f>IF(ISNUMBER(SEARCH(SUBSTITUTE(AV$1,RIGHT(AV$1,2),""),VLOOKUP($D202,素材!$1:$1016,COLUMN($F$1),FALSE))),VLOOKUP($C202,武器!$1:$998,COLUMN($O$1),FALSE)*VLOOKUP($D202,素材!$1:$1016,COLUMN($E$1),FALSE)/(LEN(VLOOKUP($D202,素材!$1:$1016,COLUMN($F$1),FALSE))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W202">
        <f>IF(ISNUMBER(SEARCH(SUBSTITUTE(AW$1,RIGHT(AW$1,2),""),VLOOKUP($D202,素材!$1:$1016,COLUMN($F$1),FALSE))),VLOOKUP($C202,武器!$1:$998,COLUMN($O$1),FALSE)*VLOOKUP($D202,素材!$1:$1016,COLUMN($E$1),FALSE)/(LEN(VLOOKUP($D202,素材!$1:$1016,COLUMN($F$1),FALSE))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X202">
        <f>IF(ISNUMBER(SEARCH(SUBSTITUTE(AX$1,RIGHT(AX$1,2),""),VLOOKUP($D202,素材!$1:$1016,COLUMN($F$1),FALSE))),VLOOKUP($C202,武器!$1:$998,COLUMN($O$1),FALSE)*VLOOKUP($D202,素材!$1:$1016,COLUMN($E$1),FALSE)/(LEN(VLOOKUP($D202,素材!$1:$1016,COLUMN($F$1),FALSE))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Y202">
        <f>IF(ISNUMBER(SEARCH(SUBSTITUTE(AY$1,RIGHT(AY$1,2),""),VLOOKUP($D202,素材!$1:$1016,COLUMN($F$1),FALSE))),VLOOKUP($C202,武器!$1:$998,COLUMN($O$1),FALSE)*VLOOKUP($D202,素材!$1:$1016,COLUMN($E$1),FALSE)/(LEN(VLOOKUP($D202,素材!$1:$1016,COLUMN($F$1),FALSE))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AZ202">
        <f>IF(ISNUMBER(SEARCH(SUBSTITUTE(AZ$1,RIGHT(AZ$1,2),""),VLOOKUP($D202,素材!$1:$1016,COLUMN($F$1),FALSE))),VLOOKUP($C202,武器!$1:$998,COLUMN($O$1),FALSE)*VLOOKUP($D202,素材!$1:$1016,COLUMN($E$1),FALSE)/(LEN(VLOOKUP($D202,素材!$1:$1016,COLUMN($F$1),FALSE))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BA202">
        <f>IF(ISNUMBER(SEARCH(SUBSTITUTE(BA$1,RIGHT(BA$1,2),""),VLOOKUP($D202,素材!$1:$1016,COLUMN($F$1),FALSE))),VLOOKUP($C202,武器!$1:$998,COLUMN($O$1),FALSE)*VLOOKUP($D202,素材!$1:$1016,COLUMN($E$1),FALSE)/(LEN(VLOOKUP($D202,素材!$1:$1016,COLUMN($F$1),FALSE))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BB202">
        <f>IF(ISNUMBER(SEARCH(SUBSTITUTE(BB$1,RIGHT(BB$1,2),""),VLOOKUP($D202,素材!$1:$1016,COLUMN($F$1),FALSE))),VLOOKUP($C202,武器!$1:$998,COLUMN($O$1),FALSE)*VLOOKUP($D202,素材!$1:$1016,COLUMN($E$1),FALSE)/(LEN(VLOOKUP($D202,素材!$1:$1016,COLUMN($F$1),FALSE))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BC202">
        <f>IF(ISNUMBER(SEARCH(SUBSTITUTE(BC$1,RIGHT(BC$1,2),""),VLOOKUP($D202,素材!$1:$1016,COLUMN($F$1),FALSE))),VLOOKUP($C202,武器!$1:$998,COLUMN($O$1),FALSE)*VLOOKUP($D202,素材!$1:$1016,COLUMN($E$1),FALSE)/(LEN(VLOOKUP($D202,素材!$1:$1016,COLUMN($F$1),FALSE))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BD202">
        <f>IF(ISNUMBER(SEARCH(SUBSTITUTE(BD$1,RIGHT(BD$1,2),""),VLOOKUP($D202,素材!$1:$1016,COLUMN($F$1),FALSE))),VLOOKUP($C202,武器!$1:$998,COLUMN($O$1),FALSE)*VLOOKUP($D202,素材!$1:$1016,COLUMN($E$1),FALSE)/(LEN(VLOOKUP($D202,素材!$1:$1016,COLUMN($F$1),FALSE))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BE202">
        <f>IF(ISNUMBER(SEARCH(SUBSTITUTE(BE$1,RIGHT(BE$1,2),""),VLOOKUP($D202,素材!$1:$1016,COLUMN($F$1),FALSE))),VLOOKUP($C202,武器!$1:$998,COLUMN($O$1),FALSE)*VLOOKUP($D202,素材!$1:$1016,COLUMN($E$1),FALSE)/(LEN(VLOOKUP($D202,素材!$1:$1016,COLUMN($F$1),FALSE))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BF202">
        <f>IF(ISNUMBER(SEARCH(SUBSTITUTE(BF$1,RIGHT(BF$1,2),""),VLOOKUP($D202,素材!$1:$1016,COLUMN($F$1),FALSE))),VLOOKUP($C202,武器!$1:$998,COLUMN($O$1),FALSE)*VLOOKUP($D202,素材!$1:$1016,COLUMN($E$1),FALSE)/(LEN(VLOOKUP($D202,素材!$1:$1016,COLUMN($F$1),FALSE)) - LEN(SUBSTITUTE(VLOOKUP($D202,素材!$1:$1016,COLUMN($F$1),FALSE), "・", 0)) + 1), 0)</f>
        <v>0</v>
      </c>
      <c r="CM202">
        <f t="shared" si="31"/>
        <v>24</v>
      </c>
      <c r="CN202" s="22" t="str">
        <f>IF(E202="武器",IF(J202-1&gt;SUM(G202:I202),"盾",IF(MAX(G202:I202)=G202,"切断",IF(MAX(G202:I202)=H202,"貫通",IF(MAX(G202:I202)=I202,"打撃","射撃")))),E202)&amp;".webp"</f>
        <v>貫通.webp</v>
      </c>
      <c r="CO202">
        <f>IFERROR(VLOOKUP($C202,武器!$1:$998,COLUMN(V$1),FALSE)*VLOOKUP($D202,素材!$1:$1016,COLUMN(N$1),FALSE)+IF(CJ202="",0,VLOOKUP($CJ202,装強!$1:$1008,COLUMN($CL$1),FALSE)),"")</f>
        <v>3750</v>
      </c>
      <c r="CP202">
        <f>VLOOKUP(D202,素材!$A:$O,COLUMN(素材!O$1),FALSE)</f>
        <v>0</v>
      </c>
      <c r="CQ202" t="str">
        <f>VLOOKUP(C202,武器!$A:$W,COLUMN(武器!W$1),FALSE)</f>
        <v>斧槍。全力時に威力が高く斬撃と突撃の両方に対応できる武器。</v>
      </c>
      <c r="CS202" t="str">
        <f t="shared" ref="CS202:CS265" si="32">"e_"&amp;ROW(CS202)</f>
        <v>e_202</v>
      </c>
      <c r="CT202">
        <f t="shared" si="24"/>
        <v>375000</v>
      </c>
    </row>
    <row r="203" spans="1:98" outlineLevel="1" x14ac:dyDescent="0.4">
      <c r="A203" t="str">
        <f t="shared" si="30"/>
        <v>冷気鉄の棍棒</v>
      </c>
      <c r="B203" t="str">
        <f>IFERROR(VLOOKUP($D203,素材!$1:$1016,COLUMN($B$1),FALSE)&amp;"・"&amp;VLOOKUP($C203,武器!$1:$998,COLUMN(B$1),FALSE),"")</f>
        <v>ドゥララン・クラブ</v>
      </c>
      <c r="C203" s="24" t="s">
        <v>230</v>
      </c>
      <c r="D203" s="24" t="s">
        <v>243</v>
      </c>
      <c r="E203" t="str">
        <f>IFERROR(VLOOKUP(C203,武器!$1:$998,COLUMN(C$1),FALSE),"")</f>
        <v>武器</v>
      </c>
      <c r="F203">
        <f>IFERROR(ROUNDDOWN((VLOOKUP($C203,武器!$1:$998,COLUMN(D$1),FALSE)+IFERROR(VLOOKUP($CJ203,装強!$1:$999,COLUMN(F$1),FALSE),0))*VLOOKUP($D203,素材!$1:$1016,COLUMN(D$1),FALSE),0),"")</f>
        <v>105</v>
      </c>
      <c r="G203">
        <f>IFERROR(ROUNDDOWN((VLOOKUP($C203,武器!$1:$998,COLUMN(E$1),FALSE)+IFERROR(VLOOKUP($CJ203,装強!$1:$999,COLUMN(G$1),FALSE),0))*VLOOKUP($D203,素材!$1:$1016,COLUMN($E$1),FALSE),0),"")</f>
        <v>0</v>
      </c>
      <c r="H203">
        <f>IFERROR(ROUNDDOWN((VLOOKUP($C203,武器!$1:$998,COLUMN(F$1),FALSE)+IFERROR(VLOOKUP($CJ203,装強!$1:$999,COLUMN(H$1),FALSE),0))*VLOOKUP($D203,素材!$1:$1016,COLUMN($E$1),FALSE),0),"")</f>
        <v>0</v>
      </c>
      <c r="I203">
        <f>IFERROR(ROUNDDOWN((VLOOKUP($C203,武器!$1:$998,COLUMN(G$1),FALSE)+IFERROR(VLOOKUP($CJ203,装強!$1:$999,COLUMN(I$1),FALSE),0))*VLOOKUP($D203,素材!$1:$1016,COLUMN($E$1),FALSE),0),"")</f>
        <v>22</v>
      </c>
      <c r="J203">
        <f>IFERROR(ROUNDDOWN((VLOOKUP($C203,武器!$1:$998,COLUMN(H$1),FALSE)+IFERROR(VLOOKUP($CJ203,装強!$1:$999,COLUMN(J$1),FALSE),0))*VLOOKUP($D203,素材!$1:$1016,COLUMN($E$1),FALSE),0),"")</f>
        <v>19</v>
      </c>
      <c r="K203">
        <f>IFERROR(ROUNDDOWN((VLOOKUP($C203,武器!$1:$998,COLUMN(I$1),FALSE)+IFERROR(VLOOKUP($CJ203,装強!$1:$999,COLUMN(K$1),FALSE),0))*VLOOKUP($D203,素材!$1:$1016,COLUMN($E$1),FALSE),0),"")</f>
        <v>0</v>
      </c>
      <c r="L203" t="str">
        <f>IFERROR(VLOOKUP($D203,素材!$1:$1016,COLUMN($F$1),FALSE),"")</f>
        <v>氷</v>
      </c>
      <c r="M203">
        <f>IFERROR(VLOOKUP($C203,武器!$1:$998,COLUMN(AA$1),FALSE)*VLOOKUP($D203,素材!$1:$1016,COLUMN($G$1),FALSE),"")</f>
        <v>38.5</v>
      </c>
      <c r="N203">
        <f>IFERROR(VLOOKUP($C203,武器!$1:$998,COLUMN(I$1),FALSE),"")</f>
        <v>0</v>
      </c>
      <c r="O203" s="23">
        <f>IFERROR((VLOOKUP($C203,武器!$1:$998,COLUMN(K$1),FALSE)+VLOOKUP($D203,素材!$1:$1016,COLUMN(H$1),FALSE))*100+IFERROR(VLOOKUP($CJ203,装強!$1:$999,COLUMN(O$1),FALSE),0),"")</f>
        <v>5</v>
      </c>
      <c r="P203" s="23">
        <f>IFERROR((VLOOKUP($C203,武器!$1:$998,COLUMN(L$1),FALSE)+VLOOKUP($D203,素材!$1:$1016,COLUMN(I$1),FALSE))*100+IFERROR(VLOOKUP($CJ203,装強!$1:$999,COLUMN(P$1),FALSE),0),"")</f>
        <v>150</v>
      </c>
      <c r="Q203">
        <f>IFERROR(ROUNDUP(VLOOKUP($C203,武器!$1:$998,COLUMN(M$1),FALSE)*(VLOOKUP($D203,素材!$1:$1002,COLUMN(D$1),FALSE)/100),1),"")</f>
        <v>0</v>
      </c>
      <c r="R203">
        <f>IFERROR(ROUNDUP(VLOOKUP($C203,武器!$1:$998,COLUMN(N$1),FALSE)*(VLOOKUP($D203,素材!$1:$1002,COLUMN(D$1),FALSE)/100),1),"")</f>
        <v>0</v>
      </c>
      <c r="S203">
        <f>IFERROR(VLOOKUP($C203,武器!$1:$998,COLUMN(P$1),FALSE),"")</f>
        <v>0</v>
      </c>
      <c r="T203">
        <f>IFERROR(VLOOKUP($C203,武器!$1:$998,COLUMN(Q$1),FALSE),"")</f>
        <v>0</v>
      </c>
      <c r="U203">
        <f>IFERROR(VLOOKUP($C203,武器!$1:$998,COLUMN(R$1),FALSE),"")</f>
        <v>0</v>
      </c>
      <c r="V203">
        <f>IFERROR(VLOOKUP($C203,武器!$1:$998,COLUMN(Q$1),FALSE),"")</f>
        <v>0</v>
      </c>
      <c r="W203" t="str">
        <f>IFERROR(VLOOKUP($C203,武器!$1:$998,COLUMN(T$1),FALSE),"")</f>
        <v>A</v>
      </c>
      <c r="Y203" t="str">
        <f>IFERROR(VLOOKUP($C203,武器!$1:$998,COLUMN(U$1),FALSE),"")</f>
        <v>片手適性Ⅰ</v>
      </c>
      <c r="Z203">
        <f>IFERROR(ROUNDUP(VLOOKUP($C203,武器!$1:$998,COLUMN(O$1),FALSE)*VLOOKUP($D203,素材!$1:$1016,COLUMN(E$1),FALSE),1),"")</f>
        <v>0</v>
      </c>
      <c r="AA203">
        <f>IF(ISNUMBER(SEARCH(SUBSTITUTE(AA$1,RIGHT(AA$1,2),""),VLOOKUP($D203,素材!$1:$1016,COLUMN($F$1),FALSE))),VLOOKUP($C203,武器!$1:$998,COLUMN($O$1),FALSE)*VLOOKUP($D203,素材!$1:$1016,COLUMN($E$1),FALSE)/(LEN(VLOOKUP($D203,素材!$1:$1016,COLUMN($F$1),FALSE))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B203">
        <f>IF(ISNUMBER(SEARCH(SUBSTITUTE(AB$1,RIGHT(AB$1,2),""),VLOOKUP($D203,素材!$1:$1016,COLUMN($F$1),FALSE))),VLOOKUP($C203,武器!$1:$998,COLUMN($O$1),FALSE)*VLOOKUP($D203,素材!$1:$1016,COLUMN($E$1),FALSE)/(LEN(VLOOKUP($D203,素材!$1:$1016,COLUMN($F$1),FALSE))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C203">
        <f>IF(ISNUMBER(SEARCH(SUBSTITUTE(AC$1,RIGHT(AC$1,2),""),VLOOKUP($D203,素材!$1:$1016,COLUMN($F$1),FALSE))),VLOOKUP($C203,武器!$1:$998,COLUMN($O$1),FALSE)*VLOOKUP($D203,素材!$1:$1016,COLUMN($E$1),FALSE)/(LEN(VLOOKUP($D203,素材!$1:$1016,COLUMN($F$1),FALSE))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D203">
        <f>IF(ISNUMBER(SEARCH(SUBSTITUTE(AD$1,RIGHT(AD$1,2),""),VLOOKUP($D203,素材!$1:$1016,COLUMN($F$1),FALSE))),VLOOKUP($C203,武器!$1:$998,COLUMN($O$1),FALSE)*VLOOKUP($D203,素材!$1:$1016,COLUMN($E$1),FALSE)/(LEN(VLOOKUP($D203,素材!$1:$1016,COLUMN($F$1),FALSE))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E203">
        <f>IF(ISNUMBER(SEARCH(SUBSTITUTE(AE$1,RIGHT(AE$1,2),""),VLOOKUP($D203,素材!$1:$1016,COLUMN($F$1),FALSE))),VLOOKUP($C203,武器!$1:$998,COLUMN($O$1),FALSE)*VLOOKUP($D203,素材!$1:$1016,COLUMN($E$1),FALSE)/(LEN(VLOOKUP($D203,素材!$1:$1016,COLUMN($F$1),FALSE))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F203">
        <f>IF(ISNUMBER(SEARCH(SUBSTITUTE(AF$1,RIGHT(AF$1,2),""),VLOOKUP($D203,素材!$1:$1016,COLUMN($F$1),FALSE))),VLOOKUP($C203,武器!$1:$998,COLUMN($O$1),FALSE)*VLOOKUP($D203,素材!$1:$1016,COLUMN($E$1),FALSE)/(LEN(VLOOKUP($D203,素材!$1:$1016,COLUMN($F$1),FALSE))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G203">
        <f>IF(ISNUMBER(SEARCH(SUBSTITUTE(AG$1,RIGHT(AG$1,2),""),VLOOKUP($D203,素材!$1:$1016,COLUMN($F$1),FALSE))),VLOOKUP($C203,武器!$1:$998,COLUMN($O$1),FALSE)*VLOOKUP($D203,素材!$1:$1016,COLUMN($E$1),FALSE)/(LEN(VLOOKUP($D203,素材!$1:$1016,COLUMN($F$1),FALSE))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H203">
        <f>IF(ISNUMBER(SEARCH(SUBSTITUTE(AH$1,RIGHT(AH$1,2),""),VLOOKUP($D203,素材!$1:$1016,COLUMN($F$1),FALSE))),VLOOKUP($C203,武器!$1:$998,COLUMN($O$1),FALSE)*VLOOKUP($D203,素材!$1:$1016,COLUMN($E$1),FALSE)/(LEN(VLOOKUP($D203,素材!$1:$1016,COLUMN($F$1),FALSE))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I203">
        <f>IF(ISNUMBER(SEARCH(SUBSTITUTE(AI$1,RIGHT(AI$1,2),""),VLOOKUP($D203,素材!$1:$1016,COLUMN($F$1),FALSE))),VLOOKUP($C203,武器!$1:$998,COLUMN($O$1),FALSE)*VLOOKUP($D203,素材!$1:$1016,COLUMN($E$1),FALSE)/(LEN(VLOOKUP($D203,素材!$1:$1016,COLUMN($F$1),FALSE))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J203">
        <f>IF(ISNUMBER(SEARCH(SUBSTITUTE(AJ$1,RIGHT(AJ$1,2),""),VLOOKUP($D203,素材!$1:$1016,COLUMN($F$1),FALSE))),VLOOKUP($C203,武器!$1:$998,COLUMN($O$1),FALSE)*VLOOKUP($D203,素材!$1:$1016,COLUMN($E$1),FALSE)/(LEN(VLOOKUP($D203,素材!$1:$1016,COLUMN($F$1),FALSE))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K203">
        <f>IF(ISNUMBER(SEARCH(SUBSTITUTE(AK$1,RIGHT(AK$1,2),""),VLOOKUP($D203,素材!$1:$1016,COLUMN($F$1),FALSE))),VLOOKUP($C203,武器!$1:$998,COLUMN($O$1),FALSE)*VLOOKUP($D203,素材!$1:$1016,COLUMN($E$1),FALSE)/(LEN(VLOOKUP($D203,素材!$1:$1016,COLUMN($F$1),FALSE))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L203">
        <f>IF(ISNUMBER(SEARCH(SUBSTITUTE(AL$1,RIGHT(AL$1,2),""),VLOOKUP($D203,素材!$1:$1016,COLUMN($F$1),FALSE))),VLOOKUP($C203,武器!$1:$998,COLUMN($O$1),FALSE)*VLOOKUP($D203,素材!$1:$1016,COLUMN($E$1),FALSE)/(LEN(VLOOKUP($D203,素材!$1:$1016,COLUMN($F$1),FALSE))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M203">
        <f>IF(ISNUMBER(SEARCH(SUBSTITUTE(AM$1,RIGHT(AM$1,2),""),VLOOKUP($D203,素材!$1:$1016,COLUMN($F$1),FALSE))),VLOOKUP($C203,武器!$1:$998,COLUMN($O$1),FALSE)*VLOOKUP($D203,素材!$1:$1016,COLUMN($E$1),FALSE)/(LEN(VLOOKUP($D203,素材!$1:$1016,COLUMN($F$1),FALSE))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N203">
        <f>IF(ISNUMBER(SEARCH(SUBSTITUTE(AN$1,RIGHT(AN$1,2),""),VLOOKUP($D203,素材!$1:$1016,COLUMN($F$1),FALSE))),VLOOKUP($C203,武器!$1:$998,COLUMN($O$1),FALSE)*VLOOKUP($D203,素材!$1:$1016,COLUMN($E$1),FALSE)/(LEN(VLOOKUP($D203,素材!$1:$1016,COLUMN($F$1),FALSE))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O203">
        <f>IF(ISNUMBER(SEARCH(SUBSTITUTE(AO$1,RIGHT(AO$1,2),""),VLOOKUP($D203,素材!$1:$1016,COLUMN($F$1),FALSE))),VLOOKUP($C203,武器!$1:$998,COLUMN($O$1),FALSE)*VLOOKUP($D203,素材!$1:$1016,COLUMN($E$1),FALSE)/(LEN(VLOOKUP($D203,素材!$1:$1016,COLUMN($F$1),FALSE))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P203">
        <f>IF(ISNUMBER(SEARCH(SUBSTITUTE(AP$1,RIGHT(AP$1,2),""),VLOOKUP($D203,素材!$1:$1016,COLUMN($F$1),FALSE))),VLOOKUP($C203,武器!$1:$998,COLUMN($O$1),FALSE)*VLOOKUP($D203,素材!$1:$1016,COLUMN($E$1),FALSE)/(LEN(VLOOKUP($D203,素材!$1:$1016,COLUMN($F$1),FALSE))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Q203">
        <f>IF(ISNUMBER(SEARCH(SUBSTITUTE(AQ$1,RIGHT(AQ$1,2),""),VLOOKUP($D203,素材!$1:$1016,COLUMN($F$1),FALSE))),VLOOKUP($C203,武器!$1:$998,COLUMN($O$1),FALSE)*VLOOKUP($D203,素材!$1:$1016,COLUMN($E$1),FALSE)/(LEN(VLOOKUP($D203,素材!$1:$1016,COLUMN($F$1),FALSE))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R203">
        <f>IF(ISNUMBER(SEARCH(SUBSTITUTE(AR$1,RIGHT(AR$1,2),""),VLOOKUP($D203,素材!$1:$1016,COLUMN($F$1),FALSE))),VLOOKUP($C203,武器!$1:$998,COLUMN($O$1),FALSE)*VLOOKUP($D203,素材!$1:$1016,COLUMN($E$1),FALSE)/(LEN(VLOOKUP($D203,素材!$1:$1016,COLUMN($F$1),FALSE))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S203">
        <f>IF(ISNUMBER(SEARCH(SUBSTITUTE(AS$1,RIGHT(AS$1,2),""),VLOOKUP($D203,素材!$1:$1016,COLUMN($F$1),FALSE))),VLOOKUP($C203,武器!$1:$998,COLUMN($O$1),FALSE)*VLOOKUP($D203,素材!$1:$1016,COLUMN($E$1),FALSE)/(LEN(VLOOKUP($D203,素材!$1:$1016,COLUMN($F$1),FALSE))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T203">
        <f>IF(ISNUMBER(SEARCH(SUBSTITUTE(AT$1,RIGHT(AT$1,2),""),VLOOKUP($D203,素材!$1:$1016,COLUMN($F$1),FALSE))),VLOOKUP($C203,武器!$1:$998,COLUMN($O$1),FALSE)*VLOOKUP($D203,素材!$1:$1016,COLUMN($E$1),FALSE)/(LEN(VLOOKUP($D203,素材!$1:$1016,COLUMN($F$1),FALSE))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U203">
        <f>IF(ISNUMBER(SEARCH(SUBSTITUTE(AU$1,RIGHT(AU$1,2),""),VLOOKUP($D203,素材!$1:$1016,COLUMN($F$1),FALSE))),VLOOKUP($C203,武器!$1:$998,COLUMN($O$1),FALSE)*VLOOKUP($D203,素材!$1:$1016,COLUMN($E$1),FALSE)/(LEN(VLOOKUP($D203,素材!$1:$1016,COLUMN($F$1),FALSE))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V203">
        <f>IF(ISNUMBER(SEARCH(SUBSTITUTE(AV$1,RIGHT(AV$1,2),""),VLOOKUP($D203,素材!$1:$1016,COLUMN($F$1),FALSE))),VLOOKUP($C203,武器!$1:$998,COLUMN($O$1),FALSE)*VLOOKUP($D203,素材!$1:$1016,COLUMN($E$1),FALSE)/(LEN(VLOOKUP($D203,素材!$1:$1016,COLUMN($F$1),FALSE))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W203">
        <f>IF(ISNUMBER(SEARCH(SUBSTITUTE(AW$1,RIGHT(AW$1,2),""),VLOOKUP($D203,素材!$1:$1016,COLUMN($F$1),FALSE))),VLOOKUP($C203,武器!$1:$998,COLUMN($O$1),FALSE)*VLOOKUP($D203,素材!$1:$1016,COLUMN($E$1),FALSE)/(LEN(VLOOKUP($D203,素材!$1:$1016,COLUMN($F$1),FALSE))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X203">
        <f>IF(ISNUMBER(SEARCH(SUBSTITUTE(AX$1,RIGHT(AX$1,2),""),VLOOKUP($D203,素材!$1:$1016,COLUMN($F$1),FALSE))),VLOOKUP($C203,武器!$1:$998,COLUMN($O$1),FALSE)*VLOOKUP($D203,素材!$1:$1016,COLUMN($E$1),FALSE)/(LEN(VLOOKUP($D203,素材!$1:$1016,COLUMN($F$1),FALSE))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Y203">
        <f>IF(ISNUMBER(SEARCH(SUBSTITUTE(AY$1,RIGHT(AY$1,2),""),VLOOKUP($D203,素材!$1:$1016,COLUMN($F$1),FALSE))),VLOOKUP($C203,武器!$1:$998,COLUMN($O$1),FALSE)*VLOOKUP($D203,素材!$1:$1016,COLUMN($E$1),FALSE)/(LEN(VLOOKUP($D203,素材!$1:$1016,COLUMN($F$1),FALSE))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AZ203">
        <f>IF(ISNUMBER(SEARCH(SUBSTITUTE(AZ$1,RIGHT(AZ$1,2),""),VLOOKUP($D203,素材!$1:$1016,COLUMN($F$1),FALSE))),VLOOKUP($C203,武器!$1:$998,COLUMN($O$1),FALSE)*VLOOKUP($D203,素材!$1:$1016,COLUMN($E$1),FALSE)/(LEN(VLOOKUP($D203,素材!$1:$1016,COLUMN($F$1),FALSE))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BA203">
        <f>IF(ISNUMBER(SEARCH(SUBSTITUTE(BA$1,RIGHT(BA$1,2),""),VLOOKUP($D203,素材!$1:$1016,COLUMN($F$1),FALSE))),VLOOKUP($C203,武器!$1:$998,COLUMN($O$1),FALSE)*VLOOKUP($D203,素材!$1:$1016,COLUMN($E$1),FALSE)/(LEN(VLOOKUP($D203,素材!$1:$1016,COLUMN($F$1),FALSE))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BB203">
        <f>IF(ISNUMBER(SEARCH(SUBSTITUTE(BB$1,RIGHT(BB$1,2),""),VLOOKUP($D203,素材!$1:$1016,COLUMN($F$1),FALSE))),VLOOKUP($C203,武器!$1:$998,COLUMN($O$1),FALSE)*VLOOKUP($D203,素材!$1:$1016,COLUMN($E$1),FALSE)/(LEN(VLOOKUP($D203,素材!$1:$1016,COLUMN($F$1),FALSE))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BC203">
        <f>IF(ISNUMBER(SEARCH(SUBSTITUTE(BC$1,RIGHT(BC$1,2),""),VLOOKUP($D203,素材!$1:$1016,COLUMN($F$1),FALSE))),VLOOKUP($C203,武器!$1:$998,COLUMN($O$1),FALSE)*VLOOKUP($D203,素材!$1:$1016,COLUMN($E$1),FALSE)/(LEN(VLOOKUP($D203,素材!$1:$1016,COLUMN($F$1),FALSE))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BD203">
        <f>IF(ISNUMBER(SEARCH(SUBSTITUTE(BD$1,RIGHT(BD$1,2),""),VLOOKUP($D203,素材!$1:$1016,COLUMN($F$1),FALSE))),VLOOKUP($C203,武器!$1:$998,COLUMN($O$1),FALSE)*VLOOKUP($D203,素材!$1:$1016,COLUMN($E$1),FALSE)/(LEN(VLOOKUP($D203,素材!$1:$1016,COLUMN($F$1),FALSE))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BE203">
        <f>IF(ISNUMBER(SEARCH(SUBSTITUTE(BE$1,RIGHT(BE$1,2),""),VLOOKUP($D203,素材!$1:$1016,COLUMN($F$1),FALSE))),VLOOKUP($C203,武器!$1:$998,COLUMN($O$1),FALSE)*VLOOKUP($D203,素材!$1:$1016,COLUMN($E$1),FALSE)/(LEN(VLOOKUP($D203,素材!$1:$1016,COLUMN($F$1),FALSE))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BF203">
        <f>IF(ISNUMBER(SEARCH(SUBSTITUTE(BF$1,RIGHT(BF$1,2),""),VLOOKUP($D203,素材!$1:$1016,COLUMN($F$1),FALSE))),VLOOKUP($C203,武器!$1:$998,COLUMN($O$1),FALSE)*VLOOKUP($D203,素材!$1:$1016,COLUMN($E$1),FALSE)/(LEN(VLOOKUP($D203,素材!$1:$1016,COLUMN($F$1),FALSE)) - LEN(SUBSTITUTE(VLOOKUP($D203,素材!$1:$1016,COLUMN($F$1),FALSE), "・", 0)) + 1), 0)</f>
        <v>0</v>
      </c>
      <c r="CM203">
        <f t="shared" si="31"/>
        <v>22</v>
      </c>
      <c r="CN203" s="22" t="str">
        <f>IF(E203="武器",IF(J203-1&gt;SUM(G203:I203),"盾",IF(MAX(G203:I203)=G203,"切断",IF(MAX(G203:I203)=H203,"貫通",IF(MAX(G203:I203)=I203,"打撃","射撃")))),E203)&amp;".webp"</f>
        <v>打撃.webp</v>
      </c>
      <c r="CO203">
        <f>IFERROR(VLOOKUP($C203,武器!$1:$998,COLUMN(V$1),FALSE)*VLOOKUP($D203,素材!$1:$1016,COLUMN(N$1),FALSE)+IF(CJ203="",0,VLOOKUP($CJ203,装強!$1:$1008,COLUMN($CL$1),FALSE)),"")</f>
        <v>2250</v>
      </c>
      <c r="CP203">
        <f>VLOOKUP(D203,素材!$A:$O,COLUMN(素材!O$1),FALSE)</f>
        <v>0</v>
      </c>
      <c r="CQ203" t="str">
        <f>VLOOKUP(C203,武器!$A:$W,COLUMN(武器!W$1),FALSE)</f>
        <v>棍棒。打撃に特化したシンプルな武器。</v>
      </c>
      <c r="CS203" t="str">
        <f t="shared" si="32"/>
        <v>e_203</v>
      </c>
      <c r="CT203">
        <f t="shared" ref="CT203:CT266" si="33">CO203*100</f>
        <v>225000</v>
      </c>
    </row>
    <row r="204" spans="1:98" outlineLevel="1" x14ac:dyDescent="0.4">
      <c r="A204" t="str">
        <f t="shared" si="30"/>
        <v>冷気鉄の戦棍</v>
      </c>
      <c r="B204" t="str">
        <f>IFERROR(VLOOKUP($D204,素材!$1:$1016,COLUMN($B$1),FALSE)&amp;"・"&amp;VLOOKUP($C204,武器!$1:$998,COLUMN(B$1),FALSE),"")</f>
        <v>ドゥララン・メイス</v>
      </c>
      <c r="C204" s="24" t="s">
        <v>229</v>
      </c>
      <c r="D204" s="24" t="s">
        <v>243</v>
      </c>
      <c r="E204" t="str">
        <f>IFERROR(VLOOKUP(C204,武器!$1:$998,COLUMN(C$1),FALSE),"")</f>
        <v>武器</v>
      </c>
      <c r="F204">
        <f>IFERROR(ROUNDDOWN((VLOOKUP($C204,武器!$1:$998,COLUMN(D$1),FALSE)+IFERROR(VLOOKUP($CJ204,装強!$1:$999,COLUMN(F$1),FALSE),0))*VLOOKUP($D204,素材!$1:$1016,COLUMN(D$1),FALSE),0),"")</f>
        <v>110</v>
      </c>
      <c r="G204">
        <f>IFERROR(ROUNDDOWN((VLOOKUP($C204,武器!$1:$998,COLUMN(E$1),FALSE)+IFERROR(VLOOKUP($CJ204,装強!$1:$999,COLUMN(G$1),FALSE),0))*VLOOKUP($D204,素材!$1:$1016,COLUMN($E$1),FALSE),0),"")</f>
        <v>0</v>
      </c>
      <c r="H204">
        <f>IFERROR(ROUNDDOWN((VLOOKUP($C204,武器!$1:$998,COLUMN(F$1),FALSE)+IFERROR(VLOOKUP($CJ204,装強!$1:$999,COLUMN(H$1),FALSE),0))*VLOOKUP($D204,素材!$1:$1016,COLUMN($E$1),FALSE),0),"")</f>
        <v>0</v>
      </c>
      <c r="I204">
        <f>IFERROR(ROUNDDOWN((VLOOKUP($C204,武器!$1:$998,COLUMN(G$1),FALSE)+IFERROR(VLOOKUP($CJ204,装強!$1:$999,COLUMN(I$1),FALSE),0))*VLOOKUP($D204,素材!$1:$1016,COLUMN($E$1),FALSE),0),"")</f>
        <v>23</v>
      </c>
      <c r="J204">
        <f>IFERROR(ROUNDDOWN((VLOOKUP($C204,武器!$1:$998,COLUMN(H$1),FALSE)+IFERROR(VLOOKUP($CJ204,装強!$1:$999,COLUMN(J$1),FALSE),0))*VLOOKUP($D204,素材!$1:$1016,COLUMN($E$1),FALSE),0),"")</f>
        <v>19</v>
      </c>
      <c r="K204">
        <f>IFERROR(ROUNDDOWN((VLOOKUP($C204,武器!$1:$998,COLUMN(I$1),FALSE)+IFERROR(VLOOKUP($CJ204,装強!$1:$999,COLUMN(K$1),FALSE),0))*VLOOKUP($D204,素材!$1:$1016,COLUMN($E$1),FALSE),0),"")</f>
        <v>0</v>
      </c>
      <c r="L204" t="str">
        <f>IFERROR(VLOOKUP($D204,素材!$1:$1016,COLUMN($F$1),FALSE),"")</f>
        <v>氷</v>
      </c>
      <c r="M204">
        <f>IFERROR(VLOOKUP($C204,武器!$1:$998,COLUMN(AA$1),FALSE)*VLOOKUP($D204,素材!$1:$1016,COLUMN($G$1),FALSE),"")</f>
        <v>40.25</v>
      </c>
      <c r="N204">
        <f>IFERROR(VLOOKUP($C204,武器!$1:$998,COLUMN(I$1),FALSE),"")</f>
        <v>0</v>
      </c>
      <c r="O204" s="23">
        <f>IFERROR((VLOOKUP($C204,武器!$1:$998,COLUMN(K$1),FALSE)+VLOOKUP($D204,素材!$1:$1016,COLUMN(H$1),FALSE))*100+IFERROR(VLOOKUP($CJ204,装強!$1:$999,COLUMN(O$1),FALSE),0),"")</f>
        <v>15</v>
      </c>
      <c r="P204" s="23">
        <f>IFERROR((VLOOKUP($C204,武器!$1:$998,COLUMN(L$1),FALSE)+VLOOKUP($D204,素材!$1:$1016,COLUMN(I$1),FALSE))*100+IFERROR(VLOOKUP($CJ204,装強!$1:$999,COLUMN(P$1),FALSE),0),"")</f>
        <v>125</v>
      </c>
      <c r="Q204">
        <f>IFERROR(ROUNDUP(VLOOKUP($C204,武器!$1:$998,COLUMN(M$1),FALSE)*(VLOOKUP($D204,素材!$1:$1002,COLUMN(D$1),FALSE)/100),1),"")</f>
        <v>0</v>
      </c>
      <c r="R204">
        <f>IFERROR(ROUNDUP(VLOOKUP($C204,武器!$1:$998,COLUMN(N$1),FALSE)*(VLOOKUP($D204,素材!$1:$1002,COLUMN(D$1),FALSE)/100),1),"")</f>
        <v>-2</v>
      </c>
      <c r="S204">
        <f>IFERROR(VLOOKUP($C204,武器!$1:$998,COLUMN(P$1),FALSE),"")</f>
        <v>0</v>
      </c>
      <c r="T204">
        <f>IFERROR(VLOOKUP($C204,武器!$1:$998,COLUMN(Q$1),FALSE),"")</f>
        <v>0</v>
      </c>
      <c r="U204">
        <f>IFERROR(VLOOKUP($C204,武器!$1:$998,COLUMN(R$1),FALSE),"")</f>
        <v>0</v>
      </c>
      <c r="V204">
        <f>IFERROR(VLOOKUP($C204,武器!$1:$998,COLUMN(Q$1),FALSE),"")</f>
        <v>0</v>
      </c>
      <c r="W204" t="str">
        <f>IFERROR(VLOOKUP($C204,武器!$1:$998,COLUMN(T$1),FALSE),"")</f>
        <v>A</v>
      </c>
      <c r="Y204">
        <f>IFERROR(VLOOKUP($C204,武器!$1:$998,COLUMN(U$1),FALSE),"")</f>
        <v>0</v>
      </c>
      <c r="Z204">
        <f>IFERROR(ROUNDUP(VLOOKUP($C204,武器!$1:$998,COLUMN(O$1),FALSE)*VLOOKUP($D204,素材!$1:$1016,COLUMN(E$1),FALSE),1),"")</f>
        <v>0</v>
      </c>
      <c r="AA204">
        <f>IF(ISNUMBER(SEARCH(SUBSTITUTE(AA$1,RIGHT(AA$1,2),""),VLOOKUP($D204,素材!$1:$1016,COLUMN($F$1),FALSE))),VLOOKUP($C204,武器!$1:$998,COLUMN($O$1),FALSE)*VLOOKUP($D204,素材!$1:$1016,COLUMN($E$1),FALSE)/(LEN(VLOOKUP($D204,素材!$1:$1016,COLUMN($F$1),FALSE))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B204">
        <f>IF(ISNUMBER(SEARCH(SUBSTITUTE(AB$1,RIGHT(AB$1,2),""),VLOOKUP($D204,素材!$1:$1016,COLUMN($F$1),FALSE))),VLOOKUP($C204,武器!$1:$998,COLUMN($O$1),FALSE)*VLOOKUP($D204,素材!$1:$1016,COLUMN($E$1),FALSE)/(LEN(VLOOKUP($D204,素材!$1:$1016,COLUMN($F$1),FALSE))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C204">
        <f>IF(ISNUMBER(SEARCH(SUBSTITUTE(AC$1,RIGHT(AC$1,2),""),VLOOKUP($D204,素材!$1:$1016,COLUMN($F$1),FALSE))),VLOOKUP($C204,武器!$1:$998,COLUMN($O$1),FALSE)*VLOOKUP($D204,素材!$1:$1016,COLUMN($E$1),FALSE)/(LEN(VLOOKUP($D204,素材!$1:$1016,COLUMN($F$1),FALSE))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D204">
        <f>IF(ISNUMBER(SEARCH(SUBSTITUTE(AD$1,RIGHT(AD$1,2),""),VLOOKUP($D204,素材!$1:$1016,COLUMN($F$1),FALSE))),VLOOKUP($C204,武器!$1:$998,COLUMN($O$1),FALSE)*VLOOKUP($D204,素材!$1:$1016,COLUMN($E$1),FALSE)/(LEN(VLOOKUP($D204,素材!$1:$1016,COLUMN($F$1),FALSE))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E204">
        <f>IF(ISNUMBER(SEARCH(SUBSTITUTE(AE$1,RIGHT(AE$1,2),""),VLOOKUP($D204,素材!$1:$1016,COLUMN($F$1),FALSE))),VLOOKUP($C204,武器!$1:$998,COLUMN($O$1),FALSE)*VLOOKUP($D204,素材!$1:$1016,COLUMN($E$1),FALSE)/(LEN(VLOOKUP($D204,素材!$1:$1016,COLUMN($F$1),FALSE))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F204">
        <f>IF(ISNUMBER(SEARCH(SUBSTITUTE(AF$1,RIGHT(AF$1,2),""),VLOOKUP($D204,素材!$1:$1016,COLUMN($F$1),FALSE))),VLOOKUP($C204,武器!$1:$998,COLUMN($O$1),FALSE)*VLOOKUP($D204,素材!$1:$1016,COLUMN($E$1),FALSE)/(LEN(VLOOKUP($D204,素材!$1:$1016,COLUMN($F$1),FALSE))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G204">
        <f>IF(ISNUMBER(SEARCH(SUBSTITUTE(AG$1,RIGHT(AG$1,2),""),VLOOKUP($D204,素材!$1:$1016,COLUMN($F$1),FALSE))),VLOOKUP($C204,武器!$1:$998,COLUMN($O$1),FALSE)*VLOOKUP($D204,素材!$1:$1016,COLUMN($E$1),FALSE)/(LEN(VLOOKUP($D204,素材!$1:$1016,COLUMN($F$1),FALSE))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H204">
        <f>IF(ISNUMBER(SEARCH(SUBSTITUTE(AH$1,RIGHT(AH$1,2),""),VLOOKUP($D204,素材!$1:$1016,COLUMN($F$1),FALSE))),VLOOKUP($C204,武器!$1:$998,COLUMN($O$1),FALSE)*VLOOKUP($D204,素材!$1:$1016,COLUMN($E$1),FALSE)/(LEN(VLOOKUP($D204,素材!$1:$1016,COLUMN($F$1),FALSE))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I204">
        <f>IF(ISNUMBER(SEARCH(SUBSTITUTE(AI$1,RIGHT(AI$1,2),""),VLOOKUP($D204,素材!$1:$1016,COLUMN($F$1),FALSE))),VLOOKUP($C204,武器!$1:$998,COLUMN($O$1),FALSE)*VLOOKUP($D204,素材!$1:$1016,COLUMN($E$1),FALSE)/(LEN(VLOOKUP($D204,素材!$1:$1016,COLUMN($F$1),FALSE))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J204">
        <f>IF(ISNUMBER(SEARCH(SUBSTITUTE(AJ$1,RIGHT(AJ$1,2),""),VLOOKUP($D204,素材!$1:$1016,COLUMN($F$1),FALSE))),VLOOKUP($C204,武器!$1:$998,COLUMN($O$1),FALSE)*VLOOKUP($D204,素材!$1:$1016,COLUMN($E$1),FALSE)/(LEN(VLOOKUP($D204,素材!$1:$1016,COLUMN($F$1),FALSE))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K204">
        <f>IF(ISNUMBER(SEARCH(SUBSTITUTE(AK$1,RIGHT(AK$1,2),""),VLOOKUP($D204,素材!$1:$1016,COLUMN($F$1),FALSE))),VLOOKUP($C204,武器!$1:$998,COLUMN($O$1),FALSE)*VLOOKUP($D204,素材!$1:$1016,COLUMN($E$1),FALSE)/(LEN(VLOOKUP($D204,素材!$1:$1016,COLUMN($F$1),FALSE))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L204">
        <f>IF(ISNUMBER(SEARCH(SUBSTITUTE(AL$1,RIGHT(AL$1,2),""),VLOOKUP($D204,素材!$1:$1016,COLUMN($F$1),FALSE))),VLOOKUP($C204,武器!$1:$998,COLUMN($O$1),FALSE)*VLOOKUP($D204,素材!$1:$1016,COLUMN($E$1),FALSE)/(LEN(VLOOKUP($D204,素材!$1:$1016,COLUMN($F$1),FALSE))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M204">
        <f>IF(ISNUMBER(SEARCH(SUBSTITUTE(AM$1,RIGHT(AM$1,2),""),VLOOKUP($D204,素材!$1:$1016,COLUMN($F$1),FALSE))),VLOOKUP($C204,武器!$1:$998,COLUMN($O$1),FALSE)*VLOOKUP($D204,素材!$1:$1016,COLUMN($E$1),FALSE)/(LEN(VLOOKUP($D204,素材!$1:$1016,COLUMN($F$1),FALSE))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N204">
        <f>IF(ISNUMBER(SEARCH(SUBSTITUTE(AN$1,RIGHT(AN$1,2),""),VLOOKUP($D204,素材!$1:$1016,COLUMN($F$1),FALSE))),VLOOKUP($C204,武器!$1:$998,COLUMN($O$1),FALSE)*VLOOKUP($D204,素材!$1:$1016,COLUMN($E$1),FALSE)/(LEN(VLOOKUP($D204,素材!$1:$1016,COLUMN($F$1),FALSE))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O204">
        <f>IF(ISNUMBER(SEARCH(SUBSTITUTE(AO$1,RIGHT(AO$1,2),""),VLOOKUP($D204,素材!$1:$1016,COLUMN($F$1),FALSE))),VLOOKUP($C204,武器!$1:$998,COLUMN($O$1),FALSE)*VLOOKUP($D204,素材!$1:$1016,COLUMN($E$1),FALSE)/(LEN(VLOOKUP($D204,素材!$1:$1016,COLUMN($F$1),FALSE))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P204">
        <f>IF(ISNUMBER(SEARCH(SUBSTITUTE(AP$1,RIGHT(AP$1,2),""),VLOOKUP($D204,素材!$1:$1016,COLUMN($F$1),FALSE))),VLOOKUP($C204,武器!$1:$998,COLUMN($O$1),FALSE)*VLOOKUP($D204,素材!$1:$1016,COLUMN($E$1),FALSE)/(LEN(VLOOKUP($D204,素材!$1:$1016,COLUMN($F$1),FALSE))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Q204">
        <f>IF(ISNUMBER(SEARCH(SUBSTITUTE(AQ$1,RIGHT(AQ$1,2),""),VLOOKUP($D204,素材!$1:$1016,COLUMN($F$1),FALSE))),VLOOKUP($C204,武器!$1:$998,COLUMN($O$1),FALSE)*VLOOKUP($D204,素材!$1:$1016,COLUMN($E$1),FALSE)/(LEN(VLOOKUP($D204,素材!$1:$1016,COLUMN($F$1),FALSE))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R204">
        <f>IF(ISNUMBER(SEARCH(SUBSTITUTE(AR$1,RIGHT(AR$1,2),""),VLOOKUP($D204,素材!$1:$1016,COLUMN($F$1),FALSE))),VLOOKUP($C204,武器!$1:$998,COLUMN($O$1),FALSE)*VLOOKUP($D204,素材!$1:$1016,COLUMN($E$1),FALSE)/(LEN(VLOOKUP($D204,素材!$1:$1016,COLUMN($F$1),FALSE))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S204">
        <f>IF(ISNUMBER(SEARCH(SUBSTITUTE(AS$1,RIGHT(AS$1,2),""),VLOOKUP($D204,素材!$1:$1016,COLUMN($F$1),FALSE))),VLOOKUP($C204,武器!$1:$998,COLUMN($O$1),FALSE)*VLOOKUP($D204,素材!$1:$1016,COLUMN($E$1),FALSE)/(LEN(VLOOKUP($D204,素材!$1:$1016,COLUMN($F$1),FALSE))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T204">
        <f>IF(ISNUMBER(SEARCH(SUBSTITUTE(AT$1,RIGHT(AT$1,2),""),VLOOKUP($D204,素材!$1:$1016,COLUMN($F$1),FALSE))),VLOOKUP($C204,武器!$1:$998,COLUMN($O$1),FALSE)*VLOOKUP($D204,素材!$1:$1016,COLUMN($E$1),FALSE)/(LEN(VLOOKUP($D204,素材!$1:$1016,COLUMN($F$1),FALSE))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U204">
        <f>IF(ISNUMBER(SEARCH(SUBSTITUTE(AU$1,RIGHT(AU$1,2),""),VLOOKUP($D204,素材!$1:$1016,COLUMN($F$1),FALSE))),VLOOKUP($C204,武器!$1:$998,COLUMN($O$1),FALSE)*VLOOKUP($D204,素材!$1:$1016,COLUMN($E$1),FALSE)/(LEN(VLOOKUP($D204,素材!$1:$1016,COLUMN($F$1),FALSE))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V204">
        <f>IF(ISNUMBER(SEARCH(SUBSTITUTE(AV$1,RIGHT(AV$1,2),""),VLOOKUP($D204,素材!$1:$1016,COLUMN($F$1),FALSE))),VLOOKUP($C204,武器!$1:$998,COLUMN($O$1),FALSE)*VLOOKUP($D204,素材!$1:$1016,COLUMN($E$1),FALSE)/(LEN(VLOOKUP($D204,素材!$1:$1016,COLUMN($F$1),FALSE))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W204">
        <f>IF(ISNUMBER(SEARCH(SUBSTITUTE(AW$1,RIGHT(AW$1,2),""),VLOOKUP($D204,素材!$1:$1016,COLUMN($F$1),FALSE))),VLOOKUP($C204,武器!$1:$998,COLUMN($O$1),FALSE)*VLOOKUP($D204,素材!$1:$1016,COLUMN($E$1),FALSE)/(LEN(VLOOKUP($D204,素材!$1:$1016,COLUMN($F$1),FALSE))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X204">
        <f>IF(ISNUMBER(SEARCH(SUBSTITUTE(AX$1,RIGHT(AX$1,2),""),VLOOKUP($D204,素材!$1:$1016,COLUMN($F$1),FALSE))),VLOOKUP($C204,武器!$1:$998,COLUMN($O$1),FALSE)*VLOOKUP($D204,素材!$1:$1016,COLUMN($E$1),FALSE)/(LEN(VLOOKUP($D204,素材!$1:$1016,COLUMN($F$1),FALSE))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Y204">
        <f>IF(ISNUMBER(SEARCH(SUBSTITUTE(AY$1,RIGHT(AY$1,2),""),VLOOKUP($D204,素材!$1:$1016,COLUMN($F$1),FALSE))),VLOOKUP($C204,武器!$1:$998,COLUMN($O$1),FALSE)*VLOOKUP($D204,素材!$1:$1016,COLUMN($E$1),FALSE)/(LEN(VLOOKUP($D204,素材!$1:$1016,COLUMN($F$1),FALSE))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AZ204">
        <f>IF(ISNUMBER(SEARCH(SUBSTITUTE(AZ$1,RIGHT(AZ$1,2),""),VLOOKUP($D204,素材!$1:$1016,COLUMN($F$1),FALSE))),VLOOKUP($C204,武器!$1:$998,COLUMN($O$1),FALSE)*VLOOKUP($D204,素材!$1:$1016,COLUMN($E$1),FALSE)/(LEN(VLOOKUP($D204,素材!$1:$1016,COLUMN($F$1),FALSE))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BA204">
        <f>IF(ISNUMBER(SEARCH(SUBSTITUTE(BA$1,RIGHT(BA$1,2),""),VLOOKUP($D204,素材!$1:$1016,COLUMN($F$1),FALSE))),VLOOKUP($C204,武器!$1:$998,COLUMN($O$1),FALSE)*VLOOKUP($D204,素材!$1:$1016,COLUMN($E$1),FALSE)/(LEN(VLOOKUP($D204,素材!$1:$1016,COLUMN($F$1),FALSE))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BB204">
        <f>IF(ISNUMBER(SEARCH(SUBSTITUTE(BB$1,RIGHT(BB$1,2),""),VLOOKUP($D204,素材!$1:$1016,COLUMN($F$1),FALSE))),VLOOKUP($C204,武器!$1:$998,COLUMN($O$1),FALSE)*VLOOKUP($D204,素材!$1:$1016,COLUMN($E$1),FALSE)/(LEN(VLOOKUP($D204,素材!$1:$1016,COLUMN($F$1),FALSE))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BC204">
        <f>IF(ISNUMBER(SEARCH(SUBSTITUTE(BC$1,RIGHT(BC$1,2),""),VLOOKUP($D204,素材!$1:$1016,COLUMN($F$1),FALSE))),VLOOKUP($C204,武器!$1:$998,COLUMN($O$1),FALSE)*VLOOKUP($D204,素材!$1:$1016,COLUMN($E$1),FALSE)/(LEN(VLOOKUP($D204,素材!$1:$1016,COLUMN($F$1),FALSE))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BD204">
        <f>IF(ISNUMBER(SEARCH(SUBSTITUTE(BD$1,RIGHT(BD$1,2),""),VLOOKUP($D204,素材!$1:$1016,COLUMN($F$1),FALSE))),VLOOKUP($C204,武器!$1:$998,COLUMN($O$1),FALSE)*VLOOKUP($D204,素材!$1:$1016,COLUMN($E$1),FALSE)/(LEN(VLOOKUP($D204,素材!$1:$1016,COLUMN($F$1),FALSE))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BE204">
        <f>IF(ISNUMBER(SEARCH(SUBSTITUTE(BE$1,RIGHT(BE$1,2),""),VLOOKUP($D204,素材!$1:$1016,COLUMN($F$1),FALSE))),VLOOKUP($C204,武器!$1:$998,COLUMN($O$1),FALSE)*VLOOKUP($D204,素材!$1:$1016,COLUMN($E$1),FALSE)/(LEN(VLOOKUP($D204,素材!$1:$1016,COLUMN($F$1),FALSE))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BF204">
        <f>IF(ISNUMBER(SEARCH(SUBSTITUTE(BF$1,RIGHT(BF$1,2),""),VLOOKUP($D204,素材!$1:$1016,COLUMN($F$1),FALSE))),VLOOKUP($C204,武器!$1:$998,COLUMN($O$1),FALSE)*VLOOKUP($D204,素材!$1:$1016,COLUMN($E$1),FALSE)/(LEN(VLOOKUP($D204,素材!$1:$1016,COLUMN($F$1),FALSE)) - LEN(SUBSTITUTE(VLOOKUP($D204,素材!$1:$1016,COLUMN($F$1),FALSE), "・", 0)) + 1), 0)</f>
        <v>0</v>
      </c>
      <c r="CM204">
        <f t="shared" si="31"/>
        <v>23</v>
      </c>
      <c r="CN204" s="22" t="str">
        <f>IF(E204="武器",IF(J204-1&gt;SUM(G204:I204),"盾",IF(MAX(G204:I204)=G204,"切断",IF(MAX(G204:I204)=H204,"貫通",IF(MAX(G204:I204)=I204,"打撃","射撃")))),E204)&amp;".webp"</f>
        <v>打撃.webp</v>
      </c>
      <c r="CO204">
        <f>IFERROR(VLOOKUP($C204,武器!$1:$998,COLUMN(V$1),FALSE)*VLOOKUP($D204,素材!$1:$1016,COLUMN(N$1),FALSE)+IF(CJ204="",0,VLOOKUP($CJ204,装強!$1:$1008,COLUMN($CL$1),FALSE)),"")</f>
        <v>3000</v>
      </c>
      <c r="CP204">
        <f>VLOOKUP(D204,素材!$A:$O,COLUMN(素材!O$1),FALSE)</f>
        <v>0</v>
      </c>
      <c r="CQ204" t="str">
        <f>VLOOKUP(C204,武器!$A:$W,COLUMN(武器!W$1),FALSE)</f>
        <v>戦棍。打撃に優れた武器。Cr率が高い</v>
      </c>
      <c r="CS204" t="str">
        <f t="shared" si="32"/>
        <v>e_204</v>
      </c>
      <c r="CT204">
        <f t="shared" si="33"/>
        <v>300000</v>
      </c>
    </row>
    <row r="205" spans="1:98" outlineLevel="1" x14ac:dyDescent="0.4">
      <c r="A205" t="str">
        <f t="shared" si="30"/>
        <v>冷気鉄の棘棍</v>
      </c>
      <c r="B205" t="str">
        <f>IFERROR(VLOOKUP($D205,素材!$1:$1016,COLUMN($B$1),FALSE)&amp;"・"&amp;VLOOKUP($C205,武器!$1:$998,COLUMN(B$1),FALSE),"")</f>
        <v>ドゥララン・モーニングスター</v>
      </c>
      <c r="C205" t="s">
        <v>228</v>
      </c>
      <c r="D205" s="24" t="s">
        <v>243</v>
      </c>
      <c r="E205" t="str">
        <f>IFERROR(VLOOKUP(C205,武器!$1:$998,COLUMN(C$1),FALSE),"")</f>
        <v>武器</v>
      </c>
      <c r="F205">
        <f>IFERROR(ROUNDDOWN((VLOOKUP($C205,武器!$1:$998,COLUMN(D$1),FALSE)+IFERROR(VLOOKUP($CJ205,装強!$1:$999,COLUMN(F$1),FALSE),0))*VLOOKUP($D205,素材!$1:$1016,COLUMN(D$1),FALSE),0),"")</f>
        <v>105</v>
      </c>
      <c r="G205">
        <f>IFERROR(ROUNDDOWN((VLOOKUP($C205,武器!$1:$998,COLUMN(E$1),FALSE)+IFERROR(VLOOKUP($CJ205,装強!$1:$999,COLUMN(G$1),FALSE),0))*VLOOKUP($D205,素材!$1:$1016,COLUMN($E$1),FALSE),0),"")</f>
        <v>0</v>
      </c>
      <c r="H205">
        <f>IFERROR(ROUNDDOWN((VLOOKUP($C205,武器!$1:$998,COLUMN(F$1),FALSE)+IFERROR(VLOOKUP($CJ205,装強!$1:$999,COLUMN(H$1),FALSE),0))*VLOOKUP($D205,素材!$1:$1016,COLUMN($E$1),FALSE),0),"")</f>
        <v>12</v>
      </c>
      <c r="I205">
        <f>IFERROR(ROUNDDOWN((VLOOKUP($C205,武器!$1:$998,COLUMN(G$1),FALSE)+IFERROR(VLOOKUP($CJ205,装強!$1:$999,COLUMN(I$1),FALSE),0))*VLOOKUP($D205,素材!$1:$1016,COLUMN($E$1),FALSE),0),"")</f>
        <v>12</v>
      </c>
      <c r="J205">
        <f>IFERROR(ROUNDDOWN((VLOOKUP($C205,武器!$1:$998,COLUMN(H$1),FALSE)+IFERROR(VLOOKUP($CJ205,装強!$1:$999,COLUMN(J$1),FALSE),0))*VLOOKUP($D205,素材!$1:$1016,COLUMN($E$1),FALSE),0),"")</f>
        <v>19</v>
      </c>
      <c r="K205">
        <f>IFERROR(ROUNDDOWN((VLOOKUP($C205,武器!$1:$998,COLUMN(I$1),FALSE)+IFERROR(VLOOKUP($CJ205,装強!$1:$999,COLUMN(K$1),FALSE),0))*VLOOKUP($D205,素材!$1:$1016,COLUMN($E$1),FALSE),0),"")</f>
        <v>0</v>
      </c>
      <c r="L205" t="str">
        <f>IFERROR(VLOOKUP($D205,素材!$1:$1016,COLUMN($F$1),FALSE),"")</f>
        <v>氷</v>
      </c>
      <c r="M205">
        <f>IFERROR(VLOOKUP($C205,武器!$1:$998,COLUMN(AA$1),FALSE)*VLOOKUP($D205,素材!$1:$1016,COLUMN($G$1),FALSE),"")</f>
        <v>42</v>
      </c>
      <c r="N205">
        <f>IFERROR(VLOOKUP($C205,武器!$1:$998,COLUMN(I$1),FALSE),"")</f>
        <v>0</v>
      </c>
      <c r="O205" s="23">
        <f>IFERROR((VLOOKUP($C205,武器!$1:$998,COLUMN(K$1),FALSE)+VLOOKUP($D205,素材!$1:$1016,COLUMN(H$1),FALSE))*100+IFERROR(VLOOKUP($CJ205,装強!$1:$999,COLUMN(O$1),FALSE),0),"")</f>
        <v>10</v>
      </c>
      <c r="P205" s="23">
        <f>IFERROR((VLOOKUP($C205,武器!$1:$998,COLUMN(L$1),FALSE)+VLOOKUP($D205,素材!$1:$1016,COLUMN(I$1),FALSE))*100+IFERROR(VLOOKUP($CJ205,装強!$1:$999,COLUMN(P$1),FALSE),0),"")</f>
        <v>125</v>
      </c>
      <c r="Q205">
        <f>IFERROR(ROUNDUP(VLOOKUP($C205,武器!$1:$998,COLUMN(M$1),FALSE)*(VLOOKUP($D205,素材!$1:$1002,COLUMN(D$1),FALSE)/100),1),"")</f>
        <v>-2.5</v>
      </c>
      <c r="R205">
        <f>IFERROR(ROUNDUP(VLOOKUP($C205,武器!$1:$998,COLUMN(N$1),FALSE)*(VLOOKUP($D205,素材!$1:$1002,COLUMN(D$1),FALSE)/100),1),"")</f>
        <v>-2.5</v>
      </c>
      <c r="S205">
        <f>IFERROR(VLOOKUP($C205,武器!$1:$998,COLUMN(P$1),FALSE),"")</f>
        <v>0</v>
      </c>
      <c r="T205">
        <f>IFERROR(VLOOKUP($C205,武器!$1:$998,COLUMN(Q$1),FALSE),"")</f>
        <v>0</v>
      </c>
      <c r="U205">
        <f>IFERROR(VLOOKUP($C205,武器!$1:$998,COLUMN(R$1),FALSE),"")</f>
        <v>0</v>
      </c>
      <c r="V205">
        <f>IFERROR(VLOOKUP($C205,武器!$1:$998,COLUMN(Q$1),FALSE),"")</f>
        <v>0</v>
      </c>
      <c r="W205" t="str">
        <f>IFERROR(VLOOKUP($C205,武器!$1:$998,COLUMN(T$1),FALSE),"")</f>
        <v>A</v>
      </c>
      <c r="Y205">
        <f>IFERROR(VLOOKUP($C205,武器!$1:$998,COLUMN(U$1),FALSE),"")</f>
        <v>0</v>
      </c>
      <c r="Z205">
        <f>IFERROR(ROUNDUP(VLOOKUP($C205,武器!$1:$998,COLUMN(O$1),FALSE)*VLOOKUP($D205,素材!$1:$1016,COLUMN(E$1),FALSE),1),"")</f>
        <v>0</v>
      </c>
      <c r="AA205">
        <f>IF(ISNUMBER(SEARCH(SUBSTITUTE(AA$1,RIGHT(AA$1,2),""),VLOOKUP($D205,素材!$1:$1016,COLUMN($F$1),FALSE))),VLOOKUP($C205,武器!$1:$998,COLUMN($O$1),FALSE)*VLOOKUP($D205,素材!$1:$1016,COLUMN($E$1),FALSE)/(LEN(VLOOKUP($D205,素材!$1:$1016,COLUMN($F$1),FALSE))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B205">
        <f>IF(ISNUMBER(SEARCH(SUBSTITUTE(AB$1,RIGHT(AB$1,2),""),VLOOKUP($D205,素材!$1:$1016,COLUMN($F$1),FALSE))),VLOOKUP($C205,武器!$1:$998,COLUMN($O$1),FALSE)*VLOOKUP($D205,素材!$1:$1016,COLUMN($E$1),FALSE)/(LEN(VLOOKUP($D205,素材!$1:$1016,COLUMN($F$1),FALSE))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C205">
        <f>IF(ISNUMBER(SEARCH(SUBSTITUTE(AC$1,RIGHT(AC$1,2),""),VLOOKUP($D205,素材!$1:$1016,COLUMN($F$1),FALSE))),VLOOKUP($C205,武器!$1:$998,COLUMN($O$1),FALSE)*VLOOKUP($D205,素材!$1:$1016,COLUMN($E$1),FALSE)/(LEN(VLOOKUP($D205,素材!$1:$1016,COLUMN($F$1),FALSE))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D205">
        <f>IF(ISNUMBER(SEARCH(SUBSTITUTE(AD$1,RIGHT(AD$1,2),""),VLOOKUP($D205,素材!$1:$1016,COLUMN($F$1),FALSE))),VLOOKUP($C205,武器!$1:$998,COLUMN($O$1),FALSE)*VLOOKUP($D205,素材!$1:$1016,COLUMN($E$1),FALSE)/(LEN(VLOOKUP($D205,素材!$1:$1016,COLUMN($F$1),FALSE))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E205">
        <f>IF(ISNUMBER(SEARCH(SUBSTITUTE(AE$1,RIGHT(AE$1,2),""),VLOOKUP($D205,素材!$1:$1016,COLUMN($F$1),FALSE))),VLOOKUP($C205,武器!$1:$998,COLUMN($O$1),FALSE)*VLOOKUP($D205,素材!$1:$1016,COLUMN($E$1),FALSE)/(LEN(VLOOKUP($D205,素材!$1:$1016,COLUMN($F$1),FALSE))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F205">
        <f>IF(ISNUMBER(SEARCH(SUBSTITUTE(AF$1,RIGHT(AF$1,2),""),VLOOKUP($D205,素材!$1:$1016,COLUMN($F$1),FALSE))),VLOOKUP($C205,武器!$1:$998,COLUMN($O$1),FALSE)*VLOOKUP($D205,素材!$1:$1016,COLUMN($E$1),FALSE)/(LEN(VLOOKUP($D205,素材!$1:$1016,COLUMN($F$1),FALSE))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G205">
        <f>IF(ISNUMBER(SEARCH(SUBSTITUTE(AG$1,RIGHT(AG$1,2),""),VLOOKUP($D205,素材!$1:$1016,COLUMN($F$1),FALSE))),VLOOKUP($C205,武器!$1:$998,COLUMN($O$1),FALSE)*VLOOKUP($D205,素材!$1:$1016,COLUMN($E$1),FALSE)/(LEN(VLOOKUP($D205,素材!$1:$1016,COLUMN($F$1),FALSE))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H205">
        <f>IF(ISNUMBER(SEARCH(SUBSTITUTE(AH$1,RIGHT(AH$1,2),""),VLOOKUP($D205,素材!$1:$1016,COLUMN($F$1),FALSE))),VLOOKUP($C205,武器!$1:$998,COLUMN($O$1),FALSE)*VLOOKUP($D205,素材!$1:$1016,COLUMN($E$1),FALSE)/(LEN(VLOOKUP($D205,素材!$1:$1016,COLUMN($F$1),FALSE))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I205">
        <f>IF(ISNUMBER(SEARCH(SUBSTITUTE(AI$1,RIGHT(AI$1,2),""),VLOOKUP($D205,素材!$1:$1016,COLUMN($F$1),FALSE))),VLOOKUP($C205,武器!$1:$998,COLUMN($O$1),FALSE)*VLOOKUP($D205,素材!$1:$1016,COLUMN($E$1),FALSE)/(LEN(VLOOKUP($D205,素材!$1:$1016,COLUMN($F$1),FALSE))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J205">
        <f>IF(ISNUMBER(SEARCH(SUBSTITUTE(AJ$1,RIGHT(AJ$1,2),""),VLOOKUP($D205,素材!$1:$1016,COLUMN($F$1),FALSE))),VLOOKUP($C205,武器!$1:$998,COLUMN($O$1),FALSE)*VLOOKUP($D205,素材!$1:$1016,COLUMN($E$1),FALSE)/(LEN(VLOOKUP($D205,素材!$1:$1016,COLUMN($F$1),FALSE))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K205">
        <f>IF(ISNUMBER(SEARCH(SUBSTITUTE(AK$1,RIGHT(AK$1,2),""),VLOOKUP($D205,素材!$1:$1016,COLUMN($F$1),FALSE))),VLOOKUP($C205,武器!$1:$998,COLUMN($O$1),FALSE)*VLOOKUP($D205,素材!$1:$1016,COLUMN($E$1),FALSE)/(LEN(VLOOKUP($D205,素材!$1:$1016,COLUMN($F$1),FALSE))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L205">
        <f>IF(ISNUMBER(SEARCH(SUBSTITUTE(AL$1,RIGHT(AL$1,2),""),VLOOKUP($D205,素材!$1:$1016,COLUMN($F$1),FALSE))),VLOOKUP($C205,武器!$1:$998,COLUMN($O$1),FALSE)*VLOOKUP($D205,素材!$1:$1016,COLUMN($E$1),FALSE)/(LEN(VLOOKUP($D205,素材!$1:$1016,COLUMN($F$1),FALSE))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M205">
        <f>IF(ISNUMBER(SEARCH(SUBSTITUTE(AM$1,RIGHT(AM$1,2),""),VLOOKUP($D205,素材!$1:$1016,COLUMN($F$1),FALSE))),VLOOKUP($C205,武器!$1:$998,COLUMN($O$1),FALSE)*VLOOKUP($D205,素材!$1:$1016,COLUMN($E$1),FALSE)/(LEN(VLOOKUP($D205,素材!$1:$1016,COLUMN($F$1),FALSE))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N205">
        <f>IF(ISNUMBER(SEARCH(SUBSTITUTE(AN$1,RIGHT(AN$1,2),""),VLOOKUP($D205,素材!$1:$1016,COLUMN($F$1),FALSE))),VLOOKUP($C205,武器!$1:$998,COLUMN($O$1),FALSE)*VLOOKUP($D205,素材!$1:$1016,COLUMN($E$1),FALSE)/(LEN(VLOOKUP($D205,素材!$1:$1016,COLUMN($F$1),FALSE))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O205">
        <f>IF(ISNUMBER(SEARCH(SUBSTITUTE(AO$1,RIGHT(AO$1,2),""),VLOOKUP($D205,素材!$1:$1016,COLUMN($F$1),FALSE))),VLOOKUP($C205,武器!$1:$998,COLUMN($O$1),FALSE)*VLOOKUP($D205,素材!$1:$1016,COLUMN($E$1),FALSE)/(LEN(VLOOKUP($D205,素材!$1:$1016,COLUMN($F$1),FALSE))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P205">
        <f>IF(ISNUMBER(SEARCH(SUBSTITUTE(AP$1,RIGHT(AP$1,2),""),VLOOKUP($D205,素材!$1:$1016,COLUMN($F$1),FALSE))),VLOOKUP($C205,武器!$1:$998,COLUMN($O$1),FALSE)*VLOOKUP($D205,素材!$1:$1016,COLUMN($E$1),FALSE)/(LEN(VLOOKUP($D205,素材!$1:$1016,COLUMN($F$1),FALSE))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Q205">
        <f>IF(ISNUMBER(SEARCH(SUBSTITUTE(AQ$1,RIGHT(AQ$1,2),""),VLOOKUP($D205,素材!$1:$1016,COLUMN($F$1),FALSE))),VLOOKUP($C205,武器!$1:$998,COLUMN($O$1),FALSE)*VLOOKUP($D205,素材!$1:$1016,COLUMN($E$1),FALSE)/(LEN(VLOOKUP($D205,素材!$1:$1016,COLUMN($F$1),FALSE))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R205">
        <f>IF(ISNUMBER(SEARCH(SUBSTITUTE(AR$1,RIGHT(AR$1,2),""),VLOOKUP($D205,素材!$1:$1016,COLUMN($F$1),FALSE))),VLOOKUP($C205,武器!$1:$998,COLUMN($O$1),FALSE)*VLOOKUP($D205,素材!$1:$1016,COLUMN($E$1),FALSE)/(LEN(VLOOKUP($D205,素材!$1:$1016,COLUMN($F$1),FALSE))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S205">
        <f>IF(ISNUMBER(SEARCH(SUBSTITUTE(AS$1,RIGHT(AS$1,2),""),VLOOKUP($D205,素材!$1:$1016,COLUMN($F$1),FALSE))),VLOOKUP($C205,武器!$1:$998,COLUMN($O$1),FALSE)*VLOOKUP($D205,素材!$1:$1016,COLUMN($E$1),FALSE)/(LEN(VLOOKUP($D205,素材!$1:$1016,COLUMN($F$1),FALSE))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T205">
        <f>IF(ISNUMBER(SEARCH(SUBSTITUTE(AT$1,RIGHT(AT$1,2),""),VLOOKUP($D205,素材!$1:$1016,COLUMN($F$1),FALSE))),VLOOKUP($C205,武器!$1:$998,COLUMN($O$1),FALSE)*VLOOKUP($D205,素材!$1:$1016,COLUMN($E$1),FALSE)/(LEN(VLOOKUP($D205,素材!$1:$1016,COLUMN($F$1),FALSE))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U205">
        <f>IF(ISNUMBER(SEARCH(SUBSTITUTE(AU$1,RIGHT(AU$1,2),""),VLOOKUP($D205,素材!$1:$1016,COLUMN($F$1),FALSE))),VLOOKUP($C205,武器!$1:$998,COLUMN($O$1),FALSE)*VLOOKUP($D205,素材!$1:$1016,COLUMN($E$1),FALSE)/(LEN(VLOOKUP($D205,素材!$1:$1016,COLUMN($F$1),FALSE))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V205">
        <f>IF(ISNUMBER(SEARCH(SUBSTITUTE(AV$1,RIGHT(AV$1,2),""),VLOOKUP($D205,素材!$1:$1016,COLUMN($F$1),FALSE))),VLOOKUP($C205,武器!$1:$998,COLUMN($O$1),FALSE)*VLOOKUP($D205,素材!$1:$1016,COLUMN($E$1),FALSE)/(LEN(VLOOKUP($D205,素材!$1:$1016,COLUMN($F$1),FALSE))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W205">
        <f>IF(ISNUMBER(SEARCH(SUBSTITUTE(AW$1,RIGHT(AW$1,2),""),VLOOKUP($D205,素材!$1:$1016,COLUMN($F$1),FALSE))),VLOOKUP($C205,武器!$1:$998,COLUMN($O$1),FALSE)*VLOOKUP($D205,素材!$1:$1016,COLUMN($E$1),FALSE)/(LEN(VLOOKUP($D205,素材!$1:$1016,COLUMN($F$1),FALSE))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X205">
        <f>IF(ISNUMBER(SEARCH(SUBSTITUTE(AX$1,RIGHT(AX$1,2),""),VLOOKUP($D205,素材!$1:$1016,COLUMN($F$1),FALSE))),VLOOKUP($C205,武器!$1:$998,COLUMN($O$1),FALSE)*VLOOKUP($D205,素材!$1:$1016,COLUMN($E$1),FALSE)/(LEN(VLOOKUP($D205,素材!$1:$1016,COLUMN($F$1),FALSE))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Y205">
        <f>IF(ISNUMBER(SEARCH(SUBSTITUTE(AY$1,RIGHT(AY$1,2),""),VLOOKUP($D205,素材!$1:$1016,COLUMN($F$1),FALSE))),VLOOKUP($C205,武器!$1:$998,COLUMN($O$1),FALSE)*VLOOKUP($D205,素材!$1:$1016,COLUMN($E$1),FALSE)/(LEN(VLOOKUP($D205,素材!$1:$1016,COLUMN($F$1),FALSE))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AZ205">
        <f>IF(ISNUMBER(SEARCH(SUBSTITUTE(AZ$1,RIGHT(AZ$1,2),""),VLOOKUP($D205,素材!$1:$1016,COLUMN($F$1),FALSE))),VLOOKUP($C205,武器!$1:$998,COLUMN($O$1),FALSE)*VLOOKUP($D205,素材!$1:$1016,COLUMN($E$1),FALSE)/(LEN(VLOOKUP($D205,素材!$1:$1016,COLUMN($F$1),FALSE))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BA205">
        <f>IF(ISNUMBER(SEARCH(SUBSTITUTE(BA$1,RIGHT(BA$1,2),""),VLOOKUP($D205,素材!$1:$1016,COLUMN($F$1),FALSE))),VLOOKUP($C205,武器!$1:$998,COLUMN($O$1),FALSE)*VLOOKUP($D205,素材!$1:$1016,COLUMN($E$1),FALSE)/(LEN(VLOOKUP($D205,素材!$1:$1016,COLUMN($F$1),FALSE))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BB205">
        <f>IF(ISNUMBER(SEARCH(SUBSTITUTE(BB$1,RIGHT(BB$1,2),""),VLOOKUP($D205,素材!$1:$1016,COLUMN($F$1),FALSE))),VLOOKUP($C205,武器!$1:$998,COLUMN($O$1),FALSE)*VLOOKUP($D205,素材!$1:$1016,COLUMN($E$1),FALSE)/(LEN(VLOOKUP($D205,素材!$1:$1016,COLUMN($F$1),FALSE))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BC205">
        <f>IF(ISNUMBER(SEARCH(SUBSTITUTE(BC$1,RIGHT(BC$1,2),""),VLOOKUP($D205,素材!$1:$1016,COLUMN($F$1),FALSE))),VLOOKUP($C205,武器!$1:$998,COLUMN($O$1),FALSE)*VLOOKUP($D205,素材!$1:$1016,COLUMN($E$1),FALSE)/(LEN(VLOOKUP($D205,素材!$1:$1016,COLUMN($F$1),FALSE))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BD205">
        <f>IF(ISNUMBER(SEARCH(SUBSTITUTE(BD$1,RIGHT(BD$1,2),""),VLOOKUP($D205,素材!$1:$1016,COLUMN($F$1),FALSE))),VLOOKUP($C205,武器!$1:$998,COLUMN($O$1),FALSE)*VLOOKUP($D205,素材!$1:$1016,COLUMN($E$1),FALSE)/(LEN(VLOOKUP($D205,素材!$1:$1016,COLUMN($F$1),FALSE))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BE205">
        <f>IF(ISNUMBER(SEARCH(SUBSTITUTE(BE$1,RIGHT(BE$1,2),""),VLOOKUP($D205,素材!$1:$1016,COLUMN($F$1),FALSE))),VLOOKUP($C205,武器!$1:$998,COLUMN($O$1),FALSE)*VLOOKUP($D205,素材!$1:$1016,COLUMN($E$1),FALSE)/(LEN(VLOOKUP($D205,素材!$1:$1016,COLUMN($F$1),FALSE))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BF205">
        <f>IF(ISNUMBER(SEARCH(SUBSTITUTE(BF$1,RIGHT(BF$1,2),""),VLOOKUP($D205,素材!$1:$1016,COLUMN($F$1),FALSE))),VLOOKUP($C205,武器!$1:$998,COLUMN($O$1),FALSE)*VLOOKUP($D205,素材!$1:$1016,COLUMN($E$1),FALSE)/(LEN(VLOOKUP($D205,素材!$1:$1016,COLUMN($F$1),FALSE)) - LEN(SUBSTITUTE(VLOOKUP($D205,素材!$1:$1016,COLUMN($F$1),FALSE), "・", 0)) + 1), 0)</f>
        <v>0</v>
      </c>
      <c r="CM205">
        <f t="shared" si="31"/>
        <v>24</v>
      </c>
      <c r="CN205" s="22" t="str">
        <f>IF(E205="武器",IF(J205-1&gt;SUM(G205:I205),"盾",IF(MAX(G205:I205)=G205,"切断",IF(MAX(G205:I205)=H205,"貫通",IF(MAX(G205:I205)=I205,"打撃","射撃")))),E205)&amp;".webp"</f>
        <v>貫通.webp</v>
      </c>
      <c r="CO205">
        <f>IFERROR(VLOOKUP($C205,武器!$1:$998,COLUMN(V$1),FALSE)*VLOOKUP($D205,素材!$1:$1016,COLUMN(N$1),FALSE)+IF(CJ205="",0,VLOOKUP($CJ205,装強!$1:$1008,COLUMN($CL$1),FALSE)),"")</f>
        <v>3000</v>
      </c>
      <c r="CP205">
        <f>VLOOKUP(D205,素材!$A:$O,COLUMN(素材!O$1),FALSE)</f>
        <v>0</v>
      </c>
      <c r="CQ205" t="str">
        <f>VLOOKUP(C205,武器!$A:$W,COLUMN(武器!W$1),FALSE)</f>
        <v>棘棍。打撃と刺突を兼ね備えた武器。</v>
      </c>
      <c r="CS205" t="str">
        <f t="shared" si="32"/>
        <v>e_205</v>
      </c>
      <c r="CT205">
        <f t="shared" si="33"/>
        <v>300000</v>
      </c>
    </row>
    <row r="206" spans="1:98" outlineLevel="1" x14ac:dyDescent="0.4">
      <c r="A206" t="str">
        <f t="shared" si="30"/>
        <v>冷気鉄の鎚</v>
      </c>
      <c r="B206" t="str">
        <f>IFERROR(VLOOKUP($D206,素材!$1:$1016,COLUMN($B$1),FALSE)&amp;"・"&amp;VLOOKUP($C206,武器!$1:$998,COLUMN(B$1),FALSE),"")</f>
        <v>ドゥララン・ハンマー</v>
      </c>
      <c r="C206" t="s">
        <v>227</v>
      </c>
      <c r="D206" s="24" t="s">
        <v>243</v>
      </c>
      <c r="E206" t="str">
        <f>IFERROR(VLOOKUP(C206,武器!$1:$998,COLUMN(C$1),FALSE),"")</f>
        <v>武器</v>
      </c>
      <c r="F206">
        <f>IFERROR(ROUNDDOWN((VLOOKUP($C206,武器!$1:$998,COLUMN(D$1),FALSE)+IFERROR(VLOOKUP($CJ206,装強!$1:$999,COLUMN(F$1),FALSE),0))*VLOOKUP($D206,素材!$1:$1016,COLUMN(D$1),FALSE),0),"")</f>
        <v>110</v>
      </c>
      <c r="G206">
        <f>IFERROR(ROUNDDOWN((VLOOKUP($C206,武器!$1:$998,COLUMN(E$1),FALSE)+IFERROR(VLOOKUP($CJ206,装強!$1:$999,COLUMN(G$1),FALSE),0))*VLOOKUP($D206,素材!$1:$1016,COLUMN($E$1),FALSE),0),"")</f>
        <v>0</v>
      </c>
      <c r="H206">
        <f>IFERROR(ROUNDDOWN((VLOOKUP($C206,武器!$1:$998,COLUMN(F$1),FALSE)+IFERROR(VLOOKUP($CJ206,装強!$1:$999,COLUMN(H$1),FALSE),0))*VLOOKUP($D206,素材!$1:$1016,COLUMN($E$1),FALSE),0),"")</f>
        <v>0</v>
      </c>
      <c r="I206">
        <f>IFERROR(ROUNDDOWN((VLOOKUP($C206,武器!$1:$998,COLUMN(G$1),FALSE)+IFERROR(VLOOKUP($CJ206,装強!$1:$999,COLUMN(I$1),FALSE),0))*VLOOKUP($D206,素材!$1:$1016,COLUMN($E$1),FALSE),0),"")</f>
        <v>22</v>
      </c>
      <c r="J206">
        <f>IFERROR(ROUNDDOWN((VLOOKUP($C206,武器!$1:$998,COLUMN(H$1),FALSE)+IFERROR(VLOOKUP($CJ206,装強!$1:$999,COLUMN(J$1),FALSE),0))*VLOOKUP($D206,素材!$1:$1016,COLUMN($E$1),FALSE),0),"")</f>
        <v>19</v>
      </c>
      <c r="K206">
        <f>IFERROR(ROUNDDOWN((VLOOKUP($C206,武器!$1:$998,COLUMN(I$1),FALSE)+IFERROR(VLOOKUP($CJ206,装強!$1:$999,COLUMN(K$1),FALSE),0))*VLOOKUP($D206,素材!$1:$1016,COLUMN($E$1),FALSE),0),"")</f>
        <v>0</v>
      </c>
      <c r="L206" t="str">
        <f>IFERROR(VLOOKUP($D206,素材!$1:$1016,COLUMN($F$1),FALSE),"")</f>
        <v>氷</v>
      </c>
      <c r="M206">
        <f>IFERROR(VLOOKUP($C206,武器!$1:$998,COLUMN(AA$1),FALSE)*VLOOKUP($D206,素材!$1:$1016,COLUMN($G$1),FALSE),"")</f>
        <v>38.5</v>
      </c>
      <c r="N206">
        <f>IFERROR(VLOOKUP($C206,武器!$1:$998,COLUMN(I$1),FALSE),"")</f>
        <v>0</v>
      </c>
      <c r="O206" s="23">
        <f>IFERROR((VLOOKUP($C206,武器!$1:$998,COLUMN(K$1),FALSE)+VLOOKUP($D206,素材!$1:$1016,COLUMN(H$1),FALSE))*100+IFERROR(VLOOKUP($CJ206,装強!$1:$999,COLUMN(O$1),FALSE),0),"")</f>
        <v>10</v>
      </c>
      <c r="P206" s="23">
        <f>IFERROR((VLOOKUP($C206,武器!$1:$998,COLUMN(L$1),FALSE)+VLOOKUP($D206,素材!$1:$1016,COLUMN(I$1),FALSE))*100+IFERROR(VLOOKUP($CJ206,装強!$1:$999,COLUMN(P$1),FALSE),0),"")</f>
        <v>150</v>
      </c>
      <c r="Q206">
        <f>IFERROR(ROUNDUP(VLOOKUP($C206,武器!$1:$998,COLUMN(M$1),FALSE)*(VLOOKUP($D206,素材!$1:$1002,COLUMN(D$1),FALSE)/100),1),"")</f>
        <v>-2.5</v>
      </c>
      <c r="R206">
        <f>IFERROR(ROUNDUP(VLOOKUP($C206,武器!$1:$998,COLUMN(N$1),FALSE)*(VLOOKUP($D206,素材!$1:$1002,COLUMN(D$1),FALSE)/100),1),"")</f>
        <v>0</v>
      </c>
      <c r="S206">
        <f>IFERROR(VLOOKUP($C206,武器!$1:$998,COLUMN(P$1),FALSE),"")</f>
        <v>0</v>
      </c>
      <c r="T206">
        <f>IFERROR(VLOOKUP($C206,武器!$1:$998,COLUMN(Q$1),FALSE),"")</f>
        <v>0</v>
      </c>
      <c r="U206">
        <f>IFERROR(VLOOKUP($C206,武器!$1:$998,COLUMN(R$1),FALSE),"")</f>
        <v>0</v>
      </c>
      <c r="V206">
        <f>IFERROR(VLOOKUP($C206,武器!$1:$998,COLUMN(Q$1),FALSE),"")</f>
        <v>0</v>
      </c>
      <c r="W206" t="str">
        <f>IFERROR(VLOOKUP($C206,武器!$1:$998,COLUMN(T$1),FALSE),"")</f>
        <v>A</v>
      </c>
      <c r="Y206" t="str">
        <f>IFERROR(VLOOKUP($C206,武器!$1:$998,COLUMN(U$1),FALSE),"")</f>
        <v>投擲強化</v>
      </c>
      <c r="Z206">
        <f>IFERROR(ROUNDUP(VLOOKUP($C206,武器!$1:$998,COLUMN(O$1),FALSE)*VLOOKUP($D206,素材!$1:$1016,COLUMN(E$1),FALSE),1),"")</f>
        <v>0</v>
      </c>
      <c r="AA206">
        <f>IF(ISNUMBER(SEARCH(SUBSTITUTE(AA$1,RIGHT(AA$1,2),""),VLOOKUP($D206,素材!$1:$1016,COLUMN($F$1),FALSE))),VLOOKUP($C206,武器!$1:$998,COLUMN($O$1),FALSE)*VLOOKUP($D206,素材!$1:$1016,COLUMN($E$1),FALSE)/(LEN(VLOOKUP($D206,素材!$1:$1016,COLUMN($F$1),FALSE))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B206">
        <f>IF(ISNUMBER(SEARCH(SUBSTITUTE(AB$1,RIGHT(AB$1,2),""),VLOOKUP($D206,素材!$1:$1016,COLUMN($F$1),FALSE))),VLOOKUP($C206,武器!$1:$998,COLUMN($O$1),FALSE)*VLOOKUP($D206,素材!$1:$1016,COLUMN($E$1),FALSE)/(LEN(VLOOKUP($D206,素材!$1:$1016,COLUMN($F$1),FALSE))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C206">
        <f>IF(ISNUMBER(SEARCH(SUBSTITUTE(AC$1,RIGHT(AC$1,2),""),VLOOKUP($D206,素材!$1:$1016,COLUMN($F$1),FALSE))),VLOOKUP($C206,武器!$1:$998,COLUMN($O$1),FALSE)*VLOOKUP($D206,素材!$1:$1016,COLUMN($E$1),FALSE)/(LEN(VLOOKUP($D206,素材!$1:$1016,COLUMN($F$1),FALSE))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D206">
        <f>IF(ISNUMBER(SEARCH(SUBSTITUTE(AD$1,RIGHT(AD$1,2),""),VLOOKUP($D206,素材!$1:$1016,COLUMN($F$1),FALSE))),VLOOKUP($C206,武器!$1:$998,COLUMN($O$1),FALSE)*VLOOKUP($D206,素材!$1:$1016,COLUMN($E$1),FALSE)/(LEN(VLOOKUP($D206,素材!$1:$1016,COLUMN($F$1),FALSE))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E206">
        <f>IF(ISNUMBER(SEARCH(SUBSTITUTE(AE$1,RIGHT(AE$1,2),""),VLOOKUP($D206,素材!$1:$1016,COLUMN($F$1),FALSE))),VLOOKUP($C206,武器!$1:$998,COLUMN($O$1),FALSE)*VLOOKUP($D206,素材!$1:$1016,COLUMN($E$1),FALSE)/(LEN(VLOOKUP($D206,素材!$1:$1016,COLUMN($F$1),FALSE))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F206">
        <f>IF(ISNUMBER(SEARCH(SUBSTITUTE(AF$1,RIGHT(AF$1,2),""),VLOOKUP($D206,素材!$1:$1016,COLUMN($F$1),FALSE))),VLOOKUP($C206,武器!$1:$998,COLUMN($O$1),FALSE)*VLOOKUP($D206,素材!$1:$1016,COLUMN($E$1),FALSE)/(LEN(VLOOKUP($D206,素材!$1:$1016,COLUMN($F$1),FALSE))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G206">
        <f>IF(ISNUMBER(SEARCH(SUBSTITUTE(AG$1,RIGHT(AG$1,2),""),VLOOKUP($D206,素材!$1:$1016,COLUMN($F$1),FALSE))),VLOOKUP($C206,武器!$1:$998,COLUMN($O$1),FALSE)*VLOOKUP($D206,素材!$1:$1016,COLUMN($E$1),FALSE)/(LEN(VLOOKUP($D206,素材!$1:$1016,COLUMN($F$1),FALSE))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H206">
        <f>IF(ISNUMBER(SEARCH(SUBSTITUTE(AH$1,RIGHT(AH$1,2),""),VLOOKUP($D206,素材!$1:$1016,COLUMN($F$1),FALSE))),VLOOKUP($C206,武器!$1:$998,COLUMN($O$1),FALSE)*VLOOKUP($D206,素材!$1:$1016,COLUMN($E$1),FALSE)/(LEN(VLOOKUP($D206,素材!$1:$1016,COLUMN($F$1),FALSE))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I206">
        <f>IF(ISNUMBER(SEARCH(SUBSTITUTE(AI$1,RIGHT(AI$1,2),""),VLOOKUP($D206,素材!$1:$1016,COLUMN($F$1),FALSE))),VLOOKUP($C206,武器!$1:$998,COLUMN($O$1),FALSE)*VLOOKUP($D206,素材!$1:$1016,COLUMN($E$1),FALSE)/(LEN(VLOOKUP($D206,素材!$1:$1016,COLUMN($F$1),FALSE))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J206">
        <f>IF(ISNUMBER(SEARCH(SUBSTITUTE(AJ$1,RIGHT(AJ$1,2),""),VLOOKUP($D206,素材!$1:$1016,COLUMN($F$1),FALSE))),VLOOKUP($C206,武器!$1:$998,COLUMN($O$1),FALSE)*VLOOKUP($D206,素材!$1:$1016,COLUMN($E$1),FALSE)/(LEN(VLOOKUP($D206,素材!$1:$1016,COLUMN($F$1),FALSE))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K206">
        <f>IF(ISNUMBER(SEARCH(SUBSTITUTE(AK$1,RIGHT(AK$1,2),""),VLOOKUP($D206,素材!$1:$1016,COLUMN($F$1),FALSE))),VLOOKUP($C206,武器!$1:$998,COLUMN($O$1),FALSE)*VLOOKUP($D206,素材!$1:$1016,COLUMN($E$1),FALSE)/(LEN(VLOOKUP($D206,素材!$1:$1016,COLUMN($F$1),FALSE))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L206">
        <f>IF(ISNUMBER(SEARCH(SUBSTITUTE(AL$1,RIGHT(AL$1,2),""),VLOOKUP($D206,素材!$1:$1016,COLUMN($F$1),FALSE))),VLOOKUP($C206,武器!$1:$998,COLUMN($O$1),FALSE)*VLOOKUP($D206,素材!$1:$1016,COLUMN($E$1),FALSE)/(LEN(VLOOKUP($D206,素材!$1:$1016,COLUMN($F$1),FALSE))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M206">
        <f>IF(ISNUMBER(SEARCH(SUBSTITUTE(AM$1,RIGHT(AM$1,2),""),VLOOKUP($D206,素材!$1:$1016,COLUMN($F$1),FALSE))),VLOOKUP($C206,武器!$1:$998,COLUMN($O$1),FALSE)*VLOOKUP($D206,素材!$1:$1016,COLUMN($E$1),FALSE)/(LEN(VLOOKUP($D206,素材!$1:$1016,COLUMN($F$1),FALSE))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N206">
        <f>IF(ISNUMBER(SEARCH(SUBSTITUTE(AN$1,RIGHT(AN$1,2),""),VLOOKUP($D206,素材!$1:$1016,COLUMN($F$1),FALSE))),VLOOKUP($C206,武器!$1:$998,COLUMN($O$1),FALSE)*VLOOKUP($D206,素材!$1:$1016,COLUMN($E$1),FALSE)/(LEN(VLOOKUP($D206,素材!$1:$1016,COLUMN($F$1),FALSE))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O206">
        <f>IF(ISNUMBER(SEARCH(SUBSTITUTE(AO$1,RIGHT(AO$1,2),""),VLOOKUP($D206,素材!$1:$1016,COLUMN($F$1),FALSE))),VLOOKUP($C206,武器!$1:$998,COLUMN($O$1),FALSE)*VLOOKUP($D206,素材!$1:$1016,COLUMN($E$1),FALSE)/(LEN(VLOOKUP($D206,素材!$1:$1016,COLUMN($F$1),FALSE))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P206">
        <f>IF(ISNUMBER(SEARCH(SUBSTITUTE(AP$1,RIGHT(AP$1,2),""),VLOOKUP($D206,素材!$1:$1016,COLUMN($F$1),FALSE))),VLOOKUP($C206,武器!$1:$998,COLUMN($O$1),FALSE)*VLOOKUP($D206,素材!$1:$1016,COLUMN($E$1),FALSE)/(LEN(VLOOKUP($D206,素材!$1:$1016,COLUMN($F$1),FALSE))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Q206">
        <f>IF(ISNUMBER(SEARCH(SUBSTITUTE(AQ$1,RIGHT(AQ$1,2),""),VLOOKUP($D206,素材!$1:$1016,COLUMN($F$1),FALSE))),VLOOKUP($C206,武器!$1:$998,COLUMN($O$1),FALSE)*VLOOKUP($D206,素材!$1:$1016,COLUMN($E$1),FALSE)/(LEN(VLOOKUP($D206,素材!$1:$1016,COLUMN($F$1),FALSE))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R206">
        <f>IF(ISNUMBER(SEARCH(SUBSTITUTE(AR$1,RIGHT(AR$1,2),""),VLOOKUP($D206,素材!$1:$1016,COLUMN($F$1),FALSE))),VLOOKUP($C206,武器!$1:$998,COLUMN($O$1),FALSE)*VLOOKUP($D206,素材!$1:$1016,COLUMN($E$1),FALSE)/(LEN(VLOOKUP($D206,素材!$1:$1016,COLUMN($F$1),FALSE))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S206">
        <f>IF(ISNUMBER(SEARCH(SUBSTITUTE(AS$1,RIGHT(AS$1,2),""),VLOOKUP($D206,素材!$1:$1016,COLUMN($F$1),FALSE))),VLOOKUP($C206,武器!$1:$998,COLUMN($O$1),FALSE)*VLOOKUP($D206,素材!$1:$1016,COLUMN($E$1),FALSE)/(LEN(VLOOKUP($D206,素材!$1:$1016,COLUMN($F$1),FALSE))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T206">
        <f>IF(ISNUMBER(SEARCH(SUBSTITUTE(AT$1,RIGHT(AT$1,2),""),VLOOKUP($D206,素材!$1:$1016,COLUMN($F$1),FALSE))),VLOOKUP($C206,武器!$1:$998,COLUMN($O$1),FALSE)*VLOOKUP($D206,素材!$1:$1016,COLUMN($E$1),FALSE)/(LEN(VLOOKUP($D206,素材!$1:$1016,COLUMN($F$1),FALSE))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U206">
        <f>IF(ISNUMBER(SEARCH(SUBSTITUTE(AU$1,RIGHT(AU$1,2),""),VLOOKUP($D206,素材!$1:$1016,COLUMN($F$1),FALSE))),VLOOKUP($C206,武器!$1:$998,COLUMN($O$1),FALSE)*VLOOKUP($D206,素材!$1:$1016,COLUMN($E$1),FALSE)/(LEN(VLOOKUP($D206,素材!$1:$1016,COLUMN($F$1),FALSE))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V206">
        <f>IF(ISNUMBER(SEARCH(SUBSTITUTE(AV$1,RIGHT(AV$1,2),""),VLOOKUP($D206,素材!$1:$1016,COLUMN($F$1),FALSE))),VLOOKUP($C206,武器!$1:$998,COLUMN($O$1),FALSE)*VLOOKUP($D206,素材!$1:$1016,COLUMN($E$1),FALSE)/(LEN(VLOOKUP($D206,素材!$1:$1016,COLUMN($F$1),FALSE))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W206">
        <f>IF(ISNUMBER(SEARCH(SUBSTITUTE(AW$1,RIGHT(AW$1,2),""),VLOOKUP($D206,素材!$1:$1016,COLUMN($F$1),FALSE))),VLOOKUP($C206,武器!$1:$998,COLUMN($O$1),FALSE)*VLOOKUP($D206,素材!$1:$1016,COLUMN($E$1),FALSE)/(LEN(VLOOKUP($D206,素材!$1:$1016,COLUMN($F$1),FALSE))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X206">
        <f>IF(ISNUMBER(SEARCH(SUBSTITUTE(AX$1,RIGHT(AX$1,2),""),VLOOKUP($D206,素材!$1:$1016,COLUMN($F$1),FALSE))),VLOOKUP($C206,武器!$1:$998,COLUMN($O$1),FALSE)*VLOOKUP($D206,素材!$1:$1016,COLUMN($E$1),FALSE)/(LEN(VLOOKUP($D206,素材!$1:$1016,COLUMN($F$1),FALSE))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Y206">
        <f>IF(ISNUMBER(SEARCH(SUBSTITUTE(AY$1,RIGHT(AY$1,2),""),VLOOKUP($D206,素材!$1:$1016,COLUMN($F$1),FALSE))),VLOOKUP($C206,武器!$1:$998,COLUMN($O$1),FALSE)*VLOOKUP($D206,素材!$1:$1016,COLUMN($E$1),FALSE)/(LEN(VLOOKUP($D206,素材!$1:$1016,COLUMN($F$1),FALSE))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AZ206">
        <f>IF(ISNUMBER(SEARCH(SUBSTITUTE(AZ$1,RIGHT(AZ$1,2),""),VLOOKUP($D206,素材!$1:$1016,COLUMN($F$1),FALSE))),VLOOKUP($C206,武器!$1:$998,COLUMN($O$1),FALSE)*VLOOKUP($D206,素材!$1:$1016,COLUMN($E$1),FALSE)/(LEN(VLOOKUP($D206,素材!$1:$1016,COLUMN($F$1),FALSE))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BA206">
        <f>IF(ISNUMBER(SEARCH(SUBSTITUTE(BA$1,RIGHT(BA$1,2),""),VLOOKUP($D206,素材!$1:$1016,COLUMN($F$1),FALSE))),VLOOKUP($C206,武器!$1:$998,COLUMN($O$1),FALSE)*VLOOKUP($D206,素材!$1:$1016,COLUMN($E$1),FALSE)/(LEN(VLOOKUP($D206,素材!$1:$1016,COLUMN($F$1),FALSE))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BB206">
        <f>IF(ISNUMBER(SEARCH(SUBSTITUTE(BB$1,RIGHT(BB$1,2),""),VLOOKUP($D206,素材!$1:$1016,COLUMN($F$1),FALSE))),VLOOKUP($C206,武器!$1:$998,COLUMN($O$1),FALSE)*VLOOKUP($D206,素材!$1:$1016,COLUMN($E$1),FALSE)/(LEN(VLOOKUP($D206,素材!$1:$1016,COLUMN($F$1),FALSE))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BC206">
        <f>IF(ISNUMBER(SEARCH(SUBSTITUTE(BC$1,RIGHT(BC$1,2),""),VLOOKUP($D206,素材!$1:$1016,COLUMN($F$1),FALSE))),VLOOKUP($C206,武器!$1:$998,COLUMN($O$1),FALSE)*VLOOKUP($D206,素材!$1:$1016,COLUMN($E$1),FALSE)/(LEN(VLOOKUP($D206,素材!$1:$1016,COLUMN($F$1),FALSE))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BD206">
        <f>IF(ISNUMBER(SEARCH(SUBSTITUTE(BD$1,RIGHT(BD$1,2),""),VLOOKUP($D206,素材!$1:$1016,COLUMN($F$1),FALSE))),VLOOKUP($C206,武器!$1:$998,COLUMN($O$1),FALSE)*VLOOKUP($D206,素材!$1:$1016,COLUMN($E$1),FALSE)/(LEN(VLOOKUP($D206,素材!$1:$1016,COLUMN($F$1),FALSE))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BE206">
        <f>IF(ISNUMBER(SEARCH(SUBSTITUTE(BE$1,RIGHT(BE$1,2),""),VLOOKUP($D206,素材!$1:$1016,COLUMN($F$1),FALSE))),VLOOKUP($C206,武器!$1:$998,COLUMN($O$1),FALSE)*VLOOKUP($D206,素材!$1:$1016,COLUMN($E$1),FALSE)/(LEN(VLOOKUP($D206,素材!$1:$1016,COLUMN($F$1),FALSE))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BF206">
        <f>IF(ISNUMBER(SEARCH(SUBSTITUTE(BF$1,RIGHT(BF$1,2),""),VLOOKUP($D206,素材!$1:$1016,COLUMN($F$1),FALSE))),VLOOKUP($C206,武器!$1:$998,COLUMN($O$1),FALSE)*VLOOKUP($D206,素材!$1:$1016,COLUMN($E$1),FALSE)/(LEN(VLOOKUP($D206,素材!$1:$1016,COLUMN($F$1),FALSE)) - LEN(SUBSTITUTE(VLOOKUP($D206,素材!$1:$1016,COLUMN($F$1),FALSE), "・", 0)) + 1), 0)</f>
        <v>0</v>
      </c>
      <c r="CM206">
        <f t="shared" si="31"/>
        <v>22</v>
      </c>
      <c r="CN206" s="22" t="str">
        <f>IF(E206="武器",IF(J206-1&gt;SUM(G206:I206),"盾",IF(MAX(G206:I206)=G206,"切断",IF(MAX(G206:I206)=H206,"貫通",IF(MAX(G206:I206)=I206,"打撃","射撃")))),E206)&amp;".webp"</f>
        <v>打撃.webp</v>
      </c>
      <c r="CO206">
        <f>IFERROR(VLOOKUP($C206,武器!$1:$998,COLUMN(V$1),FALSE)*VLOOKUP($D206,素材!$1:$1016,COLUMN(N$1),FALSE)+IF(CJ206="",0,VLOOKUP($CJ206,装強!$1:$1008,COLUMN($CL$1),FALSE)),"")</f>
        <v>3000</v>
      </c>
      <c r="CP206">
        <f>VLOOKUP(D206,素材!$A:$O,COLUMN(素材!O$1),FALSE)</f>
        <v>0</v>
      </c>
      <c r="CQ206" t="str">
        <f>VLOOKUP(C206,武器!$A:$W,COLUMN(武器!W$1),FALSE)</f>
        <v>鎚。打撃力に優れ、投擲にも対応。</v>
      </c>
      <c r="CS206" t="str">
        <f t="shared" si="32"/>
        <v>e_206</v>
      </c>
      <c r="CT206">
        <f t="shared" si="33"/>
        <v>300000</v>
      </c>
    </row>
    <row r="207" spans="1:98" outlineLevel="1" x14ac:dyDescent="0.4">
      <c r="A207" t="str">
        <f t="shared" si="30"/>
        <v>冷気鉄の戦鎚</v>
      </c>
      <c r="B207" t="str">
        <f>IFERROR(VLOOKUP($D207,素材!$1:$1016,COLUMN($B$1),FALSE)&amp;"・"&amp;VLOOKUP($C207,武器!$1:$998,COLUMN(B$1),FALSE),"")</f>
        <v>ドゥララン・ウォーハンマー</v>
      </c>
      <c r="C207" t="s">
        <v>226</v>
      </c>
      <c r="D207" s="24" t="s">
        <v>243</v>
      </c>
      <c r="E207" t="str">
        <f>IFERROR(VLOOKUP(C207,武器!$1:$998,COLUMN(C$1),FALSE),"")</f>
        <v>武器</v>
      </c>
      <c r="F207">
        <f>IFERROR(ROUNDDOWN((VLOOKUP($C207,武器!$1:$998,COLUMN(D$1),FALSE)+IFERROR(VLOOKUP($CJ207,装強!$1:$999,COLUMN(F$1),FALSE),0))*VLOOKUP($D207,素材!$1:$1016,COLUMN(D$1),FALSE),0),"")</f>
        <v>125</v>
      </c>
      <c r="G207">
        <f>IFERROR(ROUNDDOWN((VLOOKUP($C207,武器!$1:$998,COLUMN(E$1),FALSE)+IFERROR(VLOOKUP($CJ207,装強!$1:$999,COLUMN(G$1),FALSE),0))*VLOOKUP($D207,素材!$1:$1016,COLUMN($E$1),FALSE),0),"")</f>
        <v>0</v>
      </c>
      <c r="H207">
        <f>IFERROR(ROUNDDOWN((VLOOKUP($C207,武器!$1:$998,COLUMN(F$1),FALSE)+IFERROR(VLOOKUP($CJ207,装強!$1:$999,COLUMN(H$1),FALSE),0))*VLOOKUP($D207,素材!$1:$1016,COLUMN($E$1),FALSE),0),"")</f>
        <v>0</v>
      </c>
      <c r="I207">
        <f>IFERROR(ROUNDDOWN((VLOOKUP($C207,武器!$1:$998,COLUMN(G$1),FALSE)+IFERROR(VLOOKUP($CJ207,装強!$1:$999,COLUMN(I$1),FALSE),0))*VLOOKUP($D207,素材!$1:$1016,COLUMN($E$1),FALSE),0),"")</f>
        <v>24</v>
      </c>
      <c r="J207">
        <f>IFERROR(ROUNDDOWN((VLOOKUP($C207,武器!$1:$998,COLUMN(H$1),FALSE)+IFERROR(VLOOKUP($CJ207,装強!$1:$999,COLUMN(J$1),FALSE),0))*VLOOKUP($D207,素材!$1:$1016,COLUMN($E$1),FALSE),0),"")</f>
        <v>21</v>
      </c>
      <c r="K207">
        <f>IFERROR(ROUNDDOWN((VLOOKUP($C207,武器!$1:$998,COLUMN(I$1),FALSE)+IFERROR(VLOOKUP($CJ207,装強!$1:$999,COLUMN(K$1),FALSE),0))*VLOOKUP($D207,素材!$1:$1016,COLUMN($E$1),FALSE),0),"")</f>
        <v>0</v>
      </c>
      <c r="L207" t="str">
        <f>IFERROR(VLOOKUP($D207,素材!$1:$1016,COLUMN($F$1),FALSE),"")</f>
        <v>氷</v>
      </c>
      <c r="M207">
        <f>IFERROR(VLOOKUP($C207,武器!$1:$998,COLUMN(AA$1),FALSE)*VLOOKUP($D207,素材!$1:$1016,COLUMN($G$1),FALSE),"")</f>
        <v>42</v>
      </c>
      <c r="N207">
        <f>IFERROR(VLOOKUP($C207,武器!$1:$998,COLUMN(I$1),FALSE),"")</f>
        <v>0</v>
      </c>
      <c r="O207" s="23">
        <f>IFERROR((VLOOKUP($C207,武器!$1:$998,COLUMN(K$1),FALSE)+VLOOKUP($D207,素材!$1:$1016,COLUMN(H$1),FALSE))*100+IFERROR(VLOOKUP($CJ207,装強!$1:$999,COLUMN(O$1),FALSE),0),"")</f>
        <v>10</v>
      </c>
      <c r="P207" s="23">
        <f>IFERROR((VLOOKUP($C207,武器!$1:$998,COLUMN(L$1),FALSE)+VLOOKUP($D207,素材!$1:$1016,COLUMN(I$1),FALSE))*100+IFERROR(VLOOKUP($CJ207,装強!$1:$999,COLUMN(P$1),FALSE),0),"")</f>
        <v>150</v>
      </c>
      <c r="Q207">
        <f>IFERROR(ROUNDUP(VLOOKUP($C207,武器!$1:$998,COLUMN(M$1),FALSE)*(VLOOKUP($D207,素材!$1:$1002,COLUMN(D$1),FALSE)/100),1),"")</f>
        <v>-5</v>
      </c>
      <c r="R207">
        <f>IFERROR(ROUNDUP(VLOOKUP($C207,武器!$1:$998,COLUMN(N$1),FALSE)*(VLOOKUP($D207,素材!$1:$1002,COLUMN(D$1),FALSE)/100),1),"")</f>
        <v>-5</v>
      </c>
      <c r="S207">
        <f>IFERROR(VLOOKUP($C207,武器!$1:$998,COLUMN(P$1),FALSE),"")</f>
        <v>0</v>
      </c>
      <c r="T207">
        <f>IFERROR(VLOOKUP($C207,武器!$1:$998,COLUMN(Q$1),FALSE),"")</f>
        <v>0</v>
      </c>
      <c r="U207">
        <f>IFERROR(VLOOKUP($C207,武器!$1:$998,COLUMN(R$1),FALSE),"")</f>
        <v>0</v>
      </c>
      <c r="V207">
        <f>IFERROR(VLOOKUP($C207,武器!$1:$998,COLUMN(Q$1),FALSE),"")</f>
        <v>0</v>
      </c>
      <c r="W207" t="str">
        <f>IFERROR(VLOOKUP($C207,武器!$1:$998,COLUMN(T$1),FALSE),"")</f>
        <v>A</v>
      </c>
      <c r="Y207">
        <f>IFERROR(VLOOKUP($C207,武器!$1:$998,COLUMN(U$1),FALSE),"")</f>
        <v>0</v>
      </c>
      <c r="Z207">
        <f>IFERROR(ROUNDUP(VLOOKUP($C207,武器!$1:$998,COLUMN(O$1),FALSE)*VLOOKUP($D207,素材!$1:$1016,COLUMN(E$1),FALSE),1),"")</f>
        <v>0</v>
      </c>
      <c r="AA207">
        <f>IF(ISNUMBER(SEARCH(SUBSTITUTE(AA$1,RIGHT(AA$1,2),""),VLOOKUP($D207,素材!$1:$1016,COLUMN($F$1),FALSE))),VLOOKUP($C207,武器!$1:$998,COLUMN($O$1),FALSE)*VLOOKUP($D207,素材!$1:$1016,COLUMN($E$1),FALSE)/(LEN(VLOOKUP($D207,素材!$1:$1016,COLUMN($F$1),FALSE))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B207">
        <f>IF(ISNUMBER(SEARCH(SUBSTITUTE(AB$1,RIGHT(AB$1,2),""),VLOOKUP($D207,素材!$1:$1016,COLUMN($F$1),FALSE))),VLOOKUP($C207,武器!$1:$998,COLUMN($O$1),FALSE)*VLOOKUP($D207,素材!$1:$1016,COLUMN($E$1),FALSE)/(LEN(VLOOKUP($D207,素材!$1:$1016,COLUMN($F$1),FALSE))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C207">
        <f>IF(ISNUMBER(SEARCH(SUBSTITUTE(AC$1,RIGHT(AC$1,2),""),VLOOKUP($D207,素材!$1:$1016,COLUMN($F$1),FALSE))),VLOOKUP($C207,武器!$1:$998,COLUMN($O$1),FALSE)*VLOOKUP($D207,素材!$1:$1016,COLUMN($E$1),FALSE)/(LEN(VLOOKUP($D207,素材!$1:$1016,COLUMN($F$1),FALSE))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D207">
        <f>IF(ISNUMBER(SEARCH(SUBSTITUTE(AD$1,RIGHT(AD$1,2),""),VLOOKUP($D207,素材!$1:$1016,COLUMN($F$1),FALSE))),VLOOKUP($C207,武器!$1:$998,COLUMN($O$1),FALSE)*VLOOKUP($D207,素材!$1:$1016,COLUMN($E$1),FALSE)/(LEN(VLOOKUP($D207,素材!$1:$1016,COLUMN($F$1),FALSE))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E207">
        <f>IF(ISNUMBER(SEARCH(SUBSTITUTE(AE$1,RIGHT(AE$1,2),""),VLOOKUP($D207,素材!$1:$1016,COLUMN($F$1),FALSE))),VLOOKUP($C207,武器!$1:$998,COLUMN($O$1),FALSE)*VLOOKUP($D207,素材!$1:$1016,COLUMN($E$1),FALSE)/(LEN(VLOOKUP($D207,素材!$1:$1016,COLUMN($F$1),FALSE))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F207">
        <f>IF(ISNUMBER(SEARCH(SUBSTITUTE(AF$1,RIGHT(AF$1,2),""),VLOOKUP($D207,素材!$1:$1016,COLUMN($F$1),FALSE))),VLOOKUP($C207,武器!$1:$998,COLUMN($O$1),FALSE)*VLOOKUP($D207,素材!$1:$1016,COLUMN($E$1),FALSE)/(LEN(VLOOKUP($D207,素材!$1:$1016,COLUMN($F$1),FALSE))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G207">
        <f>IF(ISNUMBER(SEARCH(SUBSTITUTE(AG$1,RIGHT(AG$1,2),""),VLOOKUP($D207,素材!$1:$1016,COLUMN($F$1),FALSE))),VLOOKUP($C207,武器!$1:$998,COLUMN($O$1),FALSE)*VLOOKUP($D207,素材!$1:$1016,COLUMN($E$1),FALSE)/(LEN(VLOOKUP($D207,素材!$1:$1016,COLUMN($F$1),FALSE))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H207">
        <f>IF(ISNUMBER(SEARCH(SUBSTITUTE(AH$1,RIGHT(AH$1,2),""),VLOOKUP($D207,素材!$1:$1016,COLUMN($F$1),FALSE))),VLOOKUP($C207,武器!$1:$998,COLUMN($O$1),FALSE)*VLOOKUP($D207,素材!$1:$1016,COLUMN($E$1),FALSE)/(LEN(VLOOKUP($D207,素材!$1:$1016,COLUMN($F$1),FALSE))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I207">
        <f>IF(ISNUMBER(SEARCH(SUBSTITUTE(AI$1,RIGHT(AI$1,2),""),VLOOKUP($D207,素材!$1:$1016,COLUMN($F$1),FALSE))),VLOOKUP($C207,武器!$1:$998,COLUMN($O$1),FALSE)*VLOOKUP($D207,素材!$1:$1016,COLUMN($E$1),FALSE)/(LEN(VLOOKUP($D207,素材!$1:$1016,COLUMN($F$1),FALSE))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J207">
        <f>IF(ISNUMBER(SEARCH(SUBSTITUTE(AJ$1,RIGHT(AJ$1,2),""),VLOOKUP($D207,素材!$1:$1016,COLUMN($F$1),FALSE))),VLOOKUP($C207,武器!$1:$998,COLUMN($O$1),FALSE)*VLOOKUP($D207,素材!$1:$1016,COLUMN($E$1),FALSE)/(LEN(VLOOKUP($D207,素材!$1:$1016,COLUMN($F$1),FALSE))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K207">
        <f>IF(ISNUMBER(SEARCH(SUBSTITUTE(AK$1,RIGHT(AK$1,2),""),VLOOKUP($D207,素材!$1:$1016,COLUMN($F$1),FALSE))),VLOOKUP($C207,武器!$1:$998,COLUMN($O$1),FALSE)*VLOOKUP($D207,素材!$1:$1016,COLUMN($E$1),FALSE)/(LEN(VLOOKUP($D207,素材!$1:$1016,COLUMN($F$1),FALSE))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L207">
        <f>IF(ISNUMBER(SEARCH(SUBSTITUTE(AL$1,RIGHT(AL$1,2),""),VLOOKUP($D207,素材!$1:$1016,COLUMN($F$1),FALSE))),VLOOKUP($C207,武器!$1:$998,COLUMN($O$1),FALSE)*VLOOKUP($D207,素材!$1:$1016,COLUMN($E$1),FALSE)/(LEN(VLOOKUP($D207,素材!$1:$1016,COLUMN($F$1),FALSE))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M207">
        <f>IF(ISNUMBER(SEARCH(SUBSTITUTE(AM$1,RIGHT(AM$1,2),""),VLOOKUP($D207,素材!$1:$1016,COLUMN($F$1),FALSE))),VLOOKUP($C207,武器!$1:$998,COLUMN($O$1),FALSE)*VLOOKUP($D207,素材!$1:$1016,COLUMN($E$1),FALSE)/(LEN(VLOOKUP($D207,素材!$1:$1016,COLUMN($F$1),FALSE))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N207">
        <f>IF(ISNUMBER(SEARCH(SUBSTITUTE(AN$1,RIGHT(AN$1,2),""),VLOOKUP($D207,素材!$1:$1016,COLUMN($F$1),FALSE))),VLOOKUP($C207,武器!$1:$998,COLUMN($O$1),FALSE)*VLOOKUP($D207,素材!$1:$1016,COLUMN($E$1),FALSE)/(LEN(VLOOKUP($D207,素材!$1:$1016,COLUMN($F$1),FALSE))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O207">
        <f>IF(ISNUMBER(SEARCH(SUBSTITUTE(AO$1,RIGHT(AO$1,2),""),VLOOKUP($D207,素材!$1:$1016,COLUMN($F$1),FALSE))),VLOOKUP($C207,武器!$1:$998,COLUMN($O$1),FALSE)*VLOOKUP($D207,素材!$1:$1016,COLUMN($E$1),FALSE)/(LEN(VLOOKUP($D207,素材!$1:$1016,COLUMN($F$1),FALSE))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P207">
        <f>IF(ISNUMBER(SEARCH(SUBSTITUTE(AP$1,RIGHT(AP$1,2),""),VLOOKUP($D207,素材!$1:$1016,COLUMN($F$1),FALSE))),VLOOKUP($C207,武器!$1:$998,COLUMN($O$1),FALSE)*VLOOKUP($D207,素材!$1:$1016,COLUMN($E$1),FALSE)/(LEN(VLOOKUP($D207,素材!$1:$1016,COLUMN($F$1),FALSE))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Q207">
        <f>IF(ISNUMBER(SEARCH(SUBSTITUTE(AQ$1,RIGHT(AQ$1,2),""),VLOOKUP($D207,素材!$1:$1016,COLUMN($F$1),FALSE))),VLOOKUP($C207,武器!$1:$998,COLUMN($O$1),FALSE)*VLOOKUP($D207,素材!$1:$1016,COLUMN($E$1),FALSE)/(LEN(VLOOKUP($D207,素材!$1:$1016,COLUMN($F$1),FALSE))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R207">
        <f>IF(ISNUMBER(SEARCH(SUBSTITUTE(AR$1,RIGHT(AR$1,2),""),VLOOKUP($D207,素材!$1:$1016,COLUMN($F$1),FALSE))),VLOOKUP($C207,武器!$1:$998,COLUMN($O$1),FALSE)*VLOOKUP($D207,素材!$1:$1016,COLUMN($E$1),FALSE)/(LEN(VLOOKUP($D207,素材!$1:$1016,COLUMN($F$1),FALSE))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S207">
        <f>IF(ISNUMBER(SEARCH(SUBSTITUTE(AS$1,RIGHT(AS$1,2),""),VLOOKUP($D207,素材!$1:$1016,COLUMN($F$1),FALSE))),VLOOKUP($C207,武器!$1:$998,COLUMN($O$1),FALSE)*VLOOKUP($D207,素材!$1:$1016,COLUMN($E$1),FALSE)/(LEN(VLOOKUP($D207,素材!$1:$1016,COLUMN($F$1),FALSE))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T207">
        <f>IF(ISNUMBER(SEARCH(SUBSTITUTE(AT$1,RIGHT(AT$1,2),""),VLOOKUP($D207,素材!$1:$1016,COLUMN($F$1),FALSE))),VLOOKUP($C207,武器!$1:$998,COLUMN($O$1),FALSE)*VLOOKUP($D207,素材!$1:$1016,COLUMN($E$1),FALSE)/(LEN(VLOOKUP($D207,素材!$1:$1016,COLUMN($F$1),FALSE))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U207">
        <f>IF(ISNUMBER(SEARCH(SUBSTITUTE(AU$1,RIGHT(AU$1,2),""),VLOOKUP($D207,素材!$1:$1016,COLUMN($F$1),FALSE))),VLOOKUP($C207,武器!$1:$998,COLUMN($O$1),FALSE)*VLOOKUP($D207,素材!$1:$1016,COLUMN($E$1),FALSE)/(LEN(VLOOKUP($D207,素材!$1:$1016,COLUMN($F$1),FALSE))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V207">
        <f>IF(ISNUMBER(SEARCH(SUBSTITUTE(AV$1,RIGHT(AV$1,2),""),VLOOKUP($D207,素材!$1:$1016,COLUMN($F$1),FALSE))),VLOOKUP($C207,武器!$1:$998,COLUMN($O$1),FALSE)*VLOOKUP($D207,素材!$1:$1016,COLUMN($E$1),FALSE)/(LEN(VLOOKUP($D207,素材!$1:$1016,COLUMN($F$1),FALSE))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W207">
        <f>IF(ISNUMBER(SEARCH(SUBSTITUTE(AW$1,RIGHT(AW$1,2),""),VLOOKUP($D207,素材!$1:$1016,COLUMN($F$1),FALSE))),VLOOKUP($C207,武器!$1:$998,COLUMN($O$1),FALSE)*VLOOKUP($D207,素材!$1:$1016,COLUMN($E$1),FALSE)/(LEN(VLOOKUP($D207,素材!$1:$1016,COLUMN($F$1),FALSE))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X207">
        <f>IF(ISNUMBER(SEARCH(SUBSTITUTE(AX$1,RIGHT(AX$1,2),""),VLOOKUP($D207,素材!$1:$1016,COLUMN($F$1),FALSE))),VLOOKUP($C207,武器!$1:$998,COLUMN($O$1),FALSE)*VLOOKUP($D207,素材!$1:$1016,COLUMN($E$1),FALSE)/(LEN(VLOOKUP($D207,素材!$1:$1016,COLUMN($F$1),FALSE))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Y207">
        <f>IF(ISNUMBER(SEARCH(SUBSTITUTE(AY$1,RIGHT(AY$1,2),""),VLOOKUP($D207,素材!$1:$1016,COLUMN($F$1),FALSE))),VLOOKUP($C207,武器!$1:$998,COLUMN($O$1),FALSE)*VLOOKUP($D207,素材!$1:$1016,COLUMN($E$1),FALSE)/(LEN(VLOOKUP($D207,素材!$1:$1016,COLUMN($F$1),FALSE))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AZ207">
        <f>IF(ISNUMBER(SEARCH(SUBSTITUTE(AZ$1,RIGHT(AZ$1,2),""),VLOOKUP($D207,素材!$1:$1016,COLUMN($F$1),FALSE))),VLOOKUP($C207,武器!$1:$998,COLUMN($O$1),FALSE)*VLOOKUP($D207,素材!$1:$1016,COLUMN($E$1),FALSE)/(LEN(VLOOKUP($D207,素材!$1:$1016,COLUMN($F$1),FALSE))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BA207">
        <f>IF(ISNUMBER(SEARCH(SUBSTITUTE(BA$1,RIGHT(BA$1,2),""),VLOOKUP($D207,素材!$1:$1016,COLUMN($F$1),FALSE))),VLOOKUP($C207,武器!$1:$998,COLUMN($O$1),FALSE)*VLOOKUP($D207,素材!$1:$1016,COLUMN($E$1),FALSE)/(LEN(VLOOKUP($D207,素材!$1:$1016,COLUMN($F$1),FALSE))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BB207">
        <f>IF(ISNUMBER(SEARCH(SUBSTITUTE(BB$1,RIGHT(BB$1,2),""),VLOOKUP($D207,素材!$1:$1016,COLUMN($F$1),FALSE))),VLOOKUP($C207,武器!$1:$998,COLUMN($O$1),FALSE)*VLOOKUP($D207,素材!$1:$1016,COLUMN($E$1),FALSE)/(LEN(VLOOKUP($D207,素材!$1:$1016,COLUMN($F$1),FALSE))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BC207">
        <f>IF(ISNUMBER(SEARCH(SUBSTITUTE(BC$1,RIGHT(BC$1,2),""),VLOOKUP($D207,素材!$1:$1016,COLUMN($F$1),FALSE))),VLOOKUP($C207,武器!$1:$998,COLUMN($O$1),FALSE)*VLOOKUP($D207,素材!$1:$1016,COLUMN($E$1),FALSE)/(LEN(VLOOKUP($D207,素材!$1:$1016,COLUMN($F$1),FALSE))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BD207">
        <f>IF(ISNUMBER(SEARCH(SUBSTITUTE(BD$1,RIGHT(BD$1,2),""),VLOOKUP($D207,素材!$1:$1016,COLUMN($F$1),FALSE))),VLOOKUP($C207,武器!$1:$998,COLUMN($O$1),FALSE)*VLOOKUP($D207,素材!$1:$1016,COLUMN($E$1),FALSE)/(LEN(VLOOKUP($D207,素材!$1:$1016,COLUMN($F$1),FALSE))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BE207">
        <f>IF(ISNUMBER(SEARCH(SUBSTITUTE(BE$1,RIGHT(BE$1,2),""),VLOOKUP($D207,素材!$1:$1016,COLUMN($F$1),FALSE))),VLOOKUP($C207,武器!$1:$998,COLUMN($O$1),FALSE)*VLOOKUP($D207,素材!$1:$1016,COLUMN($E$1),FALSE)/(LEN(VLOOKUP($D207,素材!$1:$1016,COLUMN($F$1),FALSE))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BF207">
        <f>IF(ISNUMBER(SEARCH(SUBSTITUTE(BF$1,RIGHT(BF$1,2),""),VLOOKUP($D207,素材!$1:$1016,COLUMN($F$1),FALSE))),VLOOKUP($C207,武器!$1:$998,COLUMN($O$1),FALSE)*VLOOKUP($D207,素材!$1:$1016,COLUMN($E$1),FALSE)/(LEN(VLOOKUP($D207,素材!$1:$1016,COLUMN($F$1),FALSE)) - LEN(SUBSTITUTE(VLOOKUP($D207,素材!$1:$1016,COLUMN($F$1),FALSE), "・", 0)) + 1), 0)</f>
        <v>0</v>
      </c>
      <c r="CM207">
        <f t="shared" si="31"/>
        <v>24</v>
      </c>
      <c r="CN207" s="22" t="str">
        <f>IF(E207="武器",IF(J207-1&gt;SUM(G207:I207),"盾",IF(MAX(G207:I207)=G207,"切断",IF(MAX(G207:I207)=H207,"貫通",IF(MAX(G207:I207)=I207,"打撃","射撃")))),E207)&amp;".webp"</f>
        <v>打撃.webp</v>
      </c>
      <c r="CO207">
        <f>IFERROR(VLOOKUP($C207,武器!$1:$998,COLUMN(V$1),FALSE)*VLOOKUP($D207,素材!$1:$1016,COLUMN(N$1),FALSE)+IF(CJ207="",0,VLOOKUP($CJ207,装強!$1:$1008,COLUMN($CL$1),FALSE)),"")</f>
        <v>3750</v>
      </c>
      <c r="CP207">
        <f>VLOOKUP(D207,素材!$A:$O,COLUMN(素材!O$1),FALSE)</f>
        <v>0</v>
      </c>
      <c r="CQ207" t="str">
        <f>VLOOKUP(C207,武器!$A:$W,COLUMN(武器!W$1),FALSE)</f>
        <v>戦鎚。重い打撃を与える強力な武器。</v>
      </c>
      <c r="CS207" t="str">
        <f t="shared" si="32"/>
        <v>e_207</v>
      </c>
      <c r="CT207">
        <f t="shared" si="33"/>
        <v>375000</v>
      </c>
    </row>
    <row r="208" spans="1:98" outlineLevel="1" x14ac:dyDescent="0.4">
      <c r="A208" t="str">
        <f t="shared" si="30"/>
        <v>冷気鉄の鎌</v>
      </c>
      <c r="B208" t="str">
        <f>IFERROR(VLOOKUP($D208,素材!$1:$1016,COLUMN($B$1),FALSE)&amp;"・"&amp;VLOOKUP($C208,武器!$1:$998,COLUMN(B$1),FALSE),"")</f>
        <v>ドゥララン・シックル</v>
      </c>
      <c r="C208" t="s">
        <v>225</v>
      </c>
      <c r="D208" s="24" t="s">
        <v>243</v>
      </c>
      <c r="E208" t="str">
        <f>IFERROR(VLOOKUP(C208,武器!$1:$998,COLUMN(C$1),FALSE),"")</f>
        <v>武器</v>
      </c>
      <c r="F208">
        <f>IFERROR(ROUNDDOWN((VLOOKUP($C208,武器!$1:$998,COLUMN(D$1),FALSE)+IFERROR(VLOOKUP($CJ208,装強!$1:$999,COLUMN(F$1),FALSE),0))*VLOOKUP($D208,素材!$1:$1016,COLUMN(D$1),FALSE),0),"")</f>
        <v>125</v>
      </c>
      <c r="G208">
        <f>IFERROR(ROUNDDOWN((VLOOKUP($C208,武器!$1:$998,COLUMN(E$1),FALSE)+IFERROR(VLOOKUP($CJ208,装強!$1:$999,COLUMN(G$1),FALSE),0))*VLOOKUP($D208,素材!$1:$1016,COLUMN($E$1),FALSE),0),"")</f>
        <v>9</v>
      </c>
      <c r="H208">
        <f>IFERROR(ROUNDDOWN((VLOOKUP($C208,武器!$1:$998,COLUMN(F$1),FALSE)+IFERROR(VLOOKUP($CJ208,装強!$1:$999,COLUMN(H$1),FALSE),0))*VLOOKUP($D208,素材!$1:$1016,COLUMN($E$1),FALSE),0),"")</f>
        <v>11</v>
      </c>
      <c r="I208">
        <f>IFERROR(ROUNDDOWN((VLOOKUP($C208,武器!$1:$998,COLUMN(G$1),FALSE)+IFERROR(VLOOKUP($CJ208,装強!$1:$999,COLUMN(I$1),FALSE),0))*VLOOKUP($D208,素材!$1:$1016,COLUMN($E$1),FALSE),0),"")</f>
        <v>1</v>
      </c>
      <c r="J208">
        <f>IFERROR(ROUNDDOWN((VLOOKUP($C208,武器!$1:$998,COLUMN(H$1),FALSE)+IFERROR(VLOOKUP($CJ208,装強!$1:$999,COLUMN(J$1),FALSE),0))*VLOOKUP($D208,素材!$1:$1016,COLUMN($E$1),FALSE),0),"")</f>
        <v>17</v>
      </c>
      <c r="K208">
        <f>IFERROR(ROUNDDOWN((VLOOKUP($C208,武器!$1:$998,COLUMN(I$1),FALSE)+IFERROR(VLOOKUP($CJ208,装強!$1:$999,COLUMN(K$1),FALSE),0))*VLOOKUP($D208,素材!$1:$1016,COLUMN($E$1),FALSE),0),"")</f>
        <v>0</v>
      </c>
      <c r="L208" t="str">
        <f>IFERROR(VLOOKUP($D208,素材!$1:$1016,COLUMN($F$1),FALSE),"")</f>
        <v>氷</v>
      </c>
      <c r="M208">
        <f>IFERROR(VLOOKUP($C208,武器!$1:$998,COLUMN(AA$1),FALSE)*VLOOKUP($D208,素材!$1:$1016,COLUMN($G$1),FALSE),"")</f>
        <v>36.75</v>
      </c>
      <c r="N208">
        <f>IFERROR(VLOOKUP($C208,武器!$1:$998,COLUMN(I$1),FALSE),"")</f>
        <v>0</v>
      </c>
      <c r="O208" s="23">
        <f>IFERROR((VLOOKUP($C208,武器!$1:$998,COLUMN(K$1),FALSE)+VLOOKUP($D208,素材!$1:$1016,COLUMN(H$1),FALSE))*100+IFERROR(VLOOKUP($CJ208,装強!$1:$999,COLUMN(O$1),FALSE),0),"")</f>
        <v>5</v>
      </c>
      <c r="P208" s="23">
        <f>IFERROR((VLOOKUP($C208,武器!$1:$998,COLUMN(L$1),FALSE)+VLOOKUP($D208,素材!$1:$1016,COLUMN(I$1),FALSE))*100+IFERROR(VLOOKUP($CJ208,装強!$1:$999,COLUMN(P$1),FALSE),0),"")</f>
        <v>200</v>
      </c>
      <c r="Q208">
        <f>IFERROR(ROUNDUP(VLOOKUP($C208,武器!$1:$998,COLUMN(M$1),FALSE)*(VLOOKUP($D208,素材!$1:$1002,COLUMN(D$1),FALSE)/100),1),"")</f>
        <v>0</v>
      </c>
      <c r="R208">
        <f>IFERROR(ROUNDUP(VLOOKUP($C208,武器!$1:$998,COLUMN(N$1),FALSE)*(VLOOKUP($D208,素材!$1:$1002,COLUMN(D$1),FALSE)/100),1),"")</f>
        <v>0</v>
      </c>
      <c r="S208">
        <f>IFERROR(VLOOKUP($C208,武器!$1:$998,COLUMN(P$1),FALSE),"")</f>
        <v>0</v>
      </c>
      <c r="T208">
        <f>IFERROR(VLOOKUP($C208,武器!$1:$998,COLUMN(Q$1),FALSE),"")</f>
        <v>0</v>
      </c>
      <c r="U208">
        <f>IFERROR(VLOOKUP($C208,武器!$1:$998,COLUMN(R$1),FALSE),"")</f>
        <v>0</v>
      </c>
      <c r="V208">
        <f>IFERROR(VLOOKUP($C208,武器!$1:$998,COLUMN(Q$1),FALSE),"")</f>
        <v>0</v>
      </c>
      <c r="W208" t="str">
        <f>IFERROR(VLOOKUP($C208,武器!$1:$998,COLUMN(T$1),FALSE),"")</f>
        <v>A</v>
      </c>
      <c r="Y208" t="str">
        <f>IFERROR(VLOOKUP($C208,武器!$1:$998,COLUMN(U$1),FALSE),"")</f>
        <v>投擲強化、片手適性Ⅰ</v>
      </c>
      <c r="Z208">
        <f>IFERROR(ROUNDUP(VLOOKUP($C208,武器!$1:$998,COLUMN(O$1),FALSE)*VLOOKUP($D208,素材!$1:$1016,COLUMN(E$1),FALSE),1),"")</f>
        <v>0</v>
      </c>
      <c r="AA208">
        <f>IF(ISNUMBER(SEARCH(SUBSTITUTE(AA$1,RIGHT(AA$1,2),""),VLOOKUP($D208,素材!$1:$1016,COLUMN($F$1),FALSE))),VLOOKUP($C208,武器!$1:$998,COLUMN($O$1),FALSE)*VLOOKUP($D208,素材!$1:$1016,COLUMN($E$1),FALSE)/(LEN(VLOOKUP($D208,素材!$1:$1016,COLUMN($F$1),FALSE))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B208">
        <f>IF(ISNUMBER(SEARCH(SUBSTITUTE(AB$1,RIGHT(AB$1,2),""),VLOOKUP($D208,素材!$1:$1016,COLUMN($F$1),FALSE))),VLOOKUP($C208,武器!$1:$998,COLUMN($O$1),FALSE)*VLOOKUP($D208,素材!$1:$1016,COLUMN($E$1),FALSE)/(LEN(VLOOKUP($D208,素材!$1:$1016,COLUMN($F$1),FALSE))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C208">
        <f>IF(ISNUMBER(SEARCH(SUBSTITUTE(AC$1,RIGHT(AC$1,2),""),VLOOKUP($D208,素材!$1:$1016,COLUMN($F$1),FALSE))),VLOOKUP($C208,武器!$1:$998,COLUMN($O$1),FALSE)*VLOOKUP($D208,素材!$1:$1016,COLUMN($E$1),FALSE)/(LEN(VLOOKUP($D208,素材!$1:$1016,COLUMN($F$1),FALSE))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D208">
        <f>IF(ISNUMBER(SEARCH(SUBSTITUTE(AD$1,RIGHT(AD$1,2),""),VLOOKUP($D208,素材!$1:$1016,COLUMN($F$1),FALSE))),VLOOKUP($C208,武器!$1:$998,COLUMN($O$1),FALSE)*VLOOKUP($D208,素材!$1:$1016,COLUMN($E$1),FALSE)/(LEN(VLOOKUP($D208,素材!$1:$1016,COLUMN($F$1),FALSE))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E208">
        <f>IF(ISNUMBER(SEARCH(SUBSTITUTE(AE$1,RIGHT(AE$1,2),""),VLOOKUP($D208,素材!$1:$1016,COLUMN($F$1),FALSE))),VLOOKUP($C208,武器!$1:$998,COLUMN($O$1),FALSE)*VLOOKUP($D208,素材!$1:$1016,COLUMN($E$1),FALSE)/(LEN(VLOOKUP($D208,素材!$1:$1016,COLUMN($F$1),FALSE))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F208">
        <f>IF(ISNUMBER(SEARCH(SUBSTITUTE(AF$1,RIGHT(AF$1,2),""),VLOOKUP($D208,素材!$1:$1016,COLUMN($F$1),FALSE))),VLOOKUP($C208,武器!$1:$998,COLUMN($O$1),FALSE)*VLOOKUP($D208,素材!$1:$1016,COLUMN($E$1),FALSE)/(LEN(VLOOKUP($D208,素材!$1:$1016,COLUMN($F$1),FALSE))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G208">
        <f>IF(ISNUMBER(SEARCH(SUBSTITUTE(AG$1,RIGHT(AG$1,2),""),VLOOKUP($D208,素材!$1:$1016,COLUMN($F$1),FALSE))),VLOOKUP($C208,武器!$1:$998,COLUMN($O$1),FALSE)*VLOOKUP($D208,素材!$1:$1016,COLUMN($E$1),FALSE)/(LEN(VLOOKUP($D208,素材!$1:$1016,COLUMN($F$1),FALSE))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H208">
        <f>IF(ISNUMBER(SEARCH(SUBSTITUTE(AH$1,RIGHT(AH$1,2),""),VLOOKUP($D208,素材!$1:$1016,COLUMN($F$1),FALSE))),VLOOKUP($C208,武器!$1:$998,COLUMN($O$1),FALSE)*VLOOKUP($D208,素材!$1:$1016,COLUMN($E$1),FALSE)/(LEN(VLOOKUP($D208,素材!$1:$1016,COLUMN($F$1),FALSE))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I208">
        <f>IF(ISNUMBER(SEARCH(SUBSTITUTE(AI$1,RIGHT(AI$1,2),""),VLOOKUP($D208,素材!$1:$1016,COLUMN($F$1),FALSE))),VLOOKUP($C208,武器!$1:$998,COLUMN($O$1),FALSE)*VLOOKUP($D208,素材!$1:$1016,COLUMN($E$1),FALSE)/(LEN(VLOOKUP($D208,素材!$1:$1016,COLUMN($F$1),FALSE))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J208">
        <f>IF(ISNUMBER(SEARCH(SUBSTITUTE(AJ$1,RIGHT(AJ$1,2),""),VLOOKUP($D208,素材!$1:$1016,COLUMN($F$1),FALSE))),VLOOKUP($C208,武器!$1:$998,COLUMN($O$1),FALSE)*VLOOKUP($D208,素材!$1:$1016,COLUMN($E$1),FALSE)/(LEN(VLOOKUP($D208,素材!$1:$1016,COLUMN($F$1),FALSE))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K208">
        <f>IF(ISNUMBER(SEARCH(SUBSTITUTE(AK$1,RIGHT(AK$1,2),""),VLOOKUP($D208,素材!$1:$1016,COLUMN($F$1),FALSE))),VLOOKUP($C208,武器!$1:$998,COLUMN($O$1),FALSE)*VLOOKUP($D208,素材!$1:$1016,COLUMN($E$1),FALSE)/(LEN(VLOOKUP($D208,素材!$1:$1016,COLUMN($F$1),FALSE))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L208">
        <f>IF(ISNUMBER(SEARCH(SUBSTITUTE(AL$1,RIGHT(AL$1,2),""),VLOOKUP($D208,素材!$1:$1016,COLUMN($F$1),FALSE))),VLOOKUP($C208,武器!$1:$998,COLUMN($O$1),FALSE)*VLOOKUP($D208,素材!$1:$1016,COLUMN($E$1),FALSE)/(LEN(VLOOKUP($D208,素材!$1:$1016,COLUMN($F$1),FALSE))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M208">
        <f>IF(ISNUMBER(SEARCH(SUBSTITUTE(AM$1,RIGHT(AM$1,2),""),VLOOKUP($D208,素材!$1:$1016,COLUMN($F$1),FALSE))),VLOOKUP($C208,武器!$1:$998,COLUMN($O$1),FALSE)*VLOOKUP($D208,素材!$1:$1016,COLUMN($E$1),FALSE)/(LEN(VLOOKUP($D208,素材!$1:$1016,COLUMN($F$1),FALSE))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N208">
        <f>IF(ISNUMBER(SEARCH(SUBSTITUTE(AN$1,RIGHT(AN$1,2),""),VLOOKUP($D208,素材!$1:$1016,COLUMN($F$1),FALSE))),VLOOKUP($C208,武器!$1:$998,COLUMN($O$1),FALSE)*VLOOKUP($D208,素材!$1:$1016,COLUMN($E$1),FALSE)/(LEN(VLOOKUP($D208,素材!$1:$1016,COLUMN($F$1),FALSE))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O208">
        <f>IF(ISNUMBER(SEARCH(SUBSTITUTE(AO$1,RIGHT(AO$1,2),""),VLOOKUP($D208,素材!$1:$1016,COLUMN($F$1),FALSE))),VLOOKUP($C208,武器!$1:$998,COLUMN($O$1),FALSE)*VLOOKUP($D208,素材!$1:$1016,COLUMN($E$1),FALSE)/(LEN(VLOOKUP($D208,素材!$1:$1016,COLUMN($F$1),FALSE))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P208">
        <f>IF(ISNUMBER(SEARCH(SUBSTITUTE(AP$1,RIGHT(AP$1,2),""),VLOOKUP($D208,素材!$1:$1016,COLUMN($F$1),FALSE))),VLOOKUP($C208,武器!$1:$998,COLUMN($O$1),FALSE)*VLOOKUP($D208,素材!$1:$1016,COLUMN($E$1),FALSE)/(LEN(VLOOKUP($D208,素材!$1:$1016,COLUMN($F$1),FALSE))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Q208">
        <f>IF(ISNUMBER(SEARCH(SUBSTITUTE(AQ$1,RIGHT(AQ$1,2),""),VLOOKUP($D208,素材!$1:$1016,COLUMN($F$1),FALSE))),VLOOKUP($C208,武器!$1:$998,COLUMN($O$1),FALSE)*VLOOKUP($D208,素材!$1:$1016,COLUMN($E$1),FALSE)/(LEN(VLOOKUP($D208,素材!$1:$1016,COLUMN($F$1),FALSE))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R208">
        <f>IF(ISNUMBER(SEARCH(SUBSTITUTE(AR$1,RIGHT(AR$1,2),""),VLOOKUP($D208,素材!$1:$1016,COLUMN($F$1),FALSE))),VLOOKUP($C208,武器!$1:$998,COLUMN($O$1),FALSE)*VLOOKUP($D208,素材!$1:$1016,COLUMN($E$1),FALSE)/(LEN(VLOOKUP($D208,素材!$1:$1016,COLUMN($F$1),FALSE))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S208">
        <f>IF(ISNUMBER(SEARCH(SUBSTITUTE(AS$1,RIGHT(AS$1,2),""),VLOOKUP($D208,素材!$1:$1016,COLUMN($F$1),FALSE))),VLOOKUP($C208,武器!$1:$998,COLUMN($O$1),FALSE)*VLOOKUP($D208,素材!$1:$1016,COLUMN($E$1),FALSE)/(LEN(VLOOKUP($D208,素材!$1:$1016,COLUMN($F$1),FALSE))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T208">
        <f>IF(ISNUMBER(SEARCH(SUBSTITUTE(AT$1,RIGHT(AT$1,2),""),VLOOKUP($D208,素材!$1:$1016,COLUMN($F$1),FALSE))),VLOOKUP($C208,武器!$1:$998,COLUMN($O$1),FALSE)*VLOOKUP($D208,素材!$1:$1016,COLUMN($E$1),FALSE)/(LEN(VLOOKUP($D208,素材!$1:$1016,COLUMN($F$1),FALSE))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U208">
        <f>IF(ISNUMBER(SEARCH(SUBSTITUTE(AU$1,RIGHT(AU$1,2),""),VLOOKUP($D208,素材!$1:$1016,COLUMN($F$1),FALSE))),VLOOKUP($C208,武器!$1:$998,COLUMN($O$1),FALSE)*VLOOKUP($D208,素材!$1:$1016,COLUMN($E$1),FALSE)/(LEN(VLOOKUP($D208,素材!$1:$1016,COLUMN($F$1),FALSE))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V208">
        <f>IF(ISNUMBER(SEARCH(SUBSTITUTE(AV$1,RIGHT(AV$1,2),""),VLOOKUP($D208,素材!$1:$1016,COLUMN($F$1),FALSE))),VLOOKUP($C208,武器!$1:$998,COLUMN($O$1),FALSE)*VLOOKUP($D208,素材!$1:$1016,COLUMN($E$1),FALSE)/(LEN(VLOOKUP($D208,素材!$1:$1016,COLUMN($F$1),FALSE))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W208">
        <f>IF(ISNUMBER(SEARCH(SUBSTITUTE(AW$1,RIGHT(AW$1,2),""),VLOOKUP($D208,素材!$1:$1016,COLUMN($F$1),FALSE))),VLOOKUP($C208,武器!$1:$998,COLUMN($O$1),FALSE)*VLOOKUP($D208,素材!$1:$1016,COLUMN($E$1),FALSE)/(LEN(VLOOKUP($D208,素材!$1:$1016,COLUMN($F$1),FALSE))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X208">
        <f>IF(ISNUMBER(SEARCH(SUBSTITUTE(AX$1,RIGHT(AX$1,2),""),VLOOKUP($D208,素材!$1:$1016,COLUMN($F$1),FALSE))),VLOOKUP($C208,武器!$1:$998,COLUMN($O$1),FALSE)*VLOOKUP($D208,素材!$1:$1016,COLUMN($E$1),FALSE)/(LEN(VLOOKUP($D208,素材!$1:$1016,COLUMN($F$1),FALSE))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Y208">
        <f>IF(ISNUMBER(SEARCH(SUBSTITUTE(AY$1,RIGHT(AY$1,2),""),VLOOKUP($D208,素材!$1:$1016,COLUMN($F$1),FALSE))),VLOOKUP($C208,武器!$1:$998,COLUMN($O$1),FALSE)*VLOOKUP($D208,素材!$1:$1016,COLUMN($E$1),FALSE)/(LEN(VLOOKUP($D208,素材!$1:$1016,COLUMN($F$1),FALSE))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AZ208">
        <f>IF(ISNUMBER(SEARCH(SUBSTITUTE(AZ$1,RIGHT(AZ$1,2),""),VLOOKUP($D208,素材!$1:$1016,COLUMN($F$1),FALSE))),VLOOKUP($C208,武器!$1:$998,COLUMN($O$1),FALSE)*VLOOKUP($D208,素材!$1:$1016,COLUMN($E$1),FALSE)/(LEN(VLOOKUP($D208,素材!$1:$1016,COLUMN($F$1),FALSE))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BA208">
        <f>IF(ISNUMBER(SEARCH(SUBSTITUTE(BA$1,RIGHT(BA$1,2),""),VLOOKUP($D208,素材!$1:$1016,COLUMN($F$1),FALSE))),VLOOKUP($C208,武器!$1:$998,COLUMN($O$1),FALSE)*VLOOKUP($D208,素材!$1:$1016,COLUMN($E$1),FALSE)/(LEN(VLOOKUP($D208,素材!$1:$1016,COLUMN($F$1),FALSE))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BB208">
        <f>IF(ISNUMBER(SEARCH(SUBSTITUTE(BB$1,RIGHT(BB$1,2),""),VLOOKUP($D208,素材!$1:$1016,COLUMN($F$1),FALSE))),VLOOKUP($C208,武器!$1:$998,COLUMN($O$1),FALSE)*VLOOKUP($D208,素材!$1:$1016,COLUMN($E$1),FALSE)/(LEN(VLOOKUP($D208,素材!$1:$1016,COLUMN($F$1),FALSE))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BC208">
        <f>IF(ISNUMBER(SEARCH(SUBSTITUTE(BC$1,RIGHT(BC$1,2),""),VLOOKUP($D208,素材!$1:$1016,COLUMN($F$1),FALSE))),VLOOKUP($C208,武器!$1:$998,COLUMN($O$1),FALSE)*VLOOKUP($D208,素材!$1:$1016,COLUMN($E$1),FALSE)/(LEN(VLOOKUP($D208,素材!$1:$1016,COLUMN($F$1),FALSE))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BD208">
        <f>IF(ISNUMBER(SEARCH(SUBSTITUTE(BD$1,RIGHT(BD$1,2),""),VLOOKUP($D208,素材!$1:$1016,COLUMN($F$1),FALSE))),VLOOKUP($C208,武器!$1:$998,COLUMN($O$1),FALSE)*VLOOKUP($D208,素材!$1:$1016,COLUMN($E$1),FALSE)/(LEN(VLOOKUP($D208,素材!$1:$1016,COLUMN($F$1),FALSE))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BE208">
        <f>IF(ISNUMBER(SEARCH(SUBSTITUTE(BE$1,RIGHT(BE$1,2),""),VLOOKUP($D208,素材!$1:$1016,COLUMN($F$1),FALSE))),VLOOKUP($C208,武器!$1:$998,COLUMN($O$1),FALSE)*VLOOKUP($D208,素材!$1:$1016,COLUMN($E$1),FALSE)/(LEN(VLOOKUP($D208,素材!$1:$1016,COLUMN($F$1),FALSE))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BF208">
        <f>IF(ISNUMBER(SEARCH(SUBSTITUTE(BF$1,RIGHT(BF$1,2),""),VLOOKUP($D208,素材!$1:$1016,COLUMN($F$1),FALSE))),VLOOKUP($C208,武器!$1:$998,COLUMN($O$1),FALSE)*VLOOKUP($D208,素材!$1:$1016,COLUMN($E$1),FALSE)/(LEN(VLOOKUP($D208,素材!$1:$1016,COLUMN($F$1),FALSE)) - LEN(SUBSTITUTE(VLOOKUP($D208,素材!$1:$1016,COLUMN($F$1),FALSE), "・", 0)) + 1), 0)</f>
        <v>0</v>
      </c>
      <c r="CM208">
        <f t="shared" si="31"/>
        <v>21</v>
      </c>
      <c r="CN208" s="22" t="str">
        <f>IF(E208="武器",IF(J208-1&gt;SUM(G208:I208),"盾",IF(MAX(G208:I208)=G208,"切断",IF(MAX(G208:I208)=H208,"貫通",IF(MAX(G208:I208)=I208,"打撃","射撃")))),E208)&amp;".webp"</f>
        <v>貫通.webp</v>
      </c>
      <c r="CO208">
        <f>IFERROR(VLOOKUP($C208,武器!$1:$998,COLUMN(V$1),FALSE)*VLOOKUP($D208,素材!$1:$1016,COLUMN(N$1),FALSE)+IF(CJ208="",0,VLOOKUP($CJ208,装強!$1:$1008,COLUMN($CL$1),FALSE)),"")</f>
        <v>3000</v>
      </c>
      <c r="CP208">
        <f>VLOOKUP(D208,素材!$A:$O,COLUMN(素材!O$1),FALSE)</f>
        <v>0</v>
      </c>
      <c r="CQ208" t="str">
        <f>VLOOKUP(C208,武器!$A:$W,COLUMN(武器!W$1),FALSE)</f>
        <v>鎌。農具を転用した武器で、鋭い斬撃を与える。</v>
      </c>
      <c r="CS208" t="str">
        <f t="shared" si="32"/>
        <v>e_208</v>
      </c>
      <c r="CT208">
        <f t="shared" si="33"/>
        <v>300000</v>
      </c>
    </row>
    <row r="209" spans="1:98" outlineLevel="1" x14ac:dyDescent="0.4">
      <c r="A209" t="str">
        <f t="shared" si="30"/>
        <v>冷気鉄の戦斧</v>
      </c>
      <c r="B209" t="str">
        <f>IFERROR(VLOOKUP($D209,素材!$1:$1016,COLUMN($B$1),FALSE)&amp;"・"&amp;VLOOKUP($C209,武器!$1:$998,COLUMN(B$1),FALSE),"")</f>
        <v>ドゥララン・バトルアックス</v>
      </c>
      <c r="C209" t="s">
        <v>224</v>
      </c>
      <c r="D209" s="24" t="s">
        <v>243</v>
      </c>
      <c r="E209" t="str">
        <f>IFERROR(VLOOKUP(C209,武器!$1:$998,COLUMN(C$1),FALSE),"")</f>
        <v>武器</v>
      </c>
      <c r="F209">
        <f>IFERROR(ROUNDDOWN((VLOOKUP($C209,武器!$1:$998,COLUMN(D$1),FALSE)+IFERROR(VLOOKUP($CJ209,装強!$1:$999,COLUMN(F$1),FALSE),0))*VLOOKUP($D209,素材!$1:$1016,COLUMN(D$1),FALSE),0),"")</f>
        <v>115</v>
      </c>
      <c r="G209">
        <f>IFERROR(ROUNDDOWN((VLOOKUP($C209,武器!$1:$998,COLUMN(E$1),FALSE)+IFERROR(VLOOKUP($CJ209,装強!$1:$999,COLUMN(G$1),FALSE),0))*VLOOKUP($D209,素材!$1:$1016,COLUMN($E$1),FALSE),0),"")</f>
        <v>19</v>
      </c>
      <c r="H209">
        <f>IFERROR(ROUNDDOWN((VLOOKUP($C209,武器!$1:$998,COLUMN(F$1),FALSE)+IFERROR(VLOOKUP($CJ209,装強!$1:$999,COLUMN(H$1),FALSE),0))*VLOOKUP($D209,素材!$1:$1016,COLUMN($E$1),FALSE),0),"")</f>
        <v>0</v>
      </c>
      <c r="I209">
        <f>IFERROR(ROUNDDOWN((VLOOKUP($C209,武器!$1:$998,COLUMN(G$1),FALSE)+IFERROR(VLOOKUP($CJ209,装強!$1:$999,COLUMN(I$1),FALSE),0))*VLOOKUP($D209,素材!$1:$1016,COLUMN($E$1),FALSE),0),"")</f>
        <v>6</v>
      </c>
      <c r="J209">
        <f>IFERROR(ROUNDDOWN((VLOOKUP($C209,武器!$1:$998,COLUMN(H$1),FALSE)+IFERROR(VLOOKUP($CJ209,装強!$1:$999,COLUMN(J$1),FALSE),0))*VLOOKUP($D209,素材!$1:$1016,COLUMN($E$1),FALSE),0),"")</f>
        <v>20</v>
      </c>
      <c r="K209">
        <f>IFERROR(ROUNDDOWN((VLOOKUP($C209,武器!$1:$998,COLUMN(I$1),FALSE)+IFERROR(VLOOKUP($CJ209,装強!$1:$999,COLUMN(K$1),FALSE),0))*VLOOKUP($D209,素材!$1:$1016,COLUMN($E$1),FALSE),0),"")</f>
        <v>0</v>
      </c>
      <c r="L209" t="str">
        <f>IFERROR(VLOOKUP($D209,素材!$1:$1016,COLUMN($F$1),FALSE),"")</f>
        <v>氷</v>
      </c>
      <c r="M209">
        <f>IFERROR(VLOOKUP($C209,武器!$1:$998,COLUMN(AA$1),FALSE)*VLOOKUP($D209,素材!$1:$1016,COLUMN($G$1),FALSE),"")</f>
        <v>43.75</v>
      </c>
      <c r="N209">
        <f>IFERROR(VLOOKUP($C209,武器!$1:$998,COLUMN(I$1),FALSE),"")</f>
        <v>0</v>
      </c>
      <c r="O209" s="23">
        <f>IFERROR((VLOOKUP($C209,武器!$1:$998,COLUMN(K$1),FALSE)+VLOOKUP($D209,素材!$1:$1016,COLUMN(H$1),FALSE))*100+IFERROR(VLOOKUP($CJ209,装強!$1:$999,COLUMN(O$1),FALSE),0),"")</f>
        <v>5</v>
      </c>
      <c r="P209" s="23">
        <f>IFERROR((VLOOKUP($C209,武器!$1:$998,COLUMN(L$1),FALSE)+VLOOKUP($D209,素材!$1:$1016,COLUMN(I$1),FALSE))*100+IFERROR(VLOOKUP($CJ209,装強!$1:$999,COLUMN(P$1),FALSE),0),"")</f>
        <v>175</v>
      </c>
      <c r="Q209">
        <f>IFERROR(ROUNDUP(VLOOKUP($C209,武器!$1:$998,COLUMN(M$1),FALSE)*(VLOOKUP($D209,素材!$1:$1002,COLUMN(D$1),FALSE)/100),1),"")</f>
        <v>-2.5</v>
      </c>
      <c r="R209">
        <f>IFERROR(ROUNDUP(VLOOKUP($C209,武器!$1:$998,COLUMN(N$1),FALSE)*(VLOOKUP($D209,素材!$1:$1002,COLUMN(D$1),FALSE)/100),1),"")</f>
        <v>0</v>
      </c>
      <c r="S209">
        <f>IFERROR(VLOOKUP($C209,武器!$1:$998,COLUMN(P$1),FALSE),"")</f>
        <v>0</v>
      </c>
      <c r="T209">
        <f>IFERROR(VLOOKUP($C209,武器!$1:$998,COLUMN(Q$1),FALSE),"")</f>
        <v>0</v>
      </c>
      <c r="U209">
        <f>IFERROR(VLOOKUP($C209,武器!$1:$998,COLUMN(R$1),FALSE),"")</f>
        <v>0</v>
      </c>
      <c r="V209">
        <f>IFERROR(VLOOKUP($C209,武器!$1:$998,COLUMN(Q$1),FALSE),"")</f>
        <v>0</v>
      </c>
      <c r="W209" t="str">
        <f>IFERROR(VLOOKUP($C209,武器!$1:$998,COLUMN(T$1),FALSE),"")</f>
        <v>A</v>
      </c>
      <c r="Y209">
        <f>IFERROR(VLOOKUP($C209,武器!$1:$998,COLUMN(U$1),FALSE),"")</f>
        <v>0</v>
      </c>
      <c r="Z209">
        <f>IFERROR(ROUNDUP(VLOOKUP($C209,武器!$1:$998,COLUMN(O$1),FALSE)*VLOOKUP($D209,素材!$1:$1016,COLUMN(E$1),FALSE),1),"")</f>
        <v>0</v>
      </c>
      <c r="AA209">
        <f>IF(ISNUMBER(SEARCH(SUBSTITUTE(AA$1,RIGHT(AA$1,2),""),VLOOKUP($D209,素材!$1:$1016,COLUMN($F$1),FALSE))),VLOOKUP($C209,武器!$1:$998,COLUMN($O$1),FALSE)*VLOOKUP($D209,素材!$1:$1016,COLUMN($E$1),FALSE)/(LEN(VLOOKUP($D209,素材!$1:$1016,COLUMN($F$1),FALSE))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B209">
        <f>IF(ISNUMBER(SEARCH(SUBSTITUTE(AB$1,RIGHT(AB$1,2),""),VLOOKUP($D209,素材!$1:$1016,COLUMN($F$1),FALSE))),VLOOKUP($C209,武器!$1:$998,COLUMN($O$1),FALSE)*VLOOKUP($D209,素材!$1:$1016,COLUMN($E$1),FALSE)/(LEN(VLOOKUP($D209,素材!$1:$1016,COLUMN($F$1),FALSE))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C209">
        <f>IF(ISNUMBER(SEARCH(SUBSTITUTE(AC$1,RIGHT(AC$1,2),""),VLOOKUP($D209,素材!$1:$1016,COLUMN($F$1),FALSE))),VLOOKUP($C209,武器!$1:$998,COLUMN($O$1),FALSE)*VLOOKUP($D209,素材!$1:$1016,COLUMN($E$1),FALSE)/(LEN(VLOOKUP($D209,素材!$1:$1016,COLUMN($F$1),FALSE))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D209">
        <f>IF(ISNUMBER(SEARCH(SUBSTITUTE(AD$1,RIGHT(AD$1,2),""),VLOOKUP($D209,素材!$1:$1016,COLUMN($F$1),FALSE))),VLOOKUP($C209,武器!$1:$998,COLUMN($O$1),FALSE)*VLOOKUP($D209,素材!$1:$1016,COLUMN($E$1),FALSE)/(LEN(VLOOKUP($D209,素材!$1:$1016,COLUMN($F$1),FALSE))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E209">
        <f>IF(ISNUMBER(SEARCH(SUBSTITUTE(AE$1,RIGHT(AE$1,2),""),VLOOKUP($D209,素材!$1:$1016,COLUMN($F$1),FALSE))),VLOOKUP($C209,武器!$1:$998,COLUMN($O$1),FALSE)*VLOOKUP($D209,素材!$1:$1016,COLUMN($E$1),FALSE)/(LEN(VLOOKUP($D209,素材!$1:$1016,COLUMN($F$1),FALSE))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F209">
        <f>IF(ISNUMBER(SEARCH(SUBSTITUTE(AF$1,RIGHT(AF$1,2),""),VLOOKUP($D209,素材!$1:$1016,COLUMN($F$1),FALSE))),VLOOKUP($C209,武器!$1:$998,COLUMN($O$1),FALSE)*VLOOKUP($D209,素材!$1:$1016,COLUMN($E$1),FALSE)/(LEN(VLOOKUP($D209,素材!$1:$1016,COLUMN($F$1),FALSE))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G209">
        <f>IF(ISNUMBER(SEARCH(SUBSTITUTE(AG$1,RIGHT(AG$1,2),""),VLOOKUP($D209,素材!$1:$1016,COLUMN($F$1),FALSE))),VLOOKUP($C209,武器!$1:$998,COLUMN($O$1),FALSE)*VLOOKUP($D209,素材!$1:$1016,COLUMN($E$1),FALSE)/(LEN(VLOOKUP($D209,素材!$1:$1016,COLUMN($F$1),FALSE))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H209">
        <f>IF(ISNUMBER(SEARCH(SUBSTITUTE(AH$1,RIGHT(AH$1,2),""),VLOOKUP($D209,素材!$1:$1016,COLUMN($F$1),FALSE))),VLOOKUP($C209,武器!$1:$998,COLUMN($O$1),FALSE)*VLOOKUP($D209,素材!$1:$1016,COLUMN($E$1),FALSE)/(LEN(VLOOKUP($D209,素材!$1:$1016,COLUMN($F$1),FALSE))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I209">
        <f>IF(ISNUMBER(SEARCH(SUBSTITUTE(AI$1,RIGHT(AI$1,2),""),VLOOKUP($D209,素材!$1:$1016,COLUMN($F$1),FALSE))),VLOOKUP($C209,武器!$1:$998,COLUMN($O$1),FALSE)*VLOOKUP($D209,素材!$1:$1016,COLUMN($E$1),FALSE)/(LEN(VLOOKUP($D209,素材!$1:$1016,COLUMN($F$1),FALSE))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J209">
        <f>IF(ISNUMBER(SEARCH(SUBSTITUTE(AJ$1,RIGHT(AJ$1,2),""),VLOOKUP($D209,素材!$1:$1016,COLUMN($F$1),FALSE))),VLOOKUP($C209,武器!$1:$998,COLUMN($O$1),FALSE)*VLOOKUP($D209,素材!$1:$1016,COLUMN($E$1),FALSE)/(LEN(VLOOKUP($D209,素材!$1:$1016,COLUMN($F$1),FALSE))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K209">
        <f>IF(ISNUMBER(SEARCH(SUBSTITUTE(AK$1,RIGHT(AK$1,2),""),VLOOKUP($D209,素材!$1:$1016,COLUMN($F$1),FALSE))),VLOOKUP($C209,武器!$1:$998,COLUMN($O$1),FALSE)*VLOOKUP($D209,素材!$1:$1016,COLUMN($E$1),FALSE)/(LEN(VLOOKUP($D209,素材!$1:$1016,COLUMN($F$1),FALSE))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L209">
        <f>IF(ISNUMBER(SEARCH(SUBSTITUTE(AL$1,RIGHT(AL$1,2),""),VLOOKUP($D209,素材!$1:$1016,COLUMN($F$1),FALSE))),VLOOKUP($C209,武器!$1:$998,COLUMN($O$1),FALSE)*VLOOKUP($D209,素材!$1:$1016,COLUMN($E$1),FALSE)/(LEN(VLOOKUP($D209,素材!$1:$1016,COLUMN($F$1),FALSE))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M209">
        <f>IF(ISNUMBER(SEARCH(SUBSTITUTE(AM$1,RIGHT(AM$1,2),""),VLOOKUP($D209,素材!$1:$1016,COLUMN($F$1),FALSE))),VLOOKUP($C209,武器!$1:$998,COLUMN($O$1),FALSE)*VLOOKUP($D209,素材!$1:$1016,COLUMN($E$1),FALSE)/(LEN(VLOOKUP($D209,素材!$1:$1016,COLUMN($F$1),FALSE))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N209">
        <f>IF(ISNUMBER(SEARCH(SUBSTITUTE(AN$1,RIGHT(AN$1,2),""),VLOOKUP($D209,素材!$1:$1016,COLUMN($F$1),FALSE))),VLOOKUP($C209,武器!$1:$998,COLUMN($O$1),FALSE)*VLOOKUP($D209,素材!$1:$1016,COLUMN($E$1),FALSE)/(LEN(VLOOKUP($D209,素材!$1:$1016,COLUMN($F$1),FALSE))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O209">
        <f>IF(ISNUMBER(SEARCH(SUBSTITUTE(AO$1,RIGHT(AO$1,2),""),VLOOKUP($D209,素材!$1:$1016,COLUMN($F$1),FALSE))),VLOOKUP($C209,武器!$1:$998,COLUMN($O$1),FALSE)*VLOOKUP($D209,素材!$1:$1016,COLUMN($E$1),FALSE)/(LEN(VLOOKUP($D209,素材!$1:$1016,COLUMN($F$1),FALSE))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P209">
        <f>IF(ISNUMBER(SEARCH(SUBSTITUTE(AP$1,RIGHT(AP$1,2),""),VLOOKUP($D209,素材!$1:$1016,COLUMN($F$1),FALSE))),VLOOKUP($C209,武器!$1:$998,COLUMN($O$1),FALSE)*VLOOKUP($D209,素材!$1:$1016,COLUMN($E$1),FALSE)/(LEN(VLOOKUP($D209,素材!$1:$1016,COLUMN($F$1),FALSE))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Q209">
        <f>IF(ISNUMBER(SEARCH(SUBSTITUTE(AQ$1,RIGHT(AQ$1,2),""),VLOOKUP($D209,素材!$1:$1016,COLUMN($F$1),FALSE))),VLOOKUP($C209,武器!$1:$998,COLUMN($O$1),FALSE)*VLOOKUP($D209,素材!$1:$1016,COLUMN($E$1),FALSE)/(LEN(VLOOKUP($D209,素材!$1:$1016,COLUMN($F$1),FALSE))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R209">
        <f>IF(ISNUMBER(SEARCH(SUBSTITUTE(AR$1,RIGHT(AR$1,2),""),VLOOKUP($D209,素材!$1:$1016,COLUMN($F$1),FALSE))),VLOOKUP($C209,武器!$1:$998,COLUMN($O$1),FALSE)*VLOOKUP($D209,素材!$1:$1016,COLUMN($E$1),FALSE)/(LEN(VLOOKUP($D209,素材!$1:$1016,COLUMN($F$1),FALSE))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S209">
        <f>IF(ISNUMBER(SEARCH(SUBSTITUTE(AS$1,RIGHT(AS$1,2),""),VLOOKUP($D209,素材!$1:$1016,COLUMN($F$1),FALSE))),VLOOKUP($C209,武器!$1:$998,COLUMN($O$1),FALSE)*VLOOKUP($D209,素材!$1:$1016,COLUMN($E$1),FALSE)/(LEN(VLOOKUP($D209,素材!$1:$1016,COLUMN($F$1),FALSE))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T209">
        <f>IF(ISNUMBER(SEARCH(SUBSTITUTE(AT$1,RIGHT(AT$1,2),""),VLOOKUP($D209,素材!$1:$1016,COLUMN($F$1),FALSE))),VLOOKUP($C209,武器!$1:$998,COLUMN($O$1),FALSE)*VLOOKUP($D209,素材!$1:$1016,COLUMN($E$1),FALSE)/(LEN(VLOOKUP($D209,素材!$1:$1016,COLUMN($F$1),FALSE))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U209">
        <f>IF(ISNUMBER(SEARCH(SUBSTITUTE(AU$1,RIGHT(AU$1,2),""),VLOOKUP($D209,素材!$1:$1016,COLUMN($F$1),FALSE))),VLOOKUP($C209,武器!$1:$998,COLUMN($O$1),FALSE)*VLOOKUP($D209,素材!$1:$1016,COLUMN($E$1),FALSE)/(LEN(VLOOKUP($D209,素材!$1:$1016,COLUMN($F$1),FALSE))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V209">
        <f>IF(ISNUMBER(SEARCH(SUBSTITUTE(AV$1,RIGHT(AV$1,2),""),VLOOKUP($D209,素材!$1:$1016,COLUMN($F$1),FALSE))),VLOOKUP($C209,武器!$1:$998,COLUMN($O$1),FALSE)*VLOOKUP($D209,素材!$1:$1016,COLUMN($E$1),FALSE)/(LEN(VLOOKUP($D209,素材!$1:$1016,COLUMN($F$1),FALSE))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W209">
        <f>IF(ISNUMBER(SEARCH(SUBSTITUTE(AW$1,RIGHT(AW$1,2),""),VLOOKUP($D209,素材!$1:$1016,COLUMN($F$1),FALSE))),VLOOKUP($C209,武器!$1:$998,COLUMN($O$1),FALSE)*VLOOKUP($D209,素材!$1:$1016,COLUMN($E$1),FALSE)/(LEN(VLOOKUP($D209,素材!$1:$1016,COLUMN($F$1),FALSE))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X209">
        <f>IF(ISNUMBER(SEARCH(SUBSTITUTE(AX$1,RIGHT(AX$1,2),""),VLOOKUP($D209,素材!$1:$1016,COLUMN($F$1),FALSE))),VLOOKUP($C209,武器!$1:$998,COLUMN($O$1),FALSE)*VLOOKUP($D209,素材!$1:$1016,COLUMN($E$1),FALSE)/(LEN(VLOOKUP($D209,素材!$1:$1016,COLUMN($F$1),FALSE))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Y209">
        <f>IF(ISNUMBER(SEARCH(SUBSTITUTE(AY$1,RIGHT(AY$1,2),""),VLOOKUP($D209,素材!$1:$1016,COLUMN($F$1),FALSE))),VLOOKUP($C209,武器!$1:$998,COLUMN($O$1),FALSE)*VLOOKUP($D209,素材!$1:$1016,COLUMN($E$1),FALSE)/(LEN(VLOOKUP($D209,素材!$1:$1016,COLUMN($F$1),FALSE))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AZ209">
        <f>IF(ISNUMBER(SEARCH(SUBSTITUTE(AZ$1,RIGHT(AZ$1,2),""),VLOOKUP($D209,素材!$1:$1016,COLUMN($F$1),FALSE))),VLOOKUP($C209,武器!$1:$998,COLUMN($O$1),FALSE)*VLOOKUP($D209,素材!$1:$1016,COLUMN($E$1),FALSE)/(LEN(VLOOKUP($D209,素材!$1:$1016,COLUMN($F$1),FALSE))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BA209">
        <f>IF(ISNUMBER(SEARCH(SUBSTITUTE(BA$1,RIGHT(BA$1,2),""),VLOOKUP($D209,素材!$1:$1016,COLUMN($F$1),FALSE))),VLOOKUP($C209,武器!$1:$998,COLUMN($O$1),FALSE)*VLOOKUP($D209,素材!$1:$1016,COLUMN($E$1),FALSE)/(LEN(VLOOKUP($D209,素材!$1:$1016,COLUMN($F$1),FALSE))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BB209">
        <f>IF(ISNUMBER(SEARCH(SUBSTITUTE(BB$1,RIGHT(BB$1,2),""),VLOOKUP($D209,素材!$1:$1016,COLUMN($F$1),FALSE))),VLOOKUP($C209,武器!$1:$998,COLUMN($O$1),FALSE)*VLOOKUP($D209,素材!$1:$1016,COLUMN($E$1),FALSE)/(LEN(VLOOKUP($D209,素材!$1:$1016,COLUMN($F$1),FALSE))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BC209">
        <f>IF(ISNUMBER(SEARCH(SUBSTITUTE(BC$1,RIGHT(BC$1,2),""),VLOOKUP($D209,素材!$1:$1016,COLUMN($F$1),FALSE))),VLOOKUP($C209,武器!$1:$998,COLUMN($O$1),FALSE)*VLOOKUP($D209,素材!$1:$1016,COLUMN($E$1),FALSE)/(LEN(VLOOKUP($D209,素材!$1:$1016,COLUMN($F$1),FALSE))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BD209">
        <f>IF(ISNUMBER(SEARCH(SUBSTITUTE(BD$1,RIGHT(BD$1,2),""),VLOOKUP($D209,素材!$1:$1016,COLUMN($F$1),FALSE))),VLOOKUP($C209,武器!$1:$998,COLUMN($O$1),FALSE)*VLOOKUP($D209,素材!$1:$1016,COLUMN($E$1),FALSE)/(LEN(VLOOKUP($D209,素材!$1:$1016,COLUMN($F$1),FALSE))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BE209">
        <f>IF(ISNUMBER(SEARCH(SUBSTITUTE(BE$1,RIGHT(BE$1,2),""),VLOOKUP($D209,素材!$1:$1016,COLUMN($F$1),FALSE))),VLOOKUP($C209,武器!$1:$998,COLUMN($O$1),FALSE)*VLOOKUP($D209,素材!$1:$1016,COLUMN($E$1),FALSE)/(LEN(VLOOKUP($D209,素材!$1:$1016,COLUMN($F$1),FALSE))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BF209">
        <f>IF(ISNUMBER(SEARCH(SUBSTITUTE(BF$1,RIGHT(BF$1,2),""),VLOOKUP($D209,素材!$1:$1016,COLUMN($F$1),FALSE))),VLOOKUP($C209,武器!$1:$998,COLUMN($O$1),FALSE)*VLOOKUP($D209,素材!$1:$1016,COLUMN($E$1),FALSE)/(LEN(VLOOKUP($D209,素材!$1:$1016,COLUMN($F$1),FALSE)) - LEN(SUBSTITUTE(VLOOKUP($D209,素材!$1:$1016,COLUMN($F$1),FALSE), "・", 0)) + 1), 0)</f>
        <v>0</v>
      </c>
      <c r="CM209">
        <f t="shared" si="31"/>
        <v>25</v>
      </c>
      <c r="CN209" s="22" t="str">
        <f>IF(E209="武器",IF(J209-1&gt;SUM(G209:I209),"盾",IF(MAX(G209:I209)=G209,"切断",IF(MAX(G209:I209)=H209,"貫通",IF(MAX(G209:I209)=I209,"打撃","射撃")))),E209)&amp;".webp"</f>
        <v>切断.webp</v>
      </c>
      <c r="CO209">
        <f>IFERROR(VLOOKUP($C209,武器!$1:$998,COLUMN(V$1),FALSE)*VLOOKUP($D209,素材!$1:$1016,COLUMN(N$1),FALSE)+IF(CJ209="",0,VLOOKUP($CJ209,装強!$1:$1008,COLUMN($CL$1),FALSE)),"")</f>
        <v>3000</v>
      </c>
      <c r="CP209">
        <f>VLOOKUP(D209,素材!$A:$O,COLUMN(素材!O$1),FALSE)</f>
        <v>0</v>
      </c>
      <c r="CQ209" t="str">
        <f>VLOOKUP(C209,武器!$A:$W,COLUMN(武器!W$1),FALSE)</f>
        <v>戦斧。攻撃力が高く、重いが信頼性がある武器。</v>
      </c>
      <c r="CS209" t="str">
        <f t="shared" si="32"/>
        <v>e_209</v>
      </c>
      <c r="CT209">
        <f t="shared" si="33"/>
        <v>300000</v>
      </c>
    </row>
    <row r="210" spans="1:98" outlineLevel="1" x14ac:dyDescent="0.4">
      <c r="A210" t="str">
        <f t="shared" si="30"/>
        <v>冷気鉄の鞭</v>
      </c>
      <c r="B210" t="str">
        <f>IFERROR(VLOOKUP($D210,素材!$1:$1016,COLUMN($B$1),FALSE)&amp;"・"&amp;VLOOKUP($C210,武器!$1:$998,COLUMN(B$1),FALSE),"")</f>
        <v>ドゥララン・ウィップ</v>
      </c>
      <c r="C210" t="s">
        <v>223</v>
      </c>
      <c r="D210" s="24" t="s">
        <v>243</v>
      </c>
      <c r="E210" t="str">
        <f>IFERROR(VLOOKUP(C210,武器!$1:$998,COLUMN(C$1),FALSE),"")</f>
        <v>武器</v>
      </c>
      <c r="F210">
        <f>IFERROR(ROUNDDOWN((VLOOKUP($C210,武器!$1:$998,COLUMN(D$1),FALSE)+IFERROR(VLOOKUP($CJ210,装強!$1:$999,COLUMN(F$1),FALSE),0))*VLOOKUP($D210,素材!$1:$1016,COLUMN(D$1),FALSE),0),"")</f>
        <v>105</v>
      </c>
      <c r="G210">
        <f>IFERROR(ROUNDDOWN((VLOOKUP($C210,武器!$1:$998,COLUMN(E$1),FALSE)+IFERROR(VLOOKUP($CJ210,装強!$1:$999,COLUMN(G$1),FALSE),0))*VLOOKUP($D210,素材!$1:$1016,COLUMN($E$1),FALSE),0),"")</f>
        <v>18</v>
      </c>
      <c r="H210">
        <f>IFERROR(ROUNDDOWN((VLOOKUP($C210,武器!$1:$998,COLUMN(F$1),FALSE)+IFERROR(VLOOKUP($CJ210,装強!$1:$999,COLUMN(H$1),FALSE),0))*VLOOKUP($D210,素材!$1:$1016,COLUMN($E$1),FALSE),0),"")</f>
        <v>0</v>
      </c>
      <c r="I210">
        <f>IFERROR(ROUNDDOWN((VLOOKUP($C210,武器!$1:$998,COLUMN(G$1),FALSE)+IFERROR(VLOOKUP($CJ210,装強!$1:$999,COLUMN(I$1),FALSE),0))*VLOOKUP($D210,素材!$1:$1016,COLUMN($E$1),FALSE),0),"")</f>
        <v>4</v>
      </c>
      <c r="J210">
        <f>IFERROR(ROUNDDOWN((VLOOKUP($C210,武器!$1:$998,COLUMN(H$1),FALSE)+IFERROR(VLOOKUP($CJ210,装強!$1:$999,COLUMN(J$1),FALSE),0))*VLOOKUP($D210,素材!$1:$1016,COLUMN($E$1),FALSE),0),"")</f>
        <v>11</v>
      </c>
      <c r="K210">
        <f>IFERROR(ROUNDDOWN((VLOOKUP($C210,武器!$1:$998,COLUMN(I$1),FALSE)+IFERROR(VLOOKUP($CJ210,装強!$1:$999,COLUMN(K$1),FALSE),0))*VLOOKUP($D210,素材!$1:$1016,COLUMN($E$1),FALSE),0),"")</f>
        <v>0</v>
      </c>
      <c r="L210" t="str">
        <f>IFERROR(VLOOKUP($D210,素材!$1:$1016,COLUMN($F$1),FALSE),"")</f>
        <v>氷</v>
      </c>
      <c r="M210">
        <f>IFERROR(VLOOKUP($C210,武器!$1:$998,COLUMN(AA$1),FALSE)*VLOOKUP($D210,素材!$1:$1016,COLUMN($G$1),FALSE),"")</f>
        <v>38.5</v>
      </c>
      <c r="N210">
        <f>IFERROR(VLOOKUP($C210,武器!$1:$998,COLUMN(I$1),FALSE),"")</f>
        <v>0</v>
      </c>
      <c r="O210" s="23">
        <f>IFERROR((VLOOKUP($C210,武器!$1:$998,COLUMN(K$1),FALSE)+VLOOKUP($D210,素材!$1:$1016,COLUMN(H$1),FALSE))*100+IFERROR(VLOOKUP($CJ210,装強!$1:$999,COLUMN(O$1),FALSE),0),"")</f>
        <v>10</v>
      </c>
      <c r="P210" s="23">
        <f>IFERROR((VLOOKUP($C210,武器!$1:$998,COLUMN(L$1),FALSE)+VLOOKUP($D210,素材!$1:$1016,COLUMN(I$1),FALSE))*100+IFERROR(VLOOKUP($CJ210,装強!$1:$999,COLUMN(P$1),FALSE),0),"")</f>
        <v>150</v>
      </c>
      <c r="Q210">
        <f>IFERROR(ROUNDUP(VLOOKUP($C210,武器!$1:$998,COLUMN(M$1),FALSE)*(VLOOKUP($D210,素材!$1:$1002,COLUMN(D$1),FALSE)/100),1),"")</f>
        <v>0</v>
      </c>
      <c r="R210">
        <f>IFERROR(ROUNDUP(VLOOKUP($C210,武器!$1:$998,COLUMN(N$1),FALSE)*(VLOOKUP($D210,素材!$1:$1002,COLUMN(D$1),FALSE)/100),1),"")</f>
        <v>0</v>
      </c>
      <c r="S210">
        <f>IFERROR(VLOOKUP($C210,武器!$1:$998,COLUMN(P$1),FALSE),"")</f>
        <v>1</v>
      </c>
      <c r="T210">
        <f>IFERROR(VLOOKUP($C210,武器!$1:$998,COLUMN(Q$1),FALSE),"")</f>
        <v>0</v>
      </c>
      <c r="U210">
        <f>IFERROR(VLOOKUP($C210,武器!$1:$998,COLUMN(R$1),FALSE),"")</f>
        <v>0</v>
      </c>
      <c r="V210">
        <f>IFERROR(VLOOKUP($C210,武器!$1:$998,COLUMN(Q$1),FALSE),"")</f>
        <v>0</v>
      </c>
      <c r="W210" t="str">
        <f>IFERROR(VLOOKUP($C210,武器!$1:$998,COLUMN(T$1),FALSE),"")</f>
        <v>A</v>
      </c>
      <c r="Y210">
        <f>IFERROR(VLOOKUP($C210,武器!$1:$998,COLUMN(U$1),FALSE),"")</f>
        <v>0</v>
      </c>
      <c r="Z210">
        <f>IFERROR(ROUNDUP(VLOOKUP($C210,武器!$1:$998,COLUMN(O$1),FALSE)*VLOOKUP($D210,素材!$1:$1016,COLUMN(E$1),FALSE),1),"")</f>
        <v>0</v>
      </c>
      <c r="AA210">
        <f>IF(ISNUMBER(SEARCH(SUBSTITUTE(AA$1,RIGHT(AA$1,2),""),VLOOKUP($D210,素材!$1:$1016,COLUMN($F$1),FALSE))),VLOOKUP($C210,武器!$1:$998,COLUMN($O$1),FALSE)*VLOOKUP($D210,素材!$1:$1016,COLUMN($E$1),FALSE)/(LEN(VLOOKUP($D210,素材!$1:$1016,COLUMN($F$1),FALSE))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B210">
        <f>IF(ISNUMBER(SEARCH(SUBSTITUTE(AB$1,RIGHT(AB$1,2),""),VLOOKUP($D210,素材!$1:$1016,COLUMN($F$1),FALSE))),VLOOKUP($C210,武器!$1:$998,COLUMN($O$1),FALSE)*VLOOKUP($D210,素材!$1:$1016,COLUMN($E$1),FALSE)/(LEN(VLOOKUP($D210,素材!$1:$1016,COLUMN($F$1),FALSE))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C210">
        <f>IF(ISNUMBER(SEARCH(SUBSTITUTE(AC$1,RIGHT(AC$1,2),""),VLOOKUP($D210,素材!$1:$1016,COLUMN($F$1),FALSE))),VLOOKUP($C210,武器!$1:$998,COLUMN($O$1),FALSE)*VLOOKUP($D210,素材!$1:$1016,COLUMN($E$1),FALSE)/(LEN(VLOOKUP($D210,素材!$1:$1016,COLUMN($F$1),FALSE))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D210">
        <f>IF(ISNUMBER(SEARCH(SUBSTITUTE(AD$1,RIGHT(AD$1,2),""),VLOOKUP($D210,素材!$1:$1016,COLUMN($F$1),FALSE))),VLOOKUP($C210,武器!$1:$998,COLUMN($O$1),FALSE)*VLOOKUP($D210,素材!$1:$1016,COLUMN($E$1),FALSE)/(LEN(VLOOKUP($D210,素材!$1:$1016,COLUMN($F$1),FALSE))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E210">
        <f>IF(ISNUMBER(SEARCH(SUBSTITUTE(AE$1,RIGHT(AE$1,2),""),VLOOKUP($D210,素材!$1:$1016,COLUMN($F$1),FALSE))),VLOOKUP($C210,武器!$1:$998,COLUMN($O$1),FALSE)*VLOOKUP($D210,素材!$1:$1016,COLUMN($E$1),FALSE)/(LEN(VLOOKUP($D210,素材!$1:$1016,COLUMN($F$1),FALSE))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F210">
        <f>IF(ISNUMBER(SEARCH(SUBSTITUTE(AF$1,RIGHT(AF$1,2),""),VLOOKUP($D210,素材!$1:$1016,COLUMN($F$1),FALSE))),VLOOKUP($C210,武器!$1:$998,COLUMN($O$1),FALSE)*VLOOKUP($D210,素材!$1:$1016,COLUMN($E$1),FALSE)/(LEN(VLOOKUP($D210,素材!$1:$1016,COLUMN($F$1),FALSE))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G210">
        <f>IF(ISNUMBER(SEARCH(SUBSTITUTE(AG$1,RIGHT(AG$1,2),""),VLOOKUP($D210,素材!$1:$1016,COLUMN($F$1),FALSE))),VLOOKUP($C210,武器!$1:$998,COLUMN($O$1),FALSE)*VLOOKUP($D210,素材!$1:$1016,COLUMN($E$1),FALSE)/(LEN(VLOOKUP($D210,素材!$1:$1016,COLUMN($F$1),FALSE))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H210">
        <f>IF(ISNUMBER(SEARCH(SUBSTITUTE(AH$1,RIGHT(AH$1,2),""),VLOOKUP($D210,素材!$1:$1016,COLUMN($F$1),FALSE))),VLOOKUP($C210,武器!$1:$998,COLUMN($O$1),FALSE)*VLOOKUP($D210,素材!$1:$1016,COLUMN($E$1),FALSE)/(LEN(VLOOKUP($D210,素材!$1:$1016,COLUMN($F$1),FALSE))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I210">
        <f>IF(ISNUMBER(SEARCH(SUBSTITUTE(AI$1,RIGHT(AI$1,2),""),VLOOKUP($D210,素材!$1:$1016,COLUMN($F$1),FALSE))),VLOOKUP($C210,武器!$1:$998,COLUMN($O$1),FALSE)*VLOOKUP($D210,素材!$1:$1016,COLUMN($E$1),FALSE)/(LEN(VLOOKUP($D210,素材!$1:$1016,COLUMN($F$1),FALSE))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J210">
        <f>IF(ISNUMBER(SEARCH(SUBSTITUTE(AJ$1,RIGHT(AJ$1,2),""),VLOOKUP($D210,素材!$1:$1016,COLUMN($F$1),FALSE))),VLOOKUP($C210,武器!$1:$998,COLUMN($O$1),FALSE)*VLOOKUP($D210,素材!$1:$1016,COLUMN($E$1),FALSE)/(LEN(VLOOKUP($D210,素材!$1:$1016,COLUMN($F$1),FALSE))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K210">
        <f>IF(ISNUMBER(SEARCH(SUBSTITUTE(AK$1,RIGHT(AK$1,2),""),VLOOKUP($D210,素材!$1:$1016,COLUMN($F$1),FALSE))),VLOOKUP($C210,武器!$1:$998,COLUMN($O$1),FALSE)*VLOOKUP($D210,素材!$1:$1016,COLUMN($E$1),FALSE)/(LEN(VLOOKUP($D210,素材!$1:$1016,COLUMN($F$1),FALSE))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L210">
        <f>IF(ISNUMBER(SEARCH(SUBSTITUTE(AL$1,RIGHT(AL$1,2),""),VLOOKUP($D210,素材!$1:$1016,COLUMN($F$1),FALSE))),VLOOKUP($C210,武器!$1:$998,COLUMN($O$1),FALSE)*VLOOKUP($D210,素材!$1:$1016,COLUMN($E$1),FALSE)/(LEN(VLOOKUP($D210,素材!$1:$1016,COLUMN($F$1),FALSE))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M210">
        <f>IF(ISNUMBER(SEARCH(SUBSTITUTE(AM$1,RIGHT(AM$1,2),""),VLOOKUP($D210,素材!$1:$1016,COLUMN($F$1),FALSE))),VLOOKUP($C210,武器!$1:$998,COLUMN($O$1),FALSE)*VLOOKUP($D210,素材!$1:$1016,COLUMN($E$1),FALSE)/(LEN(VLOOKUP($D210,素材!$1:$1016,COLUMN($F$1),FALSE))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N210">
        <f>IF(ISNUMBER(SEARCH(SUBSTITUTE(AN$1,RIGHT(AN$1,2),""),VLOOKUP($D210,素材!$1:$1016,COLUMN($F$1),FALSE))),VLOOKUP($C210,武器!$1:$998,COLUMN($O$1),FALSE)*VLOOKUP($D210,素材!$1:$1016,COLUMN($E$1),FALSE)/(LEN(VLOOKUP($D210,素材!$1:$1016,COLUMN($F$1),FALSE))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O210">
        <f>IF(ISNUMBER(SEARCH(SUBSTITUTE(AO$1,RIGHT(AO$1,2),""),VLOOKUP($D210,素材!$1:$1016,COLUMN($F$1),FALSE))),VLOOKUP($C210,武器!$1:$998,COLUMN($O$1),FALSE)*VLOOKUP($D210,素材!$1:$1016,COLUMN($E$1),FALSE)/(LEN(VLOOKUP($D210,素材!$1:$1016,COLUMN($F$1),FALSE))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P210">
        <f>IF(ISNUMBER(SEARCH(SUBSTITUTE(AP$1,RIGHT(AP$1,2),""),VLOOKUP($D210,素材!$1:$1016,COLUMN($F$1),FALSE))),VLOOKUP($C210,武器!$1:$998,COLUMN($O$1),FALSE)*VLOOKUP($D210,素材!$1:$1016,COLUMN($E$1),FALSE)/(LEN(VLOOKUP($D210,素材!$1:$1016,COLUMN($F$1),FALSE))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Q210">
        <f>IF(ISNUMBER(SEARCH(SUBSTITUTE(AQ$1,RIGHT(AQ$1,2),""),VLOOKUP($D210,素材!$1:$1016,COLUMN($F$1),FALSE))),VLOOKUP($C210,武器!$1:$998,COLUMN($O$1),FALSE)*VLOOKUP($D210,素材!$1:$1016,COLUMN($E$1),FALSE)/(LEN(VLOOKUP($D210,素材!$1:$1016,COLUMN($F$1),FALSE))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R210">
        <f>IF(ISNUMBER(SEARCH(SUBSTITUTE(AR$1,RIGHT(AR$1,2),""),VLOOKUP($D210,素材!$1:$1016,COLUMN($F$1),FALSE))),VLOOKUP($C210,武器!$1:$998,COLUMN($O$1),FALSE)*VLOOKUP($D210,素材!$1:$1016,COLUMN($E$1),FALSE)/(LEN(VLOOKUP($D210,素材!$1:$1016,COLUMN($F$1),FALSE))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S210">
        <f>IF(ISNUMBER(SEARCH(SUBSTITUTE(AS$1,RIGHT(AS$1,2),""),VLOOKUP($D210,素材!$1:$1016,COLUMN($F$1),FALSE))),VLOOKUP($C210,武器!$1:$998,COLUMN($O$1),FALSE)*VLOOKUP($D210,素材!$1:$1016,COLUMN($E$1),FALSE)/(LEN(VLOOKUP($D210,素材!$1:$1016,COLUMN($F$1),FALSE))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T210">
        <f>IF(ISNUMBER(SEARCH(SUBSTITUTE(AT$1,RIGHT(AT$1,2),""),VLOOKUP($D210,素材!$1:$1016,COLUMN($F$1),FALSE))),VLOOKUP($C210,武器!$1:$998,COLUMN($O$1),FALSE)*VLOOKUP($D210,素材!$1:$1016,COLUMN($E$1),FALSE)/(LEN(VLOOKUP($D210,素材!$1:$1016,COLUMN($F$1),FALSE))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U210">
        <f>IF(ISNUMBER(SEARCH(SUBSTITUTE(AU$1,RIGHT(AU$1,2),""),VLOOKUP($D210,素材!$1:$1016,COLUMN($F$1),FALSE))),VLOOKUP($C210,武器!$1:$998,COLUMN($O$1),FALSE)*VLOOKUP($D210,素材!$1:$1016,COLUMN($E$1),FALSE)/(LEN(VLOOKUP($D210,素材!$1:$1016,COLUMN($F$1),FALSE))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V210">
        <f>IF(ISNUMBER(SEARCH(SUBSTITUTE(AV$1,RIGHT(AV$1,2),""),VLOOKUP($D210,素材!$1:$1016,COLUMN($F$1),FALSE))),VLOOKUP($C210,武器!$1:$998,COLUMN($O$1),FALSE)*VLOOKUP($D210,素材!$1:$1016,COLUMN($E$1),FALSE)/(LEN(VLOOKUP($D210,素材!$1:$1016,COLUMN($F$1),FALSE))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W210">
        <f>IF(ISNUMBER(SEARCH(SUBSTITUTE(AW$1,RIGHT(AW$1,2),""),VLOOKUP($D210,素材!$1:$1016,COLUMN($F$1),FALSE))),VLOOKUP($C210,武器!$1:$998,COLUMN($O$1),FALSE)*VLOOKUP($D210,素材!$1:$1016,COLUMN($E$1),FALSE)/(LEN(VLOOKUP($D210,素材!$1:$1016,COLUMN($F$1),FALSE))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X210">
        <f>IF(ISNUMBER(SEARCH(SUBSTITUTE(AX$1,RIGHT(AX$1,2),""),VLOOKUP($D210,素材!$1:$1016,COLUMN($F$1),FALSE))),VLOOKUP($C210,武器!$1:$998,COLUMN($O$1),FALSE)*VLOOKUP($D210,素材!$1:$1016,COLUMN($E$1),FALSE)/(LEN(VLOOKUP($D210,素材!$1:$1016,COLUMN($F$1),FALSE))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Y210">
        <f>IF(ISNUMBER(SEARCH(SUBSTITUTE(AY$1,RIGHT(AY$1,2),""),VLOOKUP($D210,素材!$1:$1016,COLUMN($F$1),FALSE))),VLOOKUP($C210,武器!$1:$998,COLUMN($O$1),FALSE)*VLOOKUP($D210,素材!$1:$1016,COLUMN($E$1),FALSE)/(LEN(VLOOKUP($D210,素材!$1:$1016,COLUMN($F$1),FALSE))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AZ210">
        <f>IF(ISNUMBER(SEARCH(SUBSTITUTE(AZ$1,RIGHT(AZ$1,2),""),VLOOKUP($D210,素材!$1:$1016,COLUMN($F$1),FALSE))),VLOOKUP($C210,武器!$1:$998,COLUMN($O$1),FALSE)*VLOOKUP($D210,素材!$1:$1016,COLUMN($E$1),FALSE)/(LEN(VLOOKUP($D210,素材!$1:$1016,COLUMN($F$1),FALSE))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BA210">
        <f>IF(ISNUMBER(SEARCH(SUBSTITUTE(BA$1,RIGHT(BA$1,2),""),VLOOKUP($D210,素材!$1:$1016,COLUMN($F$1),FALSE))),VLOOKUP($C210,武器!$1:$998,COLUMN($O$1),FALSE)*VLOOKUP($D210,素材!$1:$1016,COLUMN($E$1),FALSE)/(LEN(VLOOKUP($D210,素材!$1:$1016,COLUMN($F$1),FALSE))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BB210">
        <f>IF(ISNUMBER(SEARCH(SUBSTITUTE(BB$1,RIGHT(BB$1,2),""),VLOOKUP($D210,素材!$1:$1016,COLUMN($F$1),FALSE))),VLOOKUP($C210,武器!$1:$998,COLUMN($O$1),FALSE)*VLOOKUP($D210,素材!$1:$1016,COLUMN($E$1),FALSE)/(LEN(VLOOKUP($D210,素材!$1:$1016,COLUMN($F$1),FALSE))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BC210">
        <f>IF(ISNUMBER(SEARCH(SUBSTITUTE(BC$1,RIGHT(BC$1,2),""),VLOOKUP($D210,素材!$1:$1016,COLUMN($F$1),FALSE))),VLOOKUP($C210,武器!$1:$998,COLUMN($O$1),FALSE)*VLOOKUP($D210,素材!$1:$1016,COLUMN($E$1),FALSE)/(LEN(VLOOKUP($D210,素材!$1:$1016,COLUMN($F$1),FALSE))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BD210">
        <f>IF(ISNUMBER(SEARCH(SUBSTITUTE(BD$1,RIGHT(BD$1,2),""),VLOOKUP($D210,素材!$1:$1016,COLUMN($F$1),FALSE))),VLOOKUP($C210,武器!$1:$998,COLUMN($O$1),FALSE)*VLOOKUP($D210,素材!$1:$1016,COLUMN($E$1),FALSE)/(LEN(VLOOKUP($D210,素材!$1:$1016,COLUMN($F$1),FALSE))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BE210">
        <f>IF(ISNUMBER(SEARCH(SUBSTITUTE(BE$1,RIGHT(BE$1,2),""),VLOOKUP($D210,素材!$1:$1016,COLUMN($F$1),FALSE))),VLOOKUP($C210,武器!$1:$998,COLUMN($O$1),FALSE)*VLOOKUP($D210,素材!$1:$1016,COLUMN($E$1),FALSE)/(LEN(VLOOKUP($D210,素材!$1:$1016,COLUMN($F$1),FALSE))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BF210">
        <f>IF(ISNUMBER(SEARCH(SUBSTITUTE(BF$1,RIGHT(BF$1,2),""),VLOOKUP($D210,素材!$1:$1016,COLUMN($F$1),FALSE))),VLOOKUP($C210,武器!$1:$998,COLUMN($O$1),FALSE)*VLOOKUP($D210,素材!$1:$1016,COLUMN($E$1),FALSE)/(LEN(VLOOKUP($D210,素材!$1:$1016,COLUMN($F$1),FALSE)) - LEN(SUBSTITUTE(VLOOKUP($D210,素材!$1:$1016,COLUMN($F$1),FALSE), "・", 0)) + 1), 0)</f>
        <v>0</v>
      </c>
      <c r="CM210">
        <f t="shared" si="31"/>
        <v>22</v>
      </c>
      <c r="CN210" s="22" t="str">
        <f>IF(E210="武器",IF(J210-1&gt;SUM(G210:I210),"盾",IF(MAX(G210:I210)=G210,"切断",IF(MAX(G210:I210)=H210,"貫通",IF(MAX(G210:I210)=I210,"打撃","射撃")))),E210)&amp;".webp"</f>
        <v>切断.webp</v>
      </c>
      <c r="CO210">
        <f>IFERROR(VLOOKUP($C210,武器!$1:$998,COLUMN(V$1),FALSE)*VLOOKUP($D210,素材!$1:$1016,COLUMN(N$1),FALSE)+IF(CJ210="",0,VLOOKUP($CJ210,装強!$1:$1008,COLUMN($CL$1),FALSE)),"")</f>
        <v>3750</v>
      </c>
      <c r="CP210">
        <f>VLOOKUP(D210,素材!$A:$O,COLUMN(素材!O$1),FALSE)</f>
        <v>0</v>
      </c>
      <c r="CQ210" t="str">
        <f>VLOOKUP(C210,武器!$A:$W,COLUMN(武器!W$1),FALSE)</f>
        <v>鞭。リーチが長く、敵を絡め取る戦闘に適する。</v>
      </c>
      <c r="CS210" t="str">
        <f t="shared" si="32"/>
        <v>e_210</v>
      </c>
      <c r="CT210">
        <f t="shared" si="33"/>
        <v>375000</v>
      </c>
    </row>
    <row r="211" spans="1:98" outlineLevel="1" x14ac:dyDescent="0.4">
      <c r="A211" t="str">
        <f t="shared" si="30"/>
        <v>冷気鉄の丸盾</v>
      </c>
      <c r="B211" t="str">
        <f>IFERROR(VLOOKUP($D211,素材!$1:$1016,COLUMN($B$1),FALSE)&amp;"・"&amp;VLOOKUP($C211,武器!$1:$998,COLUMN(B$1),FALSE),"")</f>
        <v>ドゥララン・バックラー</v>
      </c>
      <c r="C211" t="s">
        <v>222</v>
      </c>
      <c r="D211" s="24" t="s">
        <v>243</v>
      </c>
      <c r="E211" t="str">
        <f>IFERROR(VLOOKUP(C211,武器!$1:$998,COLUMN(C$1),FALSE),"")</f>
        <v>盾</v>
      </c>
      <c r="F211">
        <f>IFERROR(ROUNDDOWN((VLOOKUP($C211,武器!$1:$998,COLUMN(D$1),FALSE)+IFERROR(VLOOKUP($CJ211,装強!$1:$999,COLUMN(F$1),FALSE),0))*VLOOKUP($D211,素材!$1:$1016,COLUMN(D$1),FALSE),0),"")</f>
        <v>100</v>
      </c>
      <c r="G211">
        <f>IFERROR(ROUNDDOWN((VLOOKUP($C211,武器!$1:$998,COLUMN(E$1),FALSE)+IFERROR(VLOOKUP($CJ211,装強!$1:$999,COLUMN(G$1),FALSE),0))*VLOOKUP($D211,素材!$1:$1016,COLUMN($E$1),FALSE),0),"")</f>
        <v>8</v>
      </c>
      <c r="H211">
        <f>IFERROR(ROUNDDOWN((VLOOKUP($C211,武器!$1:$998,COLUMN(F$1),FALSE)+IFERROR(VLOOKUP($CJ211,装強!$1:$999,COLUMN(H$1),FALSE),0))*VLOOKUP($D211,素材!$1:$1016,COLUMN($E$1),FALSE),0),"")</f>
        <v>0</v>
      </c>
      <c r="I211">
        <f>IFERROR(ROUNDDOWN((VLOOKUP($C211,武器!$1:$998,COLUMN(G$1),FALSE)+IFERROR(VLOOKUP($CJ211,装強!$1:$999,COLUMN(I$1),FALSE),0))*VLOOKUP($D211,素材!$1:$1016,COLUMN($E$1),FALSE),0),"")</f>
        <v>8</v>
      </c>
      <c r="J211">
        <f>IFERROR(ROUNDDOWN((VLOOKUP($C211,武器!$1:$998,COLUMN(H$1),FALSE)+IFERROR(VLOOKUP($CJ211,装強!$1:$999,COLUMN(J$1),FALSE),0))*VLOOKUP($D211,素材!$1:$1016,COLUMN($E$1),FALSE),0),"")</f>
        <v>23</v>
      </c>
      <c r="K211">
        <f>IFERROR(ROUNDDOWN((VLOOKUP($C211,武器!$1:$998,COLUMN(I$1),FALSE)+IFERROR(VLOOKUP($CJ211,装強!$1:$999,COLUMN(K$1),FALSE),0))*VLOOKUP($D211,素材!$1:$1016,COLUMN($E$1),FALSE),0),"")</f>
        <v>0</v>
      </c>
      <c r="L211" t="str">
        <f>IFERROR(VLOOKUP($D211,素材!$1:$1016,COLUMN($F$1),FALSE),"")</f>
        <v>氷</v>
      </c>
      <c r="M211">
        <f>IFERROR(VLOOKUP($C211,武器!$1:$998,COLUMN(AA$1),FALSE)*VLOOKUP($D211,素材!$1:$1016,COLUMN($G$1),FALSE),"")</f>
        <v>28</v>
      </c>
      <c r="N211">
        <f>IFERROR(VLOOKUP($C211,武器!$1:$998,COLUMN(I$1),FALSE),"")</f>
        <v>0</v>
      </c>
      <c r="O211" s="23">
        <f>IFERROR((VLOOKUP($C211,武器!$1:$998,COLUMN(K$1),FALSE)+VLOOKUP($D211,素材!$1:$1016,COLUMN(H$1),FALSE))*100+IFERROR(VLOOKUP($CJ211,装強!$1:$999,COLUMN(O$1),FALSE),0),"")</f>
        <v>5</v>
      </c>
      <c r="P211" s="23">
        <f>IFERROR((VLOOKUP($C211,武器!$1:$998,COLUMN(L$1),FALSE)+VLOOKUP($D211,素材!$1:$1016,COLUMN(I$1),FALSE))*100+IFERROR(VLOOKUP($CJ211,装強!$1:$999,COLUMN(P$1),FALSE),0),"")</f>
        <v>125</v>
      </c>
      <c r="Q211">
        <f>IFERROR(ROUNDUP(VLOOKUP($C211,武器!$1:$998,COLUMN(M$1),FALSE)*(VLOOKUP($D211,素材!$1:$1002,COLUMN(D$1),FALSE)/100),1),"")</f>
        <v>0</v>
      </c>
      <c r="R211">
        <f>IFERROR(ROUNDUP(VLOOKUP($C211,武器!$1:$998,COLUMN(N$1),FALSE)*(VLOOKUP($D211,素材!$1:$1002,COLUMN(D$1),FALSE)/100),1),"")</f>
        <v>0</v>
      </c>
      <c r="S211">
        <f>IFERROR(VLOOKUP($C211,武器!$1:$998,COLUMN(P$1),FALSE),"")</f>
        <v>0</v>
      </c>
      <c r="T211">
        <f>IFERROR(VLOOKUP($C211,武器!$1:$998,COLUMN(Q$1),FALSE),"")</f>
        <v>0</v>
      </c>
      <c r="U211">
        <f>IFERROR(VLOOKUP($C211,武器!$1:$998,COLUMN(R$1),FALSE),"")</f>
        <v>0</v>
      </c>
      <c r="V211">
        <f>IFERROR(VLOOKUP($C211,武器!$1:$998,COLUMN(Q$1),FALSE),"")</f>
        <v>0</v>
      </c>
      <c r="W211" t="str">
        <f>IFERROR(VLOOKUP($C211,武器!$1:$998,COLUMN(T$1),FALSE),"")</f>
        <v>A</v>
      </c>
      <c r="Y211" t="str">
        <f>IFERROR(VLOOKUP($C211,武器!$1:$998,COLUMN(U$1),FALSE),"")</f>
        <v>投擲強化,片手適性Ⅱ</v>
      </c>
      <c r="Z211">
        <f>IFERROR(ROUNDUP(VLOOKUP($C211,武器!$1:$998,COLUMN(O$1),FALSE)*VLOOKUP($D211,素材!$1:$1016,COLUMN(E$1),FALSE),1),"")</f>
        <v>0</v>
      </c>
      <c r="AA211">
        <f>IF(ISNUMBER(SEARCH(SUBSTITUTE(AA$1,RIGHT(AA$1,2),""),VLOOKUP($D211,素材!$1:$1016,COLUMN($F$1),FALSE))),VLOOKUP($C211,武器!$1:$998,COLUMN($O$1),FALSE)*VLOOKUP($D211,素材!$1:$1016,COLUMN($E$1),FALSE)/(LEN(VLOOKUP($D211,素材!$1:$1016,COLUMN($F$1),FALSE))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B211">
        <f>IF(ISNUMBER(SEARCH(SUBSTITUTE(AB$1,RIGHT(AB$1,2),""),VLOOKUP($D211,素材!$1:$1016,COLUMN($F$1),FALSE))),VLOOKUP($C211,武器!$1:$998,COLUMN($O$1),FALSE)*VLOOKUP($D211,素材!$1:$1016,COLUMN($E$1),FALSE)/(LEN(VLOOKUP($D211,素材!$1:$1016,COLUMN($F$1),FALSE))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C211">
        <f>IF(ISNUMBER(SEARCH(SUBSTITUTE(AC$1,RIGHT(AC$1,2),""),VLOOKUP($D211,素材!$1:$1016,COLUMN($F$1),FALSE))),VLOOKUP($C211,武器!$1:$998,COLUMN($O$1),FALSE)*VLOOKUP($D211,素材!$1:$1016,COLUMN($E$1),FALSE)/(LEN(VLOOKUP($D211,素材!$1:$1016,COLUMN($F$1),FALSE))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D211">
        <f>IF(ISNUMBER(SEARCH(SUBSTITUTE(AD$1,RIGHT(AD$1,2),""),VLOOKUP($D211,素材!$1:$1016,COLUMN($F$1),FALSE))),VLOOKUP($C211,武器!$1:$998,COLUMN($O$1),FALSE)*VLOOKUP($D211,素材!$1:$1016,COLUMN($E$1),FALSE)/(LEN(VLOOKUP($D211,素材!$1:$1016,COLUMN($F$1),FALSE))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E211">
        <f>IF(ISNUMBER(SEARCH(SUBSTITUTE(AE$1,RIGHT(AE$1,2),""),VLOOKUP($D211,素材!$1:$1016,COLUMN($F$1),FALSE))),VLOOKUP($C211,武器!$1:$998,COLUMN($O$1),FALSE)*VLOOKUP($D211,素材!$1:$1016,COLUMN($E$1),FALSE)/(LEN(VLOOKUP($D211,素材!$1:$1016,COLUMN($F$1),FALSE))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F211">
        <f>IF(ISNUMBER(SEARCH(SUBSTITUTE(AF$1,RIGHT(AF$1,2),""),VLOOKUP($D211,素材!$1:$1016,COLUMN($F$1),FALSE))),VLOOKUP($C211,武器!$1:$998,COLUMN($O$1),FALSE)*VLOOKUP($D211,素材!$1:$1016,COLUMN($E$1),FALSE)/(LEN(VLOOKUP($D211,素材!$1:$1016,COLUMN($F$1),FALSE))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G211">
        <f>IF(ISNUMBER(SEARCH(SUBSTITUTE(AG$1,RIGHT(AG$1,2),""),VLOOKUP($D211,素材!$1:$1016,COLUMN($F$1),FALSE))),VLOOKUP($C211,武器!$1:$998,COLUMN($O$1),FALSE)*VLOOKUP($D211,素材!$1:$1016,COLUMN($E$1),FALSE)/(LEN(VLOOKUP($D211,素材!$1:$1016,COLUMN($F$1),FALSE))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H211">
        <f>IF(ISNUMBER(SEARCH(SUBSTITUTE(AH$1,RIGHT(AH$1,2),""),VLOOKUP($D211,素材!$1:$1016,COLUMN($F$1),FALSE))),VLOOKUP($C211,武器!$1:$998,COLUMN($O$1),FALSE)*VLOOKUP($D211,素材!$1:$1016,COLUMN($E$1),FALSE)/(LEN(VLOOKUP($D211,素材!$1:$1016,COLUMN($F$1),FALSE))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I211">
        <f>IF(ISNUMBER(SEARCH(SUBSTITUTE(AI$1,RIGHT(AI$1,2),""),VLOOKUP($D211,素材!$1:$1016,COLUMN($F$1),FALSE))),VLOOKUP($C211,武器!$1:$998,COLUMN($O$1),FALSE)*VLOOKUP($D211,素材!$1:$1016,COLUMN($E$1),FALSE)/(LEN(VLOOKUP($D211,素材!$1:$1016,COLUMN($F$1),FALSE))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J211">
        <f>IF(ISNUMBER(SEARCH(SUBSTITUTE(AJ$1,RIGHT(AJ$1,2),""),VLOOKUP($D211,素材!$1:$1016,COLUMN($F$1),FALSE))),VLOOKUP($C211,武器!$1:$998,COLUMN($O$1),FALSE)*VLOOKUP($D211,素材!$1:$1016,COLUMN($E$1),FALSE)/(LEN(VLOOKUP($D211,素材!$1:$1016,COLUMN($F$1),FALSE))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K211">
        <f>IF(ISNUMBER(SEARCH(SUBSTITUTE(AK$1,RIGHT(AK$1,2),""),VLOOKUP($D211,素材!$1:$1016,COLUMN($F$1),FALSE))),VLOOKUP($C211,武器!$1:$998,COLUMN($O$1),FALSE)*VLOOKUP($D211,素材!$1:$1016,COLUMN($E$1),FALSE)/(LEN(VLOOKUP($D211,素材!$1:$1016,COLUMN($F$1),FALSE))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L211">
        <f>IF(ISNUMBER(SEARCH(SUBSTITUTE(AL$1,RIGHT(AL$1,2),""),VLOOKUP($D211,素材!$1:$1016,COLUMN($F$1),FALSE))),VLOOKUP($C211,武器!$1:$998,COLUMN($O$1),FALSE)*VLOOKUP($D211,素材!$1:$1016,COLUMN($E$1),FALSE)/(LEN(VLOOKUP($D211,素材!$1:$1016,COLUMN($F$1),FALSE))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M211">
        <f>IF(ISNUMBER(SEARCH(SUBSTITUTE(AM$1,RIGHT(AM$1,2),""),VLOOKUP($D211,素材!$1:$1016,COLUMN($F$1),FALSE))),VLOOKUP($C211,武器!$1:$998,COLUMN($O$1),FALSE)*VLOOKUP($D211,素材!$1:$1016,COLUMN($E$1),FALSE)/(LEN(VLOOKUP($D211,素材!$1:$1016,COLUMN($F$1),FALSE))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N211">
        <f>IF(ISNUMBER(SEARCH(SUBSTITUTE(AN$1,RIGHT(AN$1,2),""),VLOOKUP($D211,素材!$1:$1016,COLUMN($F$1),FALSE))),VLOOKUP($C211,武器!$1:$998,COLUMN($O$1),FALSE)*VLOOKUP($D211,素材!$1:$1016,COLUMN($E$1),FALSE)/(LEN(VLOOKUP($D211,素材!$1:$1016,COLUMN($F$1),FALSE))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O211">
        <f>IF(ISNUMBER(SEARCH(SUBSTITUTE(AO$1,RIGHT(AO$1,2),""),VLOOKUP($D211,素材!$1:$1016,COLUMN($F$1),FALSE))),VLOOKUP($C211,武器!$1:$998,COLUMN($O$1),FALSE)*VLOOKUP($D211,素材!$1:$1016,COLUMN($E$1),FALSE)/(LEN(VLOOKUP($D211,素材!$1:$1016,COLUMN($F$1),FALSE))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P211">
        <f>IF(ISNUMBER(SEARCH(SUBSTITUTE(AP$1,RIGHT(AP$1,2),""),VLOOKUP($D211,素材!$1:$1016,COLUMN($F$1),FALSE))),VLOOKUP($C211,武器!$1:$998,COLUMN($O$1),FALSE)*VLOOKUP($D211,素材!$1:$1016,COLUMN($E$1),FALSE)/(LEN(VLOOKUP($D211,素材!$1:$1016,COLUMN($F$1),FALSE))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Q211">
        <f>IF(ISNUMBER(SEARCH(SUBSTITUTE(AQ$1,RIGHT(AQ$1,2),""),VLOOKUP($D211,素材!$1:$1016,COLUMN($F$1),FALSE))),VLOOKUP($C211,武器!$1:$998,COLUMN($O$1),FALSE)*VLOOKUP($D211,素材!$1:$1016,COLUMN($E$1),FALSE)/(LEN(VLOOKUP($D211,素材!$1:$1016,COLUMN($F$1),FALSE))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R211">
        <f>IF(ISNUMBER(SEARCH(SUBSTITUTE(AR$1,RIGHT(AR$1,2),""),VLOOKUP($D211,素材!$1:$1016,COLUMN($F$1),FALSE))),VLOOKUP($C211,武器!$1:$998,COLUMN($O$1),FALSE)*VLOOKUP($D211,素材!$1:$1016,COLUMN($E$1),FALSE)/(LEN(VLOOKUP($D211,素材!$1:$1016,COLUMN($F$1),FALSE))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S211">
        <f>IF(ISNUMBER(SEARCH(SUBSTITUTE(AS$1,RIGHT(AS$1,2),""),VLOOKUP($D211,素材!$1:$1016,COLUMN($F$1),FALSE))),VLOOKUP($C211,武器!$1:$998,COLUMN($O$1),FALSE)*VLOOKUP($D211,素材!$1:$1016,COLUMN($E$1),FALSE)/(LEN(VLOOKUP($D211,素材!$1:$1016,COLUMN($F$1),FALSE))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T211">
        <f>IF(ISNUMBER(SEARCH(SUBSTITUTE(AT$1,RIGHT(AT$1,2),""),VLOOKUP($D211,素材!$1:$1016,COLUMN($F$1),FALSE))),VLOOKUP($C211,武器!$1:$998,COLUMN($O$1),FALSE)*VLOOKUP($D211,素材!$1:$1016,COLUMN($E$1),FALSE)/(LEN(VLOOKUP($D211,素材!$1:$1016,COLUMN($F$1),FALSE))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U211">
        <f>IF(ISNUMBER(SEARCH(SUBSTITUTE(AU$1,RIGHT(AU$1,2),""),VLOOKUP($D211,素材!$1:$1016,COLUMN($F$1),FALSE))),VLOOKUP($C211,武器!$1:$998,COLUMN($O$1),FALSE)*VLOOKUP($D211,素材!$1:$1016,COLUMN($E$1),FALSE)/(LEN(VLOOKUP($D211,素材!$1:$1016,COLUMN($F$1),FALSE))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V211">
        <f>IF(ISNUMBER(SEARCH(SUBSTITUTE(AV$1,RIGHT(AV$1,2),""),VLOOKUP($D211,素材!$1:$1016,COLUMN($F$1),FALSE))),VLOOKUP($C211,武器!$1:$998,COLUMN($O$1),FALSE)*VLOOKUP($D211,素材!$1:$1016,COLUMN($E$1),FALSE)/(LEN(VLOOKUP($D211,素材!$1:$1016,COLUMN($F$1),FALSE))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W211">
        <f>IF(ISNUMBER(SEARCH(SUBSTITUTE(AW$1,RIGHT(AW$1,2),""),VLOOKUP($D211,素材!$1:$1016,COLUMN($F$1),FALSE))),VLOOKUP($C211,武器!$1:$998,COLUMN($O$1),FALSE)*VLOOKUP($D211,素材!$1:$1016,COLUMN($E$1),FALSE)/(LEN(VLOOKUP($D211,素材!$1:$1016,COLUMN($F$1),FALSE))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X211">
        <f>IF(ISNUMBER(SEARCH(SUBSTITUTE(AX$1,RIGHT(AX$1,2),""),VLOOKUP($D211,素材!$1:$1016,COLUMN($F$1),FALSE))),VLOOKUP($C211,武器!$1:$998,COLUMN($O$1),FALSE)*VLOOKUP($D211,素材!$1:$1016,COLUMN($E$1),FALSE)/(LEN(VLOOKUP($D211,素材!$1:$1016,COLUMN($F$1),FALSE))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Y211">
        <f>IF(ISNUMBER(SEARCH(SUBSTITUTE(AY$1,RIGHT(AY$1,2),""),VLOOKUP($D211,素材!$1:$1016,COLUMN($F$1),FALSE))),VLOOKUP($C211,武器!$1:$998,COLUMN($O$1),FALSE)*VLOOKUP($D211,素材!$1:$1016,COLUMN($E$1),FALSE)/(LEN(VLOOKUP($D211,素材!$1:$1016,COLUMN($F$1),FALSE))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AZ211">
        <f>IF(ISNUMBER(SEARCH(SUBSTITUTE(AZ$1,RIGHT(AZ$1,2),""),VLOOKUP($D211,素材!$1:$1016,COLUMN($F$1),FALSE))),VLOOKUP($C211,武器!$1:$998,COLUMN($O$1),FALSE)*VLOOKUP($D211,素材!$1:$1016,COLUMN($E$1),FALSE)/(LEN(VLOOKUP($D211,素材!$1:$1016,COLUMN($F$1),FALSE))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BA211">
        <f>IF(ISNUMBER(SEARCH(SUBSTITUTE(BA$1,RIGHT(BA$1,2),""),VLOOKUP($D211,素材!$1:$1016,COLUMN($F$1),FALSE))),VLOOKUP($C211,武器!$1:$998,COLUMN($O$1),FALSE)*VLOOKUP($D211,素材!$1:$1016,COLUMN($E$1),FALSE)/(LEN(VLOOKUP($D211,素材!$1:$1016,COLUMN($F$1),FALSE))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BB211">
        <f>IF(ISNUMBER(SEARCH(SUBSTITUTE(BB$1,RIGHT(BB$1,2),""),VLOOKUP($D211,素材!$1:$1016,COLUMN($F$1),FALSE))),VLOOKUP($C211,武器!$1:$998,COLUMN($O$1),FALSE)*VLOOKUP($D211,素材!$1:$1016,COLUMN($E$1),FALSE)/(LEN(VLOOKUP($D211,素材!$1:$1016,COLUMN($F$1),FALSE))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BC211">
        <f>IF(ISNUMBER(SEARCH(SUBSTITUTE(BC$1,RIGHT(BC$1,2),""),VLOOKUP($D211,素材!$1:$1016,COLUMN($F$1),FALSE))),VLOOKUP($C211,武器!$1:$998,COLUMN($O$1),FALSE)*VLOOKUP($D211,素材!$1:$1016,COLUMN($E$1),FALSE)/(LEN(VLOOKUP($D211,素材!$1:$1016,COLUMN($F$1),FALSE))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BD211">
        <f>IF(ISNUMBER(SEARCH(SUBSTITUTE(BD$1,RIGHT(BD$1,2),""),VLOOKUP($D211,素材!$1:$1016,COLUMN($F$1),FALSE))),VLOOKUP($C211,武器!$1:$998,COLUMN($O$1),FALSE)*VLOOKUP($D211,素材!$1:$1016,COLUMN($E$1),FALSE)/(LEN(VLOOKUP($D211,素材!$1:$1016,COLUMN($F$1),FALSE))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BE211">
        <f>IF(ISNUMBER(SEARCH(SUBSTITUTE(BE$1,RIGHT(BE$1,2),""),VLOOKUP($D211,素材!$1:$1016,COLUMN($F$1),FALSE))),VLOOKUP($C211,武器!$1:$998,COLUMN($O$1),FALSE)*VLOOKUP($D211,素材!$1:$1016,COLUMN($E$1),FALSE)/(LEN(VLOOKUP($D211,素材!$1:$1016,COLUMN($F$1),FALSE))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BF211">
        <f>IF(ISNUMBER(SEARCH(SUBSTITUTE(BF$1,RIGHT(BF$1,2),""),VLOOKUP($D211,素材!$1:$1016,COLUMN($F$1),FALSE))),VLOOKUP($C211,武器!$1:$998,COLUMN($O$1),FALSE)*VLOOKUP($D211,素材!$1:$1016,COLUMN($E$1),FALSE)/(LEN(VLOOKUP($D211,素材!$1:$1016,COLUMN($F$1),FALSE)) - LEN(SUBSTITUTE(VLOOKUP($D211,素材!$1:$1016,COLUMN($F$1),FALSE), "・", 0)) + 1), 0)</f>
        <v>0</v>
      </c>
      <c r="CM211">
        <f t="shared" si="31"/>
        <v>16</v>
      </c>
      <c r="CN211" s="22" t="str">
        <f>IF(E211="武器",IF(J211-1&gt;SUM(G211:I211),"盾",IF(MAX(G211:I211)=G211,"切断",IF(MAX(G211:I211)=H211,"貫通",IF(MAX(G211:I211)=I211,"打撃","射撃")))),E211)&amp;".webp"</f>
        <v>盾.webp</v>
      </c>
      <c r="CO211">
        <f>IFERROR(VLOOKUP($C211,武器!$1:$998,COLUMN(V$1),FALSE)*VLOOKUP($D211,素材!$1:$1016,COLUMN(N$1),FALSE)+IF(CJ211="",0,VLOOKUP($CJ211,装強!$1:$1008,COLUMN($CL$1),FALSE)),"")</f>
        <v>2250</v>
      </c>
      <c r="CP211">
        <f>VLOOKUP(D211,素材!$A:$O,COLUMN(素材!O$1),FALSE)</f>
        <v>0</v>
      </c>
      <c r="CQ211" t="str">
        <f>VLOOKUP(C211,武器!$A:$W,COLUMN(武器!W$1),FALSE)</f>
        <v>丸盾。軽量で投擲にも使える盾。</v>
      </c>
      <c r="CS211" t="str">
        <f t="shared" si="32"/>
        <v>e_211</v>
      </c>
      <c r="CT211">
        <f t="shared" si="33"/>
        <v>225000</v>
      </c>
    </row>
    <row r="212" spans="1:98" outlineLevel="1" x14ac:dyDescent="0.4">
      <c r="A212" t="str">
        <f t="shared" si="30"/>
        <v>冷気鉄の盾</v>
      </c>
      <c r="B212" t="str">
        <f>IFERROR(VLOOKUP($D212,素材!$1:$1016,COLUMN($B$1),FALSE)&amp;"・"&amp;VLOOKUP($C212,武器!$1:$998,COLUMN(B$1),FALSE),"")</f>
        <v>ドゥララン・シールド</v>
      </c>
      <c r="C212" t="s">
        <v>221</v>
      </c>
      <c r="D212" s="24" t="s">
        <v>243</v>
      </c>
      <c r="E212" t="str">
        <f>IFERROR(VLOOKUP(C212,武器!$1:$998,COLUMN(C$1),FALSE),"")</f>
        <v>盾</v>
      </c>
      <c r="F212">
        <f>IFERROR(ROUNDDOWN((VLOOKUP($C212,武器!$1:$998,COLUMN(D$1),FALSE)+IFERROR(VLOOKUP($CJ212,装強!$1:$999,COLUMN(F$1),FALSE),0))*VLOOKUP($D212,素材!$1:$1016,COLUMN(D$1),FALSE),0),"")</f>
        <v>100</v>
      </c>
      <c r="G212">
        <f>IFERROR(ROUNDDOWN((VLOOKUP($C212,武器!$1:$998,COLUMN(E$1),FALSE)+IFERROR(VLOOKUP($CJ212,装強!$1:$999,COLUMN(G$1),FALSE),0))*VLOOKUP($D212,素材!$1:$1016,COLUMN($E$1),FALSE),0),"")</f>
        <v>0</v>
      </c>
      <c r="H212">
        <f>IFERROR(ROUNDDOWN((VLOOKUP($C212,武器!$1:$998,COLUMN(F$1),FALSE)+IFERROR(VLOOKUP($CJ212,装強!$1:$999,COLUMN(H$1),FALSE),0))*VLOOKUP($D212,素材!$1:$1016,COLUMN($E$1),FALSE),0),"")</f>
        <v>0</v>
      </c>
      <c r="I212">
        <f>IFERROR(ROUNDDOWN((VLOOKUP($C212,武器!$1:$998,COLUMN(G$1),FALSE)+IFERROR(VLOOKUP($CJ212,装強!$1:$999,COLUMN(I$1),FALSE),0))*VLOOKUP($D212,素材!$1:$1016,COLUMN($E$1),FALSE),0),"")</f>
        <v>16</v>
      </c>
      <c r="J212">
        <f>IFERROR(ROUNDDOWN((VLOOKUP($C212,武器!$1:$998,COLUMN(H$1),FALSE)+IFERROR(VLOOKUP($CJ212,装強!$1:$999,COLUMN(J$1),FALSE),0))*VLOOKUP($D212,素材!$1:$1016,COLUMN($E$1),FALSE),0),"")</f>
        <v>25</v>
      </c>
      <c r="K212">
        <f>IFERROR(ROUNDDOWN((VLOOKUP($C212,武器!$1:$998,COLUMN(I$1),FALSE)+IFERROR(VLOOKUP($CJ212,装強!$1:$999,COLUMN(K$1),FALSE),0))*VLOOKUP($D212,素材!$1:$1016,COLUMN($E$1),FALSE),0),"")</f>
        <v>0</v>
      </c>
      <c r="L212" t="str">
        <f>IFERROR(VLOOKUP($D212,素材!$1:$1016,COLUMN($F$1),FALSE),"")</f>
        <v>氷</v>
      </c>
      <c r="M212">
        <f>IFERROR(VLOOKUP($C212,武器!$1:$998,COLUMN(AA$1),FALSE)*VLOOKUP($D212,素材!$1:$1016,COLUMN($G$1),FALSE),"")</f>
        <v>28</v>
      </c>
      <c r="N212">
        <f>IFERROR(VLOOKUP($C212,武器!$1:$998,COLUMN(I$1),FALSE),"")</f>
        <v>0</v>
      </c>
      <c r="O212" s="23">
        <f>IFERROR((VLOOKUP($C212,武器!$1:$998,COLUMN(K$1),FALSE)+VLOOKUP($D212,素材!$1:$1016,COLUMN(H$1),FALSE))*100+IFERROR(VLOOKUP($CJ212,装強!$1:$999,COLUMN(O$1),FALSE),0),"")</f>
        <v>5</v>
      </c>
      <c r="P212" s="23">
        <f>IFERROR((VLOOKUP($C212,武器!$1:$998,COLUMN(L$1),FALSE)+VLOOKUP($D212,素材!$1:$1016,COLUMN(I$1),FALSE))*100+IFERROR(VLOOKUP($CJ212,装強!$1:$999,COLUMN(P$1),FALSE),0),"")</f>
        <v>125</v>
      </c>
      <c r="Q212">
        <f>IFERROR(ROUNDUP(VLOOKUP($C212,武器!$1:$998,COLUMN(M$1),FALSE)*(VLOOKUP($D212,素材!$1:$1002,COLUMN(D$1),FALSE)/100),1),"")</f>
        <v>0</v>
      </c>
      <c r="R212">
        <f>IFERROR(ROUNDUP(VLOOKUP($C212,武器!$1:$998,COLUMN(N$1),FALSE)*(VLOOKUP($D212,素材!$1:$1002,COLUMN(D$1),FALSE)/100),1),"")</f>
        <v>0</v>
      </c>
      <c r="S212">
        <f>IFERROR(VLOOKUP($C212,武器!$1:$998,COLUMN(P$1),FALSE),"")</f>
        <v>0</v>
      </c>
      <c r="T212">
        <f>IFERROR(VLOOKUP($C212,武器!$1:$998,COLUMN(Q$1),FALSE),"")</f>
        <v>0</v>
      </c>
      <c r="U212">
        <f>IFERROR(VLOOKUP($C212,武器!$1:$998,COLUMN(R$1),FALSE),"")</f>
        <v>0</v>
      </c>
      <c r="V212">
        <f>IFERROR(VLOOKUP($C212,武器!$1:$998,COLUMN(Q$1),FALSE),"")</f>
        <v>0</v>
      </c>
      <c r="W212" t="str">
        <f>IFERROR(VLOOKUP($C212,武器!$1:$998,COLUMN(T$1),FALSE),"")</f>
        <v>A</v>
      </c>
      <c r="Y212" t="str">
        <f>IFERROR(VLOOKUP($C212,武器!$1:$998,COLUMN(U$1),FALSE),"")</f>
        <v>片手適性Ⅱ</v>
      </c>
      <c r="Z212">
        <f>IFERROR(ROUNDUP(VLOOKUP($C212,武器!$1:$998,COLUMN(O$1),FALSE)*VLOOKUP($D212,素材!$1:$1016,COLUMN(E$1),FALSE),1),"")</f>
        <v>0</v>
      </c>
      <c r="AA212">
        <f>IF(ISNUMBER(SEARCH(SUBSTITUTE(AA$1,RIGHT(AA$1,2),""),VLOOKUP($D212,素材!$1:$1016,COLUMN($F$1),FALSE))),VLOOKUP($C212,武器!$1:$998,COLUMN($O$1),FALSE)*VLOOKUP($D212,素材!$1:$1016,COLUMN($E$1),FALSE)/(LEN(VLOOKUP($D212,素材!$1:$1016,COLUMN($F$1),FALSE))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B212">
        <f>IF(ISNUMBER(SEARCH(SUBSTITUTE(AB$1,RIGHT(AB$1,2),""),VLOOKUP($D212,素材!$1:$1016,COLUMN($F$1),FALSE))),VLOOKUP($C212,武器!$1:$998,COLUMN($O$1),FALSE)*VLOOKUP($D212,素材!$1:$1016,COLUMN($E$1),FALSE)/(LEN(VLOOKUP($D212,素材!$1:$1016,COLUMN($F$1),FALSE))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C212">
        <f>IF(ISNUMBER(SEARCH(SUBSTITUTE(AC$1,RIGHT(AC$1,2),""),VLOOKUP($D212,素材!$1:$1016,COLUMN($F$1),FALSE))),VLOOKUP($C212,武器!$1:$998,COLUMN($O$1),FALSE)*VLOOKUP($D212,素材!$1:$1016,COLUMN($E$1),FALSE)/(LEN(VLOOKUP($D212,素材!$1:$1016,COLUMN($F$1),FALSE))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D212">
        <f>IF(ISNUMBER(SEARCH(SUBSTITUTE(AD$1,RIGHT(AD$1,2),""),VLOOKUP($D212,素材!$1:$1016,COLUMN($F$1),FALSE))),VLOOKUP($C212,武器!$1:$998,COLUMN($O$1),FALSE)*VLOOKUP($D212,素材!$1:$1016,COLUMN($E$1),FALSE)/(LEN(VLOOKUP($D212,素材!$1:$1016,COLUMN($F$1),FALSE))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E212">
        <f>IF(ISNUMBER(SEARCH(SUBSTITUTE(AE$1,RIGHT(AE$1,2),""),VLOOKUP($D212,素材!$1:$1016,COLUMN($F$1),FALSE))),VLOOKUP($C212,武器!$1:$998,COLUMN($O$1),FALSE)*VLOOKUP($D212,素材!$1:$1016,COLUMN($E$1),FALSE)/(LEN(VLOOKUP($D212,素材!$1:$1016,COLUMN($F$1),FALSE))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F212">
        <f>IF(ISNUMBER(SEARCH(SUBSTITUTE(AF$1,RIGHT(AF$1,2),""),VLOOKUP($D212,素材!$1:$1016,COLUMN($F$1),FALSE))),VLOOKUP($C212,武器!$1:$998,COLUMN($O$1),FALSE)*VLOOKUP($D212,素材!$1:$1016,COLUMN($E$1),FALSE)/(LEN(VLOOKUP($D212,素材!$1:$1016,COLUMN($F$1),FALSE))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G212">
        <f>IF(ISNUMBER(SEARCH(SUBSTITUTE(AG$1,RIGHT(AG$1,2),""),VLOOKUP($D212,素材!$1:$1016,COLUMN($F$1),FALSE))),VLOOKUP($C212,武器!$1:$998,COLUMN($O$1),FALSE)*VLOOKUP($D212,素材!$1:$1016,COLUMN($E$1),FALSE)/(LEN(VLOOKUP($D212,素材!$1:$1016,COLUMN($F$1),FALSE))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H212">
        <f>IF(ISNUMBER(SEARCH(SUBSTITUTE(AH$1,RIGHT(AH$1,2),""),VLOOKUP($D212,素材!$1:$1016,COLUMN($F$1),FALSE))),VLOOKUP($C212,武器!$1:$998,COLUMN($O$1),FALSE)*VLOOKUP($D212,素材!$1:$1016,COLUMN($E$1),FALSE)/(LEN(VLOOKUP($D212,素材!$1:$1016,COLUMN($F$1),FALSE))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I212">
        <f>IF(ISNUMBER(SEARCH(SUBSTITUTE(AI$1,RIGHT(AI$1,2),""),VLOOKUP($D212,素材!$1:$1016,COLUMN($F$1),FALSE))),VLOOKUP($C212,武器!$1:$998,COLUMN($O$1),FALSE)*VLOOKUP($D212,素材!$1:$1016,COLUMN($E$1),FALSE)/(LEN(VLOOKUP($D212,素材!$1:$1016,COLUMN($F$1),FALSE))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J212">
        <f>IF(ISNUMBER(SEARCH(SUBSTITUTE(AJ$1,RIGHT(AJ$1,2),""),VLOOKUP($D212,素材!$1:$1016,COLUMN($F$1),FALSE))),VLOOKUP($C212,武器!$1:$998,COLUMN($O$1),FALSE)*VLOOKUP($D212,素材!$1:$1016,COLUMN($E$1),FALSE)/(LEN(VLOOKUP($D212,素材!$1:$1016,COLUMN($F$1),FALSE))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K212">
        <f>IF(ISNUMBER(SEARCH(SUBSTITUTE(AK$1,RIGHT(AK$1,2),""),VLOOKUP($D212,素材!$1:$1016,COLUMN($F$1),FALSE))),VLOOKUP($C212,武器!$1:$998,COLUMN($O$1),FALSE)*VLOOKUP($D212,素材!$1:$1016,COLUMN($E$1),FALSE)/(LEN(VLOOKUP($D212,素材!$1:$1016,COLUMN($F$1),FALSE))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L212">
        <f>IF(ISNUMBER(SEARCH(SUBSTITUTE(AL$1,RIGHT(AL$1,2),""),VLOOKUP($D212,素材!$1:$1016,COLUMN($F$1),FALSE))),VLOOKUP($C212,武器!$1:$998,COLUMN($O$1),FALSE)*VLOOKUP($D212,素材!$1:$1016,COLUMN($E$1),FALSE)/(LEN(VLOOKUP($D212,素材!$1:$1016,COLUMN($F$1),FALSE))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M212">
        <f>IF(ISNUMBER(SEARCH(SUBSTITUTE(AM$1,RIGHT(AM$1,2),""),VLOOKUP($D212,素材!$1:$1016,COLUMN($F$1),FALSE))),VLOOKUP($C212,武器!$1:$998,COLUMN($O$1),FALSE)*VLOOKUP($D212,素材!$1:$1016,COLUMN($E$1),FALSE)/(LEN(VLOOKUP($D212,素材!$1:$1016,COLUMN($F$1),FALSE))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N212">
        <f>IF(ISNUMBER(SEARCH(SUBSTITUTE(AN$1,RIGHT(AN$1,2),""),VLOOKUP($D212,素材!$1:$1016,COLUMN($F$1),FALSE))),VLOOKUP($C212,武器!$1:$998,COLUMN($O$1),FALSE)*VLOOKUP($D212,素材!$1:$1016,COLUMN($E$1),FALSE)/(LEN(VLOOKUP($D212,素材!$1:$1016,COLUMN($F$1),FALSE))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O212">
        <f>IF(ISNUMBER(SEARCH(SUBSTITUTE(AO$1,RIGHT(AO$1,2),""),VLOOKUP($D212,素材!$1:$1016,COLUMN($F$1),FALSE))),VLOOKUP($C212,武器!$1:$998,COLUMN($O$1),FALSE)*VLOOKUP($D212,素材!$1:$1016,COLUMN($E$1),FALSE)/(LEN(VLOOKUP($D212,素材!$1:$1016,COLUMN($F$1),FALSE))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P212">
        <f>IF(ISNUMBER(SEARCH(SUBSTITUTE(AP$1,RIGHT(AP$1,2),""),VLOOKUP($D212,素材!$1:$1016,COLUMN($F$1),FALSE))),VLOOKUP($C212,武器!$1:$998,COLUMN($O$1),FALSE)*VLOOKUP($D212,素材!$1:$1016,COLUMN($E$1),FALSE)/(LEN(VLOOKUP($D212,素材!$1:$1016,COLUMN($F$1),FALSE))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Q212">
        <f>IF(ISNUMBER(SEARCH(SUBSTITUTE(AQ$1,RIGHT(AQ$1,2),""),VLOOKUP($D212,素材!$1:$1016,COLUMN($F$1),FALSE))),VLOOKUP($C212,武器!$1:$998,COLUMN($O$1),FALSE)*VLOOKUP($D212,素材!$1:$1016,COLUMN($E$1),FALSE)/(LEN(VLOOKUP($D212,素材!$1:$1016,COLUMN($F$1),FALSE))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R212">
        <f>IF(ISNUMBER(SEARCH(SUBSTITUTE(AR$1,RIGHT(AR$1,2),""),VLOOKUP($D212,素材!$1:$1016,COLUMN($F$1),FALSE))),VLOOKUP($C212,武器!$1:$998,COLUMN($O$1),FALSE)*VLOOKUP($D212,素材!$1:$1016,COLUMN($E$1),FALSE)/(LEN(VLOOKUP($D212,素材!$1:$1016,COLUMN($F$1),FALSE))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S212">
        <f>IF(ISNUMBER(SEARCH(SUBSTITUTE(AS$1,RIGHT(AS$1,2),""),VLOOKUP($D212,素材!$1:$1016,COLUMN($F$1),FALSE))),VLOOKUP($C212,武器!$1:$998,COLUMN($O$1),FALSE)*VLOOKUP($D212,素材!$1:$1016,COLUMN($E$1),FALSE)/(LEN(VLOOKUP($D212,素材!$1:$1016,COLUMN($F$1),FALSE))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T212">
        <f>IF(ISNUMBER(SEARCH(SUBSTITUTE(AT$1,RIGHT(AT$1,2),""),VLOOKUP($D212,素材!$1:$1016,COLUMN($F$1),FALSE))),VLOOKUP($C212,武器!$1:$998,COLUMN($O$1),FALSE)*VLOOKUP($D212,素材!$1:$1016,COLUMN($E$1),FALSE)/(LEN(VLOOKUP($D212,素材!$1:$1016,COLUMN($F$1),FALSE))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U212">
        <f>IF(ISNUMBER(SEARCH(SUBSTITUTE(AU$1,RIGHT(AU$1,2),""),VLOOKUP($D212,素材!$1:$1016,COLUMN($F$1),FALSE))),VLOOKUP($C212,武器!$1:$998,COLUMN($O$1),FALSE)*VLOOKUP($D212,素材!$1:$1016,COLUMN($E$1),FALSE)/(LEN(VLOOKUP($D212,素材!$1:$1016,COLUMN($F$1),FALSE))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V212">
        <f>IF(ISNUMBER(SEARCH(SUBSTITUTE(AV$1,RIGHT(AV$1,2),""),VLOOKUP($D212,素材!$1:$1016,COLUMN($F$1),FALSE))),VLOOKUP($C212,武器!$1:$998,COLUMN($O$1),FALSE)*VLOOKUP($D212,素材!$1:$1016,COLUMN($E$1),FALSE)/(LEN(VLOOKUP($D212,素材!$1:$1016,COLUMN($F$1),FALSE))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W212">
        <f>IF(ISNUMBER(SEARCH(SUBSTITUTE(AW$1,RIGHT(AW$1,2),""),VLOOKUP($D212,素材!$1:$1016,COLUMN($F$1),FALSE))),VLOOKUP($C212,武器!$1:$998,COLUMN($O$1),FALSE)*VLOOKUP($D212,素材!$1:$1016,COLUMN($E$1),FALSE)/(LEN(VLOOKUP($D212,素材!$1:$1016,COLUMN($F$1),FALSE))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X212">
        <f>IF(ISNUMBER(SEARCH(SUBSTITUTE(AX$1,RIGHT(AX$1,2),""),VLOOKUP($D212,素材!$1:$1016,COLUMN($F$1),FALSE))),VLOOKUP($C212,武器!$1:$998,COLUMN($O$1),FALSE)*VLOOKUP($D212,素材!$1:$1016,COLUMN($E$1),FALSE)/(LEN(VLOOKUP($D212,素材!$1:$1016,COLUMN($F$1),FALSE))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Y212">
        <f>IF(ISNUMBER(SEARCH(SUBSTITUTE(AY$1,RIGHT(AY$1,2),""),VLOOKUP($D212,素材!$1:$1016,COLUMN($F$1),FALSE))),VLOOKUP($C212,武器!$1:$998,COLUMN($O$1),FALSE)*VLOOKUP($D212,素材!$1:$1016,COLUMN($E$1),FALSE)/(LEN(VLOOKUP($D212,素材!$1:$1016,COLUMN($F$1),FALSE))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AZ212">
        <f>IF(ISNUMBER(SEARCH(SUBSTITUTE(AZ$1,RIGHT(AZ$1,2),""),VLOOKUP($D212,素材!$1:$1016,COLUMN($F$1),FALSE))),VLOOKUP($C212,武器!$1:$998,COLUMN($O$1),FALSE)*VLOOKUP($D212,素材!$1:$1016,COLUMN($E$1),FALSE)/(LEN(VLOOKUP($D212,素材!$1:$1016,COLUMN($F$1),FALSE))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BA212">
        <f>IF(ISNUMBER(SEARCH(SUBSTITUTE(BA$1,RIGHT(BA$1,2),""),VLOOKUP($D212,素材!$1:$1016,COLUMN($F$1),FALSE))),VLOOKUP($C212,武器!$1:$998,COLUMN($O$1),FALSE)*VLOOKUP($D212,素材!$1:$1016,COLUMN($E$1),FALSE)/(LEN(VLOOKUP($D212,素材!$1:$1016,COLUMN($F$1),FALSE))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BB212">
        <f>IF(ISNUMBER(SEARCH(SUBSTITUTE(BB$1,RIGHT(BB$1,2),""),VLOOKUP($D212,素材!$1:$1016,COLUMN($F$1),FALSE))),VLOOKUP($C212,武器!$1:$998,COLUMN($O$1),FALSE)*VLOOKUP($D212,素材!$1:$1016,COLUMN($E$1),FALSE)/(LEN(VLOOKUP($D212,素材!$1:$1016,COLUMN($F$1),FALSE))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BC212">
        <f>IF(ISNUMBER(SEARCH(SUBSTITUTE(BC$1,RIGHT(BC$1,2),""),VLOOKUP($D212,素材!$1:$1016,COLUMN($F$1),FALSE))),VLOOKUP($C212,武器!$1:$998,COLUMN($O$1),FALSE)*VLOOKUP($D212,素材!$1:$1016,COLUMN($E$1),FALSE)/(LEN(VLOOKUP($D212,素材!$1:$1016,COLUMN($F$1),FALSE))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BD212">
        <f>IF(ISNUMBER(SEARCH(SUBSTITUTE(BD$1,RIGHT(BD$1,2),""),VLOOKUP($D212,素材!$1:$1016,COLUMN($F$1),FALSE))),VLOOKUP($C212,武器!$1:$998,COLUMN($O$1),FALSE)*VLOOKUP($D212,素材!$1:$1016,COLUMN($E$1),FALSE)/(LEN(VLOOKUP($D212,素材!$1:$1016,COLUMN($F$1),FALSE))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BE212">
        <f>IF(ISNUMBER(SEARCH(SUBSTITUTE(BE$1,RIGHT(BE$1,2),""),VLOOKUP($D212,素材!$1:$1016,COLUMN($F$1),FALSE))),VLOOKUP($C212,武器!$1:$998,COLUMN($O$1),FALSE)*VLOOKUP($D212,素材!$1:$1016,COLUMN($E$1),FALSE)/(LEN(VLOOKUP($D212,素材!$1:$1016,COLUMN($F$1),FALSE))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BF212">
        <f>IF(ISNUMBER(SEARCH(SUBSTITUTE(BF$1,RIGHT(BF$1,2),""),VLOOKUP($D212,素材!$1:$1016,COLUMN($F$1),FALSE))),VLOOKUP($C212,武器!$1:$998,COLUMN($O$1),FALSE)*VLOOKUP($D212,素材!$1:$1016,COLUMN($E$1),FALSE)/(LEN(VLOOKUP($D212,素材!$1:$1016,COLUMN($F$1),FALSE)) - LEN(SUBSTITUTE(VLOOKUP($D212,素材!$1:$1016,COLUMN($F$1),FALSE), "・", 0)) + 1), 0)</f>
        <v>0</v>
      </c>
      <c r="CM212">
        <f t="shared" si="31"/>
        <v>16</v>
      </c>
      <c r="CN212" s="22" t="str">
        <f>IF(E212="武器",IF(J212-1&gt;SUM(G212:I212),"盾",IF(MAX(G212:I212)=G212,"切断",IF(MAX(G212:I212)=H212,"貫通",IF(MAX(G212:I212)=I212,"打撃","射撃")))),E212)&amp;".webp"</f>
        <v>盾.webp</v>
      </c>
      <c r="CO212">
        <f>IFERROR(VLOOKUP($C212,武器!$1:$998,COLUMN(V$1),FALSE)*VLOOKUP($D212,素材!$1:$1016,COLUMN(N$1),FALSE)+IF(CJ212="",0,VLOOKUP($CJ212,装強!$1:$1008,COLUMN($CL$1),FALSE)),"")</f>
        <v>2250</v>
      </c>
      <c r="CP212">
        <f>VLOOKUP(D212,素材!$A:$O,COLUMN(素材!O$1),FALSE)</f>
        <v>0</v>
      </c>
      <c r="CQ212" t="str">
        <f>VLOOKUP(C212,武器!$A:$W,COLUMN(武器!W$1),FALSE)</f>
        <v>盾。防御力が高く、汎用性がある防具。</v>
      </c>
      <c r="CS212" t="str">
        <f t="shared" si="32"/>
        <v>e_212</v>
      </c>
      <c r="CT212">
        <f t="shared" si="33"/>
        <v>225000</v>
      </c>
    </row>
    <row r="213" spans="1:98" outlineLevel="1" x14ac:dyDescent="0.4">
      <c r="A213" t="str">
        <f t="shared" si="30"/>
        <v>冷気鉄の丸大盾</v>
      </c>
      <c r="B213" t="str">
        <f>IFERROR(VLOOKUP($D213,素材!$1:$1016,COLUMN($B$1),FALSE)&amp;"・"&amp;VLOOKUP($C213,武器!$1:$998,COLUMN(B$1),FALSE),"")</f>
        <v>ドゥララン・ラウンドシールド</v>
      </c>
      <c r="C213" t="s">
        <v>220</v>
      </c>
      <c r="D213" s="24" t="s">
        <v>243</v>
      </c>
      <c r="E213" t="str">
        <f>IFERROR(VLOOKUP(C213,武器!$1:$998,COLUMN(C$1),FALSE),"")</f>
        <v>盾</v>
      </c>
      <c r="F213">
        <f>IFERROR(ROUNDDOWN((VLOOKUP($C213,武器!$1:$998,COLUMN(D$1),FALSE)+IFERROR(VLOOKUP($CJ213,装強!$1:$999,COLUMN(F$1),FALSE),0))*VLOOKUP($D213,素材!$1:$1016,COLUMN(D$1),FALSE),0),"")</f>
        <v>110</v>
      </c>
      <c r="G213">
        <f>IFERROR(ROUNDDOWN((VLOOKUP($C213,武器!$1:$998,COLUMN(E$1),FALSE)+IFERROR(VLOOKUP($CJ213,装強!$1:$999,COLUMN(G$1),FALSE),0))*VLOOKUP($D213,素材!$1:$1016,COLUMN($E$1),FALSE),0),"")</f>
        <v>9</v>
      </c>
      <c r="H213">
        <f>IFERROR(ROUNDDOWN((VLOOKUP($C213,武器!$1:$998,COLUMN(F$1),FALSE)+IFERROR(VLOOKUP($CJ213,装強!$1:$999,COLUMN(H$1),FALSE),0))*VLOOKUP($D213,素材!$1:$1016,COLUMN($E$1),FALSE),0),"")</f>
        <v>0</v>
      </c>
      <c r="I213">
        <f>IFERROR(ROUNDDOWN((VLOOKUP($C213,武器!$1:$998,COLUMN(G$1),FALSE)+IFERROR(VLOOKUP($CJ213,装強!$1:$999,COLUMN(I$1),FALSE),0))*VLOOKUP($D213,素材!$1:$1016,COLUMN($E$1),FALSE),0),"")</f>
        <v>9</v>
      </c>
      <c r="J213">
        <f>IFERROR(ROUNDDOWN((VLOOKUP($C213,武器!$1:$998,COLUMN(H$1),FALSE)+IFERROR(VLOOKUP($CJ213,装強!$1:$999,COLUMN(J$1),FALSE),0))*VLOOKUP($D213,素材!$1:$1016,COLUMN($E$1),FALSE),0),"")</f>
        <v>25</v>
      </c>
      <c r="K213">
        <f>IFERROR(ROUNDDOWN((VLOOKUP($C213,武器!$1:$998,COLUMN(I$1),FALSE)+IFERROR(VLOOKUP($CJ213,装強!$1:$999,COLUMN(K$1),FALSE),0))*VLOOKUP($D213,素材!$1:$1016,COLUMN($E$1),FALSE),0),"")</f>
        <v>0</v>
      </c>
      <c r="L213" t="str">
        <f>IFERROR(VLOOKUP($D213,素材!$1:$1016,COLUMN($F$1),FALSE),"")</f>
        <v>氷</v>
      </c>
      <c r="M213">
        <f>IFERROR(VLOOKUP($C213,武器!$1:$998,COLUMN(AA$1),FALSE)*VLOOKUP($D213,素材!$1:$1016,COLUMN($G$1),FALSE),"")</f>
        <v>31.5</v>
      </c>
      <c r="N213">
        <f>IFERROR(VLOOKUP($C213,武器!$1:$998,COLUMN(I$1),FALSE),"")</f>
        <v>0</v>
      </c>
      <c r="O213" s="23">
        <f>IFERROR((VLOOKUP($C213,武器!$1:$998,COLUMN(K$1),FALSE)+VLOOKUP($D213,素材!$1:$1016,COLUMN(H$1),FALSE))*100+IFERROR(VLOOKUP($CJ213,装強!$1:$999,COLUMN(O$1),FALSE),0),"")</f>
        <v>5</v>
      </c>
      <c r="P213" s="23">
        <f>IFERROR((VLOOKUP($C213,武器!$1:$998,COLUMN(L$1),FALSE)+VLOOKUP($D213,素材!$1:$1016,COLUMN(I$1),FALSE))*100+IFERROR(VLOOKUP($CJ213,装強!$1:$999,COLUMN(P$1),FALSE),0),"")</f>
        <v>125</v>
      </c>
      <c r="Q213">
        <f>IFERROR(ROUNDUP(VLOOKUP($C213,武器!$1:$998,COLUMN(M$1),FALSE)*(VLOOKUP($D213,素材!$1:$1002,COLUMN(D$1),FALSE)/100),1),"")</f>
        <v>-5</v>
      </c>
      <c r="R213">
        <f>IFERROR(ROUNDUP(VLOOKUP($C213,武器!$1:$998,COLUMN(N$1),FALSE)*(VLOOKUP($D213,素材!$1:$1002,COLUMN(D$1),FALSE)/100),1),"")</f>
        <v>0</v>
      </c>
      <c r="S213">
        <f>IFERROR(VLOOKUP($C213,武器!$1:$998,COLUMN(P$1),FALSE),"")</f>
        <v>0</v>
      </c>
      <c r="T213">
        <f>IFERROR(VLOOKUP($C213,武器!$1:$998,COLUMN(Q$1),FALSE),"")</f>
        <v>0</v>
      </c>
      <c r="U213">
        <f>IFERROR(VLOOKUP($C213,武器!$1:$998,COLUMN(R$1),FALSE),"")</f>
        <v>0</v>
      </c>
      <c r="V213">
        <f>IFERROR(VLOOKUP($C213,武器!$1:$998,COLUMN(Q$1),FALSE),"")</f>
        <v>0</v>
      </c>
      <c r="W213" t="str">
        <f>IFERROR(VLOOKUP($C213,武器!$1:$998,COLUMN(T$1),FALSE),"")</f>
        <v>A</v>
      </c>
      <c r="Y213" t="str">
        <f>IFERROR(VLOOKUP($C213,武器!$1:$998,COLUMN(U$1),FALSE),"")</f>
        <v>投擲強化,片手適正Ⅰ</v>
      </c>
      <c r="Z213">
        <f>IFERROR(ROUNDUP(VLOOKUP($C213,武器!$1:$998,COLUMN(O$1),FALSE)*VLOOKUP($D213,素材!$1:$1016,COLUMN(E$1),FALSE),1),"")</f>
        <v>0</v>
      </c>
      <c r="AA213">
        <f>IF(ISNUMBER(SEARCH(SUBSTITUTE(AA$1,RIGHT(AA$1,2),""),VLOOKUP($D213,素材!$1:$1016,COLUMN($F$1),FALSE))),VLOOKUP($C213,武器!$1:$998,COLUMN($O$1),FALSE)*VLOOKUP($D213,素材!$1:$1016,COLUMN($E$1),FALSE)/(LEN(VLOOKUP($D213,素材!$1:$1016,COLUMN($F$1),FALSE))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B213">
        <f>IF(ISNUMBER(SEARCH(SUBSTITUTE(AB$1,RIGHT(AB$1,2),""),VLOOKUP($D213,素材!$1:$1016,COLUMN($F$1),FALSE))),VLOOKUP($C213,武器!$1:$998,COLUMN($O$1),FALSE)*VLOOKUP($D213,素材!$1:$1016,COLUMN($E$1),FALSE)/(LEN(VLOOKUP($D213,素材!$1:$1016,COLUMN($F$1),FALSE))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C213">
        <f>IF(ISNUMBER(SEARCH(SUBSTITUTE(AC$1,RIGHT(AC$1,2),""),VLOOKUP($D213,素材!$1:$1016,COLUMN($F$1),FALSE))),VLOOKUP($C213,武器!$1:$998,COLUMN($O$1),FALSE)*VLOOKUP($D213,素材!$1:$1016,COLUMN($E$1),FALSE)/(LEN(VLOOKUP($D213,素材!$1:$1016,COLUMN($F$1),FALSE))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D213">
        <f>IF(ISNUMBER(SEARCH(SUBSTITUTE(AD$1,RIGHT(AD$1,2),""),VLOOKUP($D213,素材!$1:$1016,COLUMN($F$1),FALSE))),VLOOKUP($C213,武器!$1:$998,COLUMN($O$1),FALSE)*VLOOKUP($D213,素材!$1:$1016,COLUMN($E$1),FALSE)/(LEN(VLOOKUP($D213,素材!$1:$1016,COLUMN($F$1),FALSE))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E213">
        <f>IF(ISNUMBER(SEARCH(SUBSTITUTE(AE$1,RIGHT(AE$1,2),""),VLOOKUP($D213,素材!$1:$1016,COLUMN($F$1),FALSE))),VLOOKUP($C213,武器!$1:$998,COLUMN($O$1),FALSE)*VLOOKUP($D213,素材!$1:$1016,COLUMN($E$1),FALSE)/(LEN(VLOOKUP($D213,素材!$1:$1016,COLUMN($F$1),FALSE))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F213">
        <f>IF(ISNUMBER(SEARCH(SUBSTITUTE(AF$1,RIGHT(AF$1,2),""),VLOOKUP($D213,素材!$1:$1016,COLUMN($F$1),FALSE))),VLOOKUP($C213,武器!$1:$998,COLUMN($O$1),FALSE)*VLOOKUP($D213,素材!$1:$1016,COLUMN($E$1),FALSE)/(LEN(VLOOKUP($D213,素材!$1:$1016,COLUMN($F$1),FALSE))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G213">
        <f>IF(ISNUMBER(SEARCH(SUBSTITUTE(AG$1,RIGHT(AG$1,2),""),VLOOKUP($D213,素材!$1:$1016,COLUMN($F$1),FALSE))),VLOOKUP($C213,武器!$1:$998,COLUMN($O$1),FALSE)*VLOOKUP($D213,素材!$1:$1016,COLUMN($E$1),FALSE)/(LEN(VLOOKUP($D213,素材!$1:$1016,COLUMN($F$1),FALSE))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H213">
        <f>IF(ISNUMBER(SEARCH(SUBSTITUTE(AH$1,RIGHT(AH$1,2),""),VLOOKUP($D213,素材!$1:$1016,COLUMN($F$1),FALSE))),VLOOKUP($C213,武器!$1:$998,COLUMN($O$1),FALSE)*VLOOKUP($D213,素材!$1:$1016,COLUMN($E$1),FALSE)/(LEN(VLOOKUP($D213,素材!$1:$1016,COLUMN($F$1),FALSE))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I213">
        <f>IF(ISNUMBER(SEARCH(SUBSTITUTE(AI$1,RIGHT(AI$1,2),""),VLOOKUP($D213,素材!$1:$1016,COLUMN($F$1),FALSE))),VLOOKUP($C213,武器!$1:$998,COLUMN($O$1),FALSE)*VLOOKUP($D213,素材!$1:$1016,COLUMN($E$1),FALSE)/(LEN(VLOOKUP($D213,素材!$1:$1016,COLUMN($F$1),FALSE))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J213">
        <f>IF(ISNUMBER(SEARCH(SUBSTITUTE(AJ$1,RIGHT(AJ$1,2),""),VLOOKUP($D213,素材!$1:$1016,COLUMN($F$1),FALSE))),VLOOKUP($C213,武器!$1:$998,COLUMN($O$1),FALSE)*VLOOKUP($D213,素材!$1:$1016,COLUMN($E$1),FALSE)/(LEN(VLOOKUP($D213,素材!$1:$1016,COLUMN($F$1),FALSE))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K213">
        <f>IF(ISNUMBER(SEARCH(SUBSTITUTE(AK$1,RIGHT(AK$1,2),""),VLOOKUP($D213,素材!$1:$1016,COLUMN($F$1),FALSE))),VLOOKUP($C213,武器!$1:$998,COLUMN($O$1),FALSE)*VLOOKUP($D213,素材!$1:$1016,COLUMN($E$1),FALSE)/(LEN(VLOOKUP($D213,素材!$1:$1016,COLUMN($F$1),FALSE))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L213">
        <f>IF(ISNUMBER(SEARCH(SUBSTITUTE(AL$1,RIGHT(AL$1,2),""),VLOOKUP($D213,素材!$1:$1016,COLUMN($F$1),FALSE))),VLOOKUP($C213,武器!$1:$998,COLUMN($O$1),FALSE)*VLOOKUP($D213,素材!$1:$1016,COLUMN($E$1),FALSE)/(LEN(VLOOKUP($D213,素材!$1:$1016,COLUMN($F$1),FALSE))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M213">
        <f>IF(ISNUMBER(SEARCH(SUBSTITUTE(AM$1,RIGHT(AM$1,2),""),VLOOKUP($D213,素材!$1:$1016,COLUMN($F$1),FALSE))),VLOOKUP($C213,武器!$1:$998,COLUMN($O$1),FALSE)*VLOOKUP($D213,素材!$1:$1016,COLUMN($E$1),FALSE)/(LEN(VLOOKUP($D213,素材!$1:$1016,COLUMN($F$1),FALSE))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N213">
        <f>IF(ISNUMBER(SEARCH(SUBSTITUTE(AN$1,RIGHT(AN$1,2),""),VLOOKUP($D213,素材!$1:$1016,COLUMN($F$1),FALSE))),VLOOKUP($C213,武器!$1:$998,COLUMN($O$1),FALSE)*VLOOKUP($D213,素材!$1:$1016,COLUMN($E$1),FALSE)/(LEN(VLOOKUP($D213,素材!$1:$1016,COLUMN($F$1),FALSE))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O213">
        <f>IF(ISNUMBER(SEARCH(SUBSTITUTE(AO$1,RIGHT(AO$1,2),""),VLOOKUP($D213,素材!$1:$1016,COLUMN($F$1),FALSE))),VLOOKUP($C213,武器!$1:$998,COLUMN($O$1),FALSE)*VLOOKUP($D213,素材!$1:$1016,COLUMN($E$1),FALSE)/(LEN(VLOOKUP($D213,素材!$1:$1016,COLUMN($F$1),FALSE))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P213">
        <f>IF(ISNUMBER(SEARCH(SUBSTITUTE(AP$1,RIGHT(AP$1,2),""),VLOOKUP($D213,素材!$1:$1016,COLUMN($F$1),FALSE))),VLOOKUP($C213,武器!$1:$998,COLUMN($O$1),FALSE)*VLOOKUP($D213,素材!$1:$1016,COLUMN($E$1),FALSE)/(LEN(VLOOKUP($D213,素材!$1:$1016,COLUMN($F$1),FALSE))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Q213">
        <f>IF(ISNUMBER(SEARCH(SUBSTITUTE(AQ$1,RIGHT(AQ$1,2),""),VLOOKUP($D213,素材!$1:$1016,COLUMN($F$1),FALSE))),VLOOKUP($C213,武器!$1:$998,COLUMN($O$1),FALSE)*VLOOKUP($D213,素材!$1:$1016,COLUMN($E$1),FALSE)/(LEN(VLOOKUP($D213,素材!$1:$1016,COLUMN($F$1),FALSE))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R213">
        <f>IF(ISNUMBER(SEARCH(SUBSTITUTE(AR$1,RIGHT(AR$1,2),""),VLOOKUP($D213,素材!$1:$1016,COLUMN($F$1),FALSE))),VLOOKUP($C213,武器!$1:$998,COLUMN($O$1),FALSE)*VLOOKUP($D213,素材!$1:$1016,COLUMN($E$1),FALSE)/(LEN(VLOOKUP($D213,素材!$1:$1016,COLUMN($F$1),FALSE))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S213">
        <f>IF(ISNUMBER(SEARCH(SUBSTITUTE(AS$1,RIGHT(AS$1,2),""),VLOOKUP($D213,素材!$1:$1016,COLUMN($F$1),FALSE))),VLOOKUP($C213,武器!$1:$998,COLUMN($O$1),FALSE)*VLOOKUP($D213,素材!$1:$1016,COLUMN($E$1),FALSE)/(LEN(VLOOKUP($D213,素材!$1:$1016,COLUMN($F$1),FALSE))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T213">
        <f>IF(ISNUMBER(SEARCH(SUBSTITUTE(AT$1,RIGHT(AT$1,2),""),VLOOKUP($D213,素材!$1:$1016,COLUMN($F$1),FALSE))),VLOOKUP($C213,武器!$1:$998,COLUMN($O$1),FALSE)*VLOOKUP($D213,素材!$1:$1016,COLUMN($E$1),FALSE)/(LEN(VLOOKUP($D213,素材!$1:$1016,COLUMN($F$1),FALSE))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U213">
        <f>IF(ISNUMBER(SEARCH(SUBSTITUTE(AU$1,RIGHT(AU$1,2),""),VLOOKUP($D213,素材!$1:$1016,COLUMN($F$1),FALSE))),VLOOKUP($C213,武器!$1:$998,COLUMN($O$1),FALSE)*VLOOKUP($D213,素材!$1:$1016,COLUMN($E$1),FALSE)/(LEN(VLOOKUP($D213,素材!$1:$1016,COLUMN($F$1),FALSE))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V213">
        <f>IF(ISNUMBER(SEARCH(SUBSTITUTE(AV$1,RIGHT(AV$1,2),""),VLOOKUP($D213,素材!$1:$1016,COLUMN($F$1),FALSE))),VLOOKUP($C213,武器!$1:$998,COLUMN($O$1),FALSE)*VLOOKUP($D213,素材!$1:$1016,COLUMN($E$1),FALSE)/(LEN(VLOOKUP($D213,素材!$1:$1016,COLUMN($F$1),FALSE))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W213">
        <f>IF(ISNUMBER(SEARCH(SUBSTITUTE(AW$1,RIGHT(AW$1,2),""),VLOOKUP($D213,素材!$1:$1016,COLUMN($F$1),FALSE))),VLOOKUP($C213,武器!$1:$998,COLUMN($O$1),FALSE)*VLOOKUP($D213,素材!$1:$1016,COLUMN($E$1),FALSE)/(LEN(VLOOKUP($D213,素材!$1:$1016,COLUMN($F$1),FALSE))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X213">
        <f>IF(ISNUMBER(SEARCH(SUBSTITUTE(AX$1,RIGHT(AX$1,2),""),VLOOKUP($D213,素材!$1:$1016,COLUMN($F$1),FALSE))),VLOOKUP($C213,武器!$1:$998,COLUMN($O$1),FALSE)*VLOOKUP($D213,素材!$1:$1016,COLUMN($E$1),FALSE)/(LEN(VLOOKUP($D213,素材!$1:$1016,COLUMN($F$1),FALSE))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Y213">
        <f>IF(ISNUMBER(SEARCH(SUBSTITUTE(AY$1,RIGHT(AY$1,2),""),VLOOKUP($D213,素材!$1:$1016,COLUMN($F$1),FALSE))),VLOOKUP($C213,武器!$1:$998,COLUMN($O$1),FALSE)*VLOOKUP($D213,素材!$1:$1016,COLUMN($E$1),FALSE)/(LEN(VLOOKUP($D213,素材!$1:$1016,COLUMN($F$1),FALSE))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AZ213">
        <f>IF(ISNUMBER(SEARCH(SUBSTITUTE(AZ$1,RIGHT(AZ$1,2),""),VLOOKUP($D213,素材!$1:$1016,COLUMN($F$1),FALSE))),VLOOKUP($C213,武器!$1:$998,COLUMN($O$1),FALSE)*VLOOKUP($D213,素材!$1:$1016,COLUMN($E$1),FALSE)/(LEN(VLOOKUP($D213,素材!$1:$1016,COLUMN($F$1),FALSE))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BA213">
        <f>IF(ISNUMBER(SEARCH(SUBSTITUTE(BA$1,RIGHT(BA$1,2),""),VLOOKUP($D213,素材!$1:$1016,COLUMN($F$1),FALSE))),VLOOKUP($C213,武器!$1:$998,COLUMN($O$1),FALSE)*VLOOKUP($D213,素材!$1:$1016,COLUMN($E$1),FALSE)/(LEN(VLOOKUP($D213,素材!$1:$1016,COLUMN($F$1),FALSE))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BB213">
        <f>IF(ISNUMBER(SEARCH(SUBSTITUTE(BB$1,RIGHT(BB$1,2),""),VLOOKUP($D213,素材!$1:$1016,COLUMN($F$1),FALSE))),VLOOKUP($C213,武器!$1:$998,COLUMN($O$1),FALSE)*VLOOKUP($D213,素材!$1:$1016,COLUMN($E$1),FALSE)/(LEN(VLOOKUP($D213,素材!$1:$1016,COLUMN($F$1),FALSE))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BC213">
        <f>IF(ISNUMBER(SEARCH(SUBSTITUTE(BC$1,RIGHT(BC$1,2),""),VLOOKUP($D213,素材!$1:$1016,COLUMN($F$1),FALSE))),VLOOKUP($C213,武器!$1:$998,COLUMN($O$1),FALSE)*VLOOKUP($D213,素材!$1:$1016,COLUMN($E$1),FALSE)/(LEN(VLOOKUP($D213,素材!$1:$1016,COLUMN($F$1),FALSE))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BD213">
        <f>IF(ISNUMBER(SEARCH(SUBSTITUTE(BD$1,RIGHT(BD$1,2),""),VLOOKUP($D213,素材!$1:$1016,COLUMN($F$1),FALSE))),VLOOKUP($C213,武器!$1:$998,COLUMN($O$1),FALSE)*VLOOKUP($D213,素材!$1:$1016,COLUMN($E$1),FALSE)/(LEN(VLOOKUP($D213,素材!$1:$1016,COLUMN($F$1),FALSE))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BE213">
        <f>IF(ISNUMBER(SEARCH(SUBSTITUTE(BE$1,RIGHT(BE$1,2),""),VLOOKUP($D213,素材!$1:$1016,COLUMN($F$1),FALSE))),VLOOKUP($C213,武器!$1:$998,COLUMN($O$1),FALSE)*VLOOKUP($D213,素材!$1:$1016,COLUMN($E$1),FALSE)/(LEN(VLOOKUP($D213,素材!$1:$1016,COLUMN($F$1),FALSE))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BF213">
        <f>IF(ISNUMBER(SEARCH(SUBSTITUTE(BF$1,RIGHT(BF$1,2),""),VLOOKUP($D213,素材!$1:$1016,COLUMN($F$1),FALSE))),VLOOKUP($C213,武器!$1:$998,COLUMN($O$1),FALSE)*VLOOKUP($D213,素材!$1:$1016,COLUMN($E$1),FALSE)/(LEN(VLOOKUP($D213,素材!$1:$1016,COLUMN($F$1),FALSE)) - LEN(SUBSTITUTE(VLOOKUP($D213,素材!$1:$1016,COLUMN($F$1),FALSE), "・", 0)) + 1), 0)</f>
        <v>0</v>
      </c>
      <c r="CM213">
        <f t="shared" si="31"/>
        <v>18</v>
      </c>
      <c r="CN213" s="22" t="str">
        <f>IF(E213="武器",IF(J213-1&gt;SUM(G213:I213),"盾",IF(MAX(G213:I213)=G213,"切断",IF(MAX(G213:I213)=H213,"貫通",IF(MAX(G213:I213)=I213,"打撃","射撃")))),E213)&amp;".webp"</f>
        <v>盾.webp</v>
      </c>
      <c r="CO213">
        <f>IFERROR(VLOOKUP($C213,武器!$1:$998,COLUMN(V$1),FALSE)*VLOOKUP($D213,素材!$1:$1016,COLUMN(N$1),FALSE)+IF(CJ213="",0,VLOOKUP($CJ213,装強!$1:$1008,COLUMN($CL$1),FALSE)),"")</f>
        <v>3000</v>
      </c>
      <c r="CP213">
        <f>VLOOKUP(D213,素材!$A:$O,COLUMN(素材!O$1),FALSE)</f>
        <v>0</v>
      </c>
      <c r="CQ213" t="str">
        <f>VLOOKUP(C213,武器!$A:$W,COLUMN(武器!W$1),FALSE)</f>
        <v>丸大盾。防御範囲が広く、投擲も可能。</v>
      </c>
      <c r="CS213" t="str">
        <f t="shared" si="32"/>
        <v>e_213</v>
      </c>
      <c r="CT213">
        <f t="shared" si="33"/>
        <v>300000</v>
      </c>
    </row>
    <row r="214" spans="1:98" outlineLevel="1" x14ac:dyDescent="0.4">
      <c r="A214" t="str">
        <f t="shared" si="30"/>
        <v>冷気鉄の大盾</v>
      </c>
      <c r="B214" t="str">
        <f>IFERROR(VLOOKUP($D214,素材!$1:$1016,COLUMN($B$1),FALSE)&amp;"・"&amp;VLOOKUP($C214,武器!$1:$998,COLUMN(B$1),FALSE),"")</f>
        <v>ドゥララン・ラージシールド</v>
      </c>
      <c r="C214" t="s">
        <v>219</v>
      </c>
      <c r="D214" s="24" t="s">
        <v>243</v>
      </c>
      <c r="E214" t="str">
        <f>IFERROR(VLOOKUP(C214,武器!$1:$998,COLUMN(C$1),FALSE),"")</f>
        <v>盾</v>
      </c>
      <c r="F214">
        <f>IFERROR(ROUNDDOWN((VLOOKUP($C214,武器!$1:$998,COLUMN(D$1),FALSE)+IFERROR(VLOOKUP($CJ214,装強!$1:$999,COLUMN(F$1),FALSE),0))*VLOOKUP($D214,素材!$1:$1016,COLUMN(D$1),FALSE),0),"")</f>
        <v>115</v>
      </c>
      <c r="G214">
        <f>IFERROR(ROUNDDOWN((VLOOKUP($C214,武器!$1:$998,COLUMN(E$1),FALSE)+IFERROR(VLOOKUP($CJ214,装強!$1:$999,COLUMN(G$1),FALSE),0))*VLOOKUP($D214,素材!$1:$1016,COLUMN($E$1),FALSE),0),"")</f>
        <v>0</v>
      </c>
      <c r="H214">
        <f>IFERROR(ROUNDDOWN((VLOOKUP($C214,武器!$1:$998,COLUMN(F$1),FALSE)+IFERROR(VLOOKUP($CJ214,装強!$1:$999,COLUMN(H$1),FALSE),0))*VLOOKUP($D214,素材!$1:$1016,COLUMN($E$1),FALSE),0),"")</f>
        <v>0</v>
      </c>
      <c r="I214">
        <f>IFERROR(ROUNDDOWN((VLOOKUP($C214,武器!$1:$998,COLUMN(G$1),FALSE)+IFERROR(VLOOKUP($CJ214,装強!$1:$999,COLUMN(I$1),FALSE),0))*VLOOKUP($D214,素材!$1:$1016,COLUMN($E$1),FALSE),0),"")</f>
        <v>17</v>
      </c>
      <c r="J214">
        <f>IFERROR(ROUNDDOWN((VLOOKUP($C214,武器!$1:$998,COLUMN(H$1),FALSE)+IFERROR(VLOOKUP($CJ214,装強!$1:$999,COLUMN(J$1),FALSE),0))*VLOOKUP($D214,素材!$1:$1016,COLUMN($E$1),FALSE),0),"")</f>
        <v>27</v>
      </c>
      <c r="K214">
        <f>IFERROR(ROUNDDOWN((VLOOKUP($C214,武器!$1:$998,COLUMN(I$1),FALSE)+IFERROR(VLOOKUP($CJ214,装強!$1:$999,COLUMN(K$1),FALSE),0))*VLOOKUP($D214,素材!$1:$1016,COLUMN($E$1),FALSE),0),"")</f>
        <v>0</v>
      </c>
      <c r="L214" t="str">
        <f>IFERROR(VLOOKUP($D214,素材!$1:$1016,COLUMN($F$1),FALSE),"")</f>
        <v>氷</v>
      </c>
      <c r="M214">
        <f>IFERROR(VLOOKUP($C214,武器!$1:$998,COLUMN(AA$1),FALSE)*VLOOKUP($D214,素材!$1:$1016,COLUMN($G$1),FALSE),"")</f>
        <v>29.75</v>
      </c>
      <c r="N214">
        <f>IFERROR(VLOOKUP($C214,武器!$1:$998,COLUMN(I$1),FALSE),"")</f>
        <v>0</v>
      </c>
      <c r="O214" s="23">
        <f>IFERROR((VLOOKUP($C214,武器!$1:$998,COLUMN(K$1),FALSE)+VLOOKUP($D214,素材!$1:$1016,COLUMN(H$1),FALSE))*100+IFERROR(VLOOKUP($CJ214,装強!$1:$999,COLUMN(O$1),FALSE),0),"")</f>
        <v>5</v>
      </c>
      <c r="P214" s="23">
        <f>IFERROR((VLOOKUP($C214,武器!$1:$998,COLUMN(L$1),FALSE)+VLOOKUP($D214,素材!$1:$1016,COLUMN(I$1),FALSE))*100+IFERROR(VLOOKUP($CJ214,装強!$1:$999,COLUMN(P$1),FALSE),0),"")</f>
        <v>125</v>
      </c>
      <c r="Q214">
        <f>IFERROR(ROUNDUP(VLOOKUP($C214,武器!$1:$998,COLUMN(M$1),FALSE)*(VLOOKUP($D214,素材!$1:$1002,COLUMN(D$1),FALSE)/100),1),"")</f>
        <v>-5</v>
      </c>
      <c r="R214">
        <f>IFERROR(ROUNDUP(VLOOKUP($C214,武器!$1:$998,COLUMN(N$1),FALSE)*(VLOOKUP($D214,素材!$1:$1002,COLUMN(D$1),FALSE)/100),1),"")</f>
        <v>0</v>
      </c>
      <c r="S214">
        <f>IFERROR(VLOOKUP($C214,武器!$1:$998,COLUMN(P$1),FALSE),"")</f>
        <v>0</v>
      </c>
      <c r="T214">
        <f>IFERROR(VLOOKUP($C214,武器!$1:$998,COLUMN(Q$1),FALSE),"")</f>
        <v>0</v>
      </c>
      <c r="U214">
        <f>IFERROR(VLOOKUP($C214,武器!$1:$998,COLUMN(R$1),FALSE),"")</f>
        <v>0</v>
      </c>
      <c r="V214">
        <f>IFERROR(VLOOKUP($C214,武器!$1:$998,COLUMN(Q$1),FALSE),"")</f>
        <v>0</v>
      </c>
      <c r="W214" t="str">
        <f>IFERROR(VLOOKUP($C214,武器!$1:$998,COLUMN(T$1),FALSE),"")</f>
        <v>A</v>
      </c>
      <c r="Y214" t="str">
        <f>IFERROR(VLOOKUP($C214,武器!$1:$998,COLUMN(U$1),FALSE),"")</f>
        <v>片手適正Ⅰ</v>
      </c>
      <c r="Z214">
        <f>IFERROR(ROUNDUP(VLOOKUP($C214,武器!$1:$998,COLUMN(O$1),FALSE)*VLOOKUP($D214,素材!$1:$1016,COLUMN(E$1),FALSE),1),"")</f>
        <v>0</v>
      </c>
      <c r="AA214">
        <f>IF(ISNUMBER(SEARCH(SUBSTITUTE(AA$1,RIGHT(AA$1,2),""),VLOOKUP($D214,素材!$1:$1016,COLUMN($F$1),FALSE))),VLOOKUP($C214,武器!$1:$998,COLUMN($O$1),FALSE)*VLOOKUP($D214,素材!$1:$1016,COLUMN($E$1),FALSE)/(LEN(VLOOKUP($D214,素材!$1:$1016,COLUMN($F$1),FALSE))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B214">
        <f>IF(ISNUMBER(SEARCH(SUBSTITUTE(AB$1,RIGHT(AB$1,2),""),VLOOKUP($D214,素材!$1:$1016,COLUMN($F$1),FALSE))),VLOOKUP($C214,武器!$1:$998,COLUMN($O$1),FALSE)*VLOOKUP($D214,素材!$1:$1016,COLUMN($E$1),FALSE)/(LEN(VLOOKUP($D214,素材!$1:$1016,COLUMN($F$1),FALSE))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C214">
        <f>IF(ISNUMBER(SEARCH(SUBSTITUTE(AC$1,RIGHT(AC$1,2),""),VLOOKUP($D214,素材!$1:$1016,COLUMN($F$1),FALSE))),VLOOKUP($C214,武器!$1:$998,COLUMN($O$1),FALSE)*VLOOKUP($D214,素材!$1:$1016,COLUMN($E$1),FALSE)/(LEN(VLOOKUP($D214,素材!$1:$1016,COLUMN($F$1),FALSE))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D214">
        <f>IF(ISNUMBER(SEARCH(SUBSTITUTE(AD$1,RIGHT(AD$1,2),""),VLOOKUP($D214,素材!$1:$1016,COLUMN($F$1),FALSE))),VLOOKUP($C214,武器!$1:$998,COLUMN($O$1),FALSE)*VLOOKUP($D214,素材!$1:$1016,COLUMN($E$1),FALSE)/(LEN(VLOOKUP($D214,素材!$1:$1016,COLUMN($F$1),FALSE))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E214">
        <f>IF(ISNUMBER(SEARCH(SUBSTITUTE(AE$1,RIGHT(AE$1,2),""),VLOOKUP($D214,素材!$1:$1016,COLUMN($F$1),FALSE))),VLOOKUP($C214,武器!$1:$998,COLUMN($O$1),FALSE)*VLOOKUP($D214,素材!$1:$1016,COLUMN($E$1),FALSE)/(LEN(VLOOKUP($D214,素材!$1:$1016,COLUMN($F$1),FALSE))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F214">
        <f>IF(ISNUMBER(SEARCH(SUBSTITUTE(AF$1,RIGHT(AF$1,2),""),VLOOKUP($D214,素材!$1:$1016,COLUMN($F$1),FALSE))),VLOOKUP($C214,武器!$1:$998,COLUMN($O$1),FALSE)*VLOOKUP($D214,素材!$1:$1016,COLUMN($E$1),FALSE)/(LEN(VLOOKUP($D214,素材!$1:$1016,COLUMN($F$1),FALSE))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G214">
        <f>IF(ISNUMBER(SEARCH(SUBSTITUTE(AG$1,RIGHT(AG$1,2),""),VLOOKUP($D214,素材!$1:$1016,COLUMN($F$1),FALSE))),VLOOKUP($C214,武器!$1:$998,COLUMN($O$1),FALSE)*VLOOKUP($D214,素材!$1:$1016,COLUMN($E$1),FALSE)/(LEN(VLOOKUP($D214,素材!$1:$1016,COLUMN($F$1),FALSE))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H214">
        <f>IF(ISNUMBER(SEARCH(SUBSTITUTE(AH$1,RIGHT(AH$1,2),""),VLOOKUP($D214,素材!$1:$1016,COLUMN($F$1),FALSE))),VLOOKUP($C214,武器!$1:$998,COLUMN($O$1),FALSE)*VLOOKUP($D214,素材!$1:$1016,COLUMN($E$1),FALSE)/(LEN(VLOOKUP($D214,素材!$1:$1016,COLUMN($F$1),FALSE))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I214">
        <f>IF(ISNUMBER(SEARCH(SUBSTITUTE(AI$1,RIGHT(AI$1,2),""),VLOOKUP($D214,素材!$1:$1016,COLUMN($F$1),FALSE))),VLOOKUP($C214,武器!$1:$998,COLUMN($O$1),FALSE)*VLOOKUP($D214,素材!$1:$1016,COLUMN($E$1),FALSE)/(LEN(VLOOKUP($D214,素材!$1:$1016,COLUMN($F$1),FALSE))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J214">
        <f>IF(ISNUMBER(SEARCH(SUBSTITUTE(AJ$1,RIGHT(AJ$1,2),""),VLOOKUP($D214,素材!$1:$1016,COLUMN($F$1),FALSE))),VLOOKUP($C214,武器!$1:$998,COLUMN($O$1),FALSE)*VLOOKUP($D214,素材!$1:$1016,COLUMN($E$1),FALSE)/(LEN(VLOOKUP($D214,素材!$1:$1016,COLUMN($F$1),FALSE))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K214">
        <f>IF(ISNUMBER(SEARCH(SUBSTITUTE(AK$1,RIGHT(AK$1,2),""),VLOOKUP($D214,素材!$1:$1016,COLUMN($F$1),FALSE))),VLOOKUP($C214,武器!$1:$998,COLUMN($O$1),FALSE)*VLOOKUP($D214,素材!$1:$1016,COLUMN($E$1),FALSE)/(LEN(VLOOKUP($D214,素材!$1:$1016,COLUMN($F$1),FALSE))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L214">
        <f>IF(ISNUMBER(SEARCH(SUBSTITUTE(AL$1,RIGHT(AL$1,2),""),VLOOKUP($D214,素材!$1:$1016,COLUMN($F$1),FALSE))),VLOOKUP($C214,武器!$1:$998,COLUMN($O$1),FALSE)*VLOOKUP($D214,素材!$1:$1016,COLUMN($E$1),FALSE)/(LEN(VLOOKUP($D214,素材!$1:$1016,COLUMN($F$1),FALSE))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M214">
        <f>IF(ISNUMBER(SEARCH(SUBSTITUTE(AM$1,RIGHT(AM$1,2),""),VLOOKUP($D214,素材!$1:$1016,COLUMN($F$1),FALSE))),VLOOKUP($C214,武器!$1:$998,COLUMN($O$1),FALSE)*VLOOKUP($D214,素材!$1:$1016,COLUMN($E$1),FALSE)/(LEN(VLOOKUP($D214,素材!$1:$1016,COLUMN($F$1),FALSE))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N214">
        <f>IF(ISNUMBER(SEARCH(SUBSTITUTE(AN$1,RIGHT(AN$1,2),""),VLOOKUP($D214,素材!$1:$1016,COLUMN($F$1),FALSE))),VLOOKUP($C214,武器!$1:$998,COLUMN($O$1),FALSE)*VLOOKUP($D214,素材!$1:$1016,COLUMN($E$1),FALSE)/(LEN(VLOOKUP($D214,素材!$1:$1016,COLUMN($F$1),FALSE))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O214">
        <f>IF(ISNUMBER(SEARCH(SUBSTITUTE(AO$1,RIGHT(AO$1,2),""),VLOOKUP($D214,素材!$1:$1016,COLUMN($F$1),FALSE))),VLOOKUP($C214,武器!$1:$998,COLUMN($O$1),FALSE)*VLOOKUP($D214,素材!$1:$1016,COLUMN($E$1),FALSE)/(LEN(VLOOKUP($D214,素材!$1:$1016,COLUMN($F$1),FALSE))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P214">
        <f>IF(ISNUMBER(SEARCH(SUBSTITUTE(AP$1,RIGHT(AP$1,2),""),VLOOKUP($D214,素材!$1:$1016,COLUMN($F$1),FALSE))),VLOOKUP($C214,武器!$1:$998,COLUMN($O$1),FALSE)*VLOOKUP($D214,素材!$1:$1016,COLUMN($E$1),FALSE)/(LEN(VLOOKUP($D214,素材!$1:$1016,COLUMN($F$1),FALSE))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Q214">
        <f>IF(ISNUMBER(SEARCH(SUBSTITUTE(AQ$1,RIGHT(AQ$1,2),""),VLOOKUP($D214,素材!$1:$1016,COLUMN($F$1),FALSE))),VLOOKUP($C214,武器!$1:$998,COLUMN($O$1),FALSE)*VLOOKUP($D214,素材!$1:$1016,COLUMN($E$1),FALSE)/(LEN(VLOOKUP($D214,素材!$1:$1016,COLUMN($F$1),FALSE))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R214">
        <f>IF(ISNUMBER(SEARCH(SUBSTITUTE(AR$1,RIGHT(AR$1,2),""),VLOOKUP($D214,素材!$1:$1016,COLUMN($F$1),FALSE))),VLOOKUP($C214,武器!$1:$998,COLUMN($O$1),FALSE)*VLOOKUP($D214,素材!$1:$1016,COLUMN($E$1),FALSE)/(LEN(VLOOKUP($D214,素材!$1:$1016,COLUMN($F$1),FALSE))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S214">
        <f>IF(ISNUMBER(SEARCH(SUBSTITUTE(AS$1,RIGHT(AS$1,2),""),VLOOKUP($D214,素材!$1:$1016,COLUMN($F$1),FALSE))),VLOOKUP($C214,武器!$1:$998,COLUMN($O$1),FALSE)*VLOOKUP($D214,素材!$1:$1016,COLUMN($E$1),FALSE)/(LEN(VLOOKUP($D214,素材!$1:$1016,COLUMN($F$1),FALSE))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T214">
        <f>IF(ISNUMBER(SEARCH(SUBSTITUTE(AT$1,RIGHT(AT$1,2),""),VLOOKUP($D214,素材!$1:$1016,COLUMN($F$1),FALSE))),VLOOKUP($C214,武器!$1:$998,COLUMN($O$1),FALSE)*VLOOKUP($D214,素材!$1:$1016,COLUMN($E$1),FALSE)/(LEN(VLOOKUP($D214,素材!$1:$1016,COLUMN($F$1),FALSE))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U214">
        <f>IF(ISNUMBER(SEARCH(SUBSTITUTE(AU$1,RIGHT(AU$1,2),""),VLOOKUP($D214,素材!$1:$1016,COLUMN($F$1),FALSE))),VLOOKUP($C214,武器!$1:$998,COLUMN($O$1),FALSE)*VLOOKUP($D214,素材!$1:$1016,COLUMN($E$1),FALSE)/(LEN(VLOOKUP($D214,素材!$1:$1016,COLUMN($F$1),FALSE))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V214">
        <f>IF(ISNUMBER(SEARCH(SUBSTITUTE(AV$1,RIGHT(AV$1,2),""),VLOOKUP($D214,素材!$1:$1016,COLUMN($F$1),FALSE))),VLOOKUP($C214,武器!$1:$998,COLUMN($O$1),FALSE)*VLOOKUP($D214,素材!$1:$1016,COLUMN($E$1),FALSE)/(LEN(VLOOKUP($D214,素材!$1:$1016,COLUMN($F$1),FALSE))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W214">
        <f>IF(ISNUMBER(SEARCH(SUBSTITUTE(AW$1,RIGHT(AW$1,2),""),VLOOKUP($D214,素材!$1:$1016,COLUMN($F$1),FALSE))),VLOOKUP($C214,武器!$1:$998,COLUMN($O$1),FALSE)*VLOOKUP($D214,素材!$1:$1016,COLUMN($E$1),FALSE)/(LEN(VLOOKUP($D214,素材!$1:$1016,COLUMN($F$1),FALSE))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X214">
        <f>IF(ISNUMBER(SEARCH(SUBSTITUTE(AX$1,RIGHT(AX$1,2),""),VLOOKUP($D214,素材!$1:$1016,COLUMN($F$1),FALSE))),VLOOKUP($C214,武器!$1:$998,COLUMN($O$1),FALSE)*VLOOKUP($D214,素材!$1:$1016,COLUMN($E$1),FALSE)/(LEN(VLOOKUP($D214,素材!$1:$1016,COLUMN($F$1),FALSE))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Y214">
        <f>IF(ISNUMBER(SEARCH(SUBSTITUTE(AY$1,RIGHT(AY$1,2),""),VLOOKUP($D214,素材!$1:$1016,COLUMN($F$1),FALSE))),VLOOKUP($C214,武器!$1:$998,COLUMN($O$1),FALSE)*VLOOKUP($D214,素材!$1:$1016,COLUMN($E$1),FALSE)/(LEN(VLOOKUP($D214,素材!$1:$1016,COLUMN($F$1),FALSE))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AZ214">
        <f>IF(ISNUMBER(SEARCH(SUBSTITUTE(AZ$1,RIGHT(AZ$1,2),""),VLOOKUP($D214,素材!$1:$1016,COLUMN($F$1),FALSE))),VLOOKUP($C214,武器!$1:$998,COLUMN($O$1),FALSE)*VLOOKUP($D214,素材!$1:$1016,COLUMN($E$1),FALSE)/(LEN(VLOOKUP($D214,素材!$1:$1016,COLUMN($F$1),FALSE))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BA214">
        <f>IF(ISNUMBER(SEARCH(SUBSTITUTE(BA$1,RIGHT(BA$1,2),""),VLOOKUP($D214,素材!$1:$1016,COLUMN($F$1),FALSE))),VLOOKUP($C214,武器!$1:$998,COLUMN($O$1),FALSE)*VLOOKUP($D214,素材!$1:$1016,COLUMN($E$1),FALSE)/(LEN(VLOOKUP($D214,素材!$1:$1016,COLUMN($F$1),FALSE))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BB214">
        <f>IF(ISNUMBER(SEARCH(SUBSTITUTE(BB$1,RIGHT(BB$1,2),""),VLOOKUP($D214,素材!$1:$1016,COLUMN($F$1),FALSE))),VLOOKUP($C214,武器!$1:$998,COLUMN($O$1),FALSE)*VLOOKUP($D214,素材!$1:$1016,COLUMN($E$1),FALSE)/(LEN(VLOOKUP($D214,素材!$1:$1016,COLUMN($F$1),FALSE))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BC214">
        <f>IF(ISNUMBER(SEARCH(SUBSTITUTE(BC$1,RIGHT(BC$1,2),""),VLOOKUP($D214,素材!$1:$1016,COLUMN($F$1),FALSE))),VLOOKUP($C214,武器!$1:$998,COLUMN($O$1),FALSE)*VLOOKUP($D214,素材!$1:$1016,COLUMN($E$1),FALSE)/(LEN(VLOOKUP($D214,素材!$1:$1016,COLUMN($F$1),FALSE))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BD214">
        <f>IF(ISNUMBER(SEARCH(SUBSTITUTE(BD$1,RIGHT(BD$1,2),""),VLOOKUP($D214,素材!$1:$1016,COLUMN($F$1),FALSE))),VLOOKUP($C214,武器!$1:$998,COLUMN($O$1),FALSE)*VLOOKUP($D214,素材!$1:$1016,COLUMN($E$1),FALSE)/(LEN(VLOOKUP($D214,素材!$1:$1016,COLUMN($F$1),FALSE))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BE214">
        <f>IF(ISNUMBER(SEARCH(SUBSTITUTE(BE$1,RIGHT(BE$1,2),""),VLOOKUP($D214,素材!$1:$1016,COLUMN($F$1),FALSE))),VLOOKUP($C214,武器!$1:$998,COLUMN($O$1),FALSE)*VLOOKUP($D214,素材!$1:$1016,COLUMN($E$1),FALSE)/(LEN(VLOOKUP($D214,素材!$1:$1016,COLUMN($F$1),FALSE))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BF214">
        <f>IF(ISNUMBER(SEARCH(SUBSTITUTE(BF$1,RIGHT(BF$1,2),""),VLOOKUP($D214,素材!$1:$1016,COLUMN($F$1),FALSE))),VLOOKUP($C214,武器!$1:$998,COLUMN($O$1),FALSE)*VLOOKUP($D214,素材!$1:$1016,COLUMN($E$1),FALSE)/(LEN(VLOOKUP($D214,素材!$1:$1016,COLUMN($F$1),FALSE)) - LEN(SUBSTITUTE(VLOOKUP($D214,素材!$1:$1016,COLUMN($F$1),FALSE), "・", 0)) + 1), 0)</f>
        <v>0</v>
      </c>
      <c r="CM214">
        <f t="shared" si="31"/>
        <v>17</v>
      </c>
      <c r="CN214" s="22" t="str">
        <f>IF(E214="武器",IF(J214-1&gt;SUM(G214:I214),"盾",IF(MAX(G214:I214)=G214,"切断",IF(MAX(G214:I214)=H214,"貫通",IF(MAX(G214:I214)=I214,"打撃","射撃")))),E214)&amp;".webp"</f>
        <v>盾.webp</v>
      </c>
      <c r="CO214">
        <f>IFERROR(VLOOKUP($C214,武器!$1:$998,COLUMN(V$1),FALSE)*VLOOKUP($D214,素材!$1:$1016,COLUMN(N$1),FALSE)+IF(CJ214="",0,VLOOKUP($CJ214,装強!$1:$1008,COLUMN($CL$1),FALSE)),"")</f>
        <v>3000</v>
      </c>
      <c r="CP214">
        <f>VLOOKUP(D214,素材!$A:$O,COLUMN(素材!O$1),FALSE)</f>
        <v>0</v>
      </c>
      <c r="CQ214" t="str">
        <f>VLOOKUP(C214,武器!$A:$W,COLUMN(武器!W$1),FALSE)</f>
        <v>大盾。さらに大きな盾で、高い防御力を持つ。</v>
      </c>
      <c r="CS214" t="str">
        <f t="shared" si="32"/>
        <v>e_214</v>
      </c>
      <c r="CT214">
        <f t="shared" si="33"/>
        <v>300000</v>
      </c>
    </row>
    <row r="215" spans="1:98" outlineLevel="1" x14ac:dyDescent="0.4">
      <c r="A215" t="str">
        <f t="shared" si="30"/>
        <v>冷気鉄の短弓</v>
      </c>
      <c r="B215" t="str">
        <f>IFERROR(VLOOKUP($D215,素材!$1:$1016,COLUMN($B$1),FALSE)&amp;"・"&amp;VLOOKUP($C215,武器!$1:$998,COLUMN(B$1),FALSE),"")</f>
        <v>ドゥララン・ボウ</v>
      </c>
      <c r="C215" t="s">
        <v>218</v>
      </c>
      <c r="D215" s="24" t="s">
        <v>243</v>
      </c>
      <c r="E215" t="str">
        <f>IFERROR(VLOOKUP(C215,武器!$1:$998,COLUMN(C$1),FALSE),"")</f>
        <v>武器</v>
      </c>
      <c r="F215">
        <f>IFERROR(ROUNDDOWN((VLOOKUP($C215,武器!$1:$998,COLUMN(D$1),FALSE)+IFERROR(VLOOKUP($CJ215,装強!$1:$999,COLUMN(F$1),FALSE),0))*VLOOKUP($D215,素材!$1:$1016,COLUMN(D$1),FALSE),0),"")</f>
        <v>110</v>
      </c>
      <c r="G215">
        <f>IFERROR(ROUNDDOWN((VLOOKUP($C215,武器!$1:$998,COLUMN(E$1),FALSE)+IFERROR(VLOOKUP($CJ215,装強!$1:$999,COLUMN(G$1),FALSE),0))*VLOOKUP($D215,素材!$1:$1016,COLUMN($E$1),FALSE),0),"")</f>
        <v>5</v>
      </c>
      <c r="H215">
        <f>IFERROR(ROUNDDOWN((VLOOKUP($C215,武器!$1:$998,COLUMN(F$1),FALSE)+IFERROR(VLOOKUP($CJ215,装強!$1:$999,COLUMN(H$1),FALSE),0))*VLOOKUP($D215,素材!$1:$1016,COLUMN($E$1),FALSE),0),"")</f>
        <v>5</v>
      </c>
      <c r="I215">
        <f>IFERROR(ROUNDDOWN((VLOOKUP($C215,武器!$1:$998,COLUMN(G$1),FALSE)+IFERROR(VLOOKUP($CJ215,装強!$1:$999,COLUMN(I$1),FALSE),0))*VLOOKUP($D215,素材!$1:$1016,COLUMN($E$1),FALSE),0),"")</f>
        <v>0</v>
      </c>
      <c r="J215">
        <f>IFERROR(ROUNDDOWN((VLOOKUP($C215,武器!$1:$998,COLUMN(H$1),FALSE)+IFERROR(VLOOKUP($CJ215,装強!$1:$999,COLUMN(J$1),FALSE),0))*VLOOKUP($D215,素材!$1:$1016,COLUMN($E$1),FALSE),0),"")</f>
        <v>0</v>
      </c>
      <c r="K215">
        <f>IFERROR(ROUNDDOWN((VLOOKUP($C215,武器!$1:$998,COLUMN(I$1),FALSE)+IFERROR(VLOOKUP($CJ215,装強!$1:$999,COLUMN(K$1),FALSE),0))*VLOOKUP($D215,素材!$1:$1016,COLUMN($E$1),FALSE),0),"")</f>
        <v>20</v>
      </c>
      <c r="L215" t="str">
        <f>IFERROR(VLOOKUP($D215,素材!$1:$1016,COLUMN($F$1),FALSE),"")</f>
        <v>氷</v>
      </c>
      <c r="M215">
        <f>IFERROR(VLOOKUP($C215,武器!$1:$998,COLUMN(AA$1),FALSE)*VLOOKUP($D215,素材!$1:$1016,COLUMN($G$1),FALSE),"")</f>
        <v>35</v>
      </c>
      <c r="N215">
        <f>IFERROR(VLOOKUP($C215,武器!$1:$998,COLUMN(I$1),FALSE),"")</f>
        <v>1</v>
      </c>
      <c r="O215" s="23">
        <f>IFERROR((VLOOKUP($C215,武器!$1:$998,COLUMN(K$1),FALSE)+VLOOKUP($D215,素材!$1:$1016,COLUMN(H$1),FALSE))*100+IFERROR(VLOOKUP($CJ215,装強!$1:$999,COLUMN(O$1),FALSE),0),"")</f>
        <v>10</v>
      </c>
      <c r="P215" s="23">
        <f>IFERROR((VLOOKUP($C215,武器!$1:$998,COLUMN(L$1),FALSE)+VLOOKUP($D215,素材!$1:$1016,COLUMN(I$1),FALSE))*100+IFERROR(VLOOKUP($CJ215,装強!$1:$999,COLUMN(P$1),FALSE),0),"")</f>
        <v>130</v>
      </c>
      <c r="Q215">
        <f>IFERROR(ROUNDUP(VLOOKUP($C215,武器!$1:$998,COLUMN(M$1),FALSE)*(VLOOKUP($D215,素材!$1:$1002,COLUMN(D$1),FALSE)/100),1),"")</f>
        <v>-2.5</v>
      </c>
      <c r="R215">
        <f>IFERROR(ROUNDUP(VLOOKUP($C215,武器!$1:$998,COLUMN(N$1),FALSE)*(VLOOKUP($D215,素材!$1:$1002,COLUMN(D$1),FALSE)/100),1),"")</f>
        <v>0</v>
      </c>
      <c r="S215">
        <f>IFERROR(VLOOKUP($C215,武器!$1:$998,COLUMN(P$1),FALSE),"")</f>
        <v>2</v>
      </c>
      <c r="T215">
        <f>IFERROR(VLOOKUP($C215,武器!$1:$998,COLUMN(Q$1),FALSE),"")</f>
        <v>0</v>
      </c>
      <c r="U215">
        <f>IFERROR(VLOOKUP($C215,武器!$1:$998,COLUMN(R$1),FALSE),"")</f>
        <v>0</v>
      </c>
      <c r="V215">
        <f>IFERROR(VLOOKUP($C215,武器!$1:$998,COLUMN(Q$1),FALSE),"")</f>
        <v>0</v>
      </c>
      <c r="W215" t="str">
        <f>IFERROR(VLOOKUP($C215,武器!$1:$998,COLUMN(T$1),FALSE),"")</f>
        <v>A</v>
      </c>
      <c r="Y215">
        <f>IFERROR(VLOOKUP($C215,武器!$1:$998,COLUMN(U$1),FALSE),"")</f>
        <v>0</v>
      </c>
      <c r="Z215">
        <f>IFERROR(ROUNDUP(VLOOKUP($C215,武器!$1:$998,COLUMN(O$1),FALSE)*VLOOKUP($D215,素材!$1:$1016,COLUMN(E$1),FALSE),1),"")</f>
        <v>0</v>
      </c>
      <c r="AA215">
        <f>IF(ISNUMBER(SEARCH(SUBSTITUTE(AA$1,RIGHT(AA$1,2),""),VLOOKUP($D215,素材!$1:$1016,COLUMN($F$1),FALSE))),VLOOKUP($C215,武器!$1:$998,COLUMN($O$1),FALSE)*VLOOKUP($D215,素材!$1:$1016,COLUMN($E$1),FALSE)/(LEN(VLOOKUP($D215,素材!$1:$1016,COLUMN($F$1),FALSE))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B215">
        <f>IF(ISNUMBER(SEARCH(SUBSTITUTE(AB$1,RIGHT(AB$1,2),""),VLOOKUP($D215,素材!$1:$1016,COLUMN($F$1),FALSE))),VLOOKUP($C215,武器!$1:$998,COLUMN($O$1),FALSE)*VLOOKUP($D215,素材!$1:$1016,COLUMN($E$1),FALSE)/(LEN(VLOOKUP($D215,素材!$1:$1016,COLUMN($F$1),FALSE))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C215">
        <f>IF(ISNUMBER(SEARCH(SUBSTITUTE(AC$1,RIGHT(AC$1,2),""),VLOOKUP($D215,素材!$1:$1016,COLUMN($F$1),FALSE))),VLOOKUP($C215,武器!$1:$998,COLUMN($O$1),FALSE)*VLOOKUP($D215,素材!$1:$1016,COLUMN($E$1),FALSE)/(LEN(VLOOKUP($D215,素材!$1:$1016,COLUMN($F$1),FALSE))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D215">
        <f>IF(ISNUMBER(SEARCH(SUBSTITUTE(AD$1,RIGHT(AD$1,2),""),VLOOKUP($D215,素材!$1:$1016,COLUMN($F$1),FALSE))),VLOOKUP($C215,武器!$1:$998,COLUMN($O$1),FALSE)*VLOOKUP($D215,素材!$1:$1016,COLUMN($E$1),FALSE)/(LEN(VLOOKUP($D215,素材!$1:$1016,COLUMN($F$1),FALSE))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E215">
        <f>IF(ISNUMBER(SEARCH(SUBSTITUTE(AE$1,RIGHT(AE$1,2),""),VLOOKUP($D215,素材!$1:$1016,COLUMN($F$1),FALSE))),VLOOKUP($C215,武器!$1:$998,COLUMN($O$1),FALSE)*VLOOKUP($D215,素材!$1:$1016,COLUMN($E$1),FALSE)/(LEN(VLOOKUP($D215,素材!$1:$1016,COLUMN($F$1),FALSE))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F215">
        <f>IF(ISNUMBER(SEARCH(SUBSTITUTE(AF$1,RIGHT(AF$1,2),""),VLOOKUP($D215,素材!$1:$1016,COLUMN($F$1),FALSE))),VLOOKUP($C215,武器!$1:$998,COLUMN($O$1),FALSE)*VLOOKUP($D215,素材!$1:$1016,COLUMN($E$1),FALSE)/(LEN(VLOOKUP($D215,素材!$1:$1016,COLUMN($F$1),FALSE))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G215">
        <f>IF(ISNUMBER(SEARCH(SUBSTITUTE(AG$1,RIGHT(AG$1,2),""),VLOOKUP($D215,素材!$1:$1016,COLUMN($F$1),FALSE))),VLOOKUP($C215,武器!$1:$998,COLUMN($O$1),FALSE)*VLOOKUP($D215,素材!$1:$1016,COLUMN($E$1),FALSE)/(LEN(VLOOKUP($D215,素材!$1:$1016,COLUMN($F$1),FALSE))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H215">
        <f>IF(ISNUMBER(SEARCH(SUBSTITUTE(AH$1,RIGHT(AH$1,2),""),VLOOKUP($D215,素材!$1:$1016,COLUMN($F$1),FALSE))),VLOOKUP($C215,武器!$1:$998,COLUMN($O$1),FALSE)*VLOOKUP($D215,素材!$1:$1016,COLUMN($E$1),FALSE)/(LEN(VLOOKUP($D215,素材!$1:$1016,COLUMN($F$1),FALSE))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I215">
        <f>IF(ISNUMBER(SEARCH(SUBSTITUTE(AI$1,RIGHT(AI$1,2),""),VLOOKUP($D215,素材!$1:$1016,COLUMN($F$1),FALSE))),VLOOKUP($C215,武器!$1:$998,COLUMN($O$1),FALSE)*VLOOKUP($D215,素材!$1:$1016,COLUMN($E$1),FALSE)/(LEN(VLOOKUP($D215,素材!$1:$1016,COLUMN($F$1),FALSE))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J215">
        <f>IF(ISNUMBER(SEARCH(SUBSTITUTE(AJ$1,RIGHT(AJ$1,2),""),VLOOKUP($D215,素材!$1:$1016,COLUMN($F$1),FALSE))),VLOOKUP($C215,武器!$1:$998,COLUMN($O$1),FALSE)*VLOOKUP($D215,素材!$1:$1016,COLUMN($E$1),FALSE)/(LEN(VLOOKUP($D215,素材!$1:$1016,COLUMN($F$1),FALSE))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K215">
        <f>IF(ISNUMBER(SEARCH(SUBSTITUTE(AK$1,RIGHT(AK$1,2),""),VLOOKUP($D215,素材!$1:$1016,COLUMN($F$1),FALSE))),VLOOKUP($C215,武器!$1:$998,COLUMN($O$1),FALSE)*VLOOKUP($D215,素材!$1:$1016,COLUMN($E$1),FALSE)/(LEN(VLOOKUP($D215,素材!$1:$1016,COLUMN($F$1),FALSE))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L215">
        <f>IF(ISNUMBER(SEARCH(SUBSTITUTE(AL$1,RIGHT(AL$1,2),""),VLOOKUP($D215,素材!$1:$1016,COLUMN($F$1),FALSE))),VLOOKUP($C215,武器!$1:$998,COLUMN($O$1),FALSE)*VLOOKUP($D215,素材!$1:$1016,COLUMN($E$1),FALSE)/(LEN(VLOOKUP($D215,素材!$1:$1016,COLUMN($F$1),FALSE))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M215">
        <f>IF(ISNUMBER(SEARCH(SUBSTITUTE(AM$1,RIGHT(AM$1,2),""),VLOOKUP($D215,素材!$1:$1016,COLUMN($F$1),FALSE))),VLOOKUP($C215,武器!$1:$998,COLUMN($O$1),FALSE)*VLOOKUP($D215,素材!$1:$1016,COLUMN($E$1),FALSE)/(LEN(VLOOKUP($D215,素材!$1:$1016,COLUMN($F$1),FALSE))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N215">
        <f>IF(ISNUMBER(SEARCH(SUBSTITUTE(AN$1,RIGHT(AN$1,2),""),VLOOKUP($D215,素材!$1:$1016,COLUMN($F$1),FALSE))),VLOOKUP($C215,武器!$1:$998,COLUMN($O$1),FALSE)*VLOOKUP($D215,素材!$1:$1016,COLUMN($E$1),FALSE)/(LEN(VLOOKUP($D215,素材!$1:$1016,COLUMN($F$1),FALSE))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O215">
        <f>IF(ISNUMBER(SEARCH(SUBSTITUTE(AO$1,RIGHT(AO$1,2),""),VLOOKUP($D215,素材!$1:$1016,COLUMN($F$1),FALSE))),VLOOKUP($C215,武器!$1:$998,COLUMN($O$1),FALSE)*VLOOKUP($D215,素材!$1:$1016,COLUMN($E$1),FALSE)/(LEN(VLOOKUP($D215,素材!$1:$1016,COLUMN($F$1),FALSE))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P215">
        <f>IF(ISNUMBER(SEARCH(SUBSTITUTE(AP$1,RIGHT(AP$1,2),""),VLOOKUP($D215,素材!$1:$1016,COLUMN($F$1),FALSE))),VLOOKUP($C215,武器!$1:$998,COLUMN($O$1),FALSE)*VLOOKUP($D215,素材!$1:$1016,COLUMN($E$1),FALSE)/(LEN(VLOOKUP($D215,素材!$1:$1016,COLUMN($F$1),FALSE))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Q215">
        <f>IF(ISNUMBER(SEARCH(SUBSTITUTE(AQ$1,RIGHT(AQ$1,2),""),VLOOKUP($D215,素材!$1:$1016,COLUMN($F$1),FALSE))),VLOOKUP($C215,武器!$1:$998,COLUMN($O$1),FALSE)*VLOOKUP($D215,素材!$1:$1016,COLUMN($E$1),FALSE)/(LEN(VLOOKUP($D215,素材!$1:$1016,COLUMN($F$1),FALSE))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R215">
        <f>IF(ISNUMBER(SEARCH(SUBSTITUTE(AR$1,RIGHT(AR$1,2),""),VLOOKUP($D215,素材!$1:$1016,COLUMN($F$1),FALSE))),VLOOKUP($C215,武器!$1:$998,COLUMN($O$1),FALSE)*VLOOKUP($D215,素材!$1:$1016,COLUMN($E$1),FALSE)/(LEN(VLOOKUP($D215,素材!$1:$1016,COLUMN($F$1),FALSE))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S215">
        <f>IF(ISNUMBER(SEARCH(SUBSTITUTE(AS$1,RIGHT(AS$1,2),""),VLOOKUP($D215,素材!$1:$1016,COLUMN($F$1),FALSE))),VLOOKUP($C215,武器!$1:$998,COLUMN($O$1),FALSE)*VLOOKUP($D215,素材!$1:$1016,COLUMN($E$1),FALSE)/(LEN(VLOOKUP($D215,素材!$1:$1016,COLUMN($F$1),FALSE))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T215">
        <f>IF(ISNUMBER(SEARCH(SUBSTITUTE(AT$1,RIGHT(AT$1,2),""),VLOOKUP($D215,素材!$1:$1016,COLUMN($F$1),FALSE))),VLOOKUP($C215,武器!$1:$998,COLUMN($O$1),FALSE)*VLOOKUP($D215,素材!$1:$1016,COLUMN($E$1),FALSE)/(LEN(VLOOKUP($D215,素材!$1:$1016,COLUMN($F$1),FALSE))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U215">
        <f>IF(ISNUMBER(SEARCH(SUBSTITUTE(AU$1,RIGHT(AU$1,2),""),VLOOKUP($D215,素材!$1:$1016,COLUMN($F$1),FALSE))),VLOOKUP($C215,武器!$1:$998,COLUMN($O$1),FALSE)*VLOOKUP($D215,素材!$1:$1016,COLUMN($E$1),FALSE)/(LEN(VLOOKUP($D215,素材!$1:$1016,COLUMN($F$1),FALSE))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V215">
        <f>IF(ISNUMBER(SEARCH(SUBSTITUTE(AV$1,RIGHT(AV$1,2),""),VLOOKUP($D215,素材!$1:$1016,COLUMN($F$1),FALSE))),VLOOKUP($C215,武器!$1:$998,COLUMN($O$1),FALSE)*VLOOKUP($D215,素材!$1:$1016,COLUMN($E$1),FALSE)/(LEN(VLOOKUP($D215,素材!$1:$1016,COLUMN($F$1),FALSE))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W215">
        <f>IF(ISNUMBER(SEARCH(SUBSTITUTE(AW$1,RIGHT(AW$1,2),""),VLOOKUP($D215,素材!$1:$1016,COLUMN($F$1),FALSE))),VLOOKUP($C215,武器!$1:$998,COLUMN($O$1),FALSE)*VLOOKUP($D215,素材!$1:$1016,COLUMN($E$1),FALSE)/(LEN(VLOOKUP($D215,素材!$1:$1016,COLUMN($F$1),FALSE))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X215">
        <f>IF(ISNUMBER(SEARCH(SUBSTITUTE(AX$1,RIGHT(AX$1,2),""),VLOOKUP($D215,素材!$1:$1016,COLUMN($F$1),FALSE))),VLOOKUP($C215,武器!$1:$998,COLUMN($O$1),FALSE)*VLOOKUP($D215,素材!$1:$1016,COLUMN($E$1),FALSE)/(LEN(VLOOKUP($D215,素材!$1:$1016,COLUMN($F$1),FALSE))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Y215">
        <f>IF(ISNUMBER(SEARCH(SUBSTITUTE(AY$1,RIGHT(AY$1,2),""),VLOOKUP($D215,素材!$1:$1016,COLUMN($F$1),FALSE))),VLOOKUP($C215,武器!$1:$998,COLUMN($O$1),FALSE)*VLOOKUP($D215,素材!$1:$1016,COLUMN($E$1),FALSE)/(LEN(VLOOKUP($D215,素材!$1:$1016,COLUMN($F$1),FALSE))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AZ215">
        <f>IF(ISNUMBER(SEARCH(SUBSTITUTE(AZ$1,RIGHT(AZ$1,2),""),VLOOKUP($D215,素材!$1:$1016,COLUMN($F$1),FALSE))),VLOOKUP($C215,武器!$1:$998,COLUMN($O$1),FALSE)*VLOOKUP($D215,素材!$1:$1016,COLUMN($E$1),FALSE)/(LEN(VLOOKUP($D215,素材!$1:$1016,COLUMN($F$1),FALSE))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BA215">
        <f>IF(ISNUMBER(SEARCH(SUBSTITUTE(BA$1,RIGHT(BA$1,2),""),VLOOKUP($D215,素材!$1:$1016,COLUMN($F$1),FALSE))),VLOOKUP($C215,武器!$1:$998,COLUMN($O$1),FALSE)*VLOOKUP($D215,素材!$1:$1016,COLUMN($E$1),FALSE)/(LEN(VLOOKUP($D215,素材!$1:$1016,COLUMN($F$1),FALSE))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BB215">
        <f>IF(ISNUMBER(SEARCH(SUBSTITUTE(BB$1,RIGHT(BB$1,2),""),VLOOKUP($D215,素材!$1:$1016,COLUMN($F$1),FALSE))),VLOOKUP($C215,武器!$1:$998,COLUMN($O$1),FALSE)*VLOOKUP($D215,素材!$1:$1016,COLUMN($E$1),FALSE)/(LEN(VLOOKUP($D215,素材!$1:$1016,COLUMN($F$1),FALSE))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BC215">
        <f>IF(ISNUMBER(SEARCH(SUBSTITUTE(BC$1,RIGHT(BC$1,2),""),VLOOKUP($D215,素材!$1:$1016,COLUMN($F$1),FALSE))),VLOOKUP($C215,武器!$1:$998,COLUMN($O$1),FALSE)*VLOOKUP($D215,素材!$1:$1016,COLUMN($E$1),FALSE)/(LEN(VLOOKUP($D215,素材!$1:$1016,COLUMN($F$1),FALSE))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BD215">
        <f>IF(ISNUMBER(SEARCH(SUBSTITUTE(BD$1,RIGHT(BD$1,2),""),VLOOKUP($D215,素材!$1:$1016,COLUMN($F$1),FALSE))),VLOOKUP($C215,武器!$1:$998,COLUMN($O$1),FALSE)*VLOOKUP($D215,素材!$1:$1016,COLUMN($E$1),FALSE)/(LEN(VLOOKUP($D215,素材!$1:$1016,COLUMN($F$1),FALSE))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BE215">
        <f>IF(ISNUMBER(SEARCH(SUBSTITUTE(BE$1,RIGHT(BE$1,2),""),VLOOKUP($D215,素材!$1:$1016,COLUMN($F$1),FALSE))),VLOOKUP($C215,武器!$1:$998,COLUMN($O$1),FALSE)*VLOOKUP($D215,素材!$1:$1016,COLUMN($E$1),FALSE)/(LEN(VLOOKUP($D215,素材!$1:$1016,COLUMN($F$1),FALSE))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BF215">
        <f>IF(ISNUMBER(SEARCH(SUBSTITUTE(BF$1,RIGHT(BF$1,2),""),VLOOKUP($D215,素材!$1:$1016,COLUMN($F$1),FALSE))),VLOOKUP($C215,武器!$1:$998,COLUMN($O$1),FALSE)*VLOOKUP($D215,素材!$1:$1016,COLUMN($E$1),FALSE)/(LEN(VLOOKUP($D215,素材!$1:$1016,COLUMN($F$1),FALSE)) - LEN(SUBSTITUTE(VLOOKUP($D215,素材!$1:$1016,COLUMN($F$1),FALSE), "・", 0)) + 1), 0)</f>
        <v>0</v>
      </c>
      <c r="CM215">
        <f t="shared" si="31"/>
        <v>10</v>
      </c>
      <c r="CN215" s="22" t="str">
        <f>IF(E215="武器",IF(J215-1&gt;SUM(G215:I215),"盾",IF(MAX(G215:I215)=G215,"切断",IF(MAX(G215:I215)=H215,"貫通",IF(MAX(G215:I215)=I215,"打撃","射撃")))),E215)&amp;".webp"</f>
        <v>切断.webp</v>
      </c>
      <c r="CO215">
        <f>IFERROR(VLOOKUP($C215,武器!$1:$998,COLUMN(V$1),FALSE)*VLOOKUP($D215,素材!$1:$1016,COLUMN(N$1),FALSE)+IF(CJ215="",0,VLOOKUP($CJ215,装強!$1:$1008,COLUMN($CL$1),FALSE)),"")</f>
        <v>2250</v>
      </c>
      <c r="CP215">
        <f>VLOOKUP(D215,素材!$A:$O,COLUMN(素材!O$1),FALSE)</f>
        <v>0</v>
      </c>
      <c r="CQ215" t="str">
        <f>VLOOKUP(C215,武器!$A:$W,COLUMN(武器!W$1),FALSE)</f>
        <v>短弓。軽量で扱いやすい遠距離武器。</v>
      </c>
      <c r="CS215" t="str">
        <f t="shared" si="32"/>
        <v>e_215</v>
      </c>
      <c r="CT215">
        <f t="shared" si="33"/>
        <v>225000</v>
      </c>
    </row>
    <row r="216" spans="1:98" outlineLevel="1" x14ac:dyDescent="0.4">
      <c r="A216" t="str">
        <f t="shared" si="30"/>
        <v>冷気鉄の長弓</v>
      </c>
      <c r="B216" t="str">
        <f>IFERROR(VLOOKUP($D216,素材!$1:$1016,COLUMN($B$1),FALSE)&amp;"・"&amp;VLOOKUP($C216,武器!$1:$998,COLUMN(B$1),FALSE),"")</f>
        <v>ドゥララン・ロングボウ</v>
      </c>
      <c r="C216" t="s">
        <v>217</v>
      </c>
      <c r="D216" s="24" t="s">
        <v>243</v>
      </c>
      <c r="E216" t="str">
        <f>IFERROR(VLOOKUP(C216,武器!$1:$998,COLUMN(C$1),FALSE),"")</f>
        <v>武器</v>
      </c>
      <c r="F216">
        <f>IFERROR(ROUNDDOWN((VLOOKUP($C216,武器!$1:$998,COLUMN(D$1),FALSE)+IFERROR(VLOOKUP($CJ216,装強!$1:$999,COLUMN(F$1),FALSE),0))*VLOOKUP($D216,素材!$1:$1016,COLUMN(D$1),FALSE),0),"")</f>
        <v>120</v>
      </c>
      <c r="G216">
        <f>IFERROR(ROUNDDOWN((VLOOKUP($C216,武器!$1:$998,COLUMN(E$1),FALSE)+IFERROR(VLOOKUP($CJ216,装強!$1:$999,COLUMN(G$1),FALSE),0))*VLOOKUP($D216,素材!$1:$1016,COLUMN($E$1),FALSE),0),"")</f>
        <v>5</v>
      </c>
      <c r="H216">
        <f>IFERROR(ROUNDDOWN((VLOOKUP($C216,武器!$1:$998,COLUMN(F$1),FALSE)+IFERROR(VLOOKUP($CJ216,装強!$1:$999,COLUMN(H$1),FALSE),0))*VLOOKUP($D216,素材!$1:$1016,COLUMN($E$1),FALSE),0),"")</f>
        <v>5</v>
      </c>
      <c r="I216">
        <f>IFERROR(ROUNDDOWN((VLOOKUP($C216,武器!$1:$998,COLUMN(G$1),FALSE)+IFERROR(VLOOKUP($CJ216,装強!$1:$999,COLUMN(I$1),FALSE),0))*VLOOKUP($D216,素材!$1:$1016,COLUMN($E$1),FALSE),0),"")</f>
        <v>0</v>
      </c>
      <c r="J216">
        <f>IFERROR(ROUNDDOWN((VLOOKUP($C216,武器!$1:$998,COLUMN(H$1),FALSE)+IFERROR(VLOOKUP($CJ216,装強!$1:$999,COLUMN(J$1),FALSE),0))*VLOOKUP($D216,素材!$1:$1016,COLUMN($E$1),FALSE),0),"")</f>
        <v>0</v>
      </c>
      <c r="K216">
        <f>IFERROR(ROUNDDOWN((VLOOKUP($C216,武器!$1:$998,COLUMN(I$1),FALSE)+IFERROR(VLOOKUP($CJ216,装強!$1:$999,COLUMN(K$1),FALSE),0))*VLOOKUP($D216,素材!$1:$1016,COLUMN($E$1),FALSE),0),"")</f>
        <v>23</v>
      </c>
      <c r="L216" t="str">
        <f>IFERROR(VLOOKUP($D216,素材!$1:$1016,COLUMN($F$1),FALSE),"")</f>
        <v>氷</v>
      </c>
      <c r="M216">
        <f>IFERROR(VLOOKUP($C216,武器!$1:$998,COLUMN(AA$1),FALSE)*VLOOKUP($D216,素材!$1:$1016,COLUMN($G$1),FALSE),"")</f>
        <v>40.25</v>
      </c>
      <c r="N216">
        <f>IFERROR(VLOOKUP($C216,武器!$1:$998,COLUMN(I$1),FALSE),"")</f>
        <v>1.1499999999999999</v>
      </c>
      <c r="O216" s="23">
        <f>IFERROR((VLOOKUP($C216,武器!$1:$998,COLUMN(K$1),FALSE)+VLOOKUP($D216,素材!$1:$1016,COLUMN(H$1),FALSE))*100+IFERROR(VLOOKUP($CJ216,装強!$1:$999,COLUMN(O$1),FALSE),0),"")</f>
        <v>10</v>
      </c>
      <c r="P216" s="23">
        <f>IFERROR((VLOOKUP($C216,武器!$1:$998,COLUMN(L$1),FALSE)+VLOOKUP($D216,素材!$1:$1016,COLUMN(I$1),FALSE))*100+IFERROR(VLOOKUP($CJ216,装強!$1:$999,COLUMN(P$1),FALSE),0),"")</f>
        <v>130</v>
      </c>
      <c r="Q216">
        <f>IFERROR(ROUNDUP(VLOOKUP($C216,武器!$1:$998,COLUMN(M$1),FALSE)*(VLOOKUP($D216,素材!$1:$1002,COLUMN(D$1),FALSE)/100),1),"")</f>
        <v>-5</v>
      </c>
      <c r="R216">
        <f>IFERROR(ROUNDUP(VLOOKUP($C216,武器!$1:$998,COLUMN(N$1),FALSE)*(VLOOKUP($D216,素材!$1:$1002,COLUMN(D$1),FALSE)/100),1),"")</f>
        <v>-2.5</v>
      </c>
      <c r="S216">
        <f>IFERROR(VLOOKUP($C216,武器!$1:$998,COLUMN(P$1),FALSE),"")</f>
        <v>2</v>
      </c>
      <c r="T216">
        <f>IFERROR(VLOOKUP($C216,武器!$1:$998,COLUMN(Q$1),FALSE),"")</f>
        <v>0</v>
      </c>
      <c r="U216">
        <f>IFERROR(VLOOKUP($C216,武器!$1:$998,COLUMN(R$1),FALSE),"")</f>
        <v>0</v>
      </c>
      <c r="V216">
        <f>IFERROR(VLOOKUP($C216,武器!$1:$998,COLUMN(Q$1),FALSE),"")</f>
        <v>0</v>
      </c>
      <c r="W216" t="str">
        <f>IFERROR(VLOOKUP($C216,武器!$1:$998,COLUMN(T$1),FALSE),"")</f>
        <v>A</v>
      </c>
      <c r="Y216">
        <f>IFERROR(VLOOKUP($C216,武器!$1:$998,COLUMN(U$1),FALSE),"")</f>
        <v>0</v>
      </c>
      <c r="Z216">
        <f>IFERROR(ROUNDUP(VLOOKUP($C216,武器!$1:$998,COLUMN(O$1),FALSE)*VLOOKUP($D216,素材!$1:$1016,COLUMN(E$1),FALSE),1),"")</f>
        <v>0</v>
      </c>
      <c r="AA216">
        <f>IF(ISNUMBER(SEARCH(SUBSTITUTE(AA$1,RIGHT(AA$1,2),""),VLOOKUP($D216,素材!$1:$1016,COLUMN($F$1),FALSE))),VLOOKUP($C216,武器!$1:$998,COLUMN($O$1),FALSE)*VLOOKUP($D216,素材!$1:$1016,COLUMN($E$1),FALSE)/(LEN(VLOOKUP($D216,素材!$1:$1016,COLUMN($F$1),FALSE))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B216">
        <f>IF(ISNUMBER(SEARCH(SUBSTITUTE(AB$1,RIGHT(AB$1,2),""),VLOOKUP($D216,素材!$1:$1016,COLUMN($F$1),FALSE))),VLOOKUP($C216,武器!$1:$998,COLUMN($O$1),FALSE)*VLOOKUP($D216,素材!$1:$1016,COLUMN($E$1),FALSE)/(LEN(VLOOKUP($D216,素材!$1:$1016,COLUMN($F$1),FALSE))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C216">
        <f>IF(ISNUMBER(SEARCH(SUBSTITUTE(AC$1,RIGHT(AC$1,2),""),VLOOKUP($D216,素材!$1:$1016,COLUMN($F$1),FALSE))),VLOOKUP($C216,武器!$1:$998,COLUMN($O$1),FALSE)*VLOOKUP($D216,素材!$1:$1016,COLUMN($E$1),FALSE)/(LEN(VLOOKUP($D216,素材!$1:$1016,COLUMN($F$1),FALSE))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D216">
        <f>IF(ISNUMBER(SEARCH(SUBSTITUTE(AD$1,RIGHT(AD$1,2),""),VLOOKUP($D216,素材!$1:$1016,COLUMN($F$1),FALSE))),VLOOKUP($C216,武器!$1:$998,COLUMN($O$1),FALSE)*VLOOKUP($D216,素材!$1:$1016,COLUMN($E$1),FALSE)/(LEN(VLOOKUP($D216,素材!$1:$1016,COLUMN($F$1),FALSE))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E216">
        <f>IF(ISNUMBER(SEARCH(SUBSTITUTE(AE$1,RIGHT(AE$1,2),""),VLOOKUP($D216,素材!$1:$1016,COLUMN($F$1),FALSE))),VLOOKUP($C216,武器!$1:$998,COLUMN($O$1),FALSE)*VLOOKUP($D216,素材!$1:$1016,COLUMN($E$1),FALSE)/(LEN(VLOOKUP($D216,素材!$1:$1016,COLUMN($F$1),FALSE))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F216">
        <f>IF(ISNUMBER(SEARCH(SUBSTITUTE(AF$1,RIGHT(AF$1,2),""),VLOOKUP($D216,素材!$1:$1016,COLUMN($F$1),FALSE))),VLOOKUP($C216,武器!$1:$998,COLUMN($O$1),FALSE)*VLOOKUP($D216,素材!$1:$1016,COLUMN($E$1),FALSE)/(LEN(VLOOKUP($D216,素材!$1:$1016,COLUMN($F$1),FALSE))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G216">
        <f>IF(ISNUMBER(SEARCH(SUBSTITUTE(AG$1,RIGHT(AG$1,2),""),VLOOKUP($D216,素材!$1:$1016,COLUMN($F$1),FALSE))),VLOOKUP($C216,武器!$1:$998,COLUMN($O$1),FALSE)*VLOOKUP($D216,素材!$1:$1016,COLUMN($E$1),FALSE)/(LEN(VLOOKUP($D216,素材!$1:$1016,COLUMN($F$1),FALSE))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H216">
        <f>IF(ISNUMBER(SEARCH(SUBSTITUTE(AH$1,RIGHT(AH$1,2),""),VLOOKUP($D216,素材!$1:$1016,COLUMN($F$1),FALSE))),VLOOKUP($C216,武器!$1:$998,COLUMN($O$1),FALSE)*VLOOKUP($D216,素材!$1:$1016,COLUMN($E$1),FALSE)/(LEN(VLOOKUP($D216,素材!$1:$1016,COLUMN($F$1),FALSE))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I216">
        <f>IF(ISNUMBER(SEARCH(SUBSTITUTE(AI$1,RIGHT(AI$1,2),""),VLOOKUP($D216,素材!$1:$1016,COLUMN($F$1),FALSE))),VLOOKUP($C216,武器!$1:$998,COLUMN($O$1),FALSE)*VLOOKUP($D216,素材!$1:$1016,COLUMN($E$1),FALSE)/(LEN(VLOOKUP($D216,素材!$1:$1016,COLUMN($F$1),FALSE))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J216">
        <f>IF(ISNUMBER(SEARCH(SUBSTITUTE(AJ$1,RIGHT(AJ$1,2),""),VLOOKUP($D216,素材!$1:$1016,COLUMN($F$1),FALSE))),VLOOKUP($C216,武器!$1:$998,COLUMN($O$1),FALSE)*VLOOKUP($D216,素材!$1:$1016,COLUMN($E$1),FALSE)/(LEN(VLOOKUP($D216,素材!$1:$1016,COLUMN($F$1),FALSE))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K216">
        <f>IF(ISNUMBER(SEARCH(SUBSTITUTE(AK$1,RIGHT(AK$1,2),""),VLOOKUP($D216,素材!$1:$1016,COLUMN($F$1),FALSE))),VLOOKUP($C216,武器!$1:$998,COLUMN($O$1),FALSE)*VLOOKUP($D216,素材!$1:$1016,COLUMN($E$1),FALSE)/(LEN(VLOOKUP($D216,素材!$1:$1016,COLUMN($F$1),FALSE))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L216">
        <f>IF(ISNUMBER(SEARCH(SUBSTITUTE(AL$1,RIGHT(AL$1,2),""),VLOOKUP($D216,素材!$1:$1016,COLUMN($F$1),FALSE))),VLOOKUP($C216,武器!$1:$998,COLUMN($O$1),FALSE)*VLOOKUP($D216,素材!$1:$1016,COLUMN($E$1),FALSE)/(LEN(VLOOKUP($D216,素材!$1:$1016,COLUMN($F$1),FALSE))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M216">
        <f>IF(ISNUMBER(SEARCH(SUBSTITUTE(AM$1,RIGHT(AM$1,2),""),VLOOKUP($D216,素材!$1:$1016,COLUMN($F$1),FALSE))),VLOOKUP($C216,武器!$1:$998,COLUMN($O$1),FALSE)*VLOOKUP($D216,素材!$1:$1016,COLUMN($E$1),FALSE)/(LEN(VLOOKUP($D216,素材!$1:$1016,COLUMN($F$1),FALSE))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N216">
        <f>IF(ISNUMBER(SEARCH(SUBSTITUTE(AN$1,RIGHT(AN$1,2),""),VLOOKUP($D216,素材!$1:$1016,COLUMN($F$1),FALSE))),VLOOKUP($C216,武器!$1:$998,COLUMN($O$1),FALSE)*VLOOKUP($D216,素材!$1:$1016,COLUMN($E$1),FALSE)/(LEN(VLOOKUP($D216,素材!$1:$1016,COLUMN($F$1),FALSE))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O216">
        <f>IF(ISNUMBER(SEARCH(SUBSTITUTE(AO$1,RIGHT(AO$1,2),""),VLOOKUP($D216,素材!$1:$1016,COLUMN($F$1),FALSE))),VLOOKUP($C216,武器!$1:$998,COLUMN($O$1),FALSE)*VLOOKUP($D216,素材!$1:$1016,COLUMN($E$1),FALSE)/(LEN(VLOOKUP($D216,素材!$1:$1016,COLUMN($F$1),FALSE))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P216">
        <f>IF(ISNUMBER(SEARCH(SUBSTITUTE(AP$1,RIGHT(AP$1,2),""),VLOOKUP($D216,素材!$1:$1016,COLUMN($F$1),FALSE))),VLOOKUP($C216,武器!$1:$998,COLUMN($O$1),FALSE)*VLOOKUP($D216,素材!$1:$1016,COLUMN($E$1),FALSE)/(LEN(VLOOKUP($D216,素材!$1:$1016,COLUMN($F$1),FALSE))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Q216">
        <f>IF(ISNUMBER(SEARCH(SUBSTITUTE(AQ$1,RIGHT(AQ$1,2),""),VLOOKUP($D216,素材!$1:$1016,COLUMN($F$1),FALSE))),VLOOKUP($C216,武器!$1:$998,COLUMN($O$1),FALSE)*VLOOKUP($D216,素材!$1:$1016,COLUMN($E$1),FALSE)/(LEN(VLOOKUP($D216,素材!$1:$1016,COLUMN($F$1),FALSE))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R216">
        <f>IF(ISNUMBER(SEARCH(SUBSTITUTE(AR$1,RIGHT(AR$1,2),""),VLOOKUP($D216,素材!$1:$1016,COLUMN($F$1),FALSE))),VLOOKUP($C216,武器!$1:$998,COLUMN($O$1),FALSE)*VLOOKUP($D216,素材!$1:$1016,COLUMN($E$1),FALSE)/(LEN(VLOOKUP($D216,素材!$1:$1016,COLUMN($F$1),FALSE))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S216">
        <f>IF(ISNUMBER(SEARCH(SUBSTITUTE(AS$1,RIGHT(AS$1,2),""),VLOOKUP($D216,素材!$1:$1016,COLUMN($F$1),FALSE))),VLOOKUP($C216,武器!$1:$998,COLUMN($O$1),FALSE)*VLOOKUP($D216,素材!$1:$1016,COLUMN($E$1),FALSE)/(LEN(VLOOKUP($D216,素材!$1:$1016,COLUMN($F$1),FALSE))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T216">
        <f>IF(ISNUMBER(SEARCH(SUBSTITUTE(AT$1,RIGHT(AT$1,2),""),VLOOKUP($D216,素材!$1:$1016,COLUMN($F$1),FALSE))),VLOOKUP($C216,武器!$1:$998,COLUMN($O$1),FALSE)*VLOOKUP($D216,素材!$1:$1016,COLUMN($E$1),FALSE)/(LEN(VLOOKUP($D216,素材!$1:$1016,COLUMN($F$1),FALSE))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U216">
        <f>IF(ISNUMBER(SEARCH(SUBSTITUTE(AU$1,RIGHT(AU$1,2),""),VLOOKUP($D216,素材!$1:$1016,COLUMN($F$1),FALSE))),VLOOKUP($C216,武器!$1:$998,COLUMN($O$1),FALSE)*VLOOKUP($D216,素材!$1:$1016,COLUMN($E$1),FALSE)/(LEN(VLOOKUP($D216,素材!$1:$1016,COLUMN($F$1),FALSE))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V216">
        <f>IF(ISNUMBER(SEARCH(SUBSTITUTE(AV$1,RIGHT(AV$1,2),""),VLOOKUP($D216,素材!$1:$1016,COLUMN($F$1),FALSE))),VLOOKUP($C216,武器!$1:$998,COLUMN($O$1),FALSE)*VLOOKUP($D216,素材!$1:$1016,COLUMN($E$1),FALSE)/(LEN(VLOOKUP($D216,素材!$1:$1016,COLUMN($F$1),FALSE))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W216">
        <f>IF(ISNUMBER(SEARCH(SUBSTITUTE(AW$1,RIGHT(AW$1,2),""),VLOOKUP($D216,素材!$1:$1016,COLUMN($F$1),FALSE))),VLOOKUP($C216,武器!$1:$998,COLUMN($O$1),FALSE)*VLOOKUP($D216,素材!$1:$1016,COLUMN($E$1),FALSE)/(LEN(VLOOKUP($D216,素材!$1:$1016,COLUMN($F$1),FALSE))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X216">
        <f>IF(ISNUMBER(SEARCH(SUBSTITUTE(AX$1,RIGHT(AX$1,2),""),VLOOKUP($D216,素材!$1:$1016,COLUMN($F$1),FALSE))),VLOOKUP($C216,武器!$1:$998,COLUMN($O$1),FALSE)*VLOOKUP($D216,素材!$1:$1016,COLUMN($E$1),FALSE)/(LEN(VLOOKUP($D216,素材!$1:$1016,COLUMN($F$1),FALSE))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Y216">
        <f>IF(ISNUMBER(SEARCH(SUBSTITUTE(AY$1,RIGHT(AY$1,2),""),VLOOKUP($D216,素材!$1:$1016,COLUMN($F$1),FALSE))),VLOOKUP($C216,武器!$1:$998,COLUMN($O$1),FALSE)*VLOOKUP($D216,素材!$1:$1016,COLUMN($E$1),FALSE)/(LEN(VLOOKUP($D216,素材!$1:$1016,COLUMN($F$1),FALSE))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AZ216">
        <f>IF(ISNUMBER(SEARCH(SUBSTITUTE(AZ$1,RIGHT(AZ$1,2),""),VLOOKUP($D216,素材!$1:$1016,COLUMN($F$1),FALSE))),VLOOKUP($C216,武器!$1:$998,COLUMN($O$1),FALSE)*VLOOKUP($D216,素材!$1:$1016,COLUMN($E$1),FALSE)/(LEN(VLOOKUP($D216,素材!$1:$1016,COLUMN($F$1),FALSE))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BA216">
        <f>IF(ISNUMBER(SEARCH(SUBSTITUTE(BA$1,RIGHT(BA$1,2),""),VLOOKUP($D216,素材!$1:$1016,COLUMN($F$1),FALSE))),VLOOKUP($C216,武器!$1:$998,COLUMN($O$1),FALSE)*VLOOKUP($D216,素材!$1:$1016,COLUMN($E$1),FALSE)/(LEN(VLOOKUP($D216,素材!$1:$1016,COLUMN($F$1),FALSE))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BB216">
        <f>IF(ISNUMBER(SEARCH(SUBSTITUTE(BB$1,RIGHT(BB$1,2),""),VLOOKUP($D216,素材!$1:$1016,COLUMN($F$1),FALSE))),VLOOKUP($C216,武器!$1:$998,COLUMN($O$1),FALSE)*VLOOKUP($D216,素材!$1:$1016,COLUMN($E$1),FALSE)/(LEN(VLOOKUP($D216,素材!$1:$1016,COLUMN($F$1),FALSE))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BC216">
        <f>IF(ISNUMBER(SEARCH(SUBSTITUTE(BC$1,RIGHT(BC$1,2),""),VLOOKUP($D216,素材!$1:$1016,COLUMN($F$1),FALSE))),VLOOKUP($C216,武器!$1:$998,COLUMN($O$1),FALSE)*VLOOKUP($D216,素材!$1:$1016,COLUMN($E$1),FALSE)/(LEN(VLOOKUP($D216,素材!$1:$1016,COLUMN($F$1),FALSE))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BD216">
        <f>IF(ISNUMBER(SEARCH(SUBSTITUTE(BD$1,RIGHT(BD$1,2),""),VLOOKUP($D216,素材!$1:$1016,COLUMN($F$1),FALSE))),VLOOKUP($C216,武器!$1:$998,COLUMN($O$1),FALSE)*VLOOKUP($D216,素材!$1:$1016,COLUMN($E$1),FALSE)/(LEN(VLOOKUP($D216,素材!$1:$1016,COLUMN($F$1),FALSE))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BE216">
        <f>IF(ISNUMBER(SEARCH(SUBSTITUTE(BE$1,RIGHT(BE$1,2),""),VLOOKUP($D216,素材!$1:$1016,COLUMN($F$1),FALSE))),VLOOKUP($C216,武器!$1:$998,COLUMN($O$1),FALSE)*VLOOKUP($D216,素材!$1:$1016,COLUMN($E$1),FALSE)/(LEN(VLOOKUP($D216,素材!$1:$1016,COLUMN($F$1),FALSE))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BF216">
        <f>IF(ISNUMBER(SEARCH(SUBSTITUTE(BF$1,RIGHT(BF$1,2),""),VLOOKUP($D216,素材!$1:$1016,COLUMN($F$1),FALSE))),VLOOKUP($C216,武器!$1:$998,COLUMN($O$1),FALSE)*VLOOKUP($D216,素材!$1:$1016,COLUMN($E$1),FALSE)/(LEN(VLOOKUP($D216,素材!$1:$1016,COLUMN($F$1),FALSE)) - LEN(SUBSTITUTE(VLOOKUP($D216,素材!$1:$1016,COLUMN($F$1),FALSE), "・", 0)) + 1), 0)</f>
        <v>0</v>
      </c>
      <c r="CM216">
        <f t="shared" si="31"/>
        <v>10</v>
      </c>
      <c r="CN216" s="22" t="str">
        <f>IF(E216="武器",IF(J216-1&gt;SUM(G216:I216),"盾",IF(MAX(G216:I216)=G216,"切断",IF(MAX(G216:I216)=H216,"貫通",IF(MAX(G216:I216)=I216,"打撃","射撃")))),E216)&amp;".webp"</f>
        <v>切断.webp</v>
      </c>
      <c r="CO216">
        <f>IFERROR(VLOOKUP($C216,武器!$1:$998,COLUMN(V$1),FALSE)*VLOOKUP($D216,素材!$1:$1016,COLUMN(N$1),FALSE)+IF(CJ216="",0,VLOOKUP($CJ216,装強!$1:$1008,COLUMN($CL$1),FALSE)),"")</f>
        <v>3000</v>
      </c>
      <c r="CP216">
        <f>VLOOKUP(D216,素材!$A:$O,COLUMN(素材!O$1),FALSE)</f>
        <v>0</v>
      </c>
      <c r="CQ216" t="str">
        <f>VLOOKUP(C216,武器!$A:$W,COLUMN(武器!W$1),FALSE)</f>
        <v>長弓。射程が長く、高い威力を持つ。</v>
      </c>
      <c r="CS216" t="str">
        <f t="shared" si="32"/>
        <v>e_216</v>
      </c>
      <c r="CT216">
        <f t="shared" si="33"/>
        <v>300000</v>
      </c>
    </row>
    <row r="217" spans="1:98" outlineLevel="1" x14ac:dyDescent="0.4">
      <c r="A217" t="str">
        <f t="shared" si="30"/>
        <v>冷気鉄の杖</v>
      </c>
      <c r="B217" t="str">
        <f>IFERROR(VLOOKUP($D217,素材!$1:$1016,COLUMN($B$1),FALSE)&amp;"・"&amp;VLOOKUP($C217,武器!$1:$998,COLUMN(B$1),FALSE),"")</f>
        <v>ドゥララン・ロッド</v>
      </c>
      <c r="C217" t="s">
        <v>216</v>
      </c>
      <c r="D217" s="24" t="s">
        <v>243</v>
      </c>
      <c r="E217" t="str">
        <f>IFERROR(VLOOKUP(C217,武器!$1:$998,COLUMN(C$1),FALSE),"")</f>
        <v>杖</v>
      </c>
      <c r="F217">
        <f>IFERROR(ROUNDDOWN((VLOOKUP($C217,武器!$1:$998,COLUMN(D$1),FALSE)+IFERROR(VLOOKUP($CJ217,装強!$1:$999,COLUMN(F$1),FALSE),0))*VLOOKUP($D217,素材!$1:$1016,COLUMN(D$1),FALSE),0),"")</f>
        <v>110</v>
      </c>
      <c r="G217">
        <f>IFERROR(ROUNDDOWN((VLOOKUP($C217,武器!$1:$998,COLUMN(E$1),FALSE)+IFERROR(VLOOKUP($CJ217,装強!$1:$999,COLUMN(G$1),FALSE),0))*VLOOKUP($D217,素材!$1:$1016,COLUMN($E$1),FALSE),0),"")</f>
        <v>0</v>
      </c>
      <c r="H217">
        <f>IFERROR(ROUNDDOWN((VLOOKUP($C217,武器!$1:$998,COLUMN(F$1),FALSE)+IFERROR(VLOOKUP($CJ217,装強!$1:$999,COLUMN(H$1),FALSE),0))*VLOOKUP($D217,素材!$1:$1016,COLUMN($E$1),FALSE),0),"")</f>
        <v>5</v>
      </c>
      <c r="I217">
        <f>IFERROR(ROUNDDOWN((VLOOKUP($C217,武器!$1:$998,COLUMN(G$1),FALSE)+IFERROR(VLOOKUP($CJ217,装強!$1:$999,COLUMN(I$1),FALSE),0))*VLOOKUP($D217,素材!$1:$1016,COLUMN($E$1),FALSE),0),"")</f>
        <v>14</v>
      </c>
      <c r="J217">
        <f>IFERROR(ROUNDDOWN((VLOOKUP($C217,武器!$1:$998,COLUMN(H$1),FALSE)+IFERROR(VLOOKUP($CJ217,装強!$1:$999,COLUMN(J$1),FALSE),0))*VLOOKUP($D217,素材!$1:$1016,COLUMN($E$1),FALSE),0),"")</f>
        <v>18</v>
      </c>
      <c r="K217">
        <f>IFERROR(ROUNDDOWN((VLOOKUP($C217,武器!$1:$998,COLUMN(I$1),FALSE)+IFERROR(VLOOKUP($CJ217,装強!$1:$999,COLUMN(K$1),FALSE),0))*VLOOKUP($D217,素材!$1:$1016,COLUMN($E$1),FALSE),0),"")</f>
        <v>0</v>
      </c>
      <c r="L217" t="str">
        <f>IFERROR(VLOOKUP($D217,素材!$1:$1016,COLUMN($F$1),FALSE),"")</f>
        <v>氷</v>
      </c>
      <c r="M217">
        <f>IFERROR(VLOOKUP($C217,武器!$1:$998,COLUMN(AA$1),FALSE)*VLOOKUP($D217,素材!$1:$1016,COLUMN($G$1),FALSE),"")</f>
        <v>33.25</v>
      </c>
      <c r="N217">
        <f>IFERROR(VLOOKUP($C217,武器!$1:$998,COLUMN(I$1),FALSE),"")</f>
        <v>0</v>
      </c>
      <c r="O217" s="23">
        <f>IFERROR((VLOOKUP($C217,武器!$1:$998,COLUMN(K$1),FALSE)+VLOOKUP($D217,素材!$1:$1016,COLUMN(H$1),FALSE))*100+IFERROR(VLOOKUP($CJ217,装強!$1:$999,COLUMN(O$1),FALSE),0),"")</f>
        <v>5</v>
      </c>
      <c r="P217" s="23">
        <f>IFERROR((VLOOKUP($C217,武器!$1:$998,COLUMN(L$1),FALSE)+VLOOKUP($D217,素材!$1:$1016,COLUMN(I$1),FALSE))*100+IFERROR(VLOOKUP($CJ217,装強!$1:$999,COLUMN(P$1),FALSE),0),"")</f>
        <v>150</v>
      </c>
      <c r="Q217">
        <f>IFERROR(ROUNDUP(VLOOKUP($C217,武器!$1:$998,COLUMN(M$1),FALSE)*(VLOOKUP($D217,素材!$1:$1002,COLUMN(D$1),FALSE)/100),1),"")</f>
        <v>0</v>
      </c>
      <c r="R217">
        <f>IFERROR(ROUNDUP(VLOOKUP($C217,武器!$1:$998,COLUMN(N$1),FALSE)*(VLOOKUP($D217,素材!$1:$1002,COLUMN(D$1),FALSE)/100),1),"")</f>
        <v>0</v>
      </c>
      <c r="S217">
        <f>IFERROR(VLOOKUP($C217,武器!$1:$998,COLUMN(P$1),FALSE),"")</f>
        <v>0</v>
      </c>
      <c r="T217">
        <f>IFERROR(VLOOKUP($C217,武器!$1:$998,COLUMN(Q$1),FALSE),"")</f>
        <v>0</v>
      </c>
      <c r="U217">
        <f>IFERROR(VLOOKUP($C217,武器!$1:$998,COLUMN(R$1),FALSE),"")</f>
        <v>0</v>
      </c>
      <c r="V217">
        <f>IFERROR(VLOOKUP($C217,武器!$1:$998,COLUMN(Q$1),FALSE),"")</f>
        <v>0</v>
      </c>
      <c r="W217" t="str">
        <f>IFERROR(VLOOKUP($C217,武器!$1:$998,COLUMN(T$1),FALSE),"")</f>
        <v>A</v>
      </c>
      <c r="Y217" t="str">
        <f>IFERROR(VLOOKUP($C217,武器!$1:$998,COLUMN(U$1),FALSE),"")</f>
        <v>魔法無詠唱Ⅱ</v>
      </c>
      <c r="Z217">
        <f>IFERROR(ROUNDUP(VLOOKUP($C217,武器!$1:$998,COLUMN(O$1),FALSE)*VLOOKUP($D217,素材!$1:$1016,COLUMN(E$1),FALSE),1),"")</f>
        <v>0</v>
      </c>
      <c r="AA217">
        <f>IF(ISNUMBER(SEARCH(SUBSTITUTE(AA$1,RIGHT(AA$1,2),""),VLOOKUP($D217,素材!$1:$1016,COLUMN($F$1),FALSE))),VLOOKUP($C217,武器!$1:$998,COLUMN($O$1),FALSE)*VLOOKUP($D217,素材!$1:$1016,COLUMN($E$1),FALSE)/(LEN(VLOOKUP($D217,素材!$1:$1016,COLUMN($F$1),FALSE))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B217">
        <f>IF(ISNUMBER(SEARCH(SUBSTITUTE(AB$1,RIGHT(AB$1,2),""),VLOOKUP($D217,素材!$1:$1016,COLUMN($F$1),FALSE))),VLOOKUP($C217,武器!$1:$998,COLUMN($O$1),FALSE)*VLOOKUP($D217,素材!$1:$1016,COLUMN($E$1),FALSE)/(LEN(VLOOKUP($D217,素材!$1:$1016,COLUMN($F$1),FALSE))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C217">
        <f>IF(ISNUMBER(SEARCH(SUBSTITUTE(AC$1,RIGHT(AC$1,2),""),VLOOKUP($D217,素材!$1:$1016,COLUMN($F$1),FALSE))),VLOOKUP($C217,武器!$1:$998,COLUMN($O$1),FALSE)*VLOOKUP($D217,素材!$1:$1016,COLUMN($E$1),FALSE)/(LEN(VLOOKUP($D217,素材!$1:$1016,COLUMN($F$1),FALSE))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D217">
        <f>IF(ISNUMBER(SEARCH(SUBSTITUTE(AD$1,RIGHT(AD$1,2),""),VLOOKUP($D217,素材!$1:$1016,COLUMN($F$1),FALSE))),VLOOKUP($C217,武器!$1:$998,COLUMN($O$1),FALSE)*VLOOKUP($D217,素材!$1:$1016,COLUMN($E$1),FALSE)/(LEN(VLOOKUP($D217,素材!$1:$1016,COLUMN($F$1),FALSE))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E217">
        <f>IF(ISNUMBER(SEARCH(SUBSTITUTE(AE$1,RIGHT(AE$1,2),""),VLOOKUP($D217,素材!$1:$1016,COLUMN($F$1),FALSE))),VLOOKUP($C217,武器!$1:$998,COLUMN($O$1),FALSE)*VLOOKUP($D217,素材!$1:$1016,COLUMN($E$1),FALSE)/(LEN(VLOOKUP($D217,素材!$1:$1016,COLUMN($F$1),FALSE))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F217">
        <f>IF(ISNUMBER(SEARCH(SUBSTITUTE(AF$1,RIGHT(AF$1,2),""),VLOOKUP($D217,素材!$1:$1016,COLUMN($F$1),FALSE))),VLOOKUP($C217,武器!$1:$998,COLUMN($O$1),FALSE)*VLOOKUP($D217,素材!$1:$1016,COLUMN($E$1),FALSE)/(LEN(VLOOKUP($D217,素材!$1:$1016,COLUMN($F$1),FALSE))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G217">
        <f>IF(ISNUMBER(SEARCH(SUBSTITUTE(AG$1,RIGHT(AG$1,2),""),VLOOKUP($D217,素材!$1:$1016,COLUMN($F$1),FALSE))),VLOOKUP($C217,武器!$1:$998,COLUMN($O$1),FALSE)*VLOOKUP($D217,素材!$1:$1016,COLUMN($E$1),FALSE)/(LEN(VLOOKUP($D217,素材!$1:$1016,COLUMN($F$1),FALSE))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H217">
        <f>IF(ISNUMBER(SEARCH(SUBSTITUTE(AH$1,RIGHT(AH$1,2),""),VLOOKUP($D217,素材!$1:$1016,COLUMN($F$1),FALSE))),VLOOKUP($C217,武器!$1:$998,COLUMN($O$1),FALSE)*VLOOKUP($D217,素材!$1:$1016,COLUMN($E$1),FALSE)/(LEN(VLOOKUP($D217,素材!$1:$1016,COLUMN($F$1),FALSE))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I217">
        <f>IF(ISNUMBER(SEARCH(SUBSTITUTE(AI$1,RIGHT(AI$1,2),""),VLOOKUP($D217,素材!$1:$1016,COLUMN($F$1),FALSE))),VLOOKUP($C217,武器!$1:$998,COLUMN($O$1),FALSE)*VLOOKUP($D217,素材!$1:$1016,COLUMN($E$1),FALSE)/(LEN(VLOOKUP($D217,素材!$1:$1016,COLUMN($F$1),FALSE))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J217">
        <f>IF(ISNUMBER(SEARCH(SUBSTITUTE(AJ$1,RIGHT(AJ$1,2),""),VLOOKUP($D217,素材!$1:$1016,COLUMN($F$1),FALSE))),VLOOKUP($C217,武器!$1:$998,COLUMN($O$1),FALSE)*VLOOKUP($D217,素材!$1:$1016,COLUMN($E$1),FALSE)/(LEN(VLOOKUP($D217,素材!$1:$1016,COLUMN($F$1),FALSE))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K217">
        <f>IF(ISNUMBER(SEARCH(SUBSTITUTE(AK$1,RIGHT(AK$1,2),""),VLOOKUP($D217,素材!$1:$1016,COLUMN($F$1),FALSE))),VLOOKUP($C217,武器!$1:$998,COLUMN($O$1),FALSE)*VLOOKUP($D217,素材!$1:$1016,COLUMN($E$1),FALSE)/(LEN(VLOOKUP($D217,素材!$1:$1016,COLUMN($F$1),FALSE))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L217">
        <f>IF(ISNUMBER(SEARCH(SUBSTITUTE(AL$1,RIGHT(AL$1,2),""),VLOOKUP($D217,素材!$1:$1016,COLUMN($F$1),FALSE))),VLOOKUP($C217,武器!$1:$998,COLUMN($O$1),FALSE)*VLOOKUP($D217,素材!$1:$1016,COLUMN($E$1),FALSE)/(LEN(VLOOKUP($D217,素材!$1:$1016,COLUMN($F$1),FALSE))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M217">
        <f>IF(ISNUMBER(SEARCH(SUBSTITUTE(AM$1,RIGHT(AM$1,2),""),VLOOKUP($D217,素材!$1:$1016,COLUMN($F$1),FALSE))),VLOOKUP($C217,武器!$1:$998,COLUMN($O$1),FALSE)*VLOOKUP($D217,素材!$1:$1016,COLUMN($E$1),FALSE)/(LEN(VLOOKUP($D217,素材!$1:$1016,COLUMN($F$1),FALSE))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N217">
        <f>IF(ISNUMBER(SEARCH(SUBSTITUTE(AN$1,RIGHT(AN$1,2),""),VLOOKUP($D217,素材!$1:$1016,COLUMN($F$1),FALSE))),VLOOKUP($C217,武器!$1:$998,COLUMN($O$1),FALSE)*VLOOKUP($D217,素材!$1:$1016,COLUMN($E$1),FALSE)/(LEN(VLOOKUP($D217,素材!$1:$1016,COLUMN($F$1),FALSE))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O217">
        <f>IF(ISNUMBER(SEARCH(SUBSTITUTE(AO$1,RIGHT(AO$1,2),""),VLOOKUP($D217,素材!$1:$1016,COLUMN($F$1),FALSE))),VLOOKUP($C217,武器!$1:$998,COLUMN($O$1),FALSE)*VLOOKUP($D217,素材!$1:$1016,COLUMN($E$1),FALSE)/(LEN(VLOOKUP($D217,素材!$1:$1016,COLUMN($F$1),FALSE))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P217">
        <f>IF(ISNUMBER(SEARCH(SUBSTITUTE(AP$1,RIGHT(AP$1,2),""),VLOOKUP($D217,素材!$1:$1016,COLUMN($F$1),FALSE))),VLOOKUP($C217,武器!$1:$998,COLUMN($O$1),FALSE)*VLOOKUP($D217,素材!$1:$1016,COLUMN($E$1),FALSE)/(LEN(VLOOKUP($D217,素材!$1:$1016,COLUMN($F$1),FALSE))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Q217">
        <f>IF(ISNUMBER(SEARCH(SUBSTITUTE(AQ$1,RIGHT(AQ$1,2),""),VLOOKUP($D217,素材!$1:$1016,COLUMN($F$1),FALSE))),VLOOKUP($C217,武器!$1:$998,COLUMN($O$1),FALSE)*VLOOKUP($D217,素材!$1:$1016,COLUMN($E$1),FALSE)/(LEN(VLOOKUP($D217,素材!$1:$1016,COLUMN($F$1),FALSE))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R217">
        <f>IF(ISNUMBER(SEARCH(SUBSTITUTE(AR$1,RIGHT(AR$1,2),""),VLOOKUP($D217,素材!$1:$1016,COLUMN($F$1),FALSE))),VLOOKUP($C217,武器!$1:$998,COLUMN($O$1),FALSE)*VLOOKUP($D217,素材!$1:$1016,COLUMN($E$1),FALSE)/(LEN(VLOOKUP($D217,素材!$1:$1016,COLUMN($F$1),FALSE))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S217">
        <f>IF(ISNUMBER(SEARCH(SUBSTITUTE(AS$1,RIGHT(AS$1,2),""),VLOOKUP($D217,素材!$1:$1016,COLUMN($F$1),FALSE))),VLOOKUP($C217,武器!$1:$998,COLUMN($O$1),FALSE)*VLOOKUP($D217,素材!$1:$1016,COLUMN($E$1),FALSE)/(LEN(VLOOKUP($D217,素材!$1:$1016,COLUMN($F$1),FALSE))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T217">
        <f>IF(ISNUMBER(SEARCH(SUBSTITUTE(AT$1,RIGHT(AT$1,2),""),VLOOKUP($D217,素材!$1:$1016,COLUMN($F$1),FALSE))),VLOOKUP($C217,武器!$1:$998,COLUMN($O$1),FALSE)*VLOOKUP($D217,素材!$1:$1016,COLUMN($E$1),FALSE)/(LEN(VLOOKUP($D217,素材!$1:$1016,COLUMN($F$1),FALSE))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U217">
        <f>IF(ISNUMBER(SEARCH(SUBSTITUTE(AU$1,RIGHT(AU$1,2),""),VLOOKUP($D217,素材!$1:$1016,COLUMN($F$1),FALSE))),VLOOKUP($C217,武器!$1:$998,COLUMN($O$1),FALSE)*VLOOKUP($D217,素材!$1:$1016,COLUMN($E$1),FALSE)/(LEN(VLOOKUP($D217,素材!$1:$1016,COLUMN($F$1),FALSE))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V217">
        <f>IF(ISNUMBER(SEARCH(SUBSTITUTE(AV$1,RIGHT(AV$1,2),""),VLOOKUP($D217,素材!$1:$1016,COLUMN($F$1),FALSE))),VLOOKUP($C217,武器!$1:$998,COLUMN($O$1),FALSE)*VLOOKUP($D217,素材!$1:$1016,COLUMN($E$1),FALSE)/(LEN(VLOOKUP($D217,素材!$1:$1016,COLUMN($F$1),FALSE))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W217">
        <f>IF(ISNUMBER(SEARCH(SUBSTITUTE(AW$1,RIGHT(AW$1,2),""),VLOOKUP($D217,素材!$1:$1016,COLUMN($F$1),FALSE))),VLOOKUP($C217,武器!$1:$998,COLUMN($O$1),FALSE)*VLOOKUP($D217,素材!$1:$1016,COLUMN($E$1),FALSE)/(LEN(VLOOKUP($D217,素材!$1:$1016,COLUMN($F$1),FALSE))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X217">
        <f>IF(ISNUMBER(SEARCH(SUBSTITUTE(AX$1,RIGHT(AX$1,2),""),VLOOKUP($D217,素材!$1:$1016,COLUMN($F$1),FALSE))),VLOOKUP($C217,武器!$1:$998,COLUMN($O$1),FALSE)*VLOOKUP($D217,素材!$1:$1016,COLUMN($E$1),FALSE)/(LEN(VLOOKUP($D217,素材!$1:$1016,COLUMN($F$1),FALSE))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Y217">
        <f>IF(ISNUMBER(SEARCH(SUBSTITUTE(AY$1,RIGHT(AY$1,2),""),VLOOKUP($D217,素材!$1:$1016,COLUMN($F$1),FALSE))),VLOOKUP($C217,武器!$1:$998,COLUMN($O$1),FALSE)*VLOOKUP($D217,素材!$1:$1016,COLUMN($E$1),FALSE)/(LEN(VLOOKUP($D217,素材!$1:$1016,COLUMN($F$1),FALSE))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AZ217">
        <f>IF(ISNUMBER(SEARCH(SUBSTITUTE(AZ$1,RIGHT(AZ$1,2),""),VLOOKUP($D217,素材!$1:$1016,COLUMN($F$1),FALSE))),VLOOKUP($C217,武器!$1:$998,COLUMN($O$1),FALSE)*VLOOKUP($D217,素材!$1:$1016,COLUMN($E$1),FALSE)/(LEN(VLOOKUP($D217,素材!$1:$1016,COLUMN($F$1),FALSE))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BA217">
        <f>IF(ISNUMBER(SEARCH(SUBSTITUTE(BA$1,RIGHT(BA$1,2),""),VLOOKUP($D217,素材!$1:$1016,COLUMN($F$1),FALSE))),VLOOKUP($C217,武器!$1:$998,COLUMN($O$1),FALSE)*VLOOKUP($D217,素材!$1:$1016,COLUMN($E$1),FALSE)/(LEN(VLOOKUP($D217,素材!$1:$1016,COLUMN($F$1),FALSE))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BB217">
        <f>IF(ISNUMBER(SEARCH(SUBSTITUTE(BB$1,RIGHT(BB$1,2),""),VLOOKUP($D217,素材!$1:$1016,COLUMN($F$1),FALSE))),VLOOKUP($C217,武器!$1:$998,COLUMN($O$1),FALSE)*VLOOKUP($D217,素材!$1:$1016,COLUMN($E$1),FALSE)/(LEN(VLOOKUP($D217,素材!$1:$1016,COLUMN($F$1),FALSE))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BC217">
        <f>IF(ISNUMBER(SEARCH(SUBSTITUTE(BC$1,RIGHT(BC$1,2),""),VLOOKUP($D217,素材!$1:$1016,COLUMN($F$1),FALSE))),VLOOKUP($C217,武器!$1:$998,COLUMN($O$1),FALSE)*VLOOKUP($D217,素材!$1:$1016,COLUMN($E$1),FALSE)/(LEN(VLOOKUP($D217,素材!$1:$1016,COLUMN($F$1),FALSE))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BD217">
        <f>IF(ISNUMBER(SEARCH(SUBSTITUTE(BD$1,RIGHT(BD$1,2),""),VLOOKUP($D217,素材!$1:$1016,COLUMN($F$1),FALSE))),VLOOKUP($C217,武器!$1:$998,COLUMN($O$1),FALSE)*VLOOKUP($D217,素材!$1:$1016,COLUMN($E$1),FALSE)/(LEN(VLOOKUP($D217,素材!$1:$1016,COLUMN($F$1),FALSE))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BE217">
        <f>IF(ISNUMBER(SEARCH(SUBSTITUTE(BE$1,RIGHT(BE$1,2),""),VLOOKUP($D217,素材!$1:$1016,COLUMN($F$1),FALSE))),VLOOKUP($C217,武器!$1:$998,COLUMN($O$1),FALSE)*VLOOKUP($D217,素材!$1:$1016,COLUMN($E$1),FALSE)/(LEN(VLOOKUP($D217,素材!$1:$1016,COLUMN($F$1),FALSE))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BF217">
        <f>IF(ISNUMBER(SEARCH(SUBSTITUTE(BF$1,RIGHT(BF$1,2),""),VLOOKUP($D217,素材!$1:$1016,COLUMN($F$1),FALSE))),VLOOKUP($C217,武器!$1:$998,COLUMN($O$1),FALSE)*VLOOKUP($D217,素材!$1:$1016,COLUMN($E$1),FALSE)/(LEN(VLOOKUP($D217,素材!$1:$1016,COLUMN($F$1),FALSE)) - LEN(SUBSTITUTE(VLOOKUP($D217,素材!$1:$1016,COLUMN($F$1),FALSE), "・", 0)) + 1), 0)</f>
        <v>0</v>
      </c>
      <c r="CM217">
        <f t="shared" si="31"/>
        <v>19</v>
      </c>
      <c r="CN217" s="22" t="str">
        <f>IF(E217="武器",IF(J217-1&gt;SUM(G217:I217),"盾",IF(MAX(G217:I217)=G217,"切断",IF(MAX(G217:I217)=H217,"貫通",IF(MAX(G217:I217)=I217,"打撃","射撃")))),E217)&amp;".webp"</f>
        <v>杖.webp</v>
      </c>
      <c r="CO217">
        <f>IFERROR(VLOOKUP($C217,武器!$1:$998,COLUMN(V$1),FALSE)*VLOOKUP($D217,素材!$1:$1016,COLUMN(N$1),FALSE)+IF(CJ217="",0,VLOOKUP($CJ217,装強!$1:$1008,COLUMN($CL$1),FALSE)),"")</f>
        <v>3000</v>
      </c>
      <c r="CP217">
        <f>VLOOKUP(D217,素材!$A:$O,COLUMN(素材!O$1),FALSE)</f>
        <v>0</v>
      </c>
      <c r="CQ217" t="str">
        <f>VLOOKUP(C217,武器!$A:$W,COLUMN(武器!W$1),FALSE)</f>
        <v>杖。バランスの取れた魔法武器。</v>
      </c>
      <c r="CS217" t="str">
        <f t="shared" si="32"/>
        <v>e_217</v>
      </c>
      <c r="CT217">
        <f t="shared" si="33"/>
        <v>300000</v>
      </c>
    </row>
    <row r="218" spans="1:98" outlineLevel="1" x14ac:dyDescent="0.4">
      <c r="A218" t="str">
        <f t="shared" ref="A218:A249" si="34">D218&amp;"の"&amp;C218</f>
        <v>冷気鉄の長杖</v>
      </c>
      <c r="B218" t="str">
        <f>IFERROR(VLOOKUP($D218,素材!$1:$1016,COLUMN($B$1),FALSE)&amp;"・"&amp;VLOOKUP($C218,武器!$1:$998,COLUMN(B$1),FALSE),"")</f>
        <v>ドゥララン・スタッフ</v>
      </c>
      <c r="C218" t="s">
        <v>215</v>
      </c>
      <c r="D218" s="24" t="s">
        <v>243</v>
      </c>
      <c r="E218" t="str">
        <f>IFERROR(VLOOKUP(C218,武器!$1:$998,COLUMN(C$1),FALSE),"")</f>
        <v>杖</v>
      </c>
      <c r="F218">
        <f>IFERROR(ROUNDDOWN((VLOOKUP($C218,武器!$1:$998,COLUMN(D$1),FALSE)+IFERROR(VLOOKUP($CJ218,装強!$1:$999,COLUMN(F$1),FALSE),0))*VLOOKUP($D218,素材!$1:$1016,COLUMN(D$1),FALSE),0),"")</f>
        <v>115</v>
      </c>
      <c r="G218">
        <f>IFERROR(ROUNDDOWN((VLOOKUP($C218,武器!$1:$998,COLUMN(E$1),FALSE)+IFERROR(VLOOKUP($CJ218,装強!$1:$999,COLUMN(G$1),FALSE),0))*VLOOKUP($D218,素材!$1:$1016,COLUMN($E$1),FALSE),0),"")</f>
        <v>0</v>
      </c>
      <c r="H218">
        <f>IFERROR(ROUNDDOWN((VLOOKUP($C218,武器!$1:$998,COLUMN(F$1),FALSE)+IFERROR(VLOOKUP($CJ218,装強!$1:$999,COLUMN(H$1),FALSE),0))*VLOOKUP($D218,素材!$1:$1016,COLUMN($E$1),FALSE),0),"")</f>
        <v>6</v>
      </c>
      <c r="I218">
        <f>IFERROR(ROUNDDOWN((VLOOKUP($C218,武器!$1:$998,COLUMN(G$1),FALSE)+IFERROR(VLOOKUP($CJ218,装強!$1:$999,COLUMN(I$1),FALSE),0))*VLOOKUP($D218,素材!$1:$1016,COLUMN($E$1),FALSE),0),"")</f>
        <v>16</v>
      </c>
      <c r="J218">
        <f>IFERROR(ROUNDDOWN((VLOOKUP($C218,武器!$1:$998,COLUMN(H$1),FALSE)+IFERROR(VLOOKUP($CJ218,装強!$1:$999,COLUMN(J$1),FALSE),0))*VLOOKUP($D218,素材!$1:$1016,COLUMN($E$1),FALSE),0),"")</f>
        <v>19</v>
      </c>
      <c r="K218">
        <f>IFERROR(ROUNDDOWN((VLOOKUP($C218,武器!$1:$998,COLUMN(I$1),FALSE)+IFERROR(VLOOKUP($CJ218,装強!$1:$999,COLUMN(K$1),FALSE),0))*VLOOKUP($D218,素材!$1:$1016,COLUMN($E$1),FALSE),0),"")</f>
        <v>0</v>
      </c>
      <c r="L218" t="str">
        <f>IFERROR(VLOOKUP($D218,素材!$1:$1016,COLUMN($F$1),FALSE),"")</f>
        <v>氷</v>
      </c>
      <c r="M218">
        <f>IFERROR(VLOOKUP($C218,武器!$1:$998,COLUMN(AA$1),FALSE)*VLOOKUP($D218,素材!$1:$1016,COLUMN($G$1),FALSE),"")</f>
        <v>38.5</v>
      </c>
      <c r="N218">
        <f>IFERROR(VLOOKUP($C218,武器!$1:$998,COLUMN(I$1),FALSE),"")</f>
        <v>0</v>
      </c>
      <c r="O218" s="23">
        <f>IFERROR((VLOOKUP($C218,武器!$1:$998,COLUMN(K$1),FALSE)+VLOOKUP($D218,素材!$1:$1016,COLUMN(H$1),FALSE))*100+IFERROR(VLOOKUP($CJ218,装強!$1:$999,COLUMN(O$1),FALSE),0),"")</f>
        <v>5</v>
      </c>
      <c r="P218" s="23">
        <f>IFERROR((VLOOKUP($C218,武器!$1:$998,COLUMN(L$1),FALSE)+VLOOKUP($D218,素材!$1:$1016,COLUMN(I$1),FALSE))*100+IFERROR(VLOOKUP($CJ218,装強!$1:$999,COLUMN(P$1),FALSE),0),"")</f>
        <v>150</v>
      </c>
      <c r="Q218">
        <f>IFERROR(ROUNDUP(VLOOKUP($C218,武器!$1:$998,COLUMN(M$1),FALSE)*(VLOOKUP($D218,素材!$1:$1002,COLUMN(D$1),FALSE)/100),1),"")</f>
        <v>-4</v>
      </c>
      <c r="R218">
        <f>IFERROR(ROUNDUP(VLOOKUP($C218,武器!$1:$998,COLUMN(N$1),FALSE)*(VLOOKUP($D218,素材!$1:$1002,COLUMN(D$1),FALSE)/100),1),"")</f>
        <v>-4</v>
      </c>
      <c r="S218">
        <f>IFERROR(VLOOKUP($C218,武器!$1:$998,COLUMN(P$1),FALSE),"")</f>
        <v>0</v>
      </c>
      <c r="T218">
        <f>IFERROR(VLOOKUP($C218,武器!$1:$998,COLUMN(Q$1),FALSE),"")</f>
        <v>0</v>
      </c>
      <c r="U218">
        <f>IFERROR(VLOOKUP($C218,武器!$1:$998,COLUMN(R$1),FALSE),"")</f>
        <v>0</v>
      </c>
      <c r="V218">
        <f>IFERROR(VLOOKUP($C218,武器!$1:$998,COLUMN(Q$1),FALSE),"")</f>
        <v>0</v>
      </c>
      <c r="W218" t="str">
        <f>IFERROR(VLOOKUP($C218,武器!$1:$998,COLUMN(T$1),FALSE),"")</f>
        <v>A</v>
      </c>
      <c r="Y218" t="str">
        <f>IFERROR(VLOOKUP($C218,武器!$1:$998,COLUMN(U$1),FALSE),"")</f>
        <v>魔法無詠唱Ⅲ</v>
      </c>
      <c r="Z218">
        <f>IFERROR(ROUNDUP(VLOOKUP($C218,武器!$1:$998,COLUMN(O$1),FALSE)*VLOOKUP($D218,素材!$1:$1016,COLUMN(E$1),FALSE),1),"")</f>
        <v>0</v>
      </c>
      <c r="AA218">
        <f>IF(ISNUMBER(SEARCH(SUBSTITUTE(AA$1,RIGHT(AA$1,2),""),VLOOKUP($D218,素材!$1:$1016,COLUMN($F$1),FALSE))),VLOOKUP($C218,武器!$1:$998,COLUMN($O$1),FALSE)*VLOOKUP($D218,素材!$1:$1016,COLUMN($E$1),FALSE)/(LEN(VLOOKUP($D218,素材!$1:$1016,COLUMN($F$1),FALSE))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B218">
        <f>IF(ISNUMBER(SEARCH(SUBSTITUTE(AB$1,RIGHT(AB$1,2),""),VLOOKUP($D218,素材!$1:$1016,COLUMN($F$1),FALSE))),VLOOKUP($C218,武器!$1:$998,COLUMN($O$1),FALSE)*VLOOKUP($D218,素材!$1:$1016,COLUMN($E$1),FALSE)/(LEN(VLOOKUP($D218,素材!$1:$1016,COLUMN($F$1),FALSE))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C218">
        <f>IF(ISNUMBER(SEARCH(SUBSTITUTE(AC$1,RIGHT(AC$1,2),""),VLOOKUP($D218,素材!$1:$1016,COLUMN($F$1),FALSE))),VLOOKUP($C218,武器!$1:$998,COLUMN($O$1),FALSE)*VLOOKUP($D218,素材!$1:$1016,COLUMN($E$1),FALSE)/(LEN(VLOOKUP($D218,素材!$1:$1016,COLUMN($F$1),FALSE))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D218">
        <f>IF(ISNUMBER(SEARCH(SUBSTITUTE(AD$1,RIGHT(AD$1,2),""),VLOOKUP($D218,素材!$1:$1016,COLUMN($F$1),FALSE))),VLOOKUP($C218,武器!$1:$998,COLUMN($O$1),FALSE)*VLOOKUP($D218,素材!$1:$1016,COLUMN($E$1),FALSE)/(LEN(VLOOKUP($D218,素材!$1:$1016,COLUMN($F$1),FALSE))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E218">
        <f>IF(ISNUMBER(SEARCH(SUBSTITUTE(AE$1,RIGHT(AE$1,2),""),VLOOKUP($D218,素材!$1:$1016,COLUMN($F$1),FALSE))),VLOOKUP($C218,武器!$1:$998,COLUMN($O$1),FALSE)*VLOOKUP($D218,素材!$1:$1016,COLUMN($E$1),FALSE)/(LEN(VLOOKUP($D218,素材!$1:$1016,COLUMN($F$1),FALSE))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F218">
        <f>IF(ISNUMBER(SEARCH(SUBSTITUTE(AF$1,RIGHT(AF$1,2),""),VLOOKUP($D218,素材!$1:$1016,COLUMN($F$1),FALSE))),VLOOKUP($C218,武器!$1:$998,COLUMN($O$1),FALSE)*VLOOKUP($D218,素材!$1:$1016,COLUMN($E$1),FALSE)/(LEN(VLOOKUP($D218,素材!$1:$1016,COLUMN($F$1),FALSE))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G218">
        <f>IF(ISNUMBER(SEARCH(SUBSTITUTE(AG$1,RIGHT(AG$1,2),""),VLOOKUP($D218,素材!$1:$1016,COLUMN($F$1),FALSE))),VLOOKUP($C218,武器!$1:$998,COLUMN($O$1),FALSE)*VLOOKUP($D218,素材!$1:$1016,COLUMN($E$1),FALSE)/(LEN(VLOOKUP($D218,素材!$1:$1016,COLUMN($F$1),FALSE))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H218">
        <f>IF(ISNUMBER(SEARCH(SUBSTITUTE(AH$1,RIGHT(AH$1,2),""),VLOOKUP($D218,素材!$1:$1016,COLUMN($F$1),FALSE))),VLOOKUP($C218,武器!$1:$998,COLUMN($O$1),FALSE)*VLOOKUP($D218,素材!$1:$1016,COLUMN($E$1),FALSE)/(LEN(VLOOKUP($D218,素材!$1:$1016,COLUMN($F$1),FALSE))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I218">
        <f>IF(ISNUMBER(SEARCH(SUBSTITUTE(AI$1,RIGHT(AI$1,2),""),VLOOKUP($D218,素材!$1:$1016,COLUMN($F$1),FALSE))),VLOOKUP($C218,武器!$1:$998,COLUMN($O$1),FALSE)*VLOOKUP($D218,素材!$1:$1016,COLUMN($E$1),FALSE)/(LEN(VLOOKUP($D218,素材!$1:$1016,COLUMN($F$1),FALSE))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J218">
        <f>IF(ISNUMBER(SEARCH(SUBSTITUTE(AJ$1,RIGHT(AJ$1,2),""),VLOOKUP($D218,素材!$1:$1016,COLUMN($F$1),FALSE))),VLOOKUP($C218,武器!$1:$998,COLUMN($O$1),FALSE)*VLOOKUP($D218,素材!$1:$1016,COLUMN($E$1),FALSE)/(LEN(VLOOKUP($D218,素材!$1:$1016,COLUMN($F$1),FALSE))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K218">
        <f>IF(ISNUMBER(SEARCH(SUBSTITUTE(AK$1,RIGHT(AK$1,2),""),VLOOKUP($D218,素材!$1:$1016,COLUMN($F$1),FALSE))),VLOOKUP($C218,武器!$1:$998,COLUMN($O$1),FALSE)*VLOOKUP($D218,素材!$1:$1016,COLUMN($E$1),FALSE)/(LEN(VLOOKUP($D218,素材!$1:$1016,COLUMN($F$1),FALSE))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L218">
        <f>IF(ISNUMBER(SEARCH(SUBSTITUTE(AL$1,RIGHT(AL$1,2),""),VLOOKUP($D218,素材!$1:$1016,COLUMN($F$1),FALSE))),VLOOKUP($C218,武器!$1:$998,COLUMN($O$1),FALSE)*VLOOKUP($D218,素材!$1:$1016,COLUMN($E$1),FALSE)/(LEN(VLOOKUP($D218,素材!$1:$1016,COLUMN($F$1),FALSE))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M218">
        <f>IF(ISNUMBER(SEARCH(SUBSTITUTE(AM$1,RIGHT(AM$1,2),""),VLOOKUP($D218,素材!$1:$1016,COLUMN($F$1),FALSE))),VLOOKUP($C218,武器!$1:$998,COLUMN($O$1),FALSE)*VLOOKUP($D218,素材!$1:$1016,COLUMN($E$1),FALSE)/(LEN(VLOOKUP($D218,素材!$1:$1016,COLUMN($F$1),FALSE))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N218">
        <f>IF(ISNUMBER(SEARCH(SUBSTITUTE(AN$1,RIGHT(AN$1,2),""),VLOOKUP($D218,素材!$1:$1016,COLUMN($F$1),FALSE))),VLOOKUP($C218,武器!$1:$998,COLUMN($O$1),FALSE)*VLOOKUP($D218,素材!$1:$1016,COLUMN($E$1),FALSE)/(LEN(VLOOKUP($D218,素材!$1:$1016,COLUMN($F$1),FALSE))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O218">
        <f>IF(ISNUMBER(SEARCH(SUBSTITUTE(AO$1,RIGHT(AO$1,2),""),VLOOKUP($D218,素材!$1:$1016,COLUMN($F$1),FALSE))),VLOOKUP($C218,武器!$1:$998,COLUMN($O$1),FALSE)*VLOOKUP($D218,素材!$1:$1016,COLUMN($E$1),FALSE)/(LEN(VLOOKUP($D218,素材!$1:$1016,COLUMN($F$1),FALSE))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P218">
        <f>IF(ISNUMBER(SEARCH(SUBSTITUTE(AP$1,RIGHT(AP$1,2),""),VLOOKUP($D218,素材!$1:$1016,COLUMN($F$1),FALSE))),VLOOKUP($C218,武器!$1:$998,COLUMN($O$1),FALSE)*VLOOKUP($D218,素材!$1:$1016,COLUMN($E$1),FALSE)/(LEN(VLOOKUP($D218,素材!$1:$1016,COLUMN($F$1),FALSE))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Q218">
        <f>IF(ISNUMBER(SEARCH(SUBSTITUTE(AQ$1,RIGHT(AQ$1,2),""),VLOOKUP($D218,素材!$1:$1016,COLUMN($F$1),FALSE))),VLOOKUP($C218,武器!$1:$998,COLUMN($O$1),FALSE)*VLOOKUP($D218,素材!$1:$1016,COLUMN($E$1),FALSE)/(LEN(VLOOKUP($D218,素材!$1:$1016,COLUMN($F$1),FALSE))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R218">
        <f>IF(ISNUMBER(SEARCH(SUBSTITUTE(AR$1,RIGHT(AR$1,2),""),VLOOKUP($D218,素材!$1:$1016,COLUMN($F$1),FALSE))),VLOOKUP($C218,武器!$1:$998,COLUMN($O$1),FALSE)*VLOOKUP($D218,素材!$1:$1016,COLUMN($E$1),FALSE)/(LEN(VLOOKUP($D218,素材!$1:$1016,COLUMN($F$1),FALSE))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S218">
        <f>IF(ISNUMBER(SEARCH(SUBSTITUTE(AS$1,RIGHT(AS$1,2),""),VLOOKUP($D218,素材!$1:$1016,COLUMN($F$1),FALSE))),VLOOKUP($C218,武器!$1:$998,COLUMN($O$1),FALSE)*VLOOKUP($D218,素材!$1:$1016,COLUMN($E$1),FALSE)/(LEN(VLOOKUP($D218,素材!$1:$1016,COLUMN($F$1),FALSE))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T218">
        <f>IF(ISNUMBER(SEARCH(SUBSTITUTE(AT$1,RIGHT(AT$1,2),""),VLOOKUP($D218,素材!$1:$1016,COLUMN($F$1),FALSE))),VLOOKUP($C218,武器!$1:$998,COLUMN($O$1),FALSE)*VLOOKUP($D218,素材!$1:$1016,COLUMN($E$1),FALSE)/(LEN(VLOOKUP($D218,素材!$1:$1016,COLUMN($F$1),FALSE))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U218">
        <f>IF(ISNUMBER(SEARCH(SUBSTITUTE(AU$1,RIGHT(AU$1,2),""),VLOOKUP($D218,素材!$1:$1016,COLUMN($F$1),FALSE))),VLOOKUP($C218,武器!$1:$998,COLUMN($O$1),FALSE)*VLOOKUP($D218,素材!$1:$1016,COLUMN($E$1),FALSE)/(LEN(VLOOKUP($D218,素材!$1:$1016,COLUMN($F$1),FALSE))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V218">
        <f>IF(ISNUMBER(SEARCH(SUBSTITUTE(AV$1,RIGHT(AV$1,2),""),VLOOKUP($D218,素材!$1:$1016,COLUMN($F$1),FALSE))),VLOOKUP($C218,武器!$1:$998,COLUMN($O$1),FALSE)*VLOOKUP($D218,素材!$1:$1016,COLUMN($E$1),FALSE)/(LEN(VLOOKUP($D218,素材!$1:$1016,COLUMN($F$1),FALSE))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W218">
        <f>IF(ISNUMBER(SEARCH(SUBSTITUTE(AW$1,RIGHT(AW$1,2),""),VLOOKUP($D218,素材!$1:$1016,COLUMN($F$1),FALSE))),VLOOKUP($C218,武器!$1:$998,COLUMN($O$1),FALSE)*VLOOKUP($D218,素材!$1:$1016,COLUMN($E$1),FALSE)/(LEN(VLOOKUP($D218,素材!$1:$1016,COLUMN($F$1),FALSE))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X218">
        <f>IF(ISNUMBER(SEARCH(SUBSTITUTE(AX$1,RIGHT(AX$1,2),""),VLOOKUP($D218,素材!$1:$1016,COLUMN($F$1),FALSE))),VLOOKUP($C218,武器!$1:$998,COLUMN($O$1),FALSE)*VLOOKUP($D218,素材!$1:$1016,COLUMN($E$1),FALSE)/(LEN(VLOOKUP($D218,素材!$1:$1016,COLUMN($F$1),FALSE))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Y218">
        <f>IF(ISNUMBER(SEARCH(SUBSTITUTE(AY$1,RIGHT(AY$1,2),""),VLOOKUP($D218,素材!$1:$1016,COLUMN($F$1),FALSE))),VLOOKUP($C218,武器!$1:$998,COLUMN($O$1),FALSE)*VLOOKUP($D218,素材!$1:$1016,COLUMN($E$1),FALSE)/(LEN(VLOOKUP($D218,素材!$1:$1016,COLUMN($F$1),FALSE))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AZ218">
        <f>IF(ISNUMBER(SEARCH(SUBSTITUTE(AZ$1,RIGHT(AZ$1,2),""),VLOOKUP($D218,素材!$1:$1016,COLUMN($F$1),FALSE))),VLOOKUP($C218,武器!$1:$998,COLUMN($O$1),FALSE)*VLOOKUP($D218,素材!$1:$1016,COLUMN($E$1),FALSE)/(LEN(VLOOKUP($D218,素材!$1:$1016,COLUMN($F$1),FALSE))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BA218">
        <f>IF(ISNUMBER(SEARCH(SUBSTITUTE(BA$1,RIGHT(BA$1,2),""),VLOOKUP($D218,素材!$1:$1016,COLUMN($F$1),FALSE))),VLOOKUP($C218,武器!$1:$998,COLUMN($O$1),FALSE)*VLOOKUP($D218,素材!$1:$1016,COLUMN($E$1),FALSE)/(LEN(VLOOKUP($D218,素材!$1:$1016,COLUMN($F$1),FALSE))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BB218">
        <f>IF(ISNUMBER(SEARCH(SUBSTITUTE(BB$1,RIGHT(BB$1,2),""),VLOOKUP($D218,素材!$1:$1016,COLUMN($F$1),FALSE))),VLOOKUP($C218,武器!$1:$998,COLUMN($O$1),FALSE)*VLOOKUP($D218,素材!$1:$1016,COLUMN($E$1),FALSE)/(LEN(VLOOKUP($D218,素材!$1:$1016,COLUMN($F$1),FALSE))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BC218">
        <f>IF(ISNUMBER(SEARCH(SUBSTITUTE(BC$1,RIGHT(BC$1,2),""),VLOOKUP($D218,素材!$1:$1016,COLUMN($F$1),FALSE))),VLOOKUP($C218,武器!$1:$998,COLUMN($O$1),FALSE)*VLOOKUP($D218,素材!$1:$1016,COLUMN($E$1),FALSE)/(LEN(VLOOKUP($D218,素材!$1:$1016,COLUMN($F$1),FALSE))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BD218">
        <f>IF(ISNUMBER(SEARCH(SUBSTITUTE(BD$1,RIGHT(BD$1,2),""),VLOOKUP($D218,素材!$1:$1016,COLUMN($F$1),FALSE))),VLOOKUP($C218,武器!$1:$998,COLUMN($O$1),FALSE)*VLOOKUP($D218,素材!$1:$1016,COLUMN($E$1),FALSE)/(LEN(VLOOKUP($D218,素材!$1:$1016,COLUMN($F$1),FALSE))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BE218">
        <f>IF(ISNUMBER(SEARCH(SUBSTITUTE(BE$1,RIGHT(BE$1,2),""),VLOOKUP($D218,素材!$1:$1016,COLUMN($F$1),FALSE))),VLOOKUP($C218,武器!$1:$998,COLUMN($O$1),FALSE)*VLOOKUP($D218,素材!$1:$1016,COLUMN($E$1),FALSE)/(LEN(VLOOKUP($D218,素材!$1:$1016,COLUMN($F$1),FALSE))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BF218">
        <f>IF(ISNUMBER(SEARCH(SUBSTITUTE(BF$1,RIGHT(BF$1,2),""),VLOOKUP($D218,素材!$1:$1016,COLUMN($F$1),FALSE))),VLOOKUP($C218,武器!$1:$998,COLUMN($O$1),FALSE)*VLOOKUP($D218,素材!$1:$1016,COLUMN($E$1),FALSE)/(LEN(VLOOKUP($D218,素材!$1:$1016,COLUMN($F$1),FALSE)) - LEN(SUBSTITUTE(VLOOKUP($D218,素材!$1:$1016,COLUMN($F$1),FALSE), "・", 0)) + 1), 0)</f>
        <v>0</v>
      </c>
      <c r="CM218">
        <f t="shared" si="31"/>
        <v>22</v>
      </c>
      <c r="CN218" s="22" t="str">
        <f>IF(E218="武器",IF(J218-1&gt;SUM(G218:I218),"盾",IF(MAX(G218:I218)=G218,"切断",IF(MAX(G218:I218)=H218,"貫通",IF(MAX(G218:I218)=I218,"打撃","射撃")))),E218)&amp;".webp"</f>
        <v>杖.webp</v>
      </c>
      <c r="CO218">
        <f>IFERROR(VLOOKUP($C218,武器!$1:$998,COLUMN(V$1),FALSE)*VLOOKUP($D218,素材!$1:$1016,COLUMN(N$1),FALSE)+IF(CJ218="",0,VLOOKUP($CJ218,装強!$1:$1008,COLUMN($CL$1),FALSE)),"")</f>
        <v>4500</v>
      </c>
      <c r="CP218">
        <f>VLOOKUP(D218,素材!$A:$O,COLUMN(素材!O$1),FALSE)</f>
        <v>0</v>
      </c>
      <c r="CQ218" t="str">
        <f>VLOOKUP(C218,武器!$A:$W,COLUMN(武器!W$1),FALSE)</f>
        <v>長杖。強力な魔法を扱える杖だが、重い。</v>
      </c>
      <c r="CS218" t="str">
        <f t="shared" si="32"/>
        <v>e_218</v>
      </c>
      <c r="CT218">
        <f t="shared" si="33"/>
        <v>450000</v>
      </c>
    </row>
    <row r="219" spans="1:98" outlineLevel="1" x14ac:dyDescent="0.4">
      <c r="A219" t="str">
        <f t="shared" si="34"/>
        <v>冷気鉄の軽射出弓</v>
      </c>
      <c r="B219" t="str">
        <f>IFERROR(VLOOKUP($D219,素材!$1:$1016,COLUMN($B$1),FALSE)&amp;"・"&amp;VLOOKUP($C219,武器!$1:$998,COLUMN(B$1),FALSE),"")</f>
        <v>ドゥララン・ライトクロスボウ</v>
      </c>
      <c r="C219" t="s">
        <v>214</v>
      </c>
      <c r="D219" s="24" t="s">
        <v>243</v>
      </c>
      <c r="E219" t="str">
        <f>IFERROR(VLOOKUP(C219,武器!$1:$998,COLUMN(C$1),FALSE),"")</f>
        <v>銃</v>
      </c>
      <c r="F219">
        <f>IFERROR(ROUNDDOWN((VLOOKUP($C219,武器!$1:$998,COLUMN(D$1),FALSE)+IFERROR(VLOOKUP($CJ219,装強!$1:$999,COLUMN(F$1),FALSE),0))*VLOOKUP($D219,素材!$1:$1016,COLUMN(D$1),FALSE),0),"")</f>
        <v>0</v>
      </c>
      <c r="G219">
        <f>IFERROR(ROUNDDOWN((VLOOKUP($C219,武器!$1:$998,COLUMN(E$1),FALSE)+IFERROR(VLOOKUP($CJ219,装強!$1:$999,COLUMN(G$1),FALSE),0))*VLOOKUP($D219,素材!$1:$1016,COLUMN($E$1),FALSE),0),"")</f>
        <v>0</v>
      </c>
      <c r="H219">
        <f>IFERROR(ROUNDDOWN((VLOOKUP($C219,武器!$1:$998,COLUMN(F$1),FALSE)+IFERROR(VLOOKUP($CJ219,装強!$1:$999,COLUMN(H$1),FALSE),0))*VLOOKUP($D219,素材!$1:$1016,COLUMN($E$1),FALSE),0),"")</f>
        <v>0</v>
      </c>
      <c r="I219">
        <f>IFERROR(ROUNDDOWN((VLOOKUP($C219,武器!$1:$998,COLUMN(G$1),FALSE)+IFERROR(VLOOKUP($CJ219,装強!$1:$999,COLUMN(I$1),FALSE),0))*VLOOKUP($D219,素材!$1:$1016,COLUMN($E$1),FALSE),0),"")</f>
        <v>0</v>
      </c>
      <c r="J219">
        <f>IFERROR(ROUNDDOWN((VLOOKUP($C219,武器!$1:$998,COLUMN(H$1),FALSE)+IFERROR(VLOOKUP($CJ219,装強!$1:$999,COLUMN(J$1),FALSE),0))*VLOOKUP($D219,素材!$1:$1016,COLUMN($E$1),FALSE),0),"")</f>
        <v>0</v>
      </c>
      <c r="K219">
        <f>IFERROR(ROUNDDOWN((VLOOKUP($C219,武器!$1:$998,COLUMN(I$1),FALSE)+IFERROR(VLOOKUP($CJ219,装強!$1:$999,COLUMN(K$1),FALSE),0))*VLOOKUP($D219,素材!$1:$1016,COLUMN($E$1),FALSE),0),"")</f>
        <v>54</v>
      </c>
      <c r="L219" t="str">
        <f>IFERROR(VLOOKUP($D219,素材!$1:$1016,COLUMN($F$1),FALSE),"")</f>
        <v>氷</v>
      </c>
      <c r="M219">
        <f>IFERROR(VLOOKUP($C219,武器!$1:$998,COLUMN(AA$1),FALSE)*VLOOKUP($D219,素材!$1:$1016,COLUMN($G$1),FALSE),"")</f>
        <v>47.25</v>
      </c>
      <c r="N219">
        <f>IFERROR(VLOOKUP($C219,武器!$1:$998,COLUMN(I$1),FALSE),"")</f>
        <v>2.7</v>
      </c>
      <c r="O219" s="23">
        <f>IFERROR((VLOOKUP($C219,武器!$1:$998,COLUMN(K$1),FALSE)+VLOOKUP($D219,素材!$1:$1016,COLUMN(H$1),FALSE))*100+IFERROR(VLOOKUP($CJ219,装強!$1:$999,COLUMN(O$1),FALSE),0),"")</f>
        <v>10</v>
      </c>
      <c r="P219" s="23">
        <f>IFERROR((VLOOKUP($C219,武器!$1:$998,COLUMN(L$1),FALSE)+VLOOKUP($D219,素材!$1:$1016,COLUMN(I$1),FALSE))*100+IFERROR(VLOOKUP($CJ219,装強!$1:$999,COLUMN(P$1),FALSE),0),"")</f>
        <v>150</v>
      </c>
      <c r="Q219">
        <f>IFERROR(ROUNDUP(VLOOKUP($C219,武器!$1:$998,COLUMN(M$1),FALSE)*(VLOOKUP($D219,素材!$1:$1002,COLUMN(D$1),FALSE)/100),1),"")</f>
        <v>0</v>
      </c>
      <c r="R219">
        <f>IFERROR(ROUNDUP(VLOOKUP($C219,武器!$1:$998,COLUMN(N$1),FALSE)*(VLOOKUP($D219,素材!$1:$1002,COLUMN(D$1),FALSE)/100),1),"")</f>
        <v>0</v>
      </c>
      <c r="S219">
        <f>IFERROR(VLOOKUP($C219,武器!$1:$998,COLUMN(P$1),FALSE),"")</f>
        <v>0</v>
      </c>
      <c r="T219">
        <f>IFERROR(VLOOKUP($C219,武器!$1:$998,COLUMN(Q$1),FALSE),"")</f>
        <v>1</v>
      </c>
      <c r="U219">
        <f>IFERROR(VLOOKUP($C219,武器!$1:$998,COLUMN(R$1),FALSE),"")</f>
        <v>1</v>
      </c>
      <c r="V219">
        <f>IFERROR(VLOOKUP($C219,武器!$1:$998,COLUMN(Q$1),FALSE),"")</f>
        <v>1</v>
      </c>
      <c r="W219" t="str">
        <f>IFERROR(VLOOKUP($C219,武器!$1:$998,COLUMN(T$1),FALSE),"")</f>
        <v>Q</v>
      </c>
      <c r="Y219">
        <f>IFERROR(VLOOKUP($C219,武器!$1:$998,COLUMN(U$1),FALSE),"")</f>
        <v>0</v>
      </c>
      <c r="Z219">
        <f>IFERROR(ROUNDUP(VLOOKUP($C219,武器!$1:$998,COLUMN(O$1),FALSE)*VLOOKUP($D219,素材!$1:$1016,COLUMN(E$1),FALSE),1),"")</f>
        <v>0</v>
      </c>
      <c r="AA219">
        <f>IF(ISNUMBER(SEARCH(SUBSTITUTE(AA$1,RIGHT(AA$1,2),""),VLOOKUP($D219,素材!$1:$1016,COLUMN($F$1),FALSE))),VLOOKUP($C219,武器!$1:$998,COLUMN($O$1),FALSE)*VLOOKUP($D219,素材!$1:$1016,COLUMN($E$1),FALSE)/(LEN(VLOOKUP($D219,素材!$1:$1016,COLUMN($F$1),FALSE))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B219">
        <f>IF(ISNUMBER(SEARCH(SUBSTITUTE(AB$1,RIGHT(AB$1,2),""),VLOOKUP($D219,素材!$1:$1016,COLUMN($F$1),FALSE))),VLOOKUP($C219,武器!$1:$998,COLUMN($O$1),FALSE)*VLOOKUP($D219,素材!$1:$1016,COLUMN($E$1),FALSE)/(LEN(VLOOKUP($D219,素材!$1:$1016,COLUMN($F$1),FALSE))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C219">
        <f>IF(ISNUMBER(SEARCH(SUBSTITUTE(AC$1,RIGHT(AC$1,2),""),VLOOKUP($D219,素材!$1:$1016,COLUMN($F$1),FALSE))),VLOOKUP($C219,武器!$1:$998,COLUMN($O$1),FALSE)*VLOOKUP($D219,素材!$1:$1016,COLUMN($E$1),FALSE)/(LEN(VLOOKUP($D219,素材!$1:$1016,COLUMN($F$1),FALSE))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D219">
        <f>IF(ISNUMBER(SEARCH(SUBSTITUTE(AD$1,RIGHT(AD$1,2),""),VLOOKUP($D219,素材!$1:$1016,COLUMN($F$1),FALSE))),VLOOKUP($C219,武器!$1:$998,COLUMN($O$1),FALSE)*VLOOKUP($D219,素材!$1:$1016,COLUMN($E$1),FALSE)/(LEN(VLOOKUP($D219,素材!$1:$1016,COLUMN($F$1),FALSE))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E219">
        <f>IF(ISNUMBER(SEARCH(SUBSTITUTE(AE$1,RIGHT(AE$1,2),""),VLOOKUP($D219,素材!$1:$1016,COLUMN($F$1),FALSE))),VLOOKUP($C219,武器!$1:$998,COLUMN($O$1),FALSE)*VLOOKUP($D219,素材!$1:$1016,COLUMN($E$1),FALSE)/(LEN(VLOOKUP($D219,素材!$1:$1016,COLUMN($F$1),FALSE))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F219">
        <f>IF(ISNUMBER(SEARCH(SUBSTITUTE(AF$1,RIGHT(AF$1,2),""),VLOOKUP($D219,素材!$1:$1016,COLUMN($F$1),FALSE))),VLOOKUP($C219,武器!$1:$998,COLUMN($O$1),FALSE)*VLOOKUP($D219,素材!$1:$1016,COLUMN($E$1),FALSE)/(LEN(VLOOKUP($D219,素材!$1:$1016,COLUMN($F$1),FALSE))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G219">
        <f>IF(ISNUMBER(SEARCH(SUBSTITUTE(AG$1,RIGHT(AG$1,2),""),VLOOKUP($D219,素材!$1:$1016,COLUMN($F$1),FALSE))),VLOOKUP($C219,武器!$1:$998,COLUMN($O$1),FALSE)*VLOOKUP($D219,素材!$1:$1016,COLUMN($E$1),FALSE)/(LEN(VLOOKUP($D219,素材!$1:$1016,COLUMN($F$1),FALSE))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H219">
        <f>IF(ISNUMBER(SEARCH(SUBSTITUTE(AH$1,RIGHT(AH$1,2),""),VLOOKUP($D219,素材!$1:$1016,COLUMN($F$1),FALSE))),VLOOKUP($C219,武器!$1:$998,COLUMN($O$1),FALSE)*VLOOKUP($D219,素材!$1:$1016,COLUMN($E$1),FALSE)/(LEN(VLOOKUP($D219,素材!$1:$1016,COLUMN($F$1),FALSE))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I219">
        <f>IF(ISNUMBER(SEARCH(SUBSTITUTE(AI$1,RIGHT(AI$1,2),""),VLOOKUP($D219,素材!$1:$1016,COLUMN($F$1),FALSE))),VLOOKUP($C219,武器!$1:$998,COLUMN($O$1),FALSE)*VLOOKUP($D219,素材!$1:$1016,COLUMN($E$1),FALSE)/(LEN(VLOOKUP($D219,素材!$1:$1016,COLUMN($F$1),FALSE))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J219">
        <f>IF(ISNUMBER(SEARCH(SUBSTITUTE(AJ$1,RIGHT(AJ$1,2),""),VLOOKUP($D219,素材!$1:$1016,COLUMN($F$1),FALSE))),VLOOKUP($C219,武器!$1:$998,COLUMN($O$1),FALSE)*VLOOKUP($D219,素材!$1:$1016,COLUMN($E$1),FALSE)/(LEN(VLOOKUP($D219,素材!$1:$1016,COLUMN($F$1),FALSE))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K219">
        <f>IF(ISNUMBER(SEARCH(SUBSTITUTE(AK$1,RIGHT(AK$1,2),""),VLOOKUP($D219,素材!$1:$1016,COLUMN($F$1),FALSE))),VLOOKUP($C219,武器!$1:$998,COLUMN($O$1),FALSE)*VLOOKUP($D219,素材!$1:$1016,COLUMN($E$1),FALSE)/(LEN(VLOOKUP($D219,素材!$1:$1016,COLUMN($F$1),FALSE))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L219">
        <f>IF(ISNUMBER(SEARCH(SUBSTITUTE(AL$1,RIGHT(AL$1,2),""),VLOOKUP($D219,素材!$1:$1016,COLUMN($F$1),FALSE))),VLOOKUP($C219,武器!$1:$998,COLUMN($O$1),FALSE)*VLOOKUP($D219,素材!$1:$1016,COLUMN($E$1),FALSE)/(LEN(VLOOKUP($D219,素材!$1:$1016,COLUMN($F$1),FALSE))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M219">
        <f>IF(ISNUMBER(SEARCH(SUBSTITUTE(AM$1,RIGHT(AM$1,2),""),VLOOKUP($D219,素材!$1:$1016,COLUMN($F$1),FALSE))),VLOOKUP($C219,武器!$1:$998,COLUMN($O$1),FALSE)*VLOOKUP($D219,素材!$1:$1016,COLUMN($E$1),FALSE)/(LEN(VLOOKUP($D219,素材!$1:$1016,COLUMN($F$1),FALSE))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N219">
        <f>IF(ISNUMBER(SEARCH(SUBSTITUTE(AN$1,RIGHT(AN$1,2),""),VLOOKUP($D219,素材!$1:$1016,COLUMN($F$1),FALSE))),VLOOKUP($C219,武器!$1:$998,COLUMN($O$1),FALSE)*VLOOKUP($D219,素材!$1:$1016,COLUMN($E$1),FALSE)/(LEN(VLOOKUP($D219,素材!$1:$1016,COLUMN($F$1),FALSE))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O219">
        <f>IF(ISNUMBER(SEARCH(SUBSTITUTE(AO$1,RIGHT(AO$1,2),""),VLOOKUP($D219,素材!$1:$1016,COLUMN($F$1),FALSE))),VLOOKUP($C219,武器!$1:$998,COLUMN($O$1),FALSE)*VLOOKUP($D219,素材!$1:$1016,COLUMN($E$1),FALSE)/(LEN(VLOOKUP($D219,素材!$1:$1016,COLUMN($F$1),FALSE))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P219">
        <f>IF(ISNUMBER(SEARCH(SUBSTITUTE(AP$1,RIGHT(AP$1,2),""),VLOOKUP($D219,素材!$1:$1016,COLUMN($F$1),FALSE))),VLOOKUP($C219,武器!$1:$998,COLUMN($O$1),FALSE)*VLOOKUP($D219,素材!$1:$1016,COLUMN($E$1),FALSE)/(LEN(VLOOKUP($D219,素材!$1:$1016,COLUMN($F$1),FALSE))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Q219">
        <f>IF(ISNUMBER(SEARCH(SUBSTITUTE(AQ$1,RIGHT(AQ$1,2),""),VLOOKUP($D219,素材!$1:$1016,COLUMN($F$1),FALSE))),VLOOKUP($C219,武器!$1:$998,COLUMN($O$1),FALSE)*VLOOKUP($D219,素材!$1:$1016,COLUMN($E$1),FALSE)/(LEN(VLOOKUP($D219,素材!$1:$1016,COLUMN($F$1),FALSE))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R219">
        <f>IF(ISNUMBER(SEARCH(SUBSTITUTE(AR$1,RIGHT(AR$1,2),""),VLOOKUP($D219,素材!$1:$1016,COLUMN($F$1),FALSE))),VLOOKUP($C219,武器!$1:$998,COLUMN($O$1),FALSE)*VLOOKUP($D219,素材!$1:$1016,COLUMN($E$1),FALSE)/(LEN(VLOOKUP($D219,素材!$1:$1016,COLUMN($F$1),FALSE))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S219">
        <f>IF(ISNUMBER(SEARCH(SUBSTITUTE(AS$1,RIGHT(AS$1,2),""),VLOOKUP($D219,素材!$1:$1016,COLUMN($F$1),FALSE))),VLOOKUP($C219,武器!$1:$998,COLUMN($O$1),FALSE)*VLOOKUP($D219,素材!$1:$1016,COLUMN($E$1),FALSE)/(LEN(VLOOKUP($D219,素材!$1:$1016,COLUMN($F$1),FALSE))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T219">
        <f>IF(ISNUMBER(SEARCH(SUBSTITUTE(AT$1,RIGHT(AT$1,2),""),VLOOKUP($D219,素材!$1:$1016,COLUMN($F$1),FALSE))),VLOOKUP($C219,武器!$1:$998,COLUMN($O$1),FALSE)*VLOOKUP($D219,素材!$1:$1016,COLUMN($E$1),FALSE)/(LEN(VLOOKUP($D219,素材!$1:$1016,COLUMN($F$1),FALSE))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U219">
        <f>IF(ISNUMBER(SEARCH(SUBSTITUTE(AU$1,RIGHT(AU$1,2),""),VLOOKUP($D219,素材!$1:$1016,COLUMN($F$1),FALSE))),VLOOKUP($C219,武器!$1:$998,COLUMN($O$1),FALSE)*VLOOKUP($D219,素材!$1:$1016,COLUMN($E$1),FALSE)/(LEN(VLOOKUP($D219,素材!$1:$1016,COLUMN($F$1),FALSE))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V219">
        <f>IF(ISNUMBER(SEARCH(SUBSTITUTE(AV$1,RIGHT(AV$1,2),""),VLOOKUP($D219,素材!$1:$1016,COLUMN($F$1),FALSE))),VLOOKUP($C219,武器!$1:$998,COLUMN($O$1),FALSE)*VLOOKUP($D219,素材!$1:$1016,COLUMN($E$1),FALSE)/(LEN(VLOOKUP($D219,素材!$1:$1016,COLUMN($F$1),FALSE))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W219">
        <f>IF(ISNUMBER(SEARCH(SUBSTITUTE(AW$1,RIGHT(AW$1,2),""),VLOOKUP($D219,素材!$1:$1016,COLUMN($F$1),FALSE))),VLOOKUP($C219,武器!$1:$998,COLUMN($O$1),FALSE)*VLOOKUP($D219,素材!$1:$1016,COLUMN($E$1),FALSE)/(LEN(VLOOKUP($D219,素材!$1:$1016,COLUMN($F$1),FALSE))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X219">
        <f>IF(ISNUMBER(SEARCH(SUBSTITUTE(AX$1,RIGHT(AX$1,2),""),VLOOKUP($D219,素材!$1:$1016,COLUMN($F$1),FALSE))),VLOOKUP($C219,武器!$1:$998,COLUMN($O$1),FALSE)*VLOOKUP($D219,素材!$1:$1016,COLUMN($E$1),FALSE)/(LEN(VLOOKUP($D219,素材!$1:$1016,COLUMN($F$1),FALSE))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Y219">
        <f>IF(ISNUMBER(SEARCH(SUBSTITUTE(AY$1,RIGHT(AY$1,2),""),VLOOKUP($D219,素材!$1:$1016,COLUMN($F$1),FALSE))),VLOOKUP($C219,武器!$1:$998,COLUMN($O$1),FALSE)*VLOOKUP($D219,素材!$1:$1016,COLUMN($E$1),FALSE)/(LEN(VLOOKUP($D219,素材!$1:$1016,COLUMN($F$1),FALSE))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AZ219">
        <f>IF(ISNUMBER(SEARCH(SUBSTITUTE(AZ$1,RIGHT(AZ$1,2),""),VLOOKUP($D219,素材!$1:$1016,COLUMN($F$1),FALSE))),VLOOKUP($C219,武器!$1:$998,COLUMN($O$1),FALSE)*VLOOKUP($D219,素材!$1:$1016,COLUMN($E$1),FALSE)/(LEN(VLOOKUP($D219,素材!$1:$1016,COLUMN($F$1),FALSE))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BA219">
        <f>IF(ISNUMBER(SEARCH(SUBSTITUTE(BA$1,RIGHT(BA$1,2),""),VLOOKUP($D219,素材!$1:$1016,COLUMN($F$1),FALSE))),VLOOKUP($C219,武器!$1:$998,COLUMN($O$1),FALSE)*VLOOKUP($D219,素材!$1:$1016,COLUMN($E$1),FALSE)/(LEN(VLOOKUP($D219,素材!$1:$1016,COLUMN($F$1),FALSE))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BB219">
        <f>IF(ISNUMBER(SEARCH(SUBSTITUTE(BB$1,RIGHT(BB$1,2),""),VLOOKUP($D219,素材!$1:$1016,COLUMN($F$1),FALSE))),VLOOKUP($C219,武器!$1:$998,COLUMN($O$1),FALSE)*VLOOKUP($D219,素材!$1:$1016,COLUMN($E$1),FALSE)/(LEN(VLOOKUP($D219,素材!$1:$1016,COLUMN($F$1),FALSE))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BC219">
        <f>IF(ISNUMBER(SEARCH(SUBSTITUTE(BC$1,RIGHT(BC$1,2),""),VLOOKUP($D219,素材!$1:$1016,COLUMN($F$1),FALSE))),VLOOKUP($C219,武器!$1:$998,COLUMN($O$1),FALSE)*VLOOKUP($D219,素材!$1:$1016,COLUMN($E$1),FALSE)/(LEN(VLOOKUP($D219,素材!$1:$1016,COLUMN($F$1),FALSE))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BD219">
        <f>IF(ISNUMBER(SEARCH(SUBSTITUTE(BD$1,RIGHT(BD$1,2),""),VLOOKUP($D219,素材!$1:$1016,COLUMN($F$1),FALSE))),VLOOKUP($C219,武器!$1:$998,COLUMN($O$1),FALSE)*VLOOKUP($D219,素材!$1:$1016,COLUMN($E$1),FALSE)/(LEN(VLOOKUP($D219,素材!$1:$1016,COLUMN($F$1),FALSE))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BE219">
        <f>IF(ISNUMBER(SEARCH(SUBSTITUTE(BE$1,RIGHT(BE$1,2),""),VLOOKUP($D219,素材!$1:$1016,COLUMN($F$1),FALSE))),VLOOKUP($C219,武器!$1:$998,COLUMN($O$1),FALSE)*VLOOKUP($D219,素材!$1:$1016,COLUMN($E$1),FALSE)/(LEN(VLOOKUP($D219,素材!$1:$1016,COLUMN($F$1),FALSE))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BF219">
        <f>IF(ISNUMBER(SEARCH(SUBSTITUTE(BF$1,RIGHT(BF$1,2),""),VLOOKUP($D219,素材!$1:$1016,COLUMN($F$1),FALSE))),VLOOKUP($C219,武器!$1:$998,COLUMN($O$1),FALSE)*VLOOKUP($D219,素材!$1:$1016,COLUMN($E$1),FALSE)/(LEN(VLOOKUP($D219,素材!$1:$1016,COLUMN($F$1),FALSE)) - LEN(SUBSTITUTE(VLOOKUP($D219,素材!$1:$1016,COLUMN($F$1),FALSE), "・", 0)) + 1), 0)</f>
        <v>0</v>
      </c>
      <c r="CM219">
        <f t="shared" si="31"/>
        <v>0</v>
      </c>
      <c r="CN219" s="22" t="str">
        <f>IF(E219="武器",IF(J219-1&gt;SUM(G219:I219),"盾",IF(MAX(G219:I219)=G219,"切断",IF(MAX(G219:I219)=H219,"貫通",IF(MAX(G219:I219)=I219,"打撃","射撃")))),E219)&amp;".webp"</f>
        <v>銃.webp</v>
      </c>
      <c r="CO219">
        <f>IFERROR(VLOOKUP($C219,武器!$1:$998,COLUMN(V$1),FALSE)*VLOOKUP($D219,素材!$1:$1016,COLUMN(N$1),FALSE)+IF(CJ219="",0,VLOOKUP($CJ219,装強!$1:$1008,COLUMN($CL$1),FALSE)),"")</f>
        <v>3750</v>
      </c>
      <c r="CP219">
        <f>VLOOKUP(D219,素材!$A:$O,COLUMN(素材!O$1),FALSE)</f>
        <v>0</v>
      </c>
      <c r="CQ219" t="str">
        <f>VLOOKUP(C219,武器!$A:$W,COLUMN(武器!W$1),FALSE)</f>
        <v/>
      </c>
      <c r="CS219" t="str">
        <f t="shared" si="32"/>
        <v>e_219</v>
      </c>
      <c r="CT219">
        <f t="shared" si="33"/>
        <v>375000</v>
      </c>
    </row>
    <row r="220" spans="1:98" outlineLevel="1" x14ac:dyDescent="0.4">
      <c r="A220" t="str">
        <f t="shared" si="34"/>
        <v>冷気鉄の射出弓</v>
      </c>
      <c r="B220" t="str">
        <f>IFERROR(VLOOKUP($D220,素材!$1:$1016,COLUMN($B$1),FALSE)&amp;"・"&amp;VLOOKUP($C220,武器!$1:$998,COLUMN(B$1),FALSE),"")</f>
        <v>ドゥララン・クロスボウ</v>
      </c>
      <c r="C220" t="s">
        <v>213</v>
      </c>
      <c r="D220" s="24" t="s">
        <v>243</v>
      </c>
      <c r="E220" t="str">
        <f>IFERROR(VLOOKUP(C220,武器!$1:$998,COLUMN(C$1),FALSE),"")</f>
        <v>銃</v>
      </c>
      <c r="F220">
        <f>IFERROR(ROUNDDOWN((VLOOKUP($C220,武器!$1:$998,COLUMN(D$1),FALSE)+IFERROR(VLOOKUP($CJ220,装強!$1:$999,COLUMN(F$1),FALSE),0))*VLOOKUP($D220,素材!$1:$1016,COLUMN(D$1),FALSE),0),"")</f>
        <v>0</v>
      </c>
      <c r="G220">
        <f>IFERROR(ROUNDDOWN((VLOOKUP($C220,武器!$1:$998,COLUMN(E$1),FALSE)+IFERROR(VLOOKUP($CJ220,装強!$1:$999,COLUMN(G$1),FALSE),0))*VLOOKUP($D220,素材!$1:$1016,COLUMN($E$1),FALSE),0),"")</f>
        <v>0</v>
      </c>
      <c r="H220">
        <f>IFERROR(ROUNDDOWN((VLOOKUP($C220,武器!$1:$998,COLUMN(F$1),FALSE)+IFERROR(VLOOKUP($CJ220,装強!$1:$999,COLUMN(H$1),FALSE),0))*VLOOKUP($D220,素材!$1:$1016,COLUMN($E$1),FALSE),0),"")</f>
        <v>0</v>
      </c>
      <c r="I220">
        <f>IFERROR(ROUNDDOWN((VLOOKUP($C220,武器!$1:$998,COLUMN(G$1),FALSE)+IFERROR(VLOOKUP($CJ220,装強!$1:$999,COLUMN(I$1),FALSE),0))*VLOOKUP($D220,素材!$1:$1016,COLUMN($E$1),FALSE),0),"")</f>
        <v>0</v>
      </c>
      <c r="J220">
        <f>IFERROR(ROUNDDOWN((VLOOKUP($C220,武器!$1:$998,COLUMN(H$1),FALSE)+IFERROR(VLOOKUP($CJ220,装強!$1:$999,COLUMN(J$1),FALSE),0))*VLOOKUP($D220,素材!$1:$1016,COLUMN($E$1),FALSE),0),"")</f>
        <v>0</v>
      </c>
      <c r="K220">
        <f>IFERROR(ROUNDDOWN((VLOOKUP($C220,武器!$1:$998,COLUMN(I$1),FALSE)+IFERROR(VLOOKUP($CJ220,装強!$1:$999,COLUMN(K$1),FALSE),0))*VLOOKUP($D220,素材!$1:$1016,COLUMN($E$1),FALSE),0),"")</f>
        <v>78</v>
      </c>
      <c r="L220" t="str">
        <f>IFERROR(VLOOKUP($D220,素材!$1:$1016,COLUMN($F$1),FALSE),"")</f>
        <v>氷</v>
      </c>
      <c r="M220">
        <f>IFERROR(VLOOKUP($C220,武器!$1:$998,COLUMN(AA$1),FALSE)*VLOOKUP($D220,素材!$1:$1016,COLUMN($G$1),FALSE),"")</f>
        <v>0</v>
      </c>
      <c r="N220">
        <f>IFERROR(VLOOKUP($C220,武器!$1:$998,COLUMN(I$1),FALSE),"")</f>
        <v>3.9</v>
      </c>
      <c r="O220" s="23">
        <f>IFERROR((VLOOKUP($C220,武器!$1:$998,COLUMN(K$1),FALSE)+VLOOKUP($D220,素材!$1:$1016,COLUMN(H$1),FALSE))*100+IFERROR(VLOOKUP($CJ220,装強!$1:$999,COLUMN(O$1),FALSE),0),"")</f>
        <v>10</v>
      </c>
      <c r="P220" s="23">
        <f>IFERROR((VLOOKUP($C220,武器!$1:$998,COLUMN(L$1),FALSE)+VLOOKUP($D220,素材!$1:$1016,COLUMN(I$1),FALSE))*100+IFERROR(VLOOKUP($CJ220,装強!$1:$999,COLUMN(P$1),FALSE),0),"")</f>
        <v>150</v>
      </c>
      <c r="Q220">
        <f>IFERROR(ROUNDUP(VLOOKUP($C220,武器!$1:$998,COLUMN(M$1),FALSE)*(VLOOKUP($D220,素材!$1:$1002,COLUMN(D$1),FALSE)/100),1),"")</f>
        <v>0</v>
      </c>
      <c r="R220">
        <f>IFERROR(ROUNDUP(VLOOKUP($C220,武器!$1:$998,COLUMN(N$1),FALSE)*(VLOOKUP($D220,素材!$1:$1002,COLUMN(D$1),FALSE)/100),1),"")</f>
        <v>0</v>
      </c>
      <c r="S220">
        <f>IFERROR(VLOOKUP($C220,武器!$1:$998,COLUMN(P$1),FALSE),"")</f>
        <v>0</v>
      </c>
      <c r="T220">
        <f>IFERROR(VLOOKUP($C220,武器!$1:$998,COLUMN(Q$1),FALSE),"")</f>
        <v>1</v>
      </c>
      <c r="U220">
        <f>IFERROR(VLOOKUP($C220,武器!$1:$998,COLUMN(R$1),FALSE),"")</f>
        <v>1</v>
      </c>
      <c r="V220">
        <f>IFERROR(VLOOKUP($C220,武器!$1:$998,COLUMN(Q$1),FALSE),"")</f>
        <v>1</v>
      </c>
      <c r="W220" t="str">
        <f>IFERROR(VLOOKUP($C220,武器!$1:$998,COLUMN(T$1),FALSE),"")</f>
        <v>S</v>
      </c>
      <c r="Y220">
        <f>IFERROR(VLOOKUP($C220,武器!$1:$998,COLUMN(U$1),FALSE),"")</f>
        <v>0</v>
      </c>
      <c r="Z220">
        <f>IFERROR(ROUNDUP(VLOOKUP($C220,武器!$1:$998,COLUMN(O$1),FALSE)*VLOOKUP($D220,素材!$1:$1016,COLUMN(E$1),FALSE),1),"")</f>
        <v>0</v>
      </c>
      <c r="AA220">
        <f>IF(ISNUMBER(SEARCH(SUBSTITUTE(AA$1,RIGHT(AA$1,2),""),VLOOKUP($D220,素材!$1:$1016,COLUMN($F$1),FALSE))),VLOOKUP($C220,武器!$1:$998,COLUMN($O$1),FALSE)*VLOOKUP($D220,素材!$1:$1016,COLUMN($E$1),FALSE)/(LEN(VLOOKUP($D220,素材!$1:$1016,COLUMN($F$1),FALSE))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B220">
        <f>IF(ISNUMBER(SEARCH(SUBSTITUTE(AB$1,RIGHT(AB$1,2),""),VLOOKUP($D220,素材!$1:$1016,COLUMN($F$1),FALSE))),VLOOKUP($C220,武器!$1:$998,COLUMN($O$1),FALSE)*VLOOKUP($D220,素材!$1:$1016,COLUMN($E$1),FALSE)/(LEN(VLOOKUP($D220,素材!$1:$1016,COLUMN($F$1),FALSE))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C220">
        <f>IF(ISNUMBER(SEARCH(SUBSTITUTE(AC$1,RIGHT(AC$1,2),""),VLOOKUP($D220,素材!$1:$1016,COLUMN($F$1),FALSE))),VLOOKUP($C220,武器!$1:$998,COLUMN($O$1),FALSE)*VLOOKUP($D220,素材!$1:$1016,COLUMN($E$1),FALSE)/(LEN(VLOOKUP($D220,素材!$1:$1016,COLUMN($F$1),FALSE))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D220">
        <f>IF(ISNUMBER(SEARCH(SUBSTITUTE(AD$1,RIGHT(AD$1,2),""),VLOOKUP($D220,素材!$1:$1016,COLUMN($F$1),FALSE))),VLOOKUP($C220,武器!$1:$998,COLUMN($O$1),FALSE)*VLOOKUP($D220,素材!$1:$1016,COLUMN($E$1),FALSE)/(LEN(VLOOKUP($D220,素材!$1:$1016,COLUMN($F$1),FALSE))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E220">
        <f>IF(ISNUMBER(SEARCH(SUBSTITUTE(AE$1,RIGHT(AE$1,2),""),VLOOKUP($D220,素材!$1:$1016,COLUMN($F$1),FALSE))),VLOOKUP($C220,武器!$1:$998,COLUMN($O$1),FALSE)*VLOOKUP($D220,素材!$1:$1016,COLUMN($E$1),FALSE)/(LEN(VLOOKUP($D220,素材!$1:$1016,COLUMN($F$1),FALSE))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F220">
        <f>IF(ISNUMBER(SEARCH(SUBSTITUTE(AF$1,RIGHT(AF$1,2),""),VLOOKUP($D220,素材!$1:$1016,COLUMN($F$1),FALSE))),VLOOKUP($C220,武器!$1:$998,COLUMN($O$1),FALSE)*VLOOKUP($D220,素材!$1:$1016,COLUMN($E$1),FALSE)/(LEN(VLOOKUP($D220,素材!$1:$1016,COLUMN($F$1),FALSE))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G220">
        <f>IF(ISNUMBER(SEARCH(SUBSTITUTE(AG$1,RIGHT(AG$1,2),""),VLOOKUP($D220,素材!$1:$1016,COLUMN($F$1),FALSE))),VLOOKUP($C220,武器!$1:$998,COLUMN($O$1),FALSE)*VLOOKUP($D220,素材!$1:$1016,COLUMN($E$1),FALSE)/(LEN(VLOOKUP($D220,素材!$1:$1016,COLUMN($F$1),FALSE))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H220">
        <f>IF(ISNUMBER(SEARCH(SUBSTITUTE(AH$1,RIGHT(AH$1,2),""),VLOOKUP($D220,素材!$1:$1016,COLUMN($F$1),FALSE))),VLOOKUP($C220,武器!$1:$998,COLUMN($O$1),FALSE)*VLOOKUP($D220,素材!$1:$1016,COLUMN($E$1),FALSE)/(LEN(VLOOKUP($D220,素材!$1:$1016,COLUMN($F$1),FALSE))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I220">
        <f>IF(ISNUMBER(SEARCH(SUBSTITUTE(AI$1,RIGHT(AI$1,2),""),VLOOKUP($D220,素材!$1:$1016,COLUMN($F$1),FALSE))),VLOOKUP($C220,武器!$1:$998,COLUMN($O$1),FALSE)*VLOOKUP($D220,素材!$1:$1016,COLUMN($E$1),FALSE)/(LEN(VLOOKUP($D220,素材!$1:$1016,COLUMN($F$1),FALSE))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J220">
        <f>IF(ISNUMBER(SEARCH(SUBSTITUTE(AJ$1,RIGHT(AJ$1,2),""),VLOOKUP($D220,素材!$1:$1016,COLUMN($F$1),FALSE))),VLOOKUP($C220,武器!$1:$998,COLUMN($O$1),FALSE)*VLOOKUP($D220,素材!$1:$1016,COLUMN($E$1),FALSE)/(LEN(VLOOKUP($D220,素材!$1:$1016,COLUMN($F$1),FALSE))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K220">
        <f>IF(ISNUMBER(SEARCH(SUBSTITUTE(AK$1,RIGHT(AK$1,2),""),VLOOKUP($D220,素材!$1:$1016,COLUMN($F$1),FALSE))),VLOOKUP($C220,武器!$1:$998,COLUMN($O$1),FALSE)*VLOOKUP($D220,素材!$1:$1016,COLUMN($E$1),FALSE)/(LEN(VLOOKUP($D220,素材!$1:$1016,COLUMN($F$1),FALSE))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L220">
        <f>IF(ISNUMBER(SEARCH(SUBSTITUTE(AL$1,RIGHT(AL$1,2),""),VLOOKUP($D220,素材!$1:$1016,COLUMN($F$1),FALSE))),VLOOKUP($C220,武器!$1:$998,COLUMN($O$1),FALSE)*VLOOKUP($D220,素材!$1:$1016,COLUMN($E$1),FALSE)/(LEN(VLOOKUP($D220,素材!$1:$1016,COLUMN($F$1),FALSE))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M220">
        <f>IF(ISNUMBER(SEARCH(SUBSTITUTE(AM$1,RIGHT(AM$1,2),""),VLOOKUP($D220,素材!$1:$1016,COLUMN($F$1),FALSE))),VLOOKUP($C220,武器!$1:$998,COLUMN($O$1),FALSE)*VLOOKUP($D220,素材!$1:$1016,COLUMN($E$1),FALSE)/(LEN(VLOOKUP($D220,素材!$1:$1016,COLUMN($F$1),FALSE))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N220">
        <f>IF(ISNUMBER(SEARCH(SUBSTITUTE(AN$1,RIGHT(AN$1,2),""),VLOOKUP($D220,素材!$1:$1016,COLUMN($F$1),FALSE))),VLOOKUP($C220,武器!$1:$998,COLUMN($O$1),FALSE)*VLOOKUP($D220,素材!$1:$1016,COLUMN($E$1),FALSE)/(LEN(VLOOKUP($D220,素材!$1:$1016,COLUMN($F$1),FALSE))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O220">
        <f>IF(ISNUMBER(SEARCH(SUBSTITUTE(AO$1,RIGHT(AO$1,2),""),VLOOKUP($D220,素材!$1:$1016,COLUMN($F$1),FALSE))),VLOOKUP($C220,武器!$1:$998,COLUMN($O$1),FALSE)*VLOOKUP($D220,素材!$1:$1016,COLUMN($E$1),FALSE)/(LEN(VLOOKUP($D220,素材!$1:$1016,COLUMN($F$1),FALSE))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P220">
        <f>IF(ISNUMBER(SEARCH(SUBSTITUTE(AP$1,RIGHT(AP$1,2),""),VLOOKUP($D220,素材!$1:$1016,COLUMN($F$1),FALSE))),VLOOKUP($C220,武器!$1:$998,COLUMN($O$1),FALSE)*VLOOKUP($D220,素材!$1:$1016,COLUMN($E$1),FALSE)/(LEN(VLOOKUP($D220,素材!$1:$1016,COLUMN($F$1),FALSE))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Q220">
        <f>IF(ISNUMBER(SEARCH(SUBSTITUTE(AQ$1,RIGHT(AQ$1,2),""),VLOOKUP($D220,素材!$1:$1016,COLUMN($F$1),FALSE))),VLOOKUP($C220,武器!$1:$998,COLUMN($O$1),FALSE)*VLOOKUP($D220,素材!$1:$1016,COLUMN($E$1),FALSE)/(LEN(VLOOKUP($D220,素材!$1:$1016,COLUMN($F$1),FALSE))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R220">
        <f>IF(ISNUMBER(SEARCH(SUBSTITUTE(AR$1,RIGHT(AR$1,2),""),VLOOKUP($D220,素材!$1:$1016,COLUMN($F$1),FALSE))),VLOOKUP($C220,武器!$1:$998,COLUMN($O$1),FALSE)*VLOOKUP($D220,素材!$1:$1016,COLUMN($E$1),FALSE)/(LEN(VLOOKUP($D220,素材!$1:$1016,COLUMN($F$1),FALSE))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S220">
        <f>IF(ISNUMBER(SEARCH(SUBSTITUTE(AS$1,RIGHT(AS$1,2),""),VLOOKUP($D220,素材!$1:$1016,COLUMN($F$1),FALSE))),VLOOKUP($C220,武器!$1:$998,COLUMN($O$1),FALSE)*VLOOKUP($D220,素材!$1:$1016,COLUMN($E$1),FALSE)/(LEN(VLOOKUP($D220,素材!$1:$1016,COLUMN($F$1),FALSE))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T220">
        <f>IF(ISNUMBER(SEARCH(SUBSTITUTE(AT$1,RIGHT(AT$1,2),""),VLOOKUP($D220,素材!$1:$1016,COLUMN($F$1),FALSE))),VLOOKUP($C220,武器!$1:$998,COLUMN($O$1),FALSE)*VLOOKUP($D220,素材!$1:$1016,COLUMN($E$1),FALSE)/(LEN(VLOOKUP($D220,素材!$1:$1016,COLUMN($F$1),FALSE))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U220">
        <f>IF(ISNUMBER(SEARCH(SUBSTITUTE(AU$1,RIGHT(AU$1,2),""),VLOOKUP($D220,素材!$1:$1016,COLUMN($F$1),FALSE))),VLOOKUP($C220,武器!$1:$998,COLUMN($O$1),FALSE)*VLOOKUP($D220,素材!$1:$1016,COLUMN($E$1),FALSE)/(LEN(VLOOKUP($D220,素材!$1:$1016,COLUMN($F$1),FALSE))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V220">
        <f>IF(ISNUMBER(SEARCH(SUBSTITUTE(AV$1,RIGHT(AV$1,2),""),VLOOKUP($D220,素材!$1:$1016,COLUMN($F$1),FALSE))),VLOOKUP($C220,武器!$1:$998,COLUMN($O$1),FALSE)*VLOOKUP($D220,素材!$1:$1016,COLUMN($E$1),FALSE)/(LEN(VLOOKUP($D220,素材!$1:$1016,COLUMN($F$1),FALSE))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W220">
        <f>IF(ISNUMBER(SEARCH(SUBSTITUTE(AW$1,RIGHT(AW$1,2),""),VLOOKUP($D220,素材!$1:$1016,COLUMN($F$1),FALSE))),VLOOKUP($C220,武器!$1:$998,COLUMN($O$1),FALSE)*VLOOKUP($D220,素材!$1:$1016,COLUMN($E$1),FALSE)/(LEN(VLOOKUP($D220,素材!$1:$1016,COLUMN($F$1),FALSE))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X220">
        <f>IF(ISNUMBER(SEARCH(SUBSTITUTE(AX$1,RIGHT(AX$1,2),""),VLOOKUP($D220,素材!$1:$1016,COLUMN($F$1),FALSE))),VLOOKUP($C220,武器!$1:$998,COLUMN($O$1),FALSE)*VLOOKUP($D220,素材!$1:$1016,COLUMN($E$1),FALSE)/(LEN(VLOOKUP($D220,素材!$1:$1016,COLUMN($F$1),FALSE))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Y220">
        <f>IF(ISNUMBER(SEARCH(SUBSTITUTE(AY$1,RIGHT(AY$1,2),""),VLOOKUP($D220,素材!$1:$1016,COLUMN($F$1),FALSE))),VLOOKUP($C220,武器!$1:$998,COLUMN($O$1),FALSE)*VLOOKUP($D220,素材!$1:$1016,COLUMN($E$1),FALSE)/(LEN(VLOOKUP($D220,素材!$1:$1016,COLUMN($F$1),FALSE))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AZ220">
        <f>IF(ISNUMBER(SEARCH(SUBSTITUTE(AZ$1,RIGHT(AZ$1,2),""),VLOOKUP($D220,素材!$1:$1016,COLUMN($F$1),FALSE))),VLOOKUP($C220,武器!$1:$998,COLUMN($O$1),FALSE)*VLOOKUP($D220,素材!$1:$1016,COLUMN($E$1),FALSE)/(LEN(VLOOKUP($D220,素材!$1:$1016,COLUMN($F$1),FALSE))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BA220">
        <f>IF(ISNUMBER(SEARCH(SUBSTITUTE(BA$1,RIGHT(BA$1,2),""),VLOOKUP($D220,素材!$1:$1016,COLUMN($F$1),FALSE))),VLOOKUP($C220,武器!$1:$998,COLUMN($O$1),FALSE)*VLOOKUP($D220,素材!$1:$1016,COLUMN($E$1),FALSE)/(LEN(VLOOKUP($D220,素材!$1:$1016,COLUMN($F$1),FALSE))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BB220">
        <f>IF(ISNUMBER(SEARCH(SUBSTITUTE(BB$1,RIGHT(BB$1,2),""),VLOOKUP($D220,素材!$1:$1016,COLUMN($F$1),FALSE))),VLOOKUP($C220,武器!$1:$998,COLUMN($O$1),FALSE)*VLOOKUP($D220,素材!$1:$1016,COLUMN($E$1),FALSE)/(LEN(VLOOKUP($D220,素材!$1:$1016,COLUMN($F$1),FALSE))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BC220">
        <f>IF(ISNUMBER(SEARCH(SUBSTITUTE(BC$1,RIGHT(BC$1,2),""),VLOOKUP($D220,素材!$1:$1016,COLUMN($F$1),FALSE))),VLOOKUP($C220,武器!$1:$998,COLUMN($O$1),FALSE)*VLOOKUP($D220,素材!$1:$1016,COLUMN($E$1),FALSE)/(LEN(VLOOKUP($D220,素材!$1:$1016,COLUMN($F$1),FALSE))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BD220">
        <f>IF(ISNUMBER(SEARCH(SUBSTITUTE(BD$1,RIGHT(BD$1,2),""),VLOOKUP($D220,素材!$1:$1016,COLUMN($F$1),FALSE))),VLOOKUP($C220,武器!$1:$998,COLUMN($O$1),FALSE)*VLOOKUP($D220,素材!$1:$1016,COLUMN($E$1),FALSE)/(LEN(VLOOKUP($D220,素材!$1:$1016,COLUMN($F$1),FALSE))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BE220">
        <f>IF(ISNUMBER(SEARCH(SUBSTITUTE(BE$1,RIGHT(BE$1,2),""),VLOOKUP($D220,素材!$1:$1016,COLUMN($F$1),FALSE))),VLOOKUP($C220,武器!$1:$998,COLUMN($O$1),FALSE)*VLOOKUP($D220,素材!$1:$1016,COLUMN($E$1),FALSE)/(LEN(VLOOKUP($D220,素材!$1:$1016,COLUMN($F$1),FALSE))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BF220">
        <f>IF(ISNUMBER(SEARCH(SUBSTITUTE(BF$1,RIGHT(BF$1,2),""),VLOOKUP($D220,素材!$1:$1016,COLUMN($F$1),FALSE))),VLOOKUP($C220,武器!$1:$998,COLUMN($O$1),FALSE)*VLOOKUP($D220,素材!$1:$1016,COLUMN($E$1),FALSE)/(LEN(VLOOKUP($D220,素材!$1:$1016,COLUMN($F$1),FALSE)) - LEN(SUBSTITUTE(VLOOKUP($D220,素材!$1:$1016,COLUMN($F$1),FALSE), "・", 0)) + 1), 0)</f>
        <v>0</v>
      </c>
      <c r="CM220">
        <f t="shared" si="31"/>
        <v>0</v>
      </c>
      <c r="CN220" s="22" t="str">
        <f>IF(E220="武器",IF(J220-1&gt;SUM(G220:I220),"盾",IF(MAX(G220:I220)=G220,"切断",IF(MAX(G220:I220)=H220,"貫通",IF(MAX(G220:I220)=I220,"打撃","射撃")))),E220)&amp;".webp"</f>
        <v>銃.webp</v>
      </c>
      <c r="CO220">
        <f>IFERROR(VLOOKUP($C220,武器!$1:$998,COLUMN(V$1),FALSE)*VLOOKUP($D220,素材!$1:$1016,COLUMN(N$1),FALSE)+IF(CJ220="",0,VLOOKUP($CJ220,装強!$1:$1008,COLUMN($CL$1),FALSE)),"")</f>
        <v>4500</v>
      </c>
      <c r="CP220">
        <f>VLOOKUP(D220,素材!$A:$O,COLUMN(素材!O$1),FALSE)</f>
        <v>0</v>
      </c>
      <c r="CQ220" t="str">
        <f>VLOOKUP(C220,武器!$A:$W,COLUMN(武器!W$1),FALSE)</f>
        <v/>
      </c>
      <c r="CS220" t="str">
        <f t="shared" si="32"/>
        <v>e_220</v>
      </c>
      <c r="CT220">
        <f t="shared" si="33"/>
        <v>450000</v>
      </c>
    </row>
    <row r="221" spans="1:98" outlineLevel="1" x14ac:dyDescent="0.4">
      <c r="A221" t="str">
        <f t="shared" si="34"/>
        <v>冷気鉄の回転式拳銃</v>
      </c>
      <c r="B221" t="str">
        <f>IFERROR(VLOOKUP($D221,素材!$1:$1016,COLUMN($B$1),FALSE)&amp;"・"&amp;VLOOKUP($C221,武器!$1:$998,COLUMN(B$1),FALSE),"")</f>
        <v>ドゥララン・リボルバー</v>
      </c>
      <c r="C221" t="s">
        <v>212</v>
      </c>
      <c r="D221" s="24" t="s">
        <v>243</v>
      </c>
      <c r="E221" t="str">
        <f>IFERROR(VLOOKUP(C221,武器!$1:$998,COLUMN(C$1),FALSE),"")</f>
        <v>銃</v>
      </c>
      <c r="F221">
        <f>IFERROR(ROUNDDOWN((VLOOKUP($C221,武器!$1:$998,COLUMN(D$1),FALSE)+IFERROR(VLOOKUP($CJ221,装強!$1:$999,COLUMN(F$1),FALSE),0))*VLOOKUP($D221,素材!$1:$1016,COLUMN(D$1),FALSE),0),"")</f>
        <v>0</v>
      </c>
      <c r="G221">
        <f>IFERROR(ROUNDDOWN((VLOOKUP($C221,武器!$1:$998,COLUMN(E$1),FALSE)+IFERROR(VLOOKUP($CJ221,装強!$1:$999,COLUMN(G$1),FALSE),0))*VLOOKUP($D221,素材!$1:$1016,COLUMN($E$1),FALSE),0),"")</f>
        <v>0</v>
      </c>
      <c r="H221">
        <f>IFERROR(ROUNDDOWN((VLOOKUP($C221,武器!$1:$998,COLUMN(F$1),FALSE)+IFERROR(VLOOKUP($CJ221,装強!$1:$999,COLUMN(H$1),FALSE),0))*VLOOKUP($D221,素材!$1:$1016,COLUMN($E$1),FALSE),0),"")</f>
        <v>0</v>
      </c>
      <c r="I221">
        <f>IFERROR(ROUNDDOWN((VLOOKUP($C221,武器!$1:$998,COLUMN(G$1),FALSE)+IFERROR(VLOOKUP($CJ221,装強!$1:$999,COLUMN(I$1),FALSE),0))*VLOOKUP($D221,素材!$1:$1016,COLUMN($E$1),FALSE),0),"")</f>
        <v>0</v>
      </c>
      <c r="J221">
        <f>IFERROR(ROUNDDOWN((VLOOKUP($C221,武器!$1:$998,COLUMN(H$1),FALSE)+IFERROR(VLOOKUP($CJ221,装強!$1:$999,COLUMN(J$1),FALSE),0))*VLOOKUP($D221,素材!$1:$1016,COLUMN($E$1),FALSE),0),"")</f>
        <v>0</v>
      </c>
      <c r="K221">
        <f>IFERROR(ROUNDDOWN((VLOOKUP($C221,武器!$1:$998,COLUMN(I$1),FALSE)+IFERROR(VLOOKUP($CJ221,装強!$1:$999,COLUMN(K$1),FALSE),0))*VLOOKUP($D221,素材!$1:$1016,COLUMN($E$1),FALSE),0),"")</f>
        <v>51</v>
      </c>
      <c r="L221" t="str">
        <f>IFERROR(VLOOKUP($D221,素材!$1:$1016,COLUMN($F$1),FALSE),"")</f>
        <v>氷</v>
      </c>
      <c r="M221">
        <f>IFERROR(VLOOKUP($C221,武器!$1:$998,COLUMN(AA$1),FALSE)*VLOOKUP($D221,素材!$1:$1016,COLUMN($G$1),FALSE),"")</f>
        <v>0</v>
      </c>
      <c r="N221">
        <f>IFERROR(VLOOKUP($C221,武器!$1:$998,COLUMN(I$1),FALSE),"")</f>
        <v>2.5700000000000003</v>
      </c>
      <c r="O221" s="23">
        <f>IFERROR((VLOOKUP($C221,武器!$1:$998,COLUMN(K$1),FALSE)+VLOOKUP($D221,素材!$1:$1016,COLUMN(H$1),FALSE))*100+IFERROR(VLOOKUP($CJ221,装強!$1:$999,COLUMN(O$1),FALSE),0),"")</f>
        <v>10</v>
      </c>
      <c r="P221" s="23">
        <f>IFERROR((VLOOKUP($C221,武器!$1:$998,COLUMN(L$1),FALSE)+VLOOKUP($D221,素材!$1:$1016,COLUMN(I$1),FALSE))*100+IFERROR(VLOOKUP($CJ221,装強!$1:$999,COLUMN(P$1),FALSE),0),"")</f>
        <v>140</v>
      </c>
      <c r="Q221">
        <f>IFERROR(ROUNDUP(VLOOKUP($C221,武器!$1:$998,COLUMN(M$1),FALSE)*(VLOOKUP($D221,素材!$1:$1002,COLUMN(D$1),FALSE)/100),1),"")</f>
        <v>0</v>
      </c>
      <c r="R221">
        <f>IFERROR(ROUNDUP(VLOOKUP($C221,武器!$1:$998,COLUMN(N$1),FALSE)*(VLOOKUP($D221,素材!$1:$1002,COLUMN(D$1),FALSE)/100),1),"")</f>
        <v>-15</v>
      </c>
      <c r="S221">
        <f>IFERROR(VLOOKUP($C221,武器!$1:$998,COLUMN(P$1),FALSE),"")</f>
        <v>0</v>
      </c>
      <c r="T221">
        <f>IFERROR(VLOOKUP($C221,武器!$1:$998,COLUMN(Q$1),FALSE),"")</f>
        <v>2</v>
      </c>
      <c r="U221">
        <f>IFERROR(VLOOKUP($C221,武器!$1:$998,COLUMN(R$1),FALSE),"")</f>
        <v>6</v>
      </c>
      <c r="V221">
        <f>IFERROR(VLOOKUP($C221,武器!$1:$998,COLUMN(Q$1),FALSE),"")</f>
        <v>2</v>
      </c>
      <c r="W221">
        <f>IFERROR(VLOOKUP($C221,武器!$1:$998,COLUMN(T$1),FALSE),"")</f>
        <v>0</v>
      </c>
      <c r="Y221">
        <f>IFERROR(VLOOKUP($C221,武器!$1:$998,COLUMN(U$1),FALSE),"")</f>
        <v>0</v>
      </c>
      <c r="Z221">
        <f>IFERROR(ROUNDUP(VLOOKUP($C221,武器!$1:$998,COLUMN(O$1),FALSE)*VLOOKUP($D221,素材!$1:$1016,COLUMN(E$1),FALSE),1),"")</f>
        <v>0</v>
      </c>
      <c r="AA221">
        <f>IF(ISNUMBER(SEARCH(SUBSTITUTE(AA$1,RIGHT(AA$1,2),""),VLOOKUP($D221,素材!$1:$1016,COLUMN($F$1),FALSE))),VLOOKUP($C221,武器!$1:$998,COLUMN($O$1),FALSE)*VLOOKUP($D221,素材!$1:$1016,COLUMN($E$1),FALSE)/(LEN(VLOOKUP($D221,素材!$1:$1016,COLUMN($F$1),FALSE))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B221">
        <f>IF(ISNUMBER(SEARCH(SUBSTITUTE(AB$1,RIGHT(AB$1,2),""),VLOOKUP($D221,素材!$1:$1016,COLUMN($F$1),FALSE))),VLOOKUP($C221,武器!$1:$998,COLUMN($O$1),FALSE)*VLOOKUP($D221,素材!$1:$1016,COLUMN($E$1),FALSE)/(LEN(VLOOKUP($D221,素材!$1:$1016,COLUMN($F$1),FALSE))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C221">
        <f>IF(ISNUMBER(SEARCH(SUBSTITUTE(AC$1,RIGHT(AC$1,2),""),VLOOKUP($D221,素材!$1:$1016,COLUMN($F$1),FALSE))),VLOOKUP($C221,武器!$1:$998,COLUMN($O$1),FALSE)*VLOOKUP($D221,素材!$1:$1016,COLUMN($E$1),FALSE)/(LEN(VLOOKUP($D221,素材!$1:$1016,COLUMN($F$1),FALSE))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D221">
        <f>IF(ISNUMBER(SEARCH(SUBSTITUTE(AD$1,RIGHT(AD$1,2),""),VLOOKUP($D221,素材!$1:$1016,COLUMN($F$1),FALSE))),VLOOKUP($C221,武器!$1:$998,COLUMN($O$1),FALSE)*VLOOKUP($D221,素材!$1:$1016,COLUMN($E$1),FALSE)/(LEN(VLOOKUP($D221,素材!$1:$1016,COLUMN($F$1),FALSE))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E221">
        <f>IF(ISNUMBER(SEARCH(SUBSTITUTE(AE$1,RIGHT(AE$1,2),""),VLOOKUP($D221,素材!$1:$1016,COLUMN($F$1),FALSE))),VLOOKUP($C221,武器!$1:$998,COLUMN($O$1),FALSE)*VLOOKUP($D221,素材!$1:$1016,COLUMN($E$1),FALSE)/(LEN(VLOOKUP($D221,素材!$1:$1016,COLUMN($F$1),FALSE))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F221">
        <f>IF(ISNUMBER(SEARCH(SUBSTITUTE(AF$1,RIGHT(AF$1,2),""),VLOOKUP($D221,素材!$1:$1016,COLUMN($F$1),FALSE))),VLOOKUP($C221,武器!$1:$998,COLUMN($O$1),FALSE)*VLOOKUP($D221,素材!$1:$1016,COLUMN($E$1),FALSE)/(LEN(VLOOKUP($D221,素材!$1:$1016,COLUMN($F$1),FALSE))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G221">
        <f>IF(ISNUMBER(SEARCH(SUBSTITUTE(AG$1,RIGHT(AG$1,2),""),VLOOKUP($D221,素材!$1:$1016,COLUMN($F$1),FALSE))),VLOOKUP($C221,武器!$1:$998,COLUMN($O$1),FALSE)*VLOOKUP($D221,素材!$1:$1016,COLUMN($E$1),FALSE)/(LEN(VLOOKUP($D221,素材!$1:$1016,COLUMN($F$1),FALSE))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H221">
        <f>IF(ISNUMBER(SEARCH(SUBSTITUTE(AH$1,RIGHT(AH$1,2),""),VLOOKUP($D221,素材!$1:$1016,COLUMN($F$1),FALSE))),VLOOKUP($C221,武器!$1:$998,COLUMN($O$1),FALSE)*VLOOKUP($D221,素材!$1:$1016,COLUMN($E$1),FALSE)/(LEN(VLOOKUP($D221,素材!$1:$1016,COLUMN($F$1),FALSE))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I221">
        <f>IF(ISNUMBER(SEARCH(SUBSTITUTE(AI$1,RIGHT(AI$1,2),""),VLOOKUP($D221,素材!$1:$1016,COLUMN($F$1),FALSE))),VLOOKUP($C221,武器!$1:$998,COLUMN($O$1),FALSE)*VLOOKUP($D221,素材!$1:$1016,COLUMN($E$1),FALSE)/(LEN(VLOOKUP($D221,素材!$1:$1016,COLUMN($F$1),FALSE))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J221">
        <f>IF(ISNUMBER(SEARCH(SUBSTITUTE(AJ$1,RIGHT(AJ$1,2),""),VLOOKUP($D221,素材!$1:$1016,COLUMN($F$1),FALSE))),VLOOKUP($C221,武器!$1:$998,COLUMN($O$1),FALSE)*VLOOKUP($D221,素材!$1:$1016,COLUMN($E$1),FALSE)/(LEN(VLOOKUP($D221,素材!$1:$1016,COLUMN($F$1),FALSE))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K221">
        <f>IF(ISNUMBER(SEARCH(SUBSTITUTE(AK$1,RIGHT(AK$1,2),""),VLOOKUP($D221,素材!$1:$1016,COLUMN($F$1),FALSE))),VLOOKUP($C221,武器!$1:$998,COLUMN($O$1),FALSE)*VLOOKUP($D221,素材!$1:$1016,COLUMN($E$1),FALSE)/(LEN(VLOOKUP($D221,素材!$1:$1016,COLUMN($F$1),FALSE))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L221">
        <f>IF(ISNUMBER(SEARCH(SUBSTITUTE(AL$1,RIGHT(AL$1,2),""),VLOOKUP($D221,素材!$1:$1016,COLUMN($F$1),FALSE))),VLOOKUP($C221,武器!$1:$998,COLUMN($O$1),FALSE)*VLOOKUP($D221,素材!$1:$1016,COLUMN($E$1),FALSE)/(LEN(VLOOKUP($D221,素材!$1:$1016,COLUMN($F$1),FALSE))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M221">
        <f>IF(ISNUMBER(SEARCH(SUBSTITUTE(AM$1,RIGHT(AM$1,2),""),VLOOKUP($D221,素材!$1:$1016,COLUMN($F$1),FALSE))),VLOOKUP($C221,武器!$1:$998,COLUMN($O$1),FALSE)*VLOOKUP($D221,素材!$1:$1016,COLUMN($E$1),FALSE)/(LEN(VLOOKUP($D221,素材!$1:$1016,COLUMN($F$1),FALSE))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N221">
        <f>IF(ISNUMBER(SEARCH(SUBSTITUTE(AN$1,RIGHT(AN$1,2),""),VLOOKUP($D221,素材!$1:$1016,COLUMN($F$1),FALSE))),VLOOKUP($C221,武器!$1:$998,COLUMN($O$1),FALSE)*VLOOKUP($D221,素材!$1:$1016,COLUMN($E$1),FALSE)/(LEN(VLOOKUP($D221,素材!$1:$1016,COLUMN($F$1),FALSE))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O221">
        <f>IF(ISNUMBER(SEARCH(SUBSTITUTE(AO$1,RIGHT(AO$1,2),""),VLOOKUP($D221,素材!$1:$1016,COLUMN($F$1),FALSE))),VLOOKUP($C221,武器!$1:$998,COLUMN($O$1),FALSE)*VLOOKUP($D221,素材!$1:$1016,COLUMN($E$1),FALSE)/(LEN(VLOOKUP($D221,素材!$1:$1016,COLUMN($F$1),FALSE))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P221">
        <f>IF(ISNUMBER(SEARCH(SUBSTITUTE(AP$1,RIGHT(AP$1,2),""),VLOOKUP($D221,素材!$1:$1016,COLUMN($F$1),FALSE))),VLOOKUP($C221,武器!$1:$998,COLUMN($O$1),FALSE)*VLOOKUP($D221,素材!$1:$1016,COLUMN($E$1),FALSE)/(LEN(VLOOKUP($D221,素材!$1:$1016,COLUMN($F$1),FALSE))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Q221">
        <f>IF(ISNUMBER(SEARCH(SUBSTITUTE(AQ$1,RIGHT(AQ$1,2),""),VLOOKUP($D221,素材!$1:$1016,COLUMN($F$1),FALSE))),VLOOKUP($C221,武器!$1:$998,COLUMN($O$1),FALSE)*VLOOKUP($D221,素材!$1:$1016,COLUMN($E$1),FALSE)/(LEN(VLOOKUP($D221,素材!$1:$1016,COLUMN($F$1),FALSE))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R221">
        <f>IF(ISNUMBER(SEARCH(SUBSTITUTE(AR$1,RIGHT(AR$1,2),""),VLOOKUP($D221,素材!$1:$1016,COLUMN($F$1),FALSE))),VLOOKUP($C221,武器!$1:$998,COLUMN($O$1),FALSE)*VLOOKUP($D221,素材!$1:$1016,COLUMN($E$1),FALSE)/(LEN(VLOOKUP($D221,素材!$1:$1016,COLUMN($F$1),FALSE))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S221">
        <f>IF(ISNUMBER(SEARCH(SUBSTITUTE(AS$1,RIGHT(AS$1,2),""),VLOOKUP($D221,素材!$1:$1016,COLUMN($F$1),FALSE))),VLOOKUP($C221,武器!$1:$998,COLUMN($O$1),FALSE)*VLOOKUP($D221,素材!$1:$1016,COLUMN($E$1),FALSE)/(LEN(VLOOKUP($D221,素材!$1:$1016,COLUMN($F$1),FALSE))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T221">
        <f>IF(ISNUMBER(SEARCH(SUBSTITUTE(AT$1,RIGHT(AT$1,2),""),VLOOKUP($D221,素材!$1:$1016,COLUMN($F$1),FALSE))),VLOOKUP($C221,武器!$1:$998,COLUMN($O$1),FALSE)*VLOOKUP($D221,素材!$1:$1016,COLUMN($E$1),FALSE)/(LEN(VLOOKUP($D221,素材!$1:$1016,COLUMN($F$1),FALSE))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U221">
        <f>IF(ISNUMBER(SEARCH(SUBSTITUTE(AU$1,RIGHT(AU$1,2),""),VLOOKUP($D221,素材!$1:$1016,COLUMN($F$1),FALSE))),VLOOKUP($C221,武器!$1:$998,COLUMN($O$1),FALSE)*VLOOKUP($D221,素材!$1:$1016,COLUMN($E$1),FALSE)/(LEN(VLOOKUP($D221,素材!$1:$1016,COLUMN($F$1),FALSE))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V221">
        <f>IF(ISNUMBER(SEARCH(SUBSTITUTE(AV$1,RIGHT(AV$1,2),""),VLOOKUP($D221,素材!$1:$1016,COLUMN($F$1),FALSE))),VLOOKUP($C221,武器!$1:$998,COLUMN($O$1),FALSE)*VLOOKUP($D221,素材!$1:$1016,COLUMN($E$1),FALSE)/(LEN(VLOOKUP($D221,素材!$1:$1016,COLUMN($F$1),FALSE))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W221">
        <f>IF(ISNUMBER(SEARCH(SUBSTITUTE(AW$1,RIGHT(AW$1,2),""),VLOOKUP($D221,素材!$1:$1016,COLUMN($F$1),FALSE))),VLOOKUP($C221,武器!$1:$998,COLUMN($O$1),FALSE)*VLOOKUP($D221,素材!$1:$1016,COLUMN($E$1),FALSE)/(LEN(VLOOKUP($D221,素材!$1:$1016,COLUMN($F$1),FALSE))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X221">
        <f>IF(ISNUMBER(SEARCH(SUBSTITUTE(AX$1,RIGHT(AX$1,2),""),VLOOKUP($D221,素材!$1:$1016,COLUMN($F$1),FALSE))),VLOOKUP($C221,武器!$1:$998,COLUMN($O$1),FALSE)*VLOOKUP($D221,素材!$1:$1016,COLUMN($E$1),FALSE)/(LEN(VLOOKUP($D221,素材!$1:$1016,COLUMN($F$1),FALSE))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Y221">
        <f>IF(ISNUMBER(SEARCH(SUBSTITUTE(AY$1,RIGHT(AY$1,2),""),VLOOKUP($D221,素材!$1:$1016,COLUMN($F$1),FALSE))),VLOOKUP($C221,武器!$1:$998,COLUMN($O$1),FALSE)*VLOOKUP($D221,素材!$1:$1016,COLUMN($E$1),FALSE)/(LEN(VLOOKUP($D221,素材!$1:$1016,COLUMN($F$1),FALSE))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AZ221">
        <f>IF(ISNUMBER(SEARCH(SUBSTITUTE(AZ$1,RIGHT(AZ$1,2),""),VLOOKUP($D221,素材!$1:$1016,COLUMN($F$1),FALSE))),VLOOKUP($C221,武器!$1:$998,COLUMN($O$1),FALSE)*VLOOKUP($D221,素材!$1:$1016,COLUMN($E$1),FALSE)/(LEN(VLOOKUP($D221,素材!$1:$1016,COLUMN($F$1),FALSE))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BA221">
        <f>IF(ISNUMBER(SEARCH(SUBSTITUTE(BA$1,RIGHT(BA$1,2),""),VLOOKUP($D221,素材!$1:$1016,COLUMN($F$1),FALSE))),VLOOKUP($C221,武器!$1:$998,COLUMN($O$1),FALSE)*VLOOKUP($D221,素材!$1:$1016,COLUMN($E$1),FALSE)/(LEN(VLOOKUP($D221,素材!$1:$1016,COLUMN($F$1),FALSE))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BB221">
        <f>IF(ISNUMBER(SEARCH(SUBSTITUTE(BB$1,RIGHT(BB$1,2),""),VLOOKUP($D221,素材!$1:$1016,COLUMN($F$1),FALSE))),VLOOKUP($C221,武器!$1:$998,COLUMN($O$1),FALSE)*VLOOKUP($D221,素材!$1:$1016,COLUMN($E$1),FALSE)/(LEN(VLOOKUP($D221,素材!$1:$1016,COLUMN($F$1),FALSE))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BC221">
        <f>IF(ISNUMBER(SEARCH(SUBSTITUTE(BC$1,RIGHT(BC$1,2),""),VLOOKUP($D221,素材!$1:$1016,COLUMN($F$1),FALSE))),VLOOKUP($C221,武器!$1:$998,COLUMN($O$1),FALSE)*VLOOKUP($D221,素材!$1:$1016,COLUMN($E$1),FALSE)/(LEN(VLOOKUP($D221,素材!$1:$1016,COLUMN($F$1),FALSE))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BD221">
        <f>IF(ISNUMBER(SEARCH(SUBSTITUTE(BD$1,RIGHT(BD$1,2),""),VLOOKUP($D221,素材!$1:$1016,COLUMN($F$1),FALSE))),VLOOKUP($C221,武器!$1:$998,COLUMN($O$1),FALSE)*VLOOKUP($D221,素材!$1:$1016,COLUMN($E$1),FALSE)/(LEN(VLOOKUP($D221,素材!$1:$1016,COLUMN($F$1),FALSE))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BE221">
        <f>IF(ISNUMBER(SEARCH(SUBSTITUTE(BE$1,RIGHT(BE$1,2),""),VLOOKUP($D221,素材!$1:$1016,COLUMN($F$1),FALSE))),VLOOKUP($C221,武器!$1:$998,COLUMN($O$1),FALSE)*VLOOKUP($D221,素材!$1:$1016,COLUMN($E$1),FALSE)/(LEN(VLOOKUP($D221,素材!$1:$1016,COLUMN($F$1),FALSE))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BF221">
        <f>IF(ISNUMBER(SEARCH(SUBSTITUTE(BF$1,RIGHT(BF$1,2),""),VLOOKUP($D221,素材!$1:$1016,COLUMN($F$1),FALSE))),VLOOKUP($C221,武器!$1:$998,COLUMN($O$1),FALSE)*VLOOKUP($D221,素材!$1:$1016,COLUMN($E$1),FALSE)/(LEN(VLOOKUP($D221,素材!$1:$1016,COLUMN($F$1),FALSE)) - LEN(SUBSTITUTE(VLOOKUP($D221,素材!$1:$1016,COLUMN($F$1),FALSE), "・", 0)) + 1), 0)</f>
        <v>0</v>
      </c>
      <c r="CM221">
        <f t="shared" si="31"/>
        <v>0</v>
      </c>
      <c r="CN221" s="22" t="str">
        <f>IF(E221="武器",IF(J221-1&gt;SUM(G221:I221),"盾",IF(MAX(G221:I221)=G221,"切断",IF(MAX(G221:I221)=H221,"貫通",IF(MAX(G221:I221)=I221,"打撃","射撃")))),E221)&amp;".webp"</f>
        <v>銃.webp</v>
      </c>
      <c r="CO221">
        <f>IFERROR(VLOOKUP($C221,武器!$1:$998,COLUMN(V$1),FALSE)*VLOOKUP($D221,素材!$1:$1016,COLUMN(N$1),FALSE)+IF(CJ221="",0,VLOOKUP($CJ221,装強!$1:$1008,COLUMN($CL$1),FALSE)),"")</f>
        <v>3000</v>
      </c>
      <c r="CP221">
        <f>VLOOKUP(D221,素材!$A:$O,COLUMN(素材!O$1),FALSE)</f>
        <v>0</v>
      </c>
      <c r="CQ221" t="str">
        <f>VLOOKUP(C221,武器!$A:$W,COLUMN(武器!W$1),FALSE)</f>
        <v/>
      </c>
      <c r="CS221" t="str">
        <f t="shared" si="32"/>
        <v>e_221</v>
      </c>
      <c r="CT221">
        <f t="shared" si="33"/>
        <v>300000</v>
      </c>
    </row>
    <row r="222" spans="1:98" outlineLevel="1" x14ac:dyDescent="0.4">
      <c r="A222" t="str">
        <f t="shared" si="34"/>
        <v>冷気鉄の拳銃</v>
      </c>
      <c r="B222" t="str">
        <f>IFERROR(VLOOKUP($D222,素材!$1:$1016,COLUMN($B$1),FALSE)&amp;"・"&amp;VLOOKUP($C222,武器!$1:$998,COLUMN(B$1),FALSE),"")</f>
        <v>ドゥララン・ハンドガン</v>
      </c>
      <c r="C222" t="s">
        <v>211</v>
      </c>
      <c r="D222" s="24" t="s">
        <v>243</v>
      </c>
      <c r="E222" t="str">
        <f>IFERROR(VLOOKUP(C222,武器!$1:$998,COLUMN(C$1),FALSE),"")</f>
        <v>銃</v>
      </c>
      <c r="F222">
        <f>IFERROR(ROUNDDOWN((VLOOKUP($C222,武器!$1:$998,COLUMN(D$1),FALSE)+IFERROR(VLOOKUP($CJ222,装強!$1:$999,COLUMN(F$1),FALSE),0))*VLOOKUP($D222,素材!$1:$1016,COLUMN(D$1),FALSE),0),"")</f>
        <v>0</v>
      </c>
      <c r="G222">
        <f>IFERROR(ROUNDDOWN((VLOOKUP($C222,武器!$1:$998,COLUMN(E$1),FALSE)+IFERROR(VLOOKUP($CJ222,装強!$1:$999,COLUMN(G$1),FALSE),0))*VLOOKUP($D222,素材!$1:$1016,COLUMN($E$1),FALSE),0),"")</f>
        <v>0</v>
      </c>
      <c r="H222">
        <f>IFERROR(ROUNDDOWN((VLOOKUP($C222,武器!$1:$998,COLUMN(F$1),FALSE)+IFERROR(VLOOKUP($CJ222,装強!$1:$999,COLUMN(H$1),FALSE),0))*VLOOKUP($D222,素材!$1:$1016,COLUMN($E$1),FALSE),0),"")</f>
        <v>0</v>
      </c>
      <c r="I222">
        <f>IFERROR(ROUNDDOWN((VLOOKUP($C222,武器!$1:$998,COLUMN(G$1),FALSE)+IFERROR(VLOOKUP($CJ222,装強!$1:$999,COLUMN(I$1),FALSE),0))*VLOOKUP($D222,素材!$1:$1016,COLUMN($E$1),FALSE),0),"")</f>
        <v>0</v>
      </c>
      <c r="J222">
        <f>IFERROR(ROUNDDOWN((VLOOKUP($C222,武器!$1:$998,COLUMN(H$1),FALSE)+IFERROR(VLOOKUP($CJ222,装強!$1:$999,COLUMN(J$1),FALSE),0))*VLOOKUP($D222,素材!$1:$1016,COLUMN($E$1),FALSE),0),"")</f>
        <v>0</v>
      </c>
      <c r="K222">
        <f>IFERROR(ROUNDDOWN((VLOOKUP($C222,武器!$1:$998,COLUMN(I$1),FALSE)+IFERROR(VLOOKUP($CJ222,装強!$1:$999,COLUMN(K$1),FALSE),0))*VLOOKUP($D222,素材!$1:$1016,COLUMN($E$1),FALSE),0),"")</f>
        <v>36</v>
      </c>
      <c r="L222" t="str">
        <f>IFERROR(VLOOKUP($D222,素材!$1:$1016,COLUMN($F$1),FALSE),"")</f>
        <v>氷</v>
      </c>
      <c r="M222">
        <f>IFERROR(VLOOKUP($C222,武器!$1:$998,COLUMN(AA$1),FALSE)*VLOOKUP($D222,素材!$1:$1016,COLUMN($G$1),FALSE),"")</f>
        <v>0</v>
      </c>
      <c r="N222">
        <f>IFERROR(VLOOKUP($C222,武器!$1:$998,COLUMN(I$1),FALSE),"")</f>
        <v>1.8</v>
      </c>
      <c r="O222" s="23">
        <f>IFERROR((VLOOKUP($C222,武器!$1:$998,COLUMN(K$1),FALSE)+VLOOKUP($D222,素材!$1:$1016,COLUMN(H$1),FALSE))*100+IFERROR(VLOOKUP($CJ222,装強!$1:$999,COLUMN(O$1),FALSE),0),"")</f>
        <v>15</v>
      </c>
      <c r="P222" s="23">
        <f>IFERROR((VLOOKUP($C222,武器!$1:$998,COLUMN(L$1),FALSE)+VLOOKUP($D222,素材!$1:$1016,COLUMN(I$1),FALSE))*100+IFERROR(VLOOKUP($CJ222,装強!$1:$999,COLUMN(P$1),FALSE),0),"")</f>
        <v>175</v>
      </c>
      <c r="Q222">
        <f>IFERROR(ROUNDUP(VLOOKUP($C222,武器!$1:$998,COLUMN(M$1),FALSE)*(VLOOKUP($D222,素材!$1:$1002,COLUMN(D$1),FALSE)/100),1),"")</f>
        <v>0</v>
      </c>
      <c r="R222">
        <f>IFERROR(ROUNDUP(VLOOKUP($C222,武器!$1:$998,COLUMN(N$1),FALSE)*(VLOOKUP($D222,素材!$1:$1002,COLUMN(D$1),FALSE)/100),1),"")</f>
        <v>0</v>
      </c>
      <c r="S222">
        <f>IFERROR(VLOOKUP($C222,武器!$1:$998,COLUMN(P$1),FALSE),"")</f>
        <v>0</v>
      </c>
      <c r="T222">
        <f>IFERROR(VLOOKUP($C222,武器!$1:$998,COLUMN(Q$1),FALSE),"")</f>
        <v>3</v>
      </c>
      <c r="U222">
        <f>IFERROR(VLOOKUP($C222,武器!$1:$998,COLUMN(R$1),FALSE),"")</f>
        <v>1</v>
      </c>
      <c r="V222">
        <f>IFERROR(VLOOKUP($C222,武器!$1:$998,COLUMN(Q$1),FALSE),"")</f>
        <v>3</v>
      </c>
      <c r="W222">
        <f>IFERROR(VLOOKUP($C222,武器!$1:$998,COLUMN(T$1),FALSE),"")</f>
        <v>0</v>
      </c>
      <c r="Y222">
        <f>IFERROR(VLOOKUP($C222,武器!$1:$998,COLUMN(U$1),FALSE),"")</f>
        <v>0</v>
      </c>
      <c r="Z222">
        <f>IFERROR(ROUNDUP(VLOOKUP($C222,武器!$1:$998,COLUMN(O$1),FALSE)*VLOOKUP($D222,素材!$1:$1016,COLUMN(E$1),FALSE),1),"")</f>
        <v>0</v>
      </c>
      <c r="AA222">
        <f>IF(ISNUMBER(SEARCH(SUBSTITUTE(AA$1,RIGHT(AA$1,2),""),VLOOKUP($D222,素材!$1:$1016,COLUMN($F$1),FALSE))),VLOOKUP($C222,武器!$1:$998,COLUMN($O$1),FALSE)*VLOOKUP($D222,素材!$1:$1016,COLUMN($E$1),FALSE)/(LEN(VLOOKUP($D222,素材!$1:$1016,COLUMN($F$1),FALSE))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B222">
        <f>IF(ISNUMBER(SEARCH(SUBSTITUTE(AB$1,RIGHT(AB$1,2),""),VLOOKUP($D222,素材!$1:$1016,COLUMN($F$1),FALSE))),VLOOKUP($C222,武器!$1:$998,COLUMN($O$1),FALSE)*VLOOKUP($D222,素材!$1:$1016,COLUMN($E$1),FALSE)/(LEN(VLOOKUP($D222,素材!$1:$1016,COLUMN($F$1),FALSE))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C222">
        <f>IF(ISNUMBER(SEARCH(SUBSTITUTE(AC$1,RIGHT(AC$1,2),""),VLOOKUP($D222,素材!$1:$1016,COLUMN($F$1),FALSE))),VLOOKUP($C222,武器!$1:$998,COLUMN($O$1),FALSE)*VLOOKUP($D222,素材!$1:$1016,COLUMN($E$1),FALSE)/(LEN(VLOOKUP($D222,素材!$1:$1016,COLUMN($F$1),FALSE))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D222">
        <f>IF(ISNUMBER(SEARCH(SUBSTITUTE(AD$1,RIGHT(AD$1,2),""),VLOOKUP($D222,素材!$1:$1016,COLUMN($F$1),FALSE))),VLOOKUP($C222,武器!$1:$998,COLUMN($O$1),FALSE)*VLOOKUP($D222,素材!$1:$1016,COLUMN($E$1),FALSE)/(LEN(VLOOKUP($D222,素材!$1:$1016,COLUMN($F$1),FALSE))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E222">
        <f>IF(ISNUMBER(SEARCH(SUBSTITUTE(AE$1,RIGHT(AE$1,2),""),VLOOKUP($D222,素材!$1:$1016,COLUMN($F$1),FALSE))),VLOOKUP($C222,武器!$1:$998,COLUMN($O$1),FALSE)*VLOOKUP($D222,素材!$1:$1016,COLUMN($E$1),FALSE)/(LEN(VLOOKUP($D222,素材!$1:$1016,COLUMN($F$1),FALSE))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F222">
        <f>IF(ISNUMBER(SEARCH(SUBSTITUTE(AF$1,RIGHT(AF$1,2),""),VLOOKUP($D222,素材!$1:$1016,COLUMN($F$1),FALSE))),VLOOKUP($C222,武器!$1:$998,COLUMN($O$1),FALSE)*VLOOKUP($D222,素材!$1:$1016,COLUMN($E$1),FALSE)/(LEN(VLOOKUP($D222,素材!$1:$1016,COLUMN($F$1),FALSE))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G222">
        <f>IF(ISNUMBER(SEARCH(SUBSTITUTE(AG$1,RIGHT(AG$1,2),""),VLOOKUP($D222,素材!$1:$1016,COLUMN($F$1),FALSE))),VLOOKUP($C222,武器!$1:$998,COLUMN($O$1),FALSE)*VLOOKUP($D222,素材!$1:$1016,COLUMN($E$1),FALSE)/(LEN(VLOOKUP($D222,素材!$1:$1016,COLUMN($F$1),FALSE))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H222">
        <f>IF(ISNUMBER(SEARCH(SUBSTITUTE(AH$1,RIGHT(AH$1,2),""),VLOOKUP($D222,素材!$1:$1016,COLUMN($F$1),FALSE))),VLOOKUP($C222,武器!$1:$998,COLUMN($O$1),FALSE)*VLOOKUP($D222,素材!$1:$1016,COLUMN($E$1),FALSE)/(LEN(VLOOKUP($D222,素材!$1:$1016,COLUMN($F$1),FALSE))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I222">
        <f>IF(ISNUMBER(SEARCH(SUBSTITUTE(AI$1,RIGHT(AI$1,2),""),VLOOKUP($D222,素材!$1:$1016,COLUMN($F$1),FALSE))),VLOOKUP($C222,武器!$1:$998,COLUMN($O$1),FALSE)*VLOOKUP($D222,素材!$1:$1016,COLUMN($E$1),FALSE)/(LEN(VLOOKUP($D222,素材!$1:$1016,COLUMN($F$1),FALSE))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J222">
        <f>IF(ISNUMBER(SEARCH(SUBSTITUTE(AJ$1,RIGHT(AJ$1,2),""),VLOOKUP($D222,素材!$1:$1016,COLUMN($F$1),FALSE))),VLOOKUP($C222,武器!$1:$998,COLUMN($O$1),FALSE)*VLOOKUP($D222,素材!$1:$1016,COLUMN($E$1),FALSE)/(LEN(VLOOKUP($D222,素材!$1:$1016,COLUMN($F$1),FALSE))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K222">
        <f>IF(ISNUMBER(SEARCH(SUBSTITUTE(AK$1,RIGHT(AK$1,2),""),VLOOKUP($D222,素材!$1:$1016,COLUMN($F$1),FALSE))),VLOOKUP($C222,武器!$1:$998,COLUMN($O$1),FALSE)*VLOOKUP($D222,素材!$1:$1016,COLUMN($E$1),FALSE)/(LEN(VLOOKUP($D222,素材!$1:$1016,COLUMN($F$1),FALSE))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L222">
        <f>IF(ISNUMBER(SEARCH(SUBSTITUTE(AL$1,RIGHT(AL$1,2),""),VLOOKUP($D222,素材!$1:$1016,COLUMN($F$1),FALSE))),VLOOKUP($C222,武器!$1:$998,COLUMN($O$1),FALSE)*VLOOKUP($D222,素材!$1:$1016,COLUMN($E$1),FALSE)/(LEN(VLOOKUP($D222,素材!$1:$1016,COLUMN($F$1),FALSE))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M222">
        <f>IF(ISNUMBER(SEARCH(SUBSTITUTE(AM$1,RIGHT(AM$1,2),""),VLOOKUP($D222,素材!$1:$1016,COLUMN($F$1),FALSE))),VLOOKUP($C222,武器!$1:$998,COLUMN($O$1),FALSE)*VLOOKUP($D222,素材!$1:$1016,COLUMN($E$1),FALSE)/(LEN(VLOOKUP($D222,素材!$1:$1016,COLUMN($F$1),FALSE))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N222">
        <f>IF(ISNUMBER(SEARCH(SUBSTITUTE(AN$1,RIGHT(AN$1,2),""),VLOOKUP($D222,素材!$1:$1016,COLUMN($F$1),FALSE))),VLOOKUP($C222,武器!$1:$998,COLUMN($O$1),FALSE)*VLOOKUP($D222,素材!$1:$1016,COLUMN($E$1),FALSE)/(LEN(VLOOKUP($D222,素材!$1:$1016,COLUMN($F$1),FALSE))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O222">
        <f>IF(ISNUMBER(SEARCH(SUBSTITUTE(AO$1,RIGHT(AO$1,2),""),VLOOKUP($D222,素材!$1:$1016,COLUMN($F$1),FALSE))),VLOOKUP($C222,武器!$1:$998,COLUMN($O$1),FALSE)*VLOOKUP($D222,素材!$1:$1016,COLUMN($E$1),FALSE)/(LEN(VLOOKUP($D222,素材!$1:$1016,COLUMN($F$1),FALSE))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P222">
        <f>IF(ISNUMBER(SEARCH(SUBSTITUTE(AP$1,RIGHT(AP$1,2),""),VLOOKUP($D222,素材!$1:$1016,COLUMN($F$1),FALSE))),VLOOKUP($C222,武器!$1:$998,COLUMN($O$1),FALSE)*VLOOKUP($D222,素材!$1:$1016,COLUMN($E$1),FALSE)/(LEN(VLOOKUP($D222,素材!$1:$1016,COLUMN($F$1),FALSE))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Q222">
        <f>IF(ISNUMBER(SEARCH(SUBSTITUTE(AQ$1,RIGHT(AQ$1,2),""),VLOOKUP($D222,素材!$1:$1016,COLUMN($F$1),FALSE))),VLOOKUP($C222,武器!$1:$998,COLUMN($O$1),FALSE)*VLOOKUP($D222,素材!$1:$1016,COLUMN($E$1),FALSE)/(LEN(VLOOKUP($D222,素材!$1:$1016,COLUMN($F$1),FALSE))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R222">
        <f>IF(ISNUMBER(SEARCH(SUBSTITUTE(AR$1,RIGHT(AR$1,2),""),VLOOKUP($D222,素材!$1:$1016,COLUMN($F$1),FALSE))),VLOOKUP($C222,武器!$1:$998,COLUMN($O$1),FALSE)*VLOOKUP($D222,素材!$1:$1016,COLUMN($E$1),FALSE)/(LEN(VLOOKUP($D222,素材!$1:$1016,COLUMN($F$1),FALSE))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S222">
        <f>IF(ISNUMBER(SEARCH(SUBSTITUTE(AS$1,RIGHT(AS$1,2),""),VLOOKUP($D222,素材!$1:$1016,COLUMN($F$1),FALSE))),VLOOKUP($C222,武器!$1:$998,COLUMN($O$1),FALSE)*VLOOKUP($D222,素材!$1:$1016,COLUMN($E$1),FALSE)/(LEN(VLOOKUP($D222,素材!$1:$1016,COLUMN($F$1),FALSE))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T222">
        <f>IF(ISNUMBER(SEARCH(SUBSTITUTE(AT$1,RIGHT(AT$1,2),""),VLOOKUP($D222,素材!$1:$1016,COLUMN($F$1),FALSE))),VLOOKUP($C222,武器!$1:$998,COLUMN($O$1),FALSE)*VLOOKUP($D222,素材!$1:$1016,COLUMN($E$1),FALSE)/(LEN(VLOOKUP($D222,素材!$1:$1016,COLUMN($F$1),FALSE))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U222">
        <f>IF(ISNUMBER(SEARCH(SUBSTITUTE(AU$1,RIGHT(AU$1,2),""),VLOOKUP($D222,素材!$1:$1016,COLUMN($F$1),FALSE))),VLOOKUP($C222,武器!$1:$998,COLUMN($O$1),FALSE)*VLOOKUP($D222,素材!$1:$1016,COLUMN($E$1),FALSE)/(LEN(VLOOKUP($D222,素材!$1:$1016,COLUMN($F$1),FALSE))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V222">
        <f>IF(ISNUMBER(SEARCH(SUBSTITUTE(AV$1,RIGHT(AV$1,2),""),VLOOKUP($D222,素材!$1:$1016,COLUMN($F$1),FALSE))),VLOOKUP($C222,武器!$1:$998,COLUMN($O$1),FALSE)*VLOOKUP($D222,素材!$1:$1016,COLUMN($E$1),FALSE)/(LEN(VLOOKUP($D222,素材!$1:$1016,COLUMN($F$1),FALSE))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W222">
        <f>IF(ISNUMBER(SEARCH(SUBSTITUTE(AW$1,RIGHT(AW$1,2),""),VLOOKUP($D222,素材!$1:$1016,COLUMN($F$1),FALSE))),VLOOKUP($C222,武器!$1:$998,COLUMN($O$1),FALSE)*VLOOKUP($D222,素材!$1:$1016,COLUMN($E$1),FALSE)/(LEN(VLOOKUP($D222,素材!$1:$1016,COLUMN($F$1),FALSE))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X222">
        <f>IF(ISNUMBER(SEARCH(SUBSTITUTE(AX$1,RIGHT(AX$1,2),""),VLOOKUP($D222,素材!$1:$1016,COLUMN($F$1),FALSE))),VLOOKUP($C222,武器!$1:$998,COLUMN($O$1),FALSE)*VLOOKUP($D222,素材!$1:$1016,COLUMN($E$1),FALSE)/(LEN(VLOOKUP($D222,素材!$1:$1016,COLUMN($F$1),FALSE))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Y222">
        <f>IF(ISNUMBER(SEARCH(SUBSTITUTE(AY$1,RIGHT(AY$1,2),""),VLOOKUP($D222,素材!$1:$1016,COLUMN($F$1),FALSE))),VLOOKUP($C222,武器!$1:$998,COLUMN($O$1),FALSE)*VLOOKUP($D222,素材!$1:$1016,COLUMN($E$1),FALSE)/(LEN(VLOOKUP($D222,素材!$1:$1016,COLUMN($F$1),FALSE))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AZ222">
        <f>IF(ISNUMBER(SEARCH(SUBSTITUTE(AZ$1,RIGHT(AZ$1,2),""),VLOOKUP($D222,素材!$1:$1016,COLUMN($F$1),FALSE))),VLOOKUP($C222,武器!$1:$998,COLUMN($O$1),FALSE)*VLOOKUP($D222,素材!$1:$1016,COLUMN($E$1),FALSE)/(LEN(VLOOKUP($D222,素材!$1:$1016,COLUMN($F$1),FALSE))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BA222">
        <f>IF(ISNUMBER(SEARCH(SUBSTITUTE(BA$1,RIGHT(BA$1,2),""),VLOOKUP($D222,素材!$1:$1016,COLUMN($F$1),FALSE))),VLOOKUP($C222,武器!$1:$998,COLUMN($O$1),FALSE)*VLOOKUP($D222,素材!$1:$1016,COLUMN($E$1),FALSE)/(LEN(VLOOKUP($D222,素材!$1:$1016,COLUMN($F$1),FALSE))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BB222">
        <f>IF(ISNUMBER(SEARCH(SUBSTITUTE(BB$1,RIGHT(BB$1,2),""),VLOOKUP($D222,素材!$1:$1016,COLUMN($F$1),FALSE))),VLOOKUP($C222,武器!$1:$998,COLUMN($O$1),FALSE)*VLOOKUP($D222,素材!$1:$1016,COLUMN($E$1),FALSE)/(LEN(VLOOKUP($D222,素材!$1:$1016,COLUMN($F$1),FALSE))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BC222">
        <f>IF(ISNUMBER(SEARCH(SUBSTITUTE(BC$1,RIGHT(BC$1,2),""),VLOOKUP($D222,素材!$1:$1016,COLUMN($F$1),FALSE))),VLOOKUP($C222,武器!$1:$998,COLUMN($O$1),FALSE)*VLOOKUP($D222,素材!$1:$1016,COLUMN($E$1),FALSE)/(LEN(VLOOKUP($D222,素材!$1:$1016,COLUMN($F$1),FALSE))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BD222">
        <f>IF(ISNUMBER(SEARCH(SUBSTITUTE(BD$1,RIGHT(BD$1,2),""),VLOOKUP($D222,素材!$1:$1016,COLUMN($F$1),FALSE))),VLOOKUP($C222,武器!$1:$998,COLUMN($O$1),FALSE)*VLOOKUP($D222,素材!$1:$1016,COLUMN($E$1),FALSE)/(LEN(VLOOKUP($D222,素材!$1:$1016,COLUMN($F$1),FALSE))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BE222">
        <f>IF(ISNUMBER(SEARCH(SUBSTITUTE(BE$1,RIGHT(BE$1,2),""),VLOOKUP($D222,素材!$1:$1016,COLUMN($F$1),FALSE))),VLOOKUP($C222,武器!$1:$998,COLUMN($O$1),FALSE)*VLOOKUP($D222,素材!$1:$1016,COLUMN($E$1),FALSE)/(LEN(VLOOKUP($D222,素材!$1:$1016,COLUMN($F$1),FALSE))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BF222">
        <f>IF(ISNUMBER(SEARCH(SUBSTITUTE(BF$1,RIGHT(BF$1,2),""),VLOOKUP($D222,素材!$1:$1016,COLUMN($F$1),FALSE))),VLOOKUP($C222,武器!$1:$998,COLUMN($O$1),FALSE)*VLOOKUP($D222,素材!$1:$1016,COLUMN($E$1),FALSE)/(LEN(VLOOKUP($D222,素材!$1:$1016,COLUMN($F$1),FALSE)) - LEN(SUBSTITUTE(VLOOKUP($D222,素材!$1:$1016,COLUMN($F$1),FALSE), "・", 0)) + 1), 0)</f>
        <v>0</v>
      </c>
      <c r="CM222">
        <f t="shared" si="31"/>
        <v>0</v>
      </c>
      <c r="CN222" s="22" t="str">
        <f>IF(E222="武器",IF(J222-1&gt;SUM(G222:I222),"盾",IF(MAX(G222:I222)=G222,"切断",IF(MAX(G222:I222)=H222,"貫通",IF(MAX(G222:I222)=I222,"打撃","射撃")))),E222)&amp;".webp"</f>
        <v>銃.webp</v>
      </c>
      <c r="CO222">
        <f>IFERROR(VLOOKUP($C222,武器!$1:$998,COLUMN(V$1),FALSE)*VLOOKUP($D222,素材!$1:$1016,COLUMN(N$1),FALSE)+IF(CJ222="",0,VLOOKUP($CJ222,装強!$1:$1008,COLUMN($CL$1),FALSE)),"")</f>
        <v>3000</v>
      </c>
      <c r="CP222">
        <f>VLOOKUP(D222,素材!$A:$O,COLUMN(素材!O$1),FALSE)</f>
        <v>0</v>
      </c>
      <c r="CQ222" t="str">
        <f>VLOOKUP(C222,武器!$A:$W,COLUMN(武器!W$1),FALSE)</f>
        <v/>
      </c>
      <c r="CS222" t="str">
        <f t="shared" si="32"/>
        <v>e_222</v>
      </c>
      <c r="CT222">
        <f t="shared" si="33"/>
        <v>300000</v>
      </c>
    </row>
    <row r="223" spans="1:98" outlineLevel="1" x14ac:dyDescent="0.4">
      <c r="A223" t="str">
        <f t="shared" si="34"/>
        <v>冷気鉄の面兜</v>
      </c>
      <c r="B223" t="str">
        <f>IFERROR(VLOOKUP($D223,素材!$1:$1016,COLUMN($B$1),FALSE)&amp;"・"&amp;VLOOKUP($C223,武器!$1:$998,COLUMN(B$1),FALSE),"")</f>
        <v>ドゥララン・バイザーヘルム</v>
      </c>
      <c r="C223" t="s">
        <v>210</v>
      </c>
      <c r="D223" s="24" t="s">
        <v>243</v>
      </c>
      <c r="E223" t="str">
        <f>IFERROR(VLOOKUP(C223,武器!$1:$998,COLUMN(C$1),FALSE),"")</f>
        <v>頭</v>
      </c>
      <c r="F223">
        <f>IFERROR(ROUNDDOWN((VLOOKUP($C223,武器!$1:$998,COLUMN(D$1),FALSE)+IFERROR(VLOOKUP($CJ223,装強!$1:$999,COLUMN(F$1),FALSE),0))*VLOOKUP($D223,素材!$1:$1016,COLUMN(D$1),FALSE),0),"")</f>
        <v>0</v>
      </c>
      <c r="G223">
        <f>IFERROR(ROUNDDOWN((VLOOKUP($C223,武器!$1:$998,COLUMN(E$1),FALSE)+IFERROR(VLOOKUP($CJ223,装強!$1:$999,COLUMN(G$1),FALSE),0))*VLOOKUP($D223,素材!$1:$1016,COLUMN($E$1),FALSE),0),"")</f>
        <v>0</v>
      </c>
      <c r="H223">
        <f>IFERROR(ROUNDDOWN((VLOOKUP($C223,武器!$1:$998,COLUMN(F$1),FALSE)+IFERROR(VLOOKUP($CJ223,装強!$1:$999,COLUMN(H$1),FALSE),0))*VLOOKUP($D223,素材!$1:$1016,COLUMN($E$1),FALSE),0),"")</f>
        <v>0</v>
      </c>
      <c r="I223">
        <f>IFERROR(ROUNDDOWN((VLOOKUP($C223,武器!$1:$998,COLUMN(G$1),FALSE)+IFERROR(VLOOKUP($CJ223,装強!$1:$999,COLUMN(I$1),FALSE),0))*VLOOKUP($D223,素材!$1:$1016,COLUMN($E$1),FALSE),0),"")</f>
        <v>17</v>
      </c>
      <c r="J223">
        <f>IFERROR(ROUNDDOWN((VLOOKUP($C223,武器!$1:$998,COLUMN(H$1),FALSE)+IFERROR(VLOOKUP($CJ223,装強!$1:$999,COLUMN(J$1),FALSE),0))*VLOOKUP($D223,素材!$1:$1016,COLUMN($E$1),FALSE),0),"")</f>
        <v>0</v>
      </c>
      <c r="K223">
        <f>IFERROR(ROUNDDOWN((VLOOKUP($C223,武器!$1:$998,COLUMN(I$1),FALSE)+IFERROR(VLOOKUP($CJ223,装強!$1:$999,COLUMN(K$1),FALSE),0))*VLOOKUP($D223,素材!$1:$1016,COLUMN($E$1),FALSE),0),"")</f>
        <v>0</v>
      </c>
      <c r="L223" t="str">
        <f>IFERROR(VLOOKUP($D223,素材!$1:$1016,COLUMN($F$1),FALSE),"")</f>
        <v>氷</v>
      </c>
      <c r="M223">
        <f>IFERROR(VLOOKUP($C223,武器!$1:$998,COLUMN(AA$1),FALSE)*VLOOKUP($D223,素材!$1:$1016,COLUMN($G$1),FALSE),"")</f>
        <v>0</v>
      </c>
      <c r="N223">
        <f>IFERROR(VLOOKUP($C223,武器!$1:$998,COLUMN(I$1),FALSE),"")</f>
        <v>0</v>
      </c>
      <c r="O223" s="23">
        <f>IFERROR((VLOOKUP($C223,武器!$1:$998,COLUMN(K$1),FALSE)+VLOOKUP($D223,素材!$1:$1016,COLUMN(H$1),FALSE))*100+IFERROR(VLOOKUP($CJ223,装強!$1:$999,COLUMN(O$1),FALSE),0),"")</f>
        <v>5</v>
      </c>
      <c r="P223" s="23">
        <f>IFERROR((VLOOKUP($C223,武器!$1:$998,COLUMN(L$1),FALSE)+VLOOKUP($D223,素材!$1:$1016,COLUMN(I$1),FALSE))*100+IFERROR(VLOOKUP($CJ223,装強!$1:$999,COLUMN(P$1),FALSE),0),"")</f>
        <v>125</v>
      </c>
      <c r="Q223">
        <f>IFERROR(ROUNDUP(VLOOKUP($C223,武器!$1:$998,COLUMN(M$1),FALSE)*(VLOOKUP($D223,素材!$1:$1002,COLUMN(D$1),FALSE)/100),1),"")</f>
        <v>-7.5</v>
      </c>
      <c r="R223">
        <f>IFERROR(ROUNDUP(VLOOKUP($C223,武器!$1:$998,COLUMN(N$1),FALSE)*(VLOOKUP($D223,素材!$1:$1002,COLUMN(D$1),FALSE)/100),1),"")</f>
        <v>0</v>
      </c>
      <c r="S223">
        <f>IFERROR(VLOOKUP($C223,武器!$1:$998,COLUMN(P$1),FALSE),"")</f>
        <v>0</v>
      </c>
      <c r="T223">
        <f>IFERROR(VLOOKUP($C223,武器!$1:$998,COLUMN(Q$1),FALSE),"")</f>
        <v>0</v>
      </c>
      <c r="U223">
        <f>IFERROR(VLOOKUP($C223,武器!$1:$998,COLUMN(R$1),FALSE),"")</f>
        <v>0</v>
      </c>
      <c r="V223">
        <f>IFERROR(VLOOKUP($C223,武器!$1:$998,COLUMN(Q$1),FALSE),"")</f>
        <v>0</v>
      </c>
      <c r="W223">
        <f>IFERROR(VLOOKUP($C223,武器!$1:$998,COLUMN(T$1),FALSE),"")</f>
        <v>0</v>
      </c>
      <c r="Y223">
        <f>IFERROR(VLOOKUP($C223,武器!$1:$998,COLUMN(U$1),FALSE),"")</f>
        <v>0</v>
      </c>
      <c r="Z223">
        <f>IFERROR(ROUNDUP(VLOOKUP($C223,武器!$1:$998,COLUMN(O$1),FALSE)*VLOOKUP($D223,素材!$1:$1016,COLUMN(E$1),FALSE),1),"")</f>
        <v>7</v>
      </c>
      <c r="AA223">
        <f>IF(ISNUMBER(SEARCH(SUBSTITUTE(AA$1,RIGHT(AA$1,2),""),VLOOKUP($D223,素材!$1:$1016,COLUMN($F$1),FALSE))),VLOOKUP($C223,武器!$1:$998,COLUMN($O$1),FALSE)*VLOOKUP($D223,素材!$1:$1016,COLUMN($E$1),FALSE)/(LEN(VLOOKUP($D223,素材!$1:$1016,COLUMN($F$1),FALSE))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B223">
        <f>IF(ISNUMBER(SEARCH(SUBSTITUTE(AB$1,RIGHT(AB$1,2),""),VLOOKUP($D223,素材!$1:$1016,COLUMN($F$1),FALSE))),VLOOKUP($C223,武器!$1:$998,COLUMN($O$1),FALSE)*VLOOKUP($D223,素材!$1:$1016,COLUMN($E$1),FALSE)/(LEN(VLOOKUP($D223,素材!$1:$1016,COLUMN($F$1),FALSE))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C223">
        <f>IF(ISNUMBER(SEARCH(SUBSTITUTE(AC$1,RIGHT(AC$1,2),""),VLOOKUP($D223,素材!$1:$1016,COLUMN($F$1),FALSE))),VLOOKUP($C223,武器!$1:$998,COLUMN($O$1),FALSE)*VLOOKUP($D223,素材!$1:$1016,COLUMN($E$1),FALSE)/(LEN(VLOOKUP($D223,素材!$1:$1016,COLUMN($F$1),FALSE))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D223">
        <f>IF(ISNUMBER(SEARCH(SUBSTITUTE(AD$1,RIGHT(AD$1,2),""),VLOOKUP($D223,素材!$1:$1016,COLUMN($F$1),FALSE))),VLOOKUP($C223,武器!$1:$998,COLUMN($O$1),FALSE)*VLOOKUP($D223,素材!$1:$1016,COLUMN($E$1),FALSE)/(LEN(VLOOKUP($D223,素材!$1:$1016,COLUMN($F$1),FALSE))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E223">
        <f>IF(ISNUMBER(SEARCH(SUBSTITUTE(AE$1,RIGHT(AE$1,2),""),VLOOKUP($D223,素材!$1:$1016,COLUMN($F$1),FALSE))),VLOOKUP($C223,武器!$1:$998,COLUMN($O$1),FALSE)*VLOOKUP($D223,素材!$1:$1016,COLUMN($E$1),FALSE)/(LEN(VLOOKUP($D223,素材!$1:$1016,COLUMN($F$1),FALSE))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F223">
        <f>IF(ISNUMBER(SEARCH(SUBSTITUTE(AF$1,RIGHT(AF$1,2),""),VLOOKUP($D223,素材!$1:$1016,COLUMN($F$1),FALSE))),VLOOKUP($C223,武器!$1:$998,COLUMN($O$1),FALSE)*VLOOKUP($D223,素材!$1:$1016,COLUMN($E$1),FALSE)/(LEN(VLOOKUP($D223,素材!$1:$1016,COLUMN($F$1),FALSE))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7</v>
      </c>
      <c r="AG223">
        <f>IF(ISNUMBER(SEARCH(SUBSTITUTE(AG$1,RIGHT(AG$1,2),""),VLOOKUP($D223,素材!$1:$1016,COLUMN($F$1),FALSE))),VLOOKUP($C223,武器!$1:$998,COLUMN($O$1),FALSE)*VLOOKUP($D223,素材!$1:$1016,COLUMN($E$1),FALSE)/(LEN(VLOOKUP($D223,素材!$1:$1016,COLUMN($F$1),FALSE))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H223">
        <f>IF(ISNUMBER(SEARCH(SUBSTITUTE(AH$1,RIGHT(AH$1,2),""),VLOOKUP($D223,素材!$1:$1016,COLUMN($F$1),FALSE))),VLOOKUP($C223,武器!$1:$998,COLUMN($O$1),FALSE)*VLOOKUP($D223,素材!$1:$1016,COLUMN($E$1),FALSE)/(LEN(VLOOKUP($D223,素材!$1:$1016,COLUMN($F$1),FALSE))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I223">
        <f>IF(ISNUMBER(SEARCH(SUBSTITUTE(AI$1,RIGHT(AI$1,2),""),VLOOKUP($D223,素材!$1:$1016,COLUMN($F$1),FALSE))),VLOOKUP($C223,武器!$1:$998,COLUMN($O$1),FALSE)*VLOOKUP($D223,素材!$1:$1016,COLUMN($E$1),FALSE)/(LEN(VLOOKUP($D223,素材!$1:$1016,COLUMN($F$1),FALSE))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J223">
        <f>IF(ISNUMBER(SEARCH(SUBSTITUTE(AJ$1,RIGHT(AJ$1,2),""),VLOOKUP($D223,素材!$1:$1016,COLUMN($F$1),FALSE))),VLOOKUP($C223,武器!$1:$998,COLUMN($O$1),FALSE)*VLOOKUP($D223,素材!$1:$1016,COLUMN($E$1),FALSE)/(LEN(VLOOKUP($D223,素材!$1:$1016,COLUMN($F$1),FALSE))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K223">
        <f>IF(ISNUMBER(SEARCH(SUBSTITUTE(AK$1,RIGHT(AK$1,2),""),VLOOKUP($D223,素材!$1:$1016,COLUMN($F$1),FALSE))),VLOOKUP($C223,武器!$1:$998,COLUMN($O$1),FALSE)*VLOOKUP($D223,素材!$1:$1016,COLUMN($E$1),FALSE)/(LEN(VLOOKUP($D223,素材!$1:$1016,COLUMN($F$1),FALSE))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L223">
        <f>IF(ISNUMBER(SEARCH(SUBSTITUTE(AL$1,RIGHT(AL$1,2),""),VLOOKUP($D223,素材!$1:$1016,COLUMN($F$1),FALSE))),VLOOKUP($C223,武器!$1:$998,COLUMN($O$1),FALSE)*VLOOKUP($D223,素材!$1:$1016,COLUMN($E$1),FALSE)/(LEN(VLOOKUP($D223,素材!$1:$1016,COLUMN($F$1),FALSE))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M223">
        <f>IF(ISNUMBER(SEARCH(SUBSTITUTE(AM$1,RIGHT(AM$1,2),""),VLOOKUP($D223,素材!$1:$1016,COLUMN($F$1),FALSE))),VLOOKUP($C223,武器!$1:$998,COLUMN($O$1),FALSE)*VLOOKUP($D223,素材!$1:$1016,COLUMN($E$1),FALSE)/(LEN(VLOOKUP($D223,素材!$1:$1016,COLUMN($F$1),FALSE))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N223">
        <f>IF(ISNUMBER(SEARCH(SUBSTITUTE(AN$1,RIGHT(AN$1,2),""),VLOOKUP($D223,素材!$1:$1016,COLUMN($F$1),FALSE))),VLOOKUP($C223,武器!$1:$998,COLUMN($O$1),FALSE)*VLOOKUP($D223,素材!$1:$1016,COLUMN($E$1),FALSE)/(LEN(VLOOKUP($D223,素材!$1:$1016,COLUMN($F$1),FALSE))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O223">
        <f>IF(ISNUMBER(SEARCH(SUBSTITUTE(AO$1,RIGHT(AO$1,2),""),VLOOKUP($D223,素材!$1:$1016,COLUMN($F$1),FALSE))),VLOOKUP($C223,武器!$1:$998,COLUMN($O$1),FALSE)*VLOOKUP($D223,素材!$1:$1016,COLUMN($E$1),FALSE)/(LEN(VLOOKUP($D223,素材!$1:$1016,COLUMN($F$1),FALSE))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P223">
        <f>IF(ISNUMBER(SEARCH(SUBSTITUTE(AP$1,RIGHT(AP$1,2),""),VLOOKUP($D223,素材!$1:$1016,COLUMN($F$1),FALSE))),VLOOKUP($C223,武器!$1:$998,COLUMN($O$1),FALSE)*VLOOKUP($D223,素材!$1:$1016,COLUMN($E$1),FALSE)/(LEN(VLOOKUP($D223,素材!$1:$1016,COLUMN($F$1),FALSE))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Q223">
        <f>IF(ISNUMBER(SEARCH(SUBSTITUTE(AQ$1,RIGHT(AQ$1,2),""),VLOOKUP($D223,素材!$1:$1016,COLUMN($F$1),FALSE))),VLOOKUP($C223,武器!$1:$998,COLUMN($O$1),FALSE)*VLOOKUP($D223,素材!$1:$1016,COLUMN($E$1),FALSE)/(LEN(VLOOKUP($D223,素材!$1:$1016,COLUMN($F$1),FALSE))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R223">
        <f>IF(ISNUMBER(SEARCH(SUBSTITUTE(AR$1,RIGHT(AR$1,2),""),VLOOKUP($D223,素材!$1:$1016,COLUMN($F$1),FALSE))),VLOOKUP($C223,武器!$1:$998,COLUMN($O$1),FALSE)*VLOOKUP($D223,素材!$1:$1016,COLUMN($E$1),FALSE)/(LEN(VLOOKUP($D223,素材!$1:$1016,COLUMN($F$1),FALSE))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S223">
        <f>IF(ISNUMBER(SEARCH(SUBSTITUTE(AS$1,RIGHT(AS$1,2),""),VLOOKUP($D223,素材!$1:$1016,COLUMN($F$1),FALSE))),VLOOKUP($C223,武器!$1:$998,COLUMN($O$1),FALSE)*VLOOKUP($D223,素材!$1:$1016,COLUMN($E$1),FALSE)/(LEN(VLOOKUP($D223,素材!$1:$1016,COLUMN($F$1),FALSE))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T223">
        <f>IF(ISNUMBER(SEARCH(SUBSTITUTE(AT$1,RIGHT(AT$1,2),""),VLOOKUP($D223,素材!$1:$1016,COLUMN($F$1),FALSE))),VLOOKUP($C223,武器!$1:$998,COLUMN($O$1),FALSE)*VLOOKUP($D223,素材!$1:$1016,COLUMN($E$1),FALSE)/(LEN(VLOOKUP($D223,素材!$1:$1016,COLUMN($F$1),FALSE))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U223">
        <f>IF(ISNUMBER(SEARCH(SUBSTITUTE(AU$1,RIGHT(AU$1,2),""),VLOOKUP($D223,素材!$1:$1016,COLUMN($F$1),FALSE))),VLOOKUP($C223,武器!$1:$998,COLUMN($O$1),FALSE)*VLOOKUP($D223,素材!$1:$1016,COLUMN($E$1),FALSE)/(LEN(VLOOKUP($D223,素材!$1:$1016,COLUMN($F$1),FALSE))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V223">
        <f>IF(ISNUMBER(SEARCH(SUBSTITUTE(AV$1,RIGHT(AV$1,2),""),VLOOKUP($D223,素材!$1:$1016,COLUMN($F$1),FALSE))),VLOOKUP($C223,武器!$1:$998,COLUMN($O$1),FALSE)*VLOOKUP($D223,素材!$1:$1016,COLUMN($E$1),FALSE)/(LEN(VLOOKUP($D223,素材!$1:$1016,COLUMN($F$1),FALSE))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W223">
        <f>IF(ISNUMBER(SEARCH(SUBSTITUTE(AW$1,RIGHT(AW$1,2),""),VLOOKUP($D223,素材!$1:$1016,COLUMN($F$1),FALSE))),VLOOKUP($C223,武器!$1:$998,COLUMN($O$1),FALSE)*VLOOKUP($D223,素材!$1:$1016,COLUMN($E$1),FALSE)/(LEN(VLOOKUP($D223,素材!$1:$1016,COLUMN($F$1),FALSE))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X223">
        <f>IF(ISNUMBER(SEARCH(SUBSTITUTE(AX$1,RIGHT(AX$1,2),""),VLOOKUP($D223,素材!$1:$1016,COLUMN($F$1),FALSE))),VLOOKUP($C223,武器!$1:$998,COLUMN($O$1),FALSE)*VLOOKUP($D223,素材!$1:$1016,COLUMN($E$1),FALSE)/(LEN(VLOOKUP($D223,素材!$1:$1016,COLUMN($F$1),FALSE))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Y223">
        <f>IF(ISNUMBER(SEARCH(SUBSTITUTE(AY$1,RIGHT(AY$1,2),""),VLOOKUP($D223,素材!$1:$1016,COLUMN($F$1),FALSE))),VLOOKUP($C223,武器!$1:$998,COLUMN($O$1),FALSE)*VLOOKUP($D223,素材!$1:$1016,COLUMN($E$1),FALSE)/(LEN(VLOOKUP($D223,素材!$1:$1016,COLUMN($F$1),FALSE))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AZ223">
        <f>IF(ISNUMBER(SEARCH(SUBSTITUTE(AZ$1,RIGHT(AZ$1,2),""),VLOOKUP($D223,素材!$1:$1016,COLUMN($F$1),FALSE))),VLOOKUP($C223,武器!$1:$998,COLUMN($O$1),FALSE)*VLOOKUP($D223,素材!$1:$1016,COLUMN($E$1),FALSE)/(LEN(VLOOKUP($D223,素材!$1:$1016,COLUMN($F$1),FALSE))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BA223">
        <f>IF(ISNUMBER(SEARCH(SUBSTITUTE(BA$1,RIGHT(BA$1,2),""),VLOOKUP($D223,素材!$1:$1016,COLUMN($F$1),FALSE))),VLOOKUP($C223,武器!$1:$998,COLUMN($O$1),FALSE)*VLOOKUP($D223,素材!$1:$1016,COLUMN($E$1),FALSE)/(LEN(VLOOKUP($D223,素材!$1:$1016,COLUMN($F$1),FALSE))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BB223">
        <f>IF(ISNUMBER(SEARCH(SUBSTITUTE(BB$1,RIGHT(BB$1,2),""),VLOOKUP($D223,素材!$1:$1016,COLUMN($F$1),FALSE))),VLOOKUP($C223,武器!$1:$998,COLUMN($O$1),FALSE)*VLOOKUP($D223,素材!$1:$1016,COLUMN($E$1),FALSE)/(LEN(VLOOKUP($D223,素材!$1:$1016,COLUMN($F$1),FALSE))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BC223">
        <f>IF(ISNUMBER(SEARCH(SUBSTITUTE(BC$1,RIGHT(BC$1,2),""),VLOOKUP($D223,素材!$1:$1016,COLUMN($F$1),FALSE))),VLOOKUP($C223,武器!$1:$998,COLUMN($O$1),FALSE)*VLOOKUP($D223,素材!$1:$1016,COLUMN($E$1),FALSE)/(LEN(VLOOKUP($D223,素材!$1:$1016,COLUMN($F$1),FALSE))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BD223">
        <f>IF(ISNUMBER(SEARCH(SUBSTITUTE(BD$1,RIGHT(BD$1,2),""),VLOOKUP($D223,素材!$1:$1016,COLUMN($F$1),FALSE))),VLOOKUP($C223,武器!$1:$998,COLUMN($O$1),FALSE)*VLOOKUP($D223,素材!$1:$1016,COLUMN($E$1),FALSE)/(LEN(VLOOKUP($D223,素材!$1:$1016,COLUMN($F$1),FALSE))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BE223">
        <f>IF(ISNUMBER(SEARCH(SUBSTITUTE(BE$1,RIGHT(BE$1,2),""),VLOOKUP($D223,素材!$1:$1016,COLUMN($F$1),FALSE))),VLOOKUP($C223,武器!$1:$998,COLUMN($O$1),FALSE)*VLOOKUP($D223,素材!$1:$1016,COLUMN($E$1),FALSE)/(LEN(VLOOKUP($D223,素材!$1:$1016,COLUMN($F$1),FALSE))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BF223">
        <f>IF(ISNUMBER(SEARCH(SUBSTITUTE(BF$1,RIGHT(BF$1,2),""),VLOOKUP($D223,素材!$1:$1016,COLUMN($F$1),FALSE))),VLOOKUP($C223,武器!$1:$998,COLUMN($O$1),FALSE)*VLOOKUP($D223,素材!$1:$1016,COLUMN($E$1),FALSE)/(LEN(VLOOKUP($D223,素材!$1:$1016,COLUMN($F$1),FALSE)) - LEN(SUBSTITUTE(VLOOKUP($D223,素材!$1:$1016,COLUMN($F$1),FALSE), "・", 0)) + 1), 0)</f>
        <v>0</v>
      </c>
      <c r="CM223">
        <f t="shared" si="31"/>
        <v>17</v>
      </c>
      <c r="CN223" s="22" t="str">
        <f>IF(E223="武器",IF(J223-1&gt;SUM(G223:I223),"盾",IF(MAX(G223:I223)=G223,"切断",IF(MAX(G223:I223)=H223,"貫通",IF(MAX(G223:I223)=I223,"打撃","射撃")))),E223)&amp;".webp"</f>
        <v>頭.webp</v>
      </c>
      <c r="CO223">
        <f>IFERROR(VLOOKUP($C223,武器!$1:$998,COLUMN(V$1),FALSE)*VLOOKUP($D223,素材!$1:$1016,COLUMN(N$1),FALSE)+IF(CJ223="",0,VLOOKUP($CJ223,装強!$1:$1008,COLUMN($CL$1),FALSE)),"")</f>
        <v>3000</v>
      </c>
      <c r="CP223">
        <f>VLOOKUP(D223,素材!$A:$O,COLUMN(素材!O$1),FALSE)</f>
        <v>0</v>
      </c>
      <c r="CQ223" t="str">
        <f>VLOOKUP(C223,武器!$A:$W,COLUMN(武器!W$1),FALSE)</f>
        <v>命中 魔防 Cr</v>
      </c>
      <c r="CS223" t="str">
        <f t="shared" si="32"/>
        <v>e_223</v>
      </c>
      <c r="CT223">
        <f t="shared" si="33"/>
        <v>300000</v>
      </c>
    </row>
    <row r="224" spans="1:98" outlineLevel="1" x14ac:dyDescent="0.4">
      <c r="A224" t="str">
        <f t="shared" si="34"/>
        <v>冷気鉄の兜</v>
      </c>
      <c r="B224" t="str">
        <f>IFERROR(VLOOKUP($D224,素材!$1:$1016,COLUMN($B$1),FALSE)&amp;"・"&amp;VLOOKUP($C224,武器!$1:$998,COLUMN(B$1),FALSE),"")</f>
        <v>ドゥララン・ヘルム</v>
      </c>
      <c r="C224" t="s">
        <v>209</v>
      </c>
      <c r="D224" s="24" t="s">
        <v>243</v>
      </c>
      <c r="E224" t="str">
        <f>IFERROR(VLOOKUP(C224,武器!$1:$998,COLUMN(C$1),FALSE),"")</f>
        <v>頭</v>
      </c>
      <c r="F224">
        <f>IFERROR(ROUNDDOWN((VLOOKUP($C224,武器!$1:$998,COLUMN(D$1),FALSE)+IFERROR(VLOOKUP($CJ224,装強!$1:$999,COLUMN(F$1),FALSE),0))*VLOOKUP($D224,素材!$1:$1016,COLUMN(D$1),FALSE),0),"")</f>
        <v>0</v>
      </c>
      <c r="G224">
        <f>IFERROR(ROUNDDOWN((VLOOKUP($C224,武器!$1:$998,COLUMN(E$1),FALSE)+IFERROR(VLOOKUP($CJ224,装強!$1:$999,COLUMN(G$1),FALSE),0))*VLOOKUP($D224,素材!$1:$1016,COLUMN($E$1),FALSE),0),"")</f>
        <v>0</v>
      </c>
      <c r="H224">
        <f>IFERROR(ROUNDDOWN((VLOOKUP($C224,武器!$1:$998,COLUMN(F$1),FALSE)+IFERROR(VLOOKUP($CJ224,装強!$1:$999,COLUMN(H$1),FALSE),0))*VLOOKUP($D224,素材!$1:$1016,COLUMN($E$1),FALSE),0),"")</f>
        <v>0</v>
      </c>
      <c r="I224">
        <f>IFERROR(ROUNDDOWN((VLOOKUP($C224,武器!$1:$998,COLUMN(G$1),FALSE)+IFERROR(VLOOKUP($CJ224,装強!$1:$999,COLUMN(I$1),FALSE),0))*VLOOKUP($D224,素材!$1:$1016,COLUMN($E$1),FALSE),0),"")</f>
        <v>17</v>
      </c>
      <c r="J224">
        <f>IFERROR(ROUNDDOWN((VLOOKUP($C224,武器!$1:$998,COLUMN(H$1),FALSE)+IFERROR(VLOOKUP($CJ224,装強!$1:$999,COLUMN(J$1),FALSE),0))*VLOOKUP($D224,素材!$1:$1016,COLUMN($E$1),FALSE),0),"")</f>
        <v>0</v>
      </c>
      <c r="K224">
        <f>IFERROR(ROUNDDOWN((VLOOKUP($C224,武器!$1:$998,COLUMN(I$1),FALSE)+IFERROR(VLOOKUP($CJ224,装強!$1:$999,COLUMN(K$1),FALSE),0))*VLOOKUP($D224,素材!$1:$1016,COLUMN($E$1),FALSE),0),"")</f>
        <v>0</v>
      </c>
      <c r="L224" t="str">
        <f>IFERROR(VLOOKUP($D224,素材!$1:$1016,COLUMN($F$1),FALSE),"")</f>
        <v>氷</v>
      </c>
      <c r="M224">
        <f>IFERROR(VLOOKUP($C224,武器!$1:$998,COLUMN(AA$1),FALSE)*VLOOKUP($D224,素材!$1:$1016,COLUMN($G$1),FALSE),"")</f>
        <v>0</v>
      </c>
      <c r="N224">
        <f>IFERROR(VLOOKUP($C224,武器!$1:$998,COLUMN(I$1),FALSE),"")</f>
        <v>0</v>
      </c>
      <c r="O224" s="23">
        <f>IFERROR((VLOOKUP($C224,武器!$1:$998,COLUMN(K$1),FALSE)+VLOOKUP($D224,素材!$1:$1016,COLUMN(H$1),FALSE))*100+IFERROR(VLOOKUP($CJ224,装強!$1:$999,COLUMN(O$1),FALSE),0),"")</f>
        <v>5</v>
      </c>
      <c r="P224" s="23">
        <f>IFERROR((VLOOKUP($C224,武器!$1:$998,COLUMN(L$1),FALSE)+VLOOKUP($D224,素材!$1:$1016,COLUMN(I$1),FALSE))*100+IFERROR(VLOOKUP($CJ224,装強!$1:$999,COLUMN(P$1),FALSE),0),"")</f>
        <v>125</v>
      </c>
      <c r="Q224">
        <f>IFERROR(ROUNDUP(VLOOKUP($C224,武器!$1:$998,COLUMN(M$1),FALSE)*(VLOOKUP($D224,素材!$1:$1002,COLUMN(D$1),FALSE)/100),1),"")</f>
        <v>-5</v>
      </c>
      <c r="R224">
        <f>IFERROR(ROUNDUP(VLOOKUP($C224,武器!$1:$998,COLUMN(N$1),FALSE)*(VLOOKUP($D224,素材!$1:$1002,COLUMN(D$1),FALSE)/100),1),"")</f>
        <v>0</v>
      </c>
      <c r="S224">
        <f>IFERROR(VLOOKUP($C224,武器!$1:$998,COLUMN(P$1),FALSE),"")</f>
        <v>0</v>
      </c>
      <c r="T224">
        <f>IFERROR(VLOOKUP($C224,武器!$1:$998,COLUMN(Q$1),FALSE),"")</f>
        <v>0</v>
      </c>
      <c r="U224">
        <f>IFERROR(VLOOKUP($C224,武器!$1:$998,COLUMN(R$1),FALSE),"")</f>
        <v>0</v>
      </c>
      <c r="V224">
        <f>IFERROR(VLOOKUP($C224,武器!$1:$998,COLUMN(Q$1),FALSE),"")</f>
        <v>0</v>
      </c>
      <c r="W224">
        <f>IFERROR(VLOOKUP($C224,武器!$1:$998,COLUMN(T$1),FALSE),"")</f>
        <v>0</v>
      </c>
      <c r="Y224">
        <f>IFERROR(VLOOKUP($C224,武器!$1:$998,COLUMN(U$1),FALSE),"")</f>
        <v>0</v>
      </c>
      <c r="Z224">
        <f>IFERROR(ROUNDUP(VLOOKUP($C224,武器!$1:$998,COLUMN(O$1),FALSE)*VLOOKUP($D224,素材!$1:$1016,COLUMN(E$1),FALSE),1),"")</f>
        <v>4</v>
      </c>
      <c r="AA224">
        <f>IF(ISNUMBER(SEARCH(SUBSTITUTE(AA$1,RIGHT(AA$1,2),""),VLOOKUP($D224,素材!$1:$1016,COLUMN($F$1),FALSE))),VLOOKUP($C224,武器!$1:$998,COLUMN($O$1),FALSE)*VLOOKUP($D224,素材!$1:$1016,COLUMN($E$1),FALSE)/(LEN(VLOOKUP($D224,素材!$1:$1016,COLUMN($F$1),FALSE))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B224">
        <f>IF(ISNUMBER(SEARCH(SUBSTITUTE(AB$1,RIGHT(AB$1,2),""),VLOOKUP($D224,素材!$1:$1016,COLUMN($F$1),FALSE))),VLOOKUP($C224,武器!$1:$998,COLUMN($O$1),FALSE)*VLOOKUP($D224,素材!$1:$1016,COLUMN($E$1),FALSE)/(LEN(VLOOKUP($D224,素材!$1:$1016,COLUMN($F$1),FALSE))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C224">
        <f>IF(ISNUMBER(SEARCH(SUBSTITUTE(AC$1,RIGHT(AC$1,2),""),VLOOKUP($D224,素材!$1:$1016,COLUMN($F$1),FALSE))),VLOOKUP($C224,武器!$1:$998,COLUMN($O$1),FALSE)*VLOOKUP($D224,素材!$1:$1016,COLUMN($E$1),FALSE)/(LEN(VLOOKUP($D224,素材!$1:$1016,COLUMN($F$1),FALSE))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D224">
        <f>IF(ISNUMBER(SEARCH(SUBSTITUTE(AD$1,RIGHT(AD$1,2),""),VLOOKUP($D224,素材!$1:$1016,COLUMN($F$1),FALSE))),VLOOKUP($C224,武器!$1:$998,COLUMN($O$1),FALSE)*VLOOKUP($D224,素材!$1:$1016,COLUMN($E$1),FALSE)/(LEN(VLOOKUP($D224,素材!$1:$1016,COLUMN($F$1),FALSE))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E224">
        <f>IF(ISNUMBER(SEARCH(SUBSTITUTE(AE$1,RIGHT(AE$1,2),""),VLOOKUP($D224,素材!$1:$1016,COLUMN($F$1),FALSE))),VLOOKUP($C224,武器!$1:$998,COLUMN($O$1),FALSE)*VLOOKUP($D224,素材!$1:$1016,COLUMN($E$1),FALSE)/(LEN(VLOOKUP($D224,素材!$1:$1016,COLUMN($F$1),FALSE))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F224">
        <f>IF(ISNUMBER(SEARCH(SUBSTITUTE(AF$1,RIGHT(AF$1,2),""),VLOOKUP($D224,素材!$1:$1016,COLUMN($F$1),FALSE))),VLOOKUP($C224,武器!$1:$998,COLUMN($O$1),FALSE)*VLOOKUP($D224,素材!$1:$1016,COLUMN($E$1),FALSE)/(LEN(VLOOKUP($D224,素材!$1:$1016,COLUMN($F$1),FALSE))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4</v>
      </c>
      <c r="AG224">
        <f>IF(ISNUMBER(SEARCH(SUBSTITUTE(AG$1,RIGHT(AG$1,2),""),VLOOKUP($D224,素材!$1:$1016,COLUMN($F$1),FALSE))),VLOOKUP($C224,武器!$1:$998,COLUMN($O$1),FALSE)*VLOOKUP($D224,素材!$1:$1016,COLUMN($E$1),FALSE)/(LEN(VLOOKUP($D224,素材!$1:$1016,COLUMN($F$1),FALSE))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H224">
        <f>IF(ISNUMBER(SEARCH(SUBSTITUTE(AH$1,RIGHT(AH$1,2),""),VLOOKUP($D224,素材!$1:$1016,COLUMN($F$1),FALSE))),VLOOKUP($C224,武器!$1:$998,COLUMN($O$1),FALSE)*VLOOKUP($D224,素材!$1:$1016,COLUMN($E$1),FALSE)/(LEN(VLOOKUP($D224,素材!$1:$1016,COLUMN($F$1),FALSE))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I224">
        <f>IF(ISNUMBER(SEARCH(SUBSTITUTE(AI$1,RIGHT(AI$1,2),""),VLOOKUP($D224,素材!$1:$1016,COLUMN($F$1),FALSE))),VLOOKUP($C224,武器!$1:$998,COLUMN($O$1),FALSE)*VLOOKUP($D224,素材!$1:$1016,COLUMN($E$1),FALSE)/(LEN(VLOOKUP($D224,素材!$1:$1016,COLUMN($F$1),FALSE))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J224">
        <f>IF(ISNUMBER(SEARCH(SUBSTITUTE(AJ$1,RIGHT(AJ$1,2),""),VLOOKUP($D224,素材!$1:$1016,COLUMN($F$1),FALSE))),VLOOKUP($C224,武器!$1:$998,COLUMN($O$1),FALSE)*VLOOKUP($D224,素材!$1:$1016,COLUMN($E$1),FALSE)/(LEN(VLOOKUP($D224,素材!$1:$1016,COLUMN($F$1),FALSE))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K224">
        <f>IF(ISNUMBER(SEARCH(SUBSTITUTE(AK$1,RIGHT(AK$1,2),""),VLOOKUP($D224,素材!$1:$1016,COLUMN($F$1),FALSE))),VLOOKUP($C224,武器!$1:$998,COLUMN($O$1),FALSE)*VLOOKUP($D224,素材!$1:$1016,COLUMN($E$1),FALSE)/(LEN(VLOOKUP($D224,素材!$1:$1016,COLUMN($F$1),FALSE))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L224">
        <f>IF(ISNUMBER(SEARCH(SUBSTITUTE(AL$1,RIGHT(AL$1,2),""),VLOOKUP($D224,素材!$1:$1016,COLUMN($F$1),FALSE))),VLOOKUP($C224,武器!$1:$998,COLUMN($O$1),FALSE)*VLOOKUP($D224,素材!$1:$1016,COLUMN($E$1),FALSE)/(LEN(VLOOKUP($D224,素材!$1:$1016,COLUMN($F$1),FALSE))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M224">
        <f>IF(ISNUMBER(SEARCH(SUBSTITUTE(AM$1,RIGHT(AM$1,2),""),VLOOKUP($D224,素材!$1:$1016,COLUMN($F$1),FALSE))),VLOOKUP($C224,武器!$1:$998,COLUMN($O$1),FALSE)*VLOOKUP($D224,素材!$1:$1016,COLUMN($E$1),FALSE)/(LEN(VLOOKUP($D224,素材!$1:$1016,COLUMN($F$1),FALSE))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N224">
        <f>IF(ISNUMBER(SEARCH(SUBSTITUTE(AN$1,RIGHT(AN$1,2),""),VLOOKUP($D224,素材!$1:$1016,COLUMN($F$1),FALSE))),VLOOKUP($C224,武器!$1:$998,COLUMN($O$1),FALSE)*VLOOKUP($D224,素材!$1:$1016,COLUMN($E$1),FALSE)/(LEN(VLOOKUP($D224,素材!$1:$1016,COLUMN($F$1),FALSE))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O224">
        <f>IF(ISNUMBER(SEARCH(SUBSTITUTE(AO$1,RIGHT(AO$1,2),""),VLOOKUP($D224,素材!$1:$1016,COLUMN($F$1),FALSE))),VLOOKUP($C224,武器!$1:$998,COLUMN($O$1),FALSE)*VLOOKUP($D224,素材!$1:$1016,COLUMN($E$1),FALSE)/(LEN(VLOOKUP($D224,素材!$1:$1016,COLUMN($F$1),FALSE))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P224">
        <f>IF(ISNUMBER(SEARCH(SUBSTITUTE(AP$1,RIGHT(AP$1,2),""),VLOOKUP($D224,素材!$1:$1016,COLUMN($F$1),FALSE))),VLOOKUP($C224,武器!$1:$998,COLUMN($O$1),FALSE)*VLOOKUP($D224,素材!$1:$1016,COLUMN($E$1),FALSE)/(LEN(VLOOKUP($D224,素材!$1:$1016,COLUMN($F$1),FALSE))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Q224">
        <f>IF(ISNUMBER(SEARCH(SUBSTITUTE(AQ$1,RIGHT(AQ$1,2),""),VLOOKUP($D224,素材!$1:$1016,COLUMN($F$1),FALSE))),VLOOKUP($C224,武器!$1:$998,COLUMN($O$1),FALSE)*VLOOKUP($D224,素材!$1:$1016,COLUMN($E$1),FALSE)/(LEN(VLOOKUP($D224,素材!$1:$1016,COLUMN($F$1),FALSE))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R224">
        <f>IF(ISNUMBER(SEARCH(SUBSTITUTE(AR$1,RIGHT(AR$1,2),""),VLOOKUP($D224,素材!$1:$1016,COLUMN($F$1),FALSE))),VLOOKUP($C224,武器!$1:$998,COLUMN($O$1),FALSE)*VLOOKUP($D224,素材!$1:$1016,COLUMN($E$1),FALSE)/(LEN(VLOOKUP($D224,素材!$1:$1016,COLUMN($F$1),FALSE))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S224">
        <f>IF(ISNUMBER(SEARCH(SUBSTITUTE(AS$1,RIGHT(AS$1,2),""),VLOOKUP($D224,素材!$1:$1016,COLUMN($F$1),FALSE))),VLOOKUP($C224,武器!$1:$998,COLUMN($O$1),FALSE)*VLOOKUP($D224,素材!$1:$1016,COLUMN($E$1),FALSE)/(LEN(VLOOKUP($D224,素材!$1:$1016,COLUMN($F$1),FALSE))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T224">
        <f>IF(ISNUMBER(SEARCH(SUBSTITUTE(AT$1,RIGHT(AT$1,2),""),VLOOKUP($D224,素材!$1:$1016,COLUMN($F$1),FALSE))),VLOOKUP($C224,武器!$1:$998,COLUMN($O$1),FALSE)*VLOOKUP($D224,素材!$1:$1016,COLUMN($E$1),FALSE)/(LEN(VLOOKUP($D224,素材!$1:$1016,COLUMN($F$1),FALSE))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U224">
        <f>IF(ISNUMBER(SEARCH(SUBSTITUTE(AU$1,RIGHT(AU$1,2),""),VLOOKUP($D224,素材!$1:$1016,COLUMN($F$1),FALSE))),VLOOKUP($C224,武器!$1:$998,COLUMN($O$1),FALSE)*VLOOKUP($D224,素材!$1:$1016,COLUMN($E$1),FALSE)/(LEN(VLOOKUP($D224,素材!$1:$1016,COLUMN($F$1),FALSE))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V224">
        <f>IF(ISNUMBER(SEARCH(SUBSTITUTE(AV$1,RIGHT(AV$1,2),""),VLOOKUP($D224,素材!$1:$1016,COLUMN($F$1),FALSE))),VLOOKUP($C224,武器!$1:$998,COLUMN($O$1),FALSE)*VLOOKUP($D224,素材!$1:$1016,COLUMN($E$1),FALSE)/(LEN(VLOOKUP($D224,素材!$1:$1016,COLUMN($F$1),FALSE))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W224">
        <f>IF(ISNUMBER(SEARCH(SUBSTITUTE(AW$1,RIGHT(AW$1,2),""),VLOOKUP($D224,素材!$1:$1016,COLUMN($F$1),FALSE))),VLOOKUP($C224,武器!$1:$998,COLUMN($O$1),FALSE)*VLOOKUP($D224,素材!$1:$1016,COLUMN($E$1),FALSE)/(LEN(VLOOKUP($D224,素材!$1:$1016,COLUMN($F$1),FALSE))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X224">
        <f>IF(ISNUMBER(SEARCH(SUBSTITUTE(AX$1,RIGHT(AX$1,2),""),VLOOKUP($D224,素材!$1:$1016,COLUMN($F$1),FALSE))),VLOOKUP($C224,武器!$1:$998,COLUMN($O$1),FALSE)*VLOOKUP($D224,素材!$1:$1016,COLUMN($E$1),FALSE)/(LEN(VLOOKUP($D224,素材!$1:$1016,COLUMN($F$1),FALSE))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Y224">
        <f>IF(ISNUMBER(SEARCH(SUBSTITUTE(AY$1,RIGHT(AY$1,2),""),VLOOKUP($D224,素材!$1:$1016,COLUMN($F$1),FALSE))),VLOOKUP($C224,武器!$1:$998,COLUMN($O$1),FALSE)*VLOOKUP($D224,素材!$1:$1016,COLUMN($E$1),FALSE)/(LEN(VLOOKUP($D224,素材!$1:$1016,COLUMN($F$1),FALSE))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AZ224">
        <f>IF(ISNUMBER(SEARCH(SUBSTITUTE(AZ$1,RIGHT(AZ$1,2),""),VLOOKUP($D224,素材!$1:$1016,COLUMN($F$1),FALSE))),VLOOKUP($C224,武器!$1:$998,COLUMN($O$1),FALSE)*VLOOKUP($D224,素材!$1:$1016,COLUMN($E$1),FALSE)/(LEN(VLOOKUP($D224,素材!$1:$1016,COLUMN($F$1),FALSE))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BA224">
        <f>IF(ISNUMBER(SEARCH(SUBSTITUTE(BA$1,RIGHT(BA$1,2),""),VLOOKUP($D224,素材!$1:$1016,COLUMN($F$1),FALSE))),VLOOKUP($C224,武器!$1:$998,COLUMN($O$1),FALSE)*VLOOKUP($D224,素材!$1:$1016,COLUMN($E$1),FALSE)/(LEN(VLOOKUP($D224,素材!$1:$1016,COLUMN($F$1),FALSE))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BB224">
        <f>IF(ISNUMBER(SEARCH(SUBSTITUTE(BB$1,RIGHT(BB$1,2),""),VLOOKUP($D224,素材!$1:$1016,COLUMN($F$1),FALSE))),VLOOKUP($C224,武器!$1:$998,COLUMN($O$1),FALSE)*VLOOKUP($D224,素材!$1:$1016,COLUMN($E$1),FALSE)/(LEN(VLOOKUP($D224,素材!$1:$1016,COLUMN($F$1),FALSE))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BC224">
        <f>IF(ISNUMBER(SEARCH(SUBSTITUTE(BC$1,RIGHT(BC$1,2),""),VLOOKUP($D224,素材!$1:$1016,COLUMN($F$1),FALSE))),VLOOKUP($C224,武器!$1:$998,COLUMN($O$1),FALSE)*VLOOKUP($D224,素材!$1:$1016,COLUMN($E$1),FALSE)/(LEN(VLOOKUP($D224,素材!$1:$1016,COLUMN($F$1),FALSE))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BD224">
        <f>IF(ISNUMBER(SEARCH(SUBSTITUTE(BD$1,RIGHT(BD$1,2),""),VLOOKUP($D224,素材!$1:$1016,COLUMN($F$1),FALSE))),VLOOKUP($C224,武器!$1:$998,COLUMN($O$1),FALSE)*VLOOKUP($D224,素材!$1:$1016,COLUMN($E$1),FALSE)/(LEN(VLOOKUP($D224,素材!$1:$1016,COLUMN($F$1),FALSE))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BE224">
        <f>IF(ISNUMBER(SEARCH(SUBSTITUTE(BE$1,RIGHT(BE$1,2),""),VLOOKUP($D224,素材!$1:$1016,COLUMN($F$1),FALSE))),VLOOKUP($C224,武器!$1:$998,COLUMN($O$1),FALSE)*VLOOKUP($D224,素材!$1:$1016,COLUMN($E$1),FALSE)/(LEN(VLOOKUP($D224,素材!$1:$1016,COLUMN($F$1),FALSE))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BF224">
        <f>IF(ISNUMBER(SEARCH(SUBSTITUTE(BF$1,RIGHT(BF$1,2),""),VLOOKUP($D224,素材!$1:$1016,COLUMN($F$1),FALSE))),VLOOKUP($C224,武器!$1:$998,COLUMN($O$1),FALSE)*VLOOKUP($D224,素材!$1:$1016,COLUMN($E$1),FALSE)/(LEN(VLOOKUP($D224,素材!$1:$1016,COLUMN($F$1),FALSE)) - LEN(SUBSTITUTE(VLOOKUP($D224,素材!$1:$1016,COLUMN($F$1),FALSE), "・", 0)) + 1), 0)</f>
        <v>0</v>
      </c>
      <c r="CM224">
        <f t="shared" si="31"/>
        <v>17</v>
      </c>
      <c r="CN224" s="22" t="str">
        <f>IF(E224="武器",IF(J224-1&gt;SUM(G224:I224),"盾",IF(MAX(G224:I224)=G224,"切断",IF(MAX(G224:I224)=H224,"貫通",IF(MAX(G224:I224)=I224,"打撃","射撃")))),E224)&amp;".webp"</f>
        <v>頭.webp</v>
      </c>
      <c r="CO224">
        <f>IFERROR(VLOOKUP($C224,武器!$1:$998,COLUMN(V$1),FALSE)*VLOOKUP($D224,素材!$1:$1016,COLUMN(N$1),FALSE)+IF(CJ224="",0,VLOOKUP($CJ224,装強!$1:$1008,COLUMN($CL$1),FALSE)),"")</f>
        <v>2250</v>
      </c>
      <c r="CP224">
        <f>VLOOKUP(D224,素材!$A:$O,COLUMN(素材!O$1),FALSE)</f>
        <v>0</v>
      </c>
      <c r="CQ224" t="str">
        <f>VLOOKUP(C224,武器!$A:$W,COLUMN(武器!W$1),FALSE)</f>
        <v>命中 魔防 Cr</v>
      </c>
      <c r="CS224" t="str">
        <f t="shared" si="32"/>
        <v>e_224</v>
      </c>
      <c r="CT224">
        <f t="shared" si="33"/>
        <v>225000</v>
      </c>
    </row>
    <row r="225" spans="1:98" outlineLevel="1" x14ac:dyDescent="0.4">
      <c r="A225" t="str">
        <f t="shared" si="34"/>
        <v>冷気鉄の鎧</v>
      </c>
      <c r="B225" t="str">
        <f>IFERROR(VLOOKUP($D225,素材!$1:$1016,COLUMN($B$1),FALSE)&amp;"・"&amp;VLOOKUP($C225,武器!$1:$998,COLUMN(B$1),FALSE),"")</f>
        <v>ドゥララン・アーマー</v>
      </c>
      <c r="C225" t="s">
        <v>208</v>
      </c>
      <c r="D225" s="24" t="s">
        <v>243</v>
      </c>
      <c r="E225" t="str">
        <f>IFERROR(VLOOKUP(C225,武器!$1:$998,COLUMN(C$1),FALSE),"")</f>
        <v>体</v>
      </c>
      <c r="F225">
        <f>IFERROR(ROUNDDOWN((VLOOKUP($C225,武器!$1:$998,COLUMN(D$1),FALSE)+IFERROR(VLOOKUP($CJ225,装強!$1:$999,COLUMN(F$1),FALSE),0))*VLOOKUP($D225,素材!$1:$1016,COLUMN(D$1),FALSE),0),"")</f>
        <v>0</v>
      </c>
      <c r="G225">
        <f>IFERROR(ROUNDDOWN((VLOOKUP($C225,武器!$1:$998,COLUMN(E$1),FALSE)+IFERROR(VLOOKUP($CJ225,装強!$1:$999,COLUMN(G$1),FALSE),0))*VLOOKUP($D225,素材!$1:$1016,COLUMN($E$1),FALSE),0),"")</f>
        <v>0</v>
      </c>
      <c r="H225">
        <f>IFERROR(ROUNDDOWN((VLOOKUP($C225,武器!$1:$998,COLUMN(F$1),FALSE)+IFERROR(VLOOKUP($CJ225,装強!$1:$999,COLUMN(H$1),FALSE),0))*VLOOKUP($D225,素材!$1:$1016,COLUMN($E$1),FALSE),0),"")</f>
        <v>0</v>
      </c>
      <c r="I225">
        <f>IFERROR(ROUNDDOWN((VLOOKUP($C225,武器!$1:$998,COLUMN(G$1),FALSE)+IFERROR(VLOOKUP($CJ225,装強!$1:$999,COLUMN(I$1),FALSE),0))*VLOOKUP($D225,素材!$1:$1016,COLUMN($E$1),FALSE),0),"")</f>
        <v>0</v>
      </c>
      <c r="J225">
        <f>IFERROR(ROUNDDOWN((VLOOKUP($C225,武器!$1:$998,COLUMN(H$1),FALSE)+IFERROR(VLOOKUP($CJ225,装強!$1:$999,COLUMN(J$1),FALSE),0))*VLOOKUP($D225,素材!$1:$1016,COLUMN($E$1),FALSE),0),"")</f>
        <v>0</v>
      </c>
      <c r="K225">
        <f>IFERROR(ROUNDDOWN((VLOOKUP($C225,武器!$1:$998,COLUMN(I$1),FALSE)+IFERROR(VLOOKUP($CJ225,装強!$1:$999,COLUMN(K$1),FALSE),0))*VLOOKUP($D225,素材!$1:$1016,COLUMN($E$1),FALSE),0),"")</f>
        <v>0</v>
      </c>
      <c r="L225" t="str">
        <f>IFERROR(VLOOKUP($D225,素材!$1:$1016,COLUMN($F$1),FALSE),"")</f>
        <v>氷</v>
      </c>
      <c r="M225">
        <f>IFERROR(VLOOKUP($C225,武器!$1:$998,COLUMN(AA$1),FALSE)*VLOOKUP($D225,素材!$1:$1016,COLUMN($G$1),FALSE),"")</f>
        <v>0</v>
      </c>
      <c r="N225">
        <f>IFERROR(VLOOKUP($C225,武器!$1:$998,COLUMN(I$1),FALSE),"")</f>
        <v>0</v>
      </c>
      <c r="O225" s="23">
        <f>IFERROR((VLOOKUP($C225,武器!$1:$998,COLUMN(K$1),FALSE)+VLOOKUP($D225,素材!$1:$1016,COLUMN(H$1),FALSE))*100+IFERROR(VLOOKUP($CJ225,装強!$1:$999,COLUMN(O$1),FALSE),0),"")</f>
        <v>0</v>
      </c>
      <c r="P225" s="23">
        <f>IFERROR((VLOOKUP($C225,武器!$1:$998,COLUMN(L$1),FALSE)+VLOOKUP($D225,素材!$1:$1016,COLUMN(I$1),FALSE))*100+IFERROR(VLOOKUP($CJ225,装強!$1:$999,COLUMN(P$1),FALSE),0),"")</f>
        <v>0</v>
      </c>
      <c r="Q225">
        <f>IFERROR(ROUNDUP(VLOOKUP($C225,武器!$1:$998,COLUMN(M$1),FALSE)*(VLOOKUP($D225,素材!$1:$1002,COLUMN(D$1),FALSE)/100),1),"")</f>
        <v>-15</v>
      </c>
      <c r="R225">
        <f>IFERROR(ROUNDUP(VLOOKUP($C225,武器!$1:$998,COLUMN(N$1),FALSE)*(VLOOKUP($D225,素材!$1:$1002,COLUMN(D$1),FALSE)/100),1),"")</f>
        <v>0</v>
      </c>
      <c r="S225">
        <f>IFERROR(VLOOKUP($C225,武器!$1:$998,COLUMN(P$1),FALSE),"")</f>
        <v>0</v>
      </c>
      <c r="T225">
        <f>IFERROR(VLOOKUP($C225,武器!$1:$998,COLUMN(Q$1),FALSE),"")</f>
        <v>0</v>
      </c>
      <c r="U225">
        <f>IFERROR(VLOOKUP($C225,武器!$1:$998,COLUMN(R$1),FALSE),"")</f>
        <v>0</v>
      </c>
      <c r="V225">
        <f>IFERROR(VLOOKUP($C225,武器!$1:$998,COLUMN(Q$1),FALSE),"")</f>
        <v>0</v>
      </c>
      <c r="W225">
        <f>IFERROR(VLOOKUP($C225,武器!$1:$998,COLUMN(T$1),FALSE),"")</f>
        <v>0</v>
      </c>
      <c r="Y225">
        <f>IFERROR(VLOOKUP($C225,武器!$1:$998,COLUMN(U$1),FALSE),"")</f>
        <v>0</v>
      </c>
      <c r="Z225">
        <f>IFERROR(ROUNDUP(VLOOKUP($C225,武器!$1:$998,COLUMN(O$1),FALSE)*VLOOKUP($D225,素材!$1:$1016,COLUMN(E$1),FALSE),1),"")</f>
        <v>14</v>
      </c>
      <c r="AA225">
        <f>IF(ISNUMBER(SEARCH(SUBSTITUTE(AA$1,RIGHT(AA$1,2),""),VLOOKUP($D225,素材!$1:$1016,COLUMN($F$1),FALSE))),VLOOKUP($C225,武器!$1:$998,COLUMN($O$1),FALSE)*VLOOKUP($D225,素材!$1:$1016,COLUMN($E$1),FALSE)/(LEN(VLOOKUP($D225,素材!$1:$1016,COLUMN($F$1),FALSE))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B225">
        <f>IF(ISNUMBER(SEARCH(SUBSTITUTE(AB$1,RIGHT(AB$1,2),""),VLOOKUP($D225,素材!$1:$1016,COLUMN($F$1),FALSE))),VLOOKUP($C225,武器!$1:$998,COLUMN($O$1),FALSE)*VLOOKUP($D225,素材!$1:$1016,COLUMN($E$1),FALSE)/(LEN(VLOOKUP($D225,素材!$1:$1016,COLUMN($F$1),FALSE))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C225">
        <f>IF(ISNUMBER(SEARCH(SUBSTITUTE(AC$1,RIGHT(AC$1,2),""),VLOOKUP($D225,素材!$1:$1016,COLUMN($F$1),FALSE))),VLOOKUP($C225,武器!$1:$998,COLUMN($O$1),FALSE)*VLOOKUP($D225,素材!$1:$1016,COLUMN($E$1),FALSE)/(LEN(VLOOKUP($D225,素材!$1:$1016,COLUMN($F$1),FALSE))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D225">
        <f>IF(ISNUMBER(SEARCH(SUBSTITUTE(AD$1,RIGHT(AD$1,2),""),VLOOKUP($D225,素材!$1:$1016,COLUMN($F$1),FALSE))),VLOOKUP($C225,武器!$1:$998,COLUMN($O$1),FALSE)*VLOOKUP($D225,素材!$1:$1016,COLUMN($E$1),FALSE)/(LEN(VLOOKUP($D225,素材!$1:$1016,COLUMN($F$1),FALSE))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E225">
        <f>IF(ISNUMBER(SEARCH(SUBSTITUTE(AE$1,RIGHT(AE$1,2),""),VLOOKUP($D225,素材!$1:$1016,COLUMN($F$1),FALSE))),VLOOKUP($C225,武器!$1:$998,COLUMN($O$1),FALSE)*VLOOKUP($D225,素材!$1:$1016,COLUMN($E$1),FALSE)/(LEN(VLOOKUP($D225,素材!$1:$1016,COLUMN($F$1),FALSE))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F225">
        <f>IF(ISNUMBER(SEARCH(SUBSTITUTE(AF$1,RIGHT(AF$1,2),""),VLOOKUP($D225,素材!$1:$1016,COLUMN($F$1),FALSE))),VLOOKUP($C225,武器!$1:$998,COLUMN($O$1),FALSE)*VLOOKUP($D225,素材!$1:$1016,COLUMN($E$1),FALSE)/(LEN(VLOOKUP($D225,素材!$1:$1016,COLUMN($F$1),FALSE))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14</v>
      </c>
      <c r="AG225">
        <f>IF(ISNUMBER(SEARCH(SUBSTITUTE(AG$1,RIGHT(AG$1,2),""),VLOOKUP($D225,素材!$1:$1016,COLUMN($F$1),FALSE))),VLOOKUP($C225,武器!$1:$998,COLUMN($O$1),FALSE)*VLOOKUP($D225,素材!$1:$1016,COLUMN($E$1),FALSE)/(LEN(VLOOKUP($D225,素材!$1:$1016,COLUMN($F$1),FALSE))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H225">
        <f>IF(ISNUMBER(SEARCH(SUBSTITUTE(AH$1,RIGHT(AH$1,2),""),VLOOKUP($D225,素材!$1:$1016,COLUMN($F$1),FALSE))),VLOOKUP($C225,武器!$1:$998,COLUMN($O$1),FALSE)*VLOOKUP($D225,素材!$1:$1016,COLUMN($E$1),FALSE)/(LEN(VLOOKUP($D225,素材!$1:$1016,COLUMN($F$1),FALSE))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I225">
        <f>IF(ISNUMBER(SEARCH(SUBSTITUTE(AI$1,RIGHT(AI$1,2),""),VLOOKUP($D225,素材!$1:$1016,COLUMN($F$1),FALSE))),VLOOKUP($C225,武器!$1:$998,COLUMN($O$1),FALSE)*VLOOKUP($D225,素材!$1:$1016,COLUMN($E$1),FALSE)/(LEN(VLOOKUP($D225,素材!$1:$1016,COLUMN($F$1),FALSE))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J225">
        <f>IF(ISNUMBER(SEARCH(SUBSTITUTE(AJ$1,RIGHT(AJ$1,2),""),VLOOKUP($D225,素材!$1:$1016,COLUMN($F$1),FALSE))),VLOOKUP($C225,武器!$1:$998,COLUMN($O$1),FALSE)*VLOOKUP($D225,素材!$1:$1016,COLUMN($E$1),FALSE)/(LEN(VLOOKUP($D225,素材!$1:$1016,COLUMN($F$1),FALSE))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K225">
        <f>IF(ISNUMBER(SEARCH(SUBSTITUTE(AK$1,RIGHT(AK$1,2),""),VLOOKUP($D225,素材!$1:$1016,COLUMN($F$1),FALSE))),VLOOKUP($C225,武器!$1:$998,COLUMN($O$1),FALSE)*VLOOKUP($D225,素材!$1:$1016,COLUMN($E$1),FALSE)/(LEN(VLOOKUP($D225,素材!$1:$1016,COLUMN($F$1),FALSE))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L225">
        <f>IF(ISNUMBER(SEARCH(SUBSTITUTE(AL$1,RIGHT(AL$1,2),""),VLOOKUP($D225,素材!$1:$1016,COLUMN($F$1),FALSE))),VLOOKUP($C225,武器!$1:$998,COLUMN($O$1),FALSE)*VLOOKUP($D225,素材!$1:$1016,COLUMN($E$1),FALSE)/(LEN(VLOOKUP($D225,素材!$1:$1016,COLUMN($F$1),FALSE))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M225">
        <f>IF(ISNUMBER(SEARCH(SUBSTITUTE(AM$1,RIGHT(AM$1,2),""),VLOOKUP($D225,素材!$1:$1016,COLUMN($F$1),FALSE))),VLOOKUP($C225,武器!$1:$998,COLUMN($O$1),FALSE)*VLOOKUP($D225,素材!$1:$1016,COLUMN($E$1),FALSE)/(LEN(VLOOKUP($D225,素材!$1:$1016,COLUMN($F$1),FALSE))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N225">
        <f>IF(ISNUMBER(SEARCH(SUBSTITUTE(AN$1,RIGHT(AN$1,2),""),VLOOKUP($D225,素材!$1:$1016,COLUMN($F$1),FALSE))),VLOOKUP($C225,武器!$1:$998,COLUMN($O$1),FALSE)*VLOOKUP($D225,素材!$1:$1016,COLUMN($E$1),FALSE)/(LEN(VLOOKUP($D225,素材!$1:$1016,COLUMN($F$1),FALSE))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O225">
        <f>IF(ISNUMBER(SEARCH(SUBSTITUTE(AO$1,RIGHT(AO$1,2),""),VLOOKUP($D225,素材!$1:$1016,COLUMN($F$1),FALSE))),VLOOKUP($C225,武器!$1:$998,COLUMN($O$1),FALSE)*VLOOKUP($D225,素材!$1:$1016,COLUMN($E$1),FALSE)/(LEN(VLOOKUP($D225,素材!$1:$1016,COLUMN($F$1),FALSE))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P225">
        <f>IF(ISNUMBER(SEARCH(SUBSTITUTE(AP$1,RIGHT(AP$1,2),""),VLOOKUP($D225,素材!$1:$1016,COLUMN($F$1),FALSE))),VLOOKUP($C225,武器!$1:$998,COLUMN($O$1),FALSE)*VLOOKUP($D225,素材!$1:$1016,COLUMN($E$1),FALSE)/(LEN(VLOOKUP($D225,素材!$1:$1016,COLUMN($F$1),FALSE))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Q225">
        <f>IF(ISNUMBER(SEARCH(SUBSTITUTE(AQ$1,RIGHT(AQ$1,2),""),VLOOKUP($D225,素材!$1:$1016,COLUMN($F$1),FALSE))),VLOOKUP($C225,武器!$1:$998,COLUMN($O$1),FALSE)*VLOOKUP($D225,素材!$1:$1016,COLUMN($E$1),FALSE)/(LEN(VLOOKUP($D225,素材!$1:$1016,COLUMN($F$1),FALSE))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R225">
        <f>IF(ISNUMBER(SEARCH(SUBSTITUTE(AR$1,RIGHT(AR$1,2),""),VLOOKUP($D225,素材!$1:$1016,COLUMN($F$1),FALSE))),VLOOKUP($C225,武器!$1:$998,COLUMN($O$1),FALSE)*VLOOKUP($D225,素材!$1:$1016,COLUMN($E$1),FALSE)/(LEN(VLOOKUP($D225,素材!$1:$1016,COLUMN($F$1),FALSE))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S225">
        <f>IF(ISNUMBER(SEARCH(SUBSTITUTE(AS$1,RIGHT(AS$1,2),""),VLOOKUP($D225,素材!$1:$1016,COLUMN($F$1),FALSE))),VLOOKUP($C225,武器!$1:$998,COLUMN($O$1),FALSE)*VLOOKUP($D225,素材!$1:$1016,COLUMN($E$1),FALSE)/(LEN(VLOOKUP($D225,素材!$1:$1016,COLUMN($F$1),FALSE))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T225">
        <f>IF(ISNUMBER(SEARCH(SUBSTITUTE(AT$1,RIGHT(AT$1,2),""),VLOOKUP($D225,素材!$1:$1016,COLUMN($F$1),FALSE))),VLOOKUP($C225,武器!$1:$998,COLUMN($O$1),FALSE)*VLOOKUP($D225,素材!$1:$1016,COLUMN($E$1),FALSE)/(LEN(VLOOKUP($D225,素材!$1:$1016,COLUMN($F$1),FALSE))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U225">
        <f>IF(ISNUMBER(SEARCH(SUBSTITUTE(AU$1,RIGHT(AU$1,2),""),VLOOKUP($D225,素材!$1:$1016,COLUMN($F$1),FALSE))),VLOOKUP($C225,武器!$1:$998,COLUMN($O$1),FALSE)*VLOOKUP($D225,素材!$1:$1016,COLUMN($E$1),FALSE)/(LEN(VLOOKUP($D225,素材!$1:$1016,COLUMN($F$1),FALSE))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V225">
        <f>IF(ISNUMBER(SEARCH(SUBSTITUTE(AV$1,RIGHT(AV$1,2),""),VLOOKUP($D225,素材!$1:$1016,COLUMN($F$1),FALSE))),VLOOKUP($C225,武器!$1:$998,COLUMN($O$1),FALSE)*VLOOKUP($D225,素材!$1:$1016,COLUMN($E$1),FALSE)/(LEN(VLOOKUP($D225,素材!$1:$1016,COLUMN($F$1),FALSE))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W225">
        <f>IF(ISNUMBER(SEARCH(SUBSTITUTE(AW$1,RIGHT(AW$1,2),""),VLOOKUP($D225,素材!$1:$1016,COLUMN($F$1),FALSE))),VLOOKUP($C225,武器!$1:$998,COLUMN($O$1),FALSE)*VLOOKUP($D225,素材!$1:$1016,COLUMN($E$1),FALSE)/(LEN(VLOOKUP($D225,素材!$1:$1016,COLUMN($F$1),FALSE))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X225">
        <f>IF(ISNUMBER(SEARCH(SUBSTITUTE(AX$1,RIGHT(AX$1,2),""),VLOOKUP($D225,素材!$1:$1016,COLUMN($F$1),FALSE))),VLOOKUP($C225,武器!$1:$998,COLUMN($O$1),FALSE)*VLOOKUP($D225,素材!$1:$1016,COLUMN($E$1),FALSE)/(LEN(VLOOKUP($D225,素材!$1:$1016,COLUMN($F$1),FALSE))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Y225">
        <f>IF(ISNUMBER(SEARCH(SUBSTITUTE(AY$1,RIGHT(AY$1,2),""),VLOOKUP($D225,素材!$1:$1016,COLUMN($F$1),FALSE))),VLOOKUP($C225,武器!$1:$998,COLUMN($O$1),FALSE)*VLOOKUP($D225,素材!$1:$1016,COLUMN($E$1),FALSE)/(LEN(VLOOKUP($D225,素材!$1:$1016,COLUMN($F$1),FALSE))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AZ225">
        <f>IF(ISNUMBER(SEARCH(SUBSTITUTE(AZ$1,RIGHT(AZ$1,2),""),VLOOKUP($D225,素材!$1:$1016,COLUMN($F$1),FALSE))),VLOOKUP($C225,武器!$1:$998,COLUMN($O$1),FALSE)*VLOOKUP($D225,素材!$1:$1016,COLUMN($E$1),FALSE)/(LEN(VLOOKUP($D225,素材!$1:$1016,COLUMN($F$1),FALSE))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BA225">
        <f>IF(ISNUMBER(SEARCH(SUBSTITUTE(BA$1,RIGHT(BA$1,2),""),VLOOKUP($D225,素材!$1:$1016,COLUMN($F$1),FALSE))),VLOOKUP($C225,武器!$1:$998,COLUMN($O$1),FALSE)*VLOOKUP($D225,素材!$1:$1016,COLUMN($E$1),FALSE)/(LEN(VLOOKUP($D225,素材!$1:$1016,COLUMN($F$1),FALSE))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BB225">
        <f>IF(ISNUMBER(SEARCH(SUBSTITUTE(BB$1,RIGHT(BB$1,2),""),VLOOKUP($D225,素材!$1:$1016,COLUMN($F$1),FALSE))),VLOOKUP($C225,武器!$1:$998,COLUMN($O$1),FALSE)*VLOOKUP($D225,素材!$1:$1016,COLUMN($E$1),FALSE)/(LEN(VLOOKUP($D225,素材!$1:$1016,COLUMN($F$1),FALSE))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BC225">
        <f>IF(ISNUMBER(SEARCH(SUBSTITUTE(BC$1,RIGHT(BC$1,2),""),VLOOKUP($D225,素材!$1:$1016,COLUMN($F$1),FALSE))),VLOOKUP($C225,武器!$1:$998,COLUMN($O$1),FALSE)*VLOOKUP($D225,素材!$1:$1016,COLUMN($E$1),FALSE)/(LEN(VLOOKUP($D225,素材!$1:$1016,COLUMN($F$1),FALSE))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BD225">
        <f>IF(ISNUMBER(SEARCH(SUBSTITUTE(BD$1,RIGHT(BD$1,2),""),VLOOKUP($D225,素材!$1:$1016,COLUMN($F$1),FALSE))),VLOOKUP($C225,武器!$1:$998,COLUMN($O$1),FALSE)*VLOOKUP($D225,素材!$1:$1016,COLUMN($E$1),FALSE)/(LEN(VLOOKUP($D225,素材!$1:$1016,COLUMN($F$1),FALSE))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BE225">
        <f>IF(ISNUMBER(SEARCH(SUBSTITUTE(BE$1,RIGHT(BE$1,2),""),VLOOKUP($D225,素材!$1:$1016,COLUMN($F$1),FALSE))),VLOOKUP($C225,武器!$1:$998,COLUMN($O$1),FALSE)*VLOOKUP($D225,素材!$1:$1016,COLUMN($E$1),FALSE)/(LEN(VLOOKUP($D225,素材!$1:$1016,COLUMN($F$1),FALSE))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BF225">
        <f>IF(ISNUMBER(SEARCH(SUBSTITUTE(BF$1,RIGHT(BF$1,2),""),VLOOKUP($D225,素材!$1:$1016,COLUMN($F$1),FALSE))),VLOOKUP($C225,武器!$1:$998,COLUMN($O$1),FALSE)*VLOOKUP($D225,素材!$1:$1016,COLUMN($E$1),FALSE)/(LEN(VLOOKUP($D225,素材!$1:$1016,COLUMN($F$1),FALSE)) - LEN(SUBSTITUTE(VLOOKUP($D225,素材!$1:$1016,COLUMN($F$1),FALSE), "・", 0)) + 1), 0)</f>
        <v>0</v>
      </c>
      <c r="CM225">
        <f t="shared" si="31"/>
        <v>0</v>
      </c>
      <c r="CN225" s="22" t="str">
        <f>IF(E225="武器",IF(J225-1&gt;SUM(G225:I225),"盾",IF(MAX(G225:I225)=G225,"切断",IF(MAX(G225:I225)=H225,"貫通",IF(MAX(G225:I225)=I225,"打撃","射撃")))),E225)&amp;".webp"</f>
        <v>体.webp</v>
      </c>
      <c r="CO225">
        <f>IFERROR(VLOOKUP($C225,武器!$1:$998,COLUMN(V$1),FALSE)*VLOOKUP($D225,素材!$1:$1016,COLUMN(N$1),FALSE)+IF(CJ225="",0,VLOOKUP($CJ225,装強!$1:$1008,COLUMN($CL$1),FALSE)),"")</f>
        <v>4500</v>
      </c>
      <c r="CP225">
        <f>VLOOKUP(D225,素材!$A:$O,COLUMN(素材!O$1),FALSE)</f>
        <v>0</v>
      </c>
      <c r="CQ225" t="str">
        <f>VLOOKUP(C225,武器!$A:$W,COLUMN(武器!W$1),FALSE)</f>
        <v>HP 物理 魔法 体幹 出血 疲労 Cr</v>
      </c>
      <c r="CS225" t="str">
        <f t="shared" si="32"/>
        <v>e_225</v>
      </c>
      <c r="CT225">
        <f t="shared" si="33"/>
        <v>450000</v>
      </c>
    </row>
    <row r="226" spans="1:98" outlineLevel="1" x14ac:dyDescent="0.4">
      <c r="A226" t="str">
        <f t="shared" si="34"/>
        <v>冷気鉄の胴衣</v>
      </c>
      <c r="B226" t="str">
        <f>IFERROR(VLOOKUP($D226,素材!$1:$1016,COLUMN($B$1),FALSE)&amp;"・"&amp;VLOOKUP($C226,武器!$1:$998,COLUMN(B$1),FALSE),"")</f>
        <v>ドゥララン・ベスト</v>
      </c>
      <c r="C226" t="s">
        <v>207</v>
      </c>
      <c r="D226" s="24" t="s">
        <v>243</v>
      </c>
      <c r="E226" t="str">
        <f>IFERROR(VLOOKUP(C226,武器!$1:$998,COLUMN(C$1),FALSE),"")</f>
        <v>体</v>
      </c>
      <c r="F226">
        <f>IFERROR(ROUNDDOWN((VLOOKUP($C226,武器!$1:$998,COLUMN(D$1),FALSE)+IFERROR(VLOOKUP($CJ226,装強!$1:$999,COLUMN(F$1),FALSE),0))*VLOOKUP($D226,素材!$1:$1016,COLUMN(D$1),FALSE),0),"")</f>
        <v>0</v>
      </c>
      <c r="G226">
        <f>IFERROR(ROUNDDOWN((VLOOKUP($C226,武器!$1:$998,COLUMN(E$1),FALSE)+IFERROR(VLOOKUP($CJ226,装強!$1:$999,COLUMN(G$1),FALSE),0))*VLOOKUP($D226,素材!$1:$1016,COLUMN($E$1),FALSE),0),"")</f>
        <v>0</v>
      </c>
      <c r="H226">
        <f>IFERROR(ROUNDDOWN((VLOOKUP($C226,武器!$1:$998,COLUMN(F$1),FALSE)+IFERROR(VLOOKUP($CJ226,装強!$1:$999,COLUMN(H$1),FALSE),0))*VLOOKUP($D226,素材!$1:$1016,COLUMN($E$1),FALSE),0),"")</f>
        <v>0</v>
      </c>
      <c r="I226">
        <f>IFERROR(ROUNDDOWN((VLOOKUP($C226,武器!$1:$998,COLUMN(G$1),FALSE)+IFERROR(VLOOKUP($CJ226,装強!$1:$999,COLUMN(I$1),FALSE),0))*VLOOKUP($D226,素材!$1:$1016,COLUMN($E$1),FALSE),0),"")</f>
        <v>0</v>
      </c>
      <c r="J226">
        <f>IFERROR(ROUNDDOWN((VLOOKUP($C226,武器!$1:$998,COLUMN(H$1),FALSE)+IFERROR(VLOOKUP($CJ226,装強!$1:$999,COLUMN(J$1),FALSE),0))*VLOOKUP($D226,素材!$1:$1016,COLUMN($E$1),FALSE),0),"")</f>
        <v>0</v>
      </c>
      <c r="K226">
        <f>IFERROR(ROUNDDOWN((VLOOKUP($C226,武器!$1:$998,COLUMN(I$1),FALSE)+IFERROR(VLOOKUP($CJ226,装強!$1:$999,COLUMN(K$1),FALSE),0))*VLOOKUP($D226,素材!$1:$1016,COLUMN($E$1),FALSE),0),"")</f>
        <v>0</v>
      </c>
      <c r="L226" t="str">
        <f>IFERROR(VLOOKUP($D226,素材!$1:$1016,COLUMN($F$1),FALSE),"")</f>
        <v>氷</v>
      </c>
      <c r="M226">
        <f>IFERROR(VLOOKUP($C226,武器!$1:$998,COLUMN(AA$1),FALSE)*VLOOKUP($D226,素材!$1:$1016,COLUMN($G$1),FALSE),"")</f>
        <v>0</v>
      </c>
      <c r="N226">
        <f>IFERROR(VLOOKUP($C226,武器!$1:$998,COLUMN(I$1),FALSE),"")</f>
        <v>0</v>
      </c>
      <c r="O226" s="23">
        <f>IFERROR((VLOOKUP($C226,武器!$1:$998,COLUMN(K$1),FALSE)+VLOOKUP($D226,素材!$1:$1016,COLUMN(H$1),FALSE))*100+IFERROR(VLOOKUP($CJ226,装強!$1:$999,COLUMN(O$1),FALSE),0),"")</f>
        <v>0</v>
      </c>
      <c r="P226" s="23">
        <f>IFERROR((VLOOKUP($C226,武器!$1:$998,COLUMN(L$1),FALSE)+VLOOKUP($D226,素材!$1:$1016,COLUMN(I$1),FALSE))*100+IFERROR(VLOOKUP($CJ226,装強!$1:$999,COLUMN(P$1),FALSE),0),"")</f>
        <v>0</v>
      </c>
      <c r="Q226">
        <f>IFERROR(ROUNDUP(VLOOKUP($C226,武器!$1:$998,COLUMN(M$1),FALSE)*(VLOOKUP($D226,素材!$1:$1002,COLUMN(D$1),FALSE)/100),1),"")</f>
        <v>-7.5</v>
      </c>
      <c r="R226">
        <f>IFERROR(ROUNDUP(VLOOKUP($C226,武器!$1:$998,COLUMN(N$1),FALSE)*(VLOOKUP($D226,素材!$1:$1002,COLUMN(D$1),FALSE)/100),1),"")</f>
        <v>0</v>
      </c>
      <c r="S226">
        <f>IFERROR(VLOOKUP($C226,武器!$1:$998,COLUMN(P$1),FALSE),"")</f>
        <v>0</v>
      </c>
      <c r="T226">
        <f>IFERROR(VLOOKUP($C226,武器!$1:$998,COLUMN(Q$1),FALSE),"")</f>
        <v>0</v>
      </c>
      <c r="U226">
        <f>IFERROR(VLOOKUP($C226,武器!$1:$998,COLUMN(R$1),FALSE),"")</f>
        <v>0</v>
      </c>
      <c r="V226">
        <f>IFERROR(VLOOKUP($C226,武器!$1:$998,COLUMN(Q$1),FALSE),"")</f>
        <v>0</v>
      </c>
      <c r="W226">
        <f>IFERROR(VLOOKUP($C226,武器!$1:$998,COLUMN(T$1),FALSE),"")</f>
        <v>0</v>
      </c>
      <c r="Y226">
        <f>IFERROR(VLOOKUP($C226,武器!$1:$998,COLUMN(U$1),FALSE),"")</f>
        <v>0</v>
      </c>
      <c r="Z226">
        <f>IFERROR(ROUNDUP(VLOOKUP($C226,武器!$1:$998,COLUMN(O$1),FALSE)*VLOOKUP($D226,素材!$1:$1016,COLUMN(E$1),FALSE),1),"")</f>
        <v>10</v>
      </c>
      <c r="AA226">
        <f>IF(ISNUMBER(SEARCH(SUBSTITUTE(AA$1,RIGHT(AA$1,2),""),VLOOKUP($D226,素材!$1:$1016,COLUMN($F$1),FALSE))),VLOOKUP($C226,武器!$1:$998,COLUMN($O$1),FALSE)*VLOOKUP($D226,素材!$1:$1016,COLUMN($E$1),FALSE)/(LEN(VLOOKUP($D226,素材!$1:$1016,COLUMN($F$1),FALSE))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B226">
        <f>IF(ISNUMBER(SEARCH(SUBSTITUTE(AB$1,RIGHT(AB$1,2),""),VLOOKUP($D226,素材!$1:$1016,COLUMN($F$1),FALSE))),VLOOKUP($C226,武器!$1:$998,COLUMN($O$1),FALSE)*VLOOKUP($D226,素材!$1:$1016,COLUMN($E$1),FALSE)/(LEN(VLOOKUP($D226,素材!$1:$1016,COLUMN($F$1),FALSE))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C226">
        <f>IF(ISNUMBER(SEARCH(SUBSTITUTE(AC$1,RIGHT(AC$1,2),""),VLOOKUP($D226,素材!$1:$1016,COLUMN($F$1),FALSE))),VLOOKUP($C226,武器!$1:$998,COLUMN($O$1),FALSE)*VLOOKUP($D226,素材!$1:$1016,COLUMN($E$1),FALSE)/(LEN(VLOOKUP($D226,素材!$1:$1016,COLUMN($F$1),FALSE))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D226">
        <f>IF(ISNUMBER(SEARCH(SUBSTITUTE(AD$1,RIGHT(AD$1,2),""),VLOOKUP($D226,素材!$1:$1016,COLUMN($F$1),FALSE))),VLOOKUP($C226,武器!$1:$998,COLUMN($O$1),FALSE)*VLOOKUP($D226,素材!$1:$1016,COLUMN($E$1),FALSE)/(LEN(VLOOKUP($D226,素材!$1:$1016,COLUMN($F$1),FALSE))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E226">
        <f>IF(ISNUMBER(SEARCH(SUBSTITUTE(AE$1,RIGHT(AE$1,2),""),VLOOKUP($D226,素材!$1:$1016,COLUMN($F$1),FALSE))),VLOOKUP($C226,武器!$1:$998,COLUMN($O$1),FALSE)*VLOOKUP($D226,素材!$1:$1016,COLUMN($E$1),FALSE)/(LEN(VLOOKUP($D226,素材!$1:$1016,COLUMN($F$1),FALSE))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F226">
        <f>IF(ISNUMBER(SEARCH(SUBSTITUTE(AF$1,RIGHT(AF$1,2),""),VLOOKUP($D226,素材!$1:$1016,COLUMN($F$1),FALSE))),VLOOKUP($C226,武器!$1:$998,COLUMN($O$1),FALSE)*VLOOKUP($D226,素材!$1:$1016,COLUMN($E$1),FALSE)/(LEN(VLOOKUP($D226,素材!$1:$1016,COLUMN($F$1),FALSE))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10</v>
      </c>
      <c r="AG226">
        <f>IF(ISNUMBER(SEARCH(SUBSTITUTE(AG$1,RIGHT(AG$1,2),""),VLOOKUP($D226,素材!$1:$1016,COLUMN($F$1),FALSE))),VLOOKUP($C226,武器!$1:$998,COLUMN($O$1),FALSE)*VLOOKUP($D226,素材!$1:$1016,COLUMN($E$1),FALSE)/(LEN(VLOOKUP($D226,素材!$1:$1016,COLUMN($F$1),FALSE))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H226">
        <f>IF(ISNUMBER(SEARCH(SUBSTITUTE(AH$1,RIGHT(AH$1,2),""),VLOOKUP($D226,素材!$1:$1016,COLUMN($F$1),FALSE))),VLOOKUP($C226,武器!$1:$998,COLUMN($O$1),FALSE)*VLOOKUP($D226,素材!$1:$1016,COLUMN($E$1),FALSE)/(LEN(VLOOKUP($D226,素材!$1:$1016,COLUMN($F$1),FALSE))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I226">
        <f>IF(ISNUMBER(SEARCH(SUBSTITUTE(AI$1,RIGHT(AI$1,2),""),VLOOKUP($D226,素材!$1:$1016,COLUMN($F$1),FALSE))),VLOOKUP($C226,武器!$1:$998,COLUMN($O$1),FALSE)*VLOOKUP($D226,素材!$1:$1016,COLUMN($E$1),FALSE)/(LEN(VLOOKUP($D226,素材!$1:$1016,COLUMN($F$1),FALSE))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J226">
        <f>IF(ISNUMBER(SEARCH(SUBSTITUTE(AJ$1,RIGHT(AJ$1,2),""),VLOOKUP($D226,素材!$1:$1016,COLUMN($F$1),FALSE))),VLOOKUP($C226,武器!$1:$998,COLUMN($O$1),FALSE)*VLOOKUP($D226,素材!$1:$1016,COLUMN($E$1),FALSE)/(LEN(VLOOKUP($D226,素材!$1:$1016,COLUMN($F$1),FALSE))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K226">
        <f>IF(ISNUMBER(SEARCH(SUBSTITUTE(AK$1,RIGHT(AK$1,2),""),VLOOKUP($D226,素材!$1:$1016,COLUMN($F$1),FALSE))),VLOOKUP($C226,武器!$1:$998,COLUMN($O$1),FALSE)*VLOOKUP($D226,素材!$1:$1016,COLUMN($E$1),FALSE)/(LEN(VLOOKUP($D226,素材!$1:$1016,COLUMN($F$1),FALSE))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L226">
        <f>IF(ISNUMBER(SEARCH(SUBSTITUTE(AL$1,RIGHT(AL$1,2),""),VLOOKUP($D226,素材!$1:$1016,COLUMN($F$1),FALSE))),VLOOKUP($C226,武器!$1:$998,COLUMN($O$1),FALSE)*VLOOKUP($D226,素材!$1:$1016,COLUMN($E$1),FALSE)/(LEN(VLOOKUP($D226,素材!$1:$1016,COLUMN($F$1),FALSE))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M226">
        <f>IF(ISNUMBER(SEARCH(SUBSTITUTE(AM$1,RIGHT(AM$1,2),""),VLOOKUP($D226,素材!$1:$1016,COLUMN($F$1),FALSE))),VLOOKUP($C226,武器!$1:$998,COLUMN($O$1),FALSE)*VLOOKUP($D226,素材!$1:$1016,COLUMN($E$1),FALSE)/(LEN(VLOOKUP($D226,素材!$1:$1016,COLUMN($F$1),FALSE))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N226">
        <f>IF(ISNUMBER(SEARCH(SUBSTITUTE(AN$1,RIGHT(AN$1,2),""),VLOOKUP($D226,素材!$1:$1016,COLUMN($F$1),FALSE))),VLOOKUP($C226,武器!$1:$998,COLUMN($O$1),FALSE)*VLOOKUP($D226,素材!$1:$1016,COLUMN($E$1),FALSE)/(LEN(VLOOKUP($D226,素材!$1:$1016,COLUMN($F$1),FALSE))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O226">
        <f>IF(ISNUMBER(SEARCH(SUBSTITUTE(AO$1,RIGHT(AO$1,2),""),VLOOKUP($D226,素材!$1:$1016,COLUMN($F$1),FALSE))),VLOOKUP($C226,武器!$1:$998,COLUMN($O$1),FALSE)*VLOOKUP($D226,素材!$1:$1016,COLUMN($E$1),FALSE)/(LEN(VLOOKUP($D226,素材!$1:$1016,COLUMN($F$1),FALSE))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P226">
        <f>IF(ISNUMBER(SEARCH(SUBSTITUTE(AP$1,RIGHT(AP$1,2),""),VLOOKUP($D226,素材!$1:$1016,COLUMN($F$1),FALSE))),VLOOKUP($C226,武器!$1:$998,COLUMN($O$1),FALSE)*VLOOKUP($D226,素材!$1:$1016,COLUMN($E$1),FALSE)/(LEN(VLOOKUP($D226,素材!$1:$1016,COLUMN($F$1),FALSE))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Q226">
        <f>IF(ISNUMBER(SEARCH(SUBSTITUTE(AQ$1,RIGHT(AQ$1,2),""),VLOOKUP($D226,素材!$1:$1016,COLUMN($F$1),FALSE))),VLOOKUP($C226,武器!$1:$998,COLUMN($O$1),FALSE)*VLOOKUP($D226,素材!$1:$1016,COLUMN($E$1),FALSE)/(LEN(VLOOKUP($D226,素材!$1:$1016,COLUMN($F$1),FALSE))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R226">
        <f>IF(ISNUMBER(SEARCH(SUBSTITUTE(AR$1,RIGHT(AR$1,2),""),VLOOKUP($D226,素材!$1:$1016,COLUMN($F$1),FALSE))),VLOOKUP($C226,武器!$1:$998,COLUMN($O$1),FALSE)*VLOOKUP($D226,素材!$1:$1016,COLUMN($E$1),FALSE)/(LEN(VLOOKUP($D226,素材!$1:$1016,COLUMN($F$1),FALSE))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S226">
        <f>IF(ISNUMBER(SEARCH(SUBSTITUTE(AS$1,RIGHT(AS$1,2),""),VLOOKUP($D226,素材!$1:$1016,COLUMN($F$1),FALSE))),VLOOKUP($C226,武器!$1:$998,COLUMN($O$1),FALSE)*VLOOKUP($D226,素材!$1:$1016,COLUMN($E$1),FALSE)/(LEN(VLOOKUP($D226,素材!$1:$1016,COLUMN($F$1),FALSE))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T226">
        <f>IF(ISNUMBER(SEARCH(SUBSTITUTE(AT$1,RIGHT(AT$1,2),""),VLOOKUP($D226,素材!$1:$1016,COLUMN($F$1),FALSE))),VLOOKUP($C226,武器!$1:$998,COLUMN($O$1),FALSE)*VLOOKUP($D226,素材!$1:$1016,COLUMN($E$1),FALSE)/(LEN(VLOOKUP($D226,素材!$1:$1016,COLUMN($F$1),FALSE))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U226">
        <f>IF(ISNUMBER(SEARCH(SUBSTITUTE(AU$1,RIGHT(AU$1,2),""),VLOOKUP($D226,素材!$1:$1016,COLUMN($F$1),FALSE))),VLOOKUP($C226,武器!$1:$998,COLUMN($O$1),FALSE)*VLOOKUP($D226,素材!$1:$1016,COLUMN($E$1),FALSE)/(LEN(VLOOKUP($D226,素材!$1:$1016,COLUMN($F$1),FALSE))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V226">
        <f>IF(ISNUMBER(SEARCH(SUBSTITUTE(AV$1,RIGHT(AV$1,2),""),VLOOKUP($D226,素材!$1:$1016,COLUMN($F$1),FALSE))),VLOOKUP($C226,武器!$1:$998,COLUMN($O$1),FALSE)*VLOOKUP($D226,素材!$1:$1016,COLUMN($E$1),FALSE)/(LEN(VLOOKUP($D226,素材!$1:$1016,COLUMN($F$1),FALSE))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W226">
        <f>IF(ISNUMBER(SEARCH(SUBSTITUTE(AW$1,RIGHT(AW$1,2),""),VLOOKUP($D226,素材!$1:$1016,COLUMN($F$1),FALSE))),VLOOKUP($C226,武器!$1:$998,COLUMN($O$1),FALSE)*VLOOKUP($D226,素材!$1:$1016,COLUMN($E$1),FALSE)/(LEN(VLOOKUP($D226,素材!$1:$1016,COLUMN($F$1),FALSE))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X226">
        <f>IF(ISNUMBER(SEARCH(SUBSTITUTE(AX$1,RIGHT(AX$1,2),""),VLOOKUP($D226,素材!$1:$1016,COLUMN($F$1),FALSE))),VLOOKUP($C226,武器!$1:$998,COLUMN($O$1),FALSE)*VLOOKUP($D226,素材!$1:$1016,COLUMN($E$1),FALSE)/(LEN(VLOOKUP($D226,素材!$1:$1016,COLUMN($F$1),FALSE))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Y226">
        <f>IF(ISNUMBER(SEARCH(SUBSTITUTE(AY$1,RIGHT(AY$1,2),""),VLOOKUP($D226,素材!$1:$1016,COLUMN($F$1),FALSE))),VLOOKUP($C226,武器!$1:$998,COLUMN($O$1),FALSE)*VLOOKUP($D226,素材!$1:$1016,COLUMN($E$1),FALSE)/(LEN(VLOOKUP($D226,素材!$1:$1016,COLUMN($F$1),FALSE))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AZ226">
        <f>IF(ISNUMBER(SEARCH(SUBSTITUTE(AZ$1,RIGHT(AZ$1,2),""),VLOOKUP($D226,素材!$1:$1016,COLUMN($F$1),FALSE))),VLOOKUP($C226,武器!$1:$998,COLUMN($O$1),FALSE)*VLOOKUP($D226,素材!$1:$1016,COLUMN($E$1),FALSE)/(LEN(VLOOKUP($D226,素材!$1:$1016,COLUMN($F$1),FALSE))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BA226">
        <f>IF(ISNUMBER(SEARCH(SUBSTITUTE(BA$1,RIGHT(BA$1,2),""),VLOOKUP($D226,素材!$1:$1016,COLUMN($F$1),FALSE))),VLOOKUP($C226,武器!$1:$998,COLUMN($O$1),FALSE)*VLOOKUP($D226,素材!$1:$1016,COLUMN($E$1),FALSE)/(LEN(VLOOKUP($D226,素材!$1:$1016,COLUMN($F$1),FALSE))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BB226">
        <f>IF(ISNUMBER(SEARCH(SUBSTITUTE(BB$1,RIGHT(BB$1,2),""),VLOOKUP($D226,素材!$1:$1016,COLUMN($F$1),FALSE))),VLOOKUP($C226,武器!$1:$998,COLUMN($O$1),FALSE)*VLOOKUP($D226,素材!$1:$1016,COLUMN($E$1),FALSE)/(LEN(VLOOKUP($D226,素材!$1:$1016,COLUMN($F$1),FALSE))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BC226">
        <f>IF(ISNUMBER(SEARCH(SUBSTITUTE(BC$1,RIGHT(BC$1,2),""),VLOOKUP($D226,素材!$1:$1016,COLUMN($F$1),FALSE))),VLOOKUP($C226,武器!$1:$998,COLUMN($O$1),FALSE)*VLOOKUP($D226,素材!$1:$1016,COLUMN($E$1),FALSE)/(LEN(VLOOKUP($D226,素材!$1:$1016,COLUMN($F$1),FALSE))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BD226">
        <f>IF(ISNUMBER(SEARCH(SUBSTITUTE(BD$1,RIGHT(BD$1,2),""),VLOOKUP($D226,素材!$1:$1016,COLUMN($F$1),FALSE))),VLOOKUP($C226,武器!$1:$998,COLUMN($O$1),FALSE)*VLOOKUP($D226,素材!$1:$1016,COLUMN($E$1),FALSE)/(LEN(VLOOKUP($D226,素材!$1:$1016,COLUMN($F$1),FALSE))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BE226">
        <f>IF(ISNUMBER(SEARCH(SUBSTITUTE(BE$1,RIGHT(BE$1,2),""),VLOOKUP($D226,素材!$1:$1016,COLUMN($F$1),FALSE))),VLOOKUP($C226,武器!$1:$998,COLUMN($O$1),FALSE)*VLOOKUP($D226,素材!$1:$1016,COLUMN($E$1),FALSE)/(LEN(VLOOKUP($D226,素材!$1:$1016,COLUMN($F$1),FALSE))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BF226">
        <f>IF(ISNUMBER(SEARCH(SUBSTITUTE(BF$1,RIGHT(BF$1,2),""),VLOOKUP($D226,素材!$1:$1016,COLUMN($F$1),FALSE))),VLOOKUP($C226,武器!$1:$998,COLUMN($O$1),FALSE)*VLOOKUP($D226,素材!$1:$1016,COLUMN($E$1),FALSE)/(LEN(VLOOKUP($D226,素材!$1:$1016,COLUMN($F$1),FALSE)) - LEN(SUBSTITUTE(VLOOKUP($D226,素材!$1:$1016,COLUMN($F$1),FALSE), "・", 0)) + 1), 0)</f>
        <v>0</v>
      </c>
      <c r="CM226">
        <f t="shared" si="31"/>
        <v>0</v>
      </c>
      <c r="CN226" s="22" t="str">
        <f>IF(E226="武器",IF(J226-1&gt;SUM(G226:I226),"盾",IF(MAX(G226:I226)=G226,"切断",IF(MAX(G226:I226)=H226,"貫通",IF(MAX(G226:I226)=I226,"打撃","射撃")))),E226)&amp;".webp"</f>
        <v>体.webp</v>
      </c>
      <c r="CO226">
        <f>IFERROR(VLOOKUP($C226,武器!$1:$998,COLUMN(V$1),FALSE)*VLOOKUP($D226,素材!$1:$1016,COLUMN(N$1),FALSE)+IF(CJ226="",0,VLOOKUP($CJ226,装強!$1:$1008,COLUMN($CL$1),FALSE)),"")</f>
        <v>3750</v>
      </c>
      <c r="CP226">
        <f>VLOOKUP(D226,素材!$A:$O,COLUMN(素材!O$1),FALSE)</f>
        <v>0</v>
      </c>
      <c r="CQ226" t="str">
        <f>VLOOKUP(C226,武器!$A:$W,COLUMN(武器!W$1),FALSE)</f>
        <v>HP 物理 魔法 体幹 出血 疲労 Cr</v>
      </c>
      <c r="CS226" t="str">
        <f t="shared" si="32"/>
        <v>e_226</v>
      </c>
      <c r="CT226">
        <f t="shared" si="33"/>
        <v>375000</v>
      </c>
    </row>
    <row r="227" spans="1:98" outlineLevel="1" x14ac:dyDescent="0.4">
      <c r="A227" t="str">
        <f t="shared" si="34"/>
        <v>冷気鉄の靴</v>
      </c>
      <c r="B227" t="str">
        <f>IFERROR(VLOOKUP($D227,素材!$1:$1016,COLUMN($B$1),FALSE)&amp;"・"&amp;VLOOKUP($C227,武器!$1:$998,COLUMN(B$1),FALSE),"")</f>
        <v>ドゥララン・ブーツ</v>
      </c>
      <c r="C227" t="s">
        <v>206</v>
      </c>
      <c r="D227" s="24" t="s">
        <v>243</v>
      </c>
      <c r="E227" t="str">
        <f>IFERROR(VLOOKUP(C227,武器!$1:$998,COLUMN(C$1),FALSE),"")</f>
        <v>足</v>
      </c>
      <c r="F227">
        <f>IFERROR(ROUNDDOWN((VLOOKUP($C227,武器!$1:$998,COLUMN(D$1),FALSE)+IFERROR(VLOOKUP($CJ227,装強!$1:$999,COLUMN(F$1),FALSE),0))*VLOOKUP($D227,素材!$1:$1016,COLUMN(D$1),FALSE),0),"")</f>
        <v>0</v>
      </c>
      <c r="G227">
        <f>IFERROR(ROUNDDOWN((VLOOKUP($C227,武器!$1:$998,COLUMN(E$1),FALSE)+IFERROR(VLOOKUP($CJ227,装強!$1:$999,COLUMN(G$1),FALSE),0))*VLOOKUP($D227,素材!$1:$1016,COLUMN($E$1),FALSE),0),"")</f>
        <v>0</v>
      </c>
      <c r="H227">
        <f>IFERROR(ROUNDDOWN((VLOOKUP($C227,武器!$1:$998,COLUMN(F$1),FALSE)+IFERROR(VLOOKUP($CJ227,装強!$1:$999,COLUMN(H$1),FALSE),0))*VLOOKUP($D227,素材!$1:$1016,COLUMN($E$1),FALSE),0),"")</f>
        <v>0</v>
      </c>
      <c r="I227">
        <f>IFERROR(ROUNDDOWN((VLOOKUP($C227,武器!$1:$998,COLUMN(G$1),FALSE)+IFERROR(VLOOKUP($CJ227,装強!$1:$999,COLUMN(I$1),FALSE),0))*VLOOKUP($D227,素材!$1:$1016,COLUMN($E$1),FALSE),0),"")</f>
        <v>20</v>
      </c>
      <c r="J227">
        <f>IFERROR(ROUNDDOWN((VLOOKUP($C227,武器!$1:$998,COLUMN(H$1),FALSE)+IFERROR(VLOOKUP($CJ227,装強!$1:$999,COLUMN(J$1),FALSE),0))*VLOOKUP($D227,素材!$1:$1016,COLUMN($E$1),FALSE),0),"")</f>
        <v>0</v>
      </c>
      <c r="K227">
        <f>IFERROR(ROUNDDOWN((VLOOKUP($C227,武器!$1:$998,COLUMN(I$1),FALSE)+IFERROR(VLOOKUP($CJ227,装強!$1:$999,COLUMN(K$1),FALSE),0))*VLOOKUP($D227,素材!$1:$1016,COLUMN($E$1),FALSE),0),"")</f>
        <v>0</v>
      </c>
      <c r="L227" t="str">
        <f>IFERROR(VLOOKUP($D227,素材!$1:$1016,COLUMN($F$1),FALSE),"")</f>
        <v>氷</v>
      </c>
      <c r="M227">
        <f>IFERROR(VLOOKUP($C227,武器!$1:$998,COLUMN(AA$1),FALSE)*VLOOKUP($D227,素材!$1:$1016,COLUMN($G$1),FALSE),"")</f>
        <v>0</v>
      </c>
      <c r="N227">
        <f>IFERROR(VLOOKUP($C227,武器!$1:$998,COLUMN(I$1),FALSE),"")</f>
        <v>0</v>
      </c>
      <c r="O227" s="23">
        <f>IFERROR((VLOOKUP($C227,武器!$1:$998,COLUMN(K$1),FALSE)+VLOOKUP($D227,素材!$1:$1016,COLUMN(H$1),FALSE))*100+IFERROR(VLOOKUP($CJ227,装強!$1:$999,COLUMN(O$1),FALSE),0),"")</f>
        <v>10</v>
      </c>
      <c r="P227" s="23">
        <f>IFERROR((VLOOKUP($C227,武器!$1:$998,COLUMN(L$1),FALSE)+VLOOKUP($D227,素材!$1:$1016,COLUMN(I$1),FALSE))*100+IFERROR(VLOOKUP($CJ227,装強!$1:$999,COLUMN(P$1),FALSE),0),"")</f>
        <v>150</v>
      </c>
      <c r="Q227">
        <f>IFERROR(ROUNDUP(VLOOKUP($C227,武器!$1:$998,COLUMN(M$1),FALSE)*(VLOOKUP($D227,素材!$1:$1002,COLUMN(D$1),FALSE)/100),1),"")</f>
        <v>0</v>
      </c>
      <c r="R227">
        <f>IFERROR(ROUNDUP(VLOOKUP($C227,武器!$1:$998,COLUMN(N$1),FALSE)*(VLOOKUP($D227,素材!$1:$1002,COLUMN(D$1),FALSE)/100),1),"")</f>
        <v>0</v>
      </c>
      <c r="S227">
        <f>IFERROR(VLOOKUP($C227,武器!$1:$998,COLUMN(P$1),FALSE),"")</f>
        <v>0</v>
      </c>
      <c r="T227">
        <f>IFERROR(VLOOKUP($C227,武器!$1:$998,COLUMN(Q$1),FALSE),"")</f>
        <v>0</v>
      </c>
      <c r="U227">
        <f>IFERROR(VLOOKUP($C227,武器!$1:$998,COLUMN(R$1),FALSE),"")</f>
        <v>0</v>
      </c>
      <c r="V227">
        <f>IFERROR(VLOOKUP($C227,武器!$1:$998,COLUMN(Q$1),FALSE),"")</f>
        <v>0</v>
      </c>
      <c r="W227">
        <f>IFERROR(VLOOKUP($C227,武器!$1:$998,COLUMN(T$1),FALSE),"")</f>
        <v>0</v>
      </c>
      <c r="Y227" t="str">
        <f>IFERROR(VLOOKUP($C227,武器!$1:$998,COLUMN(U$1),FALSE),"")</f>
        <v>足</v>
      </c>
      <c r="Z227">
        <f>IFERROR(ROUNDUP(VLOOKUP($C227,武器!$1:$998,COLUMN(O$1),FALSE)*VLOOKUP($D227,素材!$1:$1016,COLUMN(E$1),FALSE),1),"")</f>
        <v>3</v>
      </c>
      <c r="AA227">
        <f>IF(ISNUMBER(SEARCH(SUBSTITUTE(AA$1,RIGHT(AA$1,2),""),VLOOKUP($D227,素材!$1:$1016,COLUMN($F$1),FALSE))),VLOOKUP($C227,武器!$1:$998,COLUMN($O$1),FALSE)*VLOOKUP($D227,素材!$1:$1016,COLUMN($E$1),FALSE)/(LEN(VLOOKUP($D227,素材!$1:$1016,COLUMN($F$1),FALSE))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B227">
        <f>IF(ISNUMBER(SEARCH(SUBSTITUTE(AB$1,RIGHT(AB$1,2),""),VLOOKUP($D227,素材!$1:$1016,COLUMN($F$1),FALSE))),VLOOKUP($C227,武器!$1:$998,COLUMN($O$1),FALSE)*VLOOKUP($D227,素材!$1:$1016,COLUMN($E$1),FALSE)/(LEN(VLOOKUP($D227,素材!$1:$1016,COLUMN($F$1),FALSE))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C227">
        <f>IF(ISNUMBER(SEARCH(SUBSTITUTE(AC$1,RIGHT(AC$1,2),""),VLOOKUP($D227,素材!$1:$1016,COLUMN($F$1),FALSE))),VLOOKUP($C227,武器!$1:$998,COLUMN($O$1),FALSE)*VLOOKUP($D227,素材!$1:$1016,COLUMN($E$1),FALSE)/(LEN(VLOOKUP($D227,素材!$1:$1016,COLUMN($F$1),FALSE))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D227">
        <f>IF(ISNUMBER(SEARCH(SUBSTITUTE(AD$1,RIGHT(AD$1,2),""),VLOOKUP($D227,素材!$1:$1016,COLUMN($F$1),FALSE))),VLOOKUP($C227,武器!$1:$998,COLUMN($O$1),FALSE)*VLOOKUP($D227,素材!$1:$1016,COLUMN($E$1),FALSE)/(LEN(VLOOKUP($D227,素材!$1:$1016,COLUMN($F$1),FALSE))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E227">
        <f>IF(ISNUMBER(SEARCH(SUBSTITUTE(AE$1,RIGHT(AE$1,2),""),VLOOKUP($D227,素材!$1:$1016,COLUMN($F$1),FALSE))),VLOOKUP($C227,武器!$1:$998,COLUMN($O$1),FALSE)*VLOOKUP($D227,素材!$1:$1016,COLUMN($E$1),FALSE)/(LEN(VLOOKUP($D227,素材!$1:$1016,COLUMN($F$1),FALSE))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F227">
        <f>IF(ISNUMBER(SEARCH(SUBSTITUTE(AF$1,RIGHT(AF$1,2),""),VLOOKUP($D227,素材!$1:$1016,COLUMN($F$1),FALSE))),VLOOKUP($C227,武器!$1:$998,COLUMN($O$1),FALSE)*VLOOKUP($D227,素材!$1:$1016,COLUMN($E$1),FALSE)/(LEN(VLOOKUP($D227,素材!$1:$1016,COLUMN($F$1),FALSE))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3</v>
      </c>
      <c r="AG227">
        <f>IF(ISNUMBER(SEARCH(SUBSTITUTE(AG$1,RIGHT(AG$1,2),""),VLOOKUP($D227,素材!$1:$1016,COLUMN($F$1),FALSE))),VLOOKUP($C227,武器!$1:$998,COLUMN($O$1),FALSE)*VLOOKUP($D227,素材!$1:$1016,COLUMN($E$1),FALSE)/(LEN(VLOOKUP($D227,素材!$1:$1016,COLUMN($F$1),FALSE))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H227">
        <f>IF(ISNUMBER(SEARCH(SUBSTITUTE(AH$1,RIGHT(AH$1,2),""),VLOOKUP($D227,素材!$1:$1016,COLUMN($F$1),FALSE))),VLOOKUP($C227,武器!$1:$998,COLUMN($O$1),FALSE)*VLOOKUP($D227,素材!$1:$1016,COLUMN($E$1),FALSE)/(LEN(VLOOKUP($D227,素材!$1:$1016,COLUMN($F$1),FALSE))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I227">
        <f>IF(ISNUMBER(SEARCH(SUBSTITUTE(AI$1,RIGHT(AI$1,2),""),VLOOKUP($D227,素材!$1:$1016,COLUMN($F$1),FALSE))),VLOOKUP($C227,武器!$1:$998,COLUMN($O$1),FALSE)*VLOOKUP($D227,素材!$1:$1016,COLUMN($E$1),FALSE)/(LEN(VLOOKUP($D227,素材!$1:$1016,COLUMN($F$1),FALSE))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J227">
        <f>IF(ISNUMBER(SEARCH(SUBSTITUTE(AJ$1,RIGHT(AJ$1,2),""),VLOOKUP($D227,素材!$1:$1016,COLUMN($F$1),FALSE))),VLOOKUP($C227,武器!$1:$998,COLUMN($O$1),FALSE)*VLOOKUP($D227,素材!$1:$1016,COLUMN($E$1),FALSE)/(LEN(VLOOKUP($D227,素材!$1:$1016,COLUMN($F$1),FALSE))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K227">
        <f>IF(ISNUMBER(SEARCH(SUBSTITUTE(AK$1,RIGHT(AK$1,2),""),VLOOKUP($D227,素材!$1:$1016,COLUMN($F$1),FALSE))),VLOOKUP($C227,武器!$1:$998,COLUMN($O$1),FALSE)*VLOOKUP($D227,素材!$1:$1016,COLUMN($E$1),FALSE)/(LEN(VLOOKUP($D227,素材!$1:$1016,COLUMN($F$1),FALSE))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L227">
        <f>IF(ISNUMBER(SEARCH(SUBSTITUTE(AL$1,RIGHT(AL$1,2),""),VLOOKUP($D227,素材!$1:$1016,COLUMN($F$1),FALSE))),VLOOKUP($C227,武器!$1:$998,COLUMN($O$1),FALSE)*VLOOKUP($D227,素材!$1:$1016,COLUMN($E$1),FALSE)/(LEN(VLOOKUP($D227,素材!$1:$1016,COLUMN($F$1),FALSE))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M227">
        <f>IF(ISNUMBER(SEARCH(SUBSTITUTE(AM$1,RIGHT(AM$1,2),""),VLOOKUP($D227,素材!$1:$1016,COLUMN($F$1),FALSE))),VLOOKUP($C227,武器!$1:$998,COLUMN($O$1),FALSE)*VLOOKUP($D227,素材!$1:$1016,COLUMN($E$1),FALSE)/(LEN(VLOOKUP($D227,素材!$1:$1016,COLUMN($F$1),FALSE))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N227">
        <f>IF(ISNUMBER(SEARCH(SUBSTITUTE(AN$1,RIGHT(AN$1,2),""),VLOOKUP($D227,素材!$1:$1016,COLUMN($F$1),FALSE))),VLOOKUP($C227,武器!$1:$998,COLUMN($O$1),FALSE)*VLOOKUP($D227,素材!$1:$1016,COLUMN($E$1),FALSE)/(LEN(VLOOKUP($D227,素材!$1:$1016,COLUMN($F$1),FALSE))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O227">
        <f>IF(ISNUMBER(SEARCH(SUBSTITUTE(AO$1,RIGHT(AO$1,2),""),VLOOKUP($D227,素材!$1:$1016,COLUMN($F$1),FALSE))),VLOOKUP($C227,武器!$1:$998,COLUMN($O$1),FALSE)*VLOOKUP($D227,素材!$1:$1016,COLUMN($E$1),FALSE)/(LEN(VLOOKUP($D227,素材!$1:$1016,COLUMN($F$1),FALSE))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P227">
        <f>IF(ISNUMBER(SEARCH(SUBSTITUTE(AP$1,RIGHT(AP$1,2),""),VLOOKUP($D227,素材!$1:$1016,COLUMN($F$1),FALSE))),VLOOKUP($C227,武器!$1:$998,COLUMN($O$1),FALSE)*VLOOKUP($D227,素材!$1:$1016,COLUMN($E$1),FALSE)/(LEN(VLOOKUP($D227,素材!$1:$1016,COLUMN($F$1),FALSE))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Q227">
        <f>IF(ISNUMBER(SEARCH(SUBSTITUTE(AQ$1,RIGHT(AQ$1,2),""),VLOOKUP($D227,素材!$1:$1016,COLUMN($F$1),FALSE))),VLOOKUP($C227,武器!$1:$998,COLUMN($O$1),FALSE)*VLOOKUP($D227,素材!$1:$1016,COLUMN($E$1),FALSE)/(LEN(VLOOKUP($D227,素材!$1:$1016,COLUMN($F$1),FALSE))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R227">
        <f>IF(ISNUMBER(SEARCH(SUBSTITUTE(AR$1,RIGHT(AR$1,2),""),VLOOKUP($D227,素材!$1:$1016,COLUMN($F$1),FALSE))),VLOOKUP($C227,武器!$1:$998,COLUMN($O$1),FALSE)*VLOOKUP($D227,素材!$1:$1016,COLUMN($E$1),FALSE)/(LEN(VLOOKUP($D227,素材!$1:$1016,COLUMN($F$1),FALSE))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S227">
        <f>IF(ISNUMBER(SEARCH(SUBSTITUTE(AS$1,RIGHT(AS$1,2),""),VLOOKUP($D227,素材!$1:$1016,COLUMN($F$1),FALSE))),VLOOKUP($C227,武器!$1:$998,COLUMN($O$1),FALSE)*VLOOKUP($D227,素材!$1:$1016,COLUMN($E$1),FALSE)/(LEN(VLOOKUP($D227,素材!$1:$1016,COLUMN($F$1),FALSE))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T227">
        <f>IF(ISNUMBER(SEARCH(SUBSTITUTE(AT$1,RIGHT(AT$1,2),""),VLOOKUP($D227,素材!$1:$1016,COLUMN($F$1),FALSE))),VLOOKUP($C227,武器!$1:$998,COLUMN($O$1),FALSE)*VLOOKUP($D227,素材!$1:$1016,COLUMN($E$1),FALSE)/(LEN(VLOOKUP($D227,素材!$1:$1016,COLUMN($F$1),FALSE))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U227">
        <f>IF(ISNUMBER(SEARCH(SUBSTITUTE(AU$1,RIGHT(AU$1,2),""),VLOOKUP($D227,素材!$1:$1016,COLUMN($F$1),FALSE))),VLOOKUP($C227,武器!$1:$998,COLUMN($O$1),FALSE)*VLOOKUP($D227,素材!$1:$1016,COLUMN($E$1),FALSE)/(LEN(VLOOKUP($D227,素材!$1:$1016,COLUMN($F$1),FALSE))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V227">
        <f>IF(ISNUMBER(SEARCH(SUBSTITUTE(AV$1,RIGHT(AV$1,2),""),VLOOKUP($D227,素材!$1:$1016,COLUMN($F$1),FALSE))),VLOOKUP($C227,武器!$1:$998,COLUMN($O$1),FALSE)*VLOOKUP($D227,素材!$1:$1016,COLUMN($E$1),FALSE)/(LEN(VLOOKUP($D227,素材!$1:$1016,COLUMN($F$1),FALSE))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W227">
        <f>IF(ISNUMBER(SEARCH(SUBSTITUTE(AW$1,RIGHT(AW$1,2),""),VLOOKUP($D227,素材!$1:$1016,COLUMN($F$1),FALSE))),VLOOKUP($C227,武器!$1:$998,COLUMN($O$1),FALSE)*VLOOKUP($D227,素材!$1:$1016,COLUMN($E$1),FALSE)/(LEN(VLOOKUP($D227,素材!$1:$1016,COLUMN($F$1),FALSE))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X227">
        <f>IF(ISNUMBER(SEARCH(SUBSTITUTE(AX$1,RIGHT(AX$1,2),""),VLOOKUP($D227,素材!$1:$1016,COLUMN($F$1),FALSE))),VLOOKUP($C227,武器!$1:$998,COLUMN($O$1),FALSE)*VLOOKUP($D227,素材!$1:$1016,COLUMN($E$1),FALSE)/(LEN(VLOOKUP($D227,素材!$1:$1016,COLUMN($F$1),FALSE))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Y227">
        <f>IF(ISNUMBER(SEARCH(SUBSTITUTE(AY$1,RIGHT(AY$1,2),""),VLOOKUP($D227,素材!$1:$1016,COLUMN($F$1),FALSE))),VLOOKUP($C227,武器!$1:$998,COLUMN($O$1),FALSE)*VLOOKUP($D227,素材!$1:$1016,COLUMN($E$1),FALSE)/(LEN(VLOOKUP($D227,素材!$1:$1016,COLUMN($F$1),FALSE))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AZ227">
        <f>IF(ISNUMBER(SEARCH(SUBSTITUTE(AZ$1,RIGHT(AZ$1,2),""),VLOOKUP($D227,素材!$1:$1016,COLUMN($F$1),FALSE))),VLOOKUP($C227,武器!$1:$998,COLUMN($O$1),FALSE)*VLOOKUP($D227,素材!$1:$1016,COLUMN($E$1),FALSE)/(LEN(VLOOKUP($D227,素材!$1:$1016,COLUMN($F$1),FALSE))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BA227">
        <f>IF(ISNUMBER(SEARCH(SUBSTITUTE(BA$1,RIGHT(BA$1,2),""),VLOOKUP($D227,素材!$1:$1016,COLUMN($F$1),FALSE))),VLOOKUP($C227,武器!$1:$998,COLUMN($O$1),FALSE)*VLOOKUP($D227,素材!$1:$1016,COLUMN($E$1),FALSE)/(LEN(VLOOKUP($D227,素材!$1:$1016,COLUMN($F$1),FALSE))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BB227">
        <f>IF(ISNUMBER(SEARCH(SUBSTITUTE(BB$1,RIGHT(BB$1,2),""),VLOOKUP($D227,素材!$1:$1016,COLUMN($F$1),FALSE))),VLOOKUP($C227,武器!$1:$998,COLUMN($O$1),FALSE)*VLOOKUP($D227,素材!$1:$1016,COLUMN($E$1),FALSE)/(LEN(VLOOKUP($D227,素材!$1:$1016,COLUMN($F$1),FALSE))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BC227">
        <f>IF(ISNUMBER(SEARCH(SUBSTITUTE(BC$1,RIGHT(BC$1,2),""),VLOOKUP($D227,素材!$1:$1016,COLUMN($F$1),FALSE))),VLOOKUP($C227,武器!$1:$998,COLUMN($O$1),FALSE)*VLOOKUP($D227,素材!$1:$1016,COLUMN($E$1),FALSE)/(LEN(VLOOKUP($D227,素材!$1:$1016,COLUMN($F$1),FALSE))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BD227">
        <f>IF(ISNUMBER(SEARCH(SUBSTITUTE(BD$1,RIGHT(BD$1,2),""),VLOOKUP($D227,素材!$1:$1016,COLUMN($F$1),FALSE))),VLOOKUP($C227,武器!$1:$998,COLUMN($O$1),FALSE)*VLOOKUP($D227,素材!$1:$1016,COLUMN($E$1),FALSE)/(LEN(VLOOKUP($D227,素材!$1:$1016,COLUMN($F$1),FALSE))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BE227">
        <f>IF(ISNUMBER(SEARCH(SUBSTITUTE(BE$1,RIGHT(BE$1,2),""),VLOOKUP($D227,素材!$1:$1016,COLUMN($F$1),FALSE))),VLOOKUP($C227,武器!$1:$998,COLUMN($O$1),FALSE)*VLOOKUP($D227,素材!$1:$1016,COLUMN($E$1),FALSE)/(LEN(VLOOKUP($D227,素材!$1:$1016,COLUMN($F$1),FALSE))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BF227">
        <f>IF(ISNUMBER(SEARCH(SUBSTITUTE(BF$1,RIGHT(BF$1,2),""),VLOOKUP($D227,素材!$1:$1016,COLUMN($F$1),FALSE))),VLOOKUP($C227,武器!$1:$998,COLUMN($O$1),FALSE)*VLOOKUP($D227,素材!$1:$1016,COLUMN($E$1),FALSE)/(LEN(VLOOKUP($D227,素材!$1:$1016,COLUMN($F$1),FALSE)) - LEN(SUBSTITUTE(VLOOKUP($D227,素材!$1:$1016,COLUMN($F$1),FALSE), "・", 0)) + 1), 0)</f>
        <v>0</v>
      </c>
      <c r="CM227">
        <f t="shared" si="31"/>
        <v>20</v>
      </c>
      <c r="CN227" s="22" t="str">
        <f>IF(E227="武器",IF(J227-1&gt;SUM(G227:I227),"盾",IF(MAX(G227:I227)=G227,"切断",IF(MAX(G227:I227)=H227,"貫通",IF(MAX(G227:I227)=I227,"打撃","射撃")))),E227)&amp;".webp"</f>
        <v>足.webp</v>
      </c>
      <c r="CO227">
        <f>IFERROR(VLOOKUP($C227,武器!$1:$998,COLUMN(V$1),FALSE)*VLOOKUP($D227,素材!$1:$1016,COLUMN(N$1),FALSE)+IF(CJ227="",0,VLOOKUP($CJ227,装強!$1:$1008,COLUMN($CL$1),FALSE)),"")</f>
        <v>1500</v>
      </c>
      <c r="CP227">
        <f>VLOOKUP(D227,素材!$A:$O,COLUMN(素材!O$1),FALSE)</f>
        <v>0</v>
      </c>
      <c r="CQ227" t="str">
        <f>VLOOKUP(C227,武器!$A:$W,COLUMN(武器!W$1),FALSE)</f>
        <v>速度 隠密 軽業 体幹</v>
      </c>
      <c r="CS227" t="str">
        <f t="shared" si="32"/>
        <v>e_227</v>
      </c>
      <c r="CT227">
        <f t="shared" si="33"/>
        <v>150000</v>
      </c>
    </row>
    <row r="228" spans="1:98" outlineLevel="1" x14ac:dyDescent="0.4">
      <c r="A228" t="str">
        <f t="shared" si="34"/>
        <v>熱鉄の短刀</v>
      </c>
      <c r="B228" t="str">
        <f>IFERROR(VLOOKUP($D228,素材!$1:$1016,COLUMN($B$1),FALSE)&amp;"・"&amp;VLOOKUP($C228,武器!$1:$998,COLUMN(B$1),FALSE),"")</f>
        <v>ヒートスティール・ナイフ</v>
      </c>
      <c r="C228" s="24" t="s">
        <v>242</v>
      </c>
      <c r="D228" s="24" t="s">
        <v>205</v>
      </c>
      <c r="E228" t="str">
        <f>IFERROR(VLOOKUP(C228,武器!$1:$998,COLUMN(C$1),FALSE),"")</f>
        <v>武器</v>
      </c>
      <c r="F228">
        <f>IFERROR(ROUNDDOWN((VLOOKUP($C228,武器!$1:$998,COLUMN(D$1),FALSE)+IFERROR(VLOOKUP($CJ228,装強!$1:$999,COLUMN(F$1),FALSE),0))*VLOOKUP($D228,素材!$1:$1016,COLUMN(D$1),FALSE),0),"")</f>
        <v>100</v>
      </c>
      <c r="G228">
        <f>IFERROR(ROUNDDOWN((VLOOKUP($C228,武器!$1:$998,COLUMN(E$1),FALSE)+IFERROR(VLOOKUP($CJ228,装強!$1:$999,COLUMN(G$1),FALSE),0))*VLOOKUP($D228,素材!$1:$1016,COLUMN($E$1),FALSE),0),"")</f>
        <v>10</v>
      </c>
      <c r="H228">
        <f>IFERROR(ROUNDDOWN((VLOOKUP($C228,武器!$1:$998,COLUMN(F$1),FALSE)+IFERROR(VLOOKUP($CJ228,装強!$1:$999,COLUMN(H$1),FALSE),0))*VLOOKUP($D228,素材!$1:$1016,COLUMN($E$1),FALSE),0),"")</f>
        <v>8</v>
      </c>
      <c r="I228">
        <f>IFERROR(ROUNDDOWN((VLOOKUP($C228,武器!$1:$998,COLUMN(G$1),FALSE)+IFERROR(VLOOKUP($CJ228,装強!$1:$999,COLUMN(I$1),FALSE),0))*VLOOKUP($D228,素材!$1:$1016,COLUMN($E$1),FALSE),0),"")</f>
        <v>2</v>
      </c>
      <c r="J228">
        <f>IFERROR(ROUNDDOWN((VLOOKUP($C228,武器!$1:$998,COLUMN(H$1),FALSE)+IFERROR(VLOOKUP($CJ228,装強!$1:$999,COLUMN(J$1),FALSE),0))*VLOOKUP($D228,素材!$1:$1016,COLUMN($E$1),FALSE),0),"")</f>
        <v>13</v>
      </c>
      <c r="K228">
        <f>IFERROR(ROUNDDOWN((VLOOKUP($C228,武器!$1:$998,COLUMN(I$1),FALSE)+IFERROR(VLOOKUP($CJ228,装強!$1:$999,COLUMN(K$1),FALSE),0))*VLOOKUP($D228,素材!$1:$1016,COLUMN($E$1),FALSE),0),"")</f>
        <v>0</v>
      </c>
      <c r="L228" t="str">
        <f>IFERROR(VLOOKUP($D228,素材!$1:$1016,COLUMN($F$1),FALSE),"")</f>
        <v>炎</v>
      </c>
      <c r="M228">
        <f>IFERROR(VLOOKUP($C228,武器!$1:$998,COLUMN(AA$1),FALSE)*VLOOKUP($D228,素材!$1:$1016,COLUMN($G$1),FALSE),"")</f>
        <v>35</v>
      </c>
      <c r="N228">
        <f>IFERROR(VLOOKUP($C228,武器!$1:$998,COLUMN(I$1),FALSE),"")</f>
        <v>0</v>
      </c>
      <c r="O228" s="23">
        <f>IFERROR((VLOOKUP($C228,武器!$1:$998,COLUMN(K$1),FALSE)+VLOOKUP($D228,素材!$1:$1016,COLUMN(H$1),FALSE))*100+IFERROR(VLOOKUP($CJ228,装強!$1:$999,COLUMN(O$1),FALSE),0),"")</f>
        <v>10</v>
      </c>
      <c r="P228" s="23">
        <f>IFERROR((VLOOKUP($C228,武器!$1:$998,COLUMN(L$1),FALSE)+VLOOKUP($D228,素材!$1:$1016,COLUMN(I$1),FALSE))*100+IFERROR(VLOOKUP($CJ228,装強!$1:$999,COLUMN(P$1),FALSE),0),"")</f>
        <v>175</v>
      </c>
      <c r="Q228">
        <f>IFERROR(ROUNDUP(VLOOKUP($C228,武器!$1:$998,COLUMN(M$1),FALSE)*(VLOOKUP($D228,素材!$1:$1002,COLUMN(D$1),FALSE)/100),1),"")</f>
        <v>0</v>
      </c>
      <c r="R228">
        <f>IFERROR(ROUNDUP(VLOOKUP($C228,武器!$1:$998,COLUMN(N$1),FALSE)*(VLOOKUP($D228,素材!$1:$1002,COLUMN(D$1),FALSE)/100),1),"")</f>
        <v>0</v>
      </c>
      <c r="S228">
        <f>IFERROR(VLOOKUP($C228,武器!$1:$998,COLUMN(P$1),FALSE),"")</f>
        <v>0</v>
      </c>
      <c r="T228">
        <f>IFERROR(VLOOKUP($C228,武器!$1:$998,COLUMN(Q$1),FALSE),"")</f>
        <v>0</v>
      </c>
      <c r="U228">
        <f>IFERROR(VLOOKUP($C228,武器!$1:$998,COLUMN(R$1),FALSE),"")</f>
        <v>0</v>
      </c>
      <c r="V228">
        <f>IFERROR(VLOOKUP($C228,武器!$1:$998,COLUMN(Q$1),FALSE),"")</f>
        <v>0</v>
      </c>
      <c r="W228" t="str">
        <f>IFERROR(VLOOKUP($C228,武器!$1:$998,COLUMN(T$1),FALSE),"")</f>
        <v>A</v>
      </c>
      <c r="Y228" t="str">
        <f>IFERROR(VLOOKUP($C228,武器!$1:$998,COLUMN(U$1),FALSE),"")</f>
        <v>暗殺強化,片手適正Ⅱ</v>
      </c>
      <c r="Z228">
        <f>IFERROR(ROUNDUP(VLOOKUP($C228,武器!$1:$998,COLUMN(O$1),FALSE)*VLOOKUP($D228,素材!$1:$1016,COLUMN(E$1),FALSE),1),"")</f>
        <v>0</v>
      </c>
      <c r="AA228">
        <f>IF(ISNUMBER(SEARCH(SUBSTITUTE(AA$1,RIGHT(AA$1,2),""),VLOOKUP($D228,素材!$1:$1016,COLUMN($F$1),FALSE))),VLOOKUP($C228,武器!$1:$998,COLUMN($O$1),FALSE)*VLOOKUP($D228,素材!$1:$1016,COLUMN($E$1),FALSE)/(LEN(VLOOKUP($D228,素材!$1:$1016,COLUMN($F$1),FALSE))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B228">
        <f>IF(ISNUMBER(SEARCH(SUBSTITUTE(AB$1,RIGHT(AB$1,2),""),VLOOKUP($D228,素材!$1:$1016,COLUMN($F$1),FALSE))),VLOOKUP($C228,武器!$1:$998,COLUMN($O$1),FALSE)*VLOOKUP($D228,素材!$1:$1016,COLUMN($E$1),FALSE)/(LEN(VLOOKUP($D228,素材!$1:$1016,COLUMN($F$1),FALSE))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C228">
        <f>IF(ISNUMBER(SEARCH(SUBSTITUTE(AC$1,RIGHT(AC$1,2),""),VLOOKUP($D228,素材!$1:$1016,COLUMN($F$1),FALSE))),VLOOKUP($C228,武器!$1:$998,COLUMN($O$1),FALSE)*VLOOKUP($D228,素材!$1:$1016,COLUMN($E$1),FALSE)/(LEN(VLOOKUP($D228,素材!$1:$1016,COLUMN($F$1),FALSE))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D228">
        <f>IF(ISNUMBER(SEARCH(SUBSTITUTE(AD$1,RIGHT(AD$1,2),""),VLOOKUP($D228,素材!$1:$1016,COLUMN($F$1),FALSE))),VLOOKUP($C228,武器!$1:$998,COLUMN($O$1),FALSE)*VLOOKUP($D228,素材!$1:$1016,COLUMN($E$1),FALSE)/(LEN(VLOOKUP($D228,素材!$1:$1016,COLUMN($F$1),FALSE))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E228">
        <f>IF(ISNUMBER(SEARCH(SUBSTITUTE(AE$1,RIGHT(AE$1,2),""),VLOOKUP($D228,素材!$1:$1016,COLUMN($F$1),FALSE))),VLOOKUP($C228,武器!$1:$998,COLUMN($O$1),FALSE)*VLOOKUP($D228,素材!$1:$1016,COLUMN($E$1),FALSE)/(LEN(VLOOKUP($D228,素材!$1:$1016,COLUMN($F$1),FALSE))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F228">
        <f>IF(ISNUMBER(SEARCH(SUBSTITUTE(AF$1,RIGHT(AF$1,2),""),VLOOKUP($D228,素材!$1:$1016,COLUMN($F$1),FALSE))),VLOOKUP($C228,武器!$1:$998,COLUMN($O$1),FALSE)*VLOOKUP($D228,素材!$1:$1016,COLUMN($E$1),FALSE)/(LEN(VLOOKUP($D228,素材!$1:$1016,COLUMN($F$1),FALSE))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G228">
        <f>IF(ISNUMBER(SEARCH(SUBSTITUTE(AG$1,RIGHT(AG$1,2),""),VLOOKUP($D228,素材!$1:$1016,COLUMN($F$1),FALSE))),VLOOKUP($C228,武器!$1:$998,COLUMN($O$1),FALSE)*VLOOKUP($D228,素材!$1:$1016,COLUMN($E$1),FALSE)/(LEN(VLOOKUP($D228,素材!$1:$1016,COLUMN($F$1),FALSE))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H228">
        <f>IF(ISNUMBER(SEARCH(SUBSTITUTE(AH$1,RIGHT(AH$1,2),""),VLOOKUP($D228,素材!$1:$1016,COLUMN($F$1),FALSE))),VLOOKUP($C228,武器!$1:$998,COLUMN($O$1),FALSE)*VLOOKUP($D228,素材!$1:$1016,COLUMN($E$1),FALSE)/(LEN(VLOOKUP($D228,素材!$1:$1016,COLUMN($F$1),FALSE))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I228">
        <f>IF(ISNUMBER(SEARCH(SUBSTITUTE(AI$1,RIGHT(AI$1,2),""),VLOOKUP($D228,素材!$1:$1016,COLUMN($F$1),FALSE))),VLOOKUP($C228,武器!$1:$998,COLUMN($O$1),FALSE)*VLOOKUP($D228,素材!$1:$1016,COLUMN($E$1),FALSE)/(LEN(VLOOKUP($D228,素材!$1:$1016,COLUMN($F$1),FALSE))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J228">
        <f>IF(ISNUMBER(SEARCH(SUBSTITUTE(AJ$1,RIGHT(AJ$1,2),""),VLOOKUP($D228,素材!$1:$1016,COLUMN($F$1),FALSE))),VLOOKUP($C228,武器!$1:$998,COLUMN($O$1),FALSE)*VLOOKUP($D228,素材!$1:$1016,COLUMN($E$1),FALSE)/(LEN(VLOOKUP($D228,素材!$1:$1016,COLUMN($F$1),FALSE))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K228">
        <f>IF(ISNUMBER(SEARCH(SUBSTITUTE(AK$1,RIGHT(AK$1,2),""),VLOOKUP($D228,素材!$1:$1016,COLUMN($F$1),FALSE))),VLOOKUP($C228,武器!$1:$998,COLUMN($O$1),FALSE)*VLOOKUP($D228,素材!$1:$1016,COLUMN($E$1),FALSE)/(LEN(VLOOKUP($D228,素材!$1:$1016,COLUMN($F$1),FALSE))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L228">
        <f>IF(ISNUMBER(SEARCH(SUBSTITUTE(AL$1,RIGHT(AL$1,2),""),VLOOKUP($D228,素材!$1:$1016,COLUMN($F$1),FALSE))),VLOOKUP($C228,武器!$1:$998,COLUMN($O$1),FALSE)*VLOOKUP($D228,素材!$1:$1016,COLUMN($E$1),FALSE)/(LEN(VLOOKUP($D228,素材!$1:$1016,COLUMN($F$1),FALSE))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M228">
        <f>IF(ISNUMBER(SEARCH(SUBSTITUTE(AM$1,RIGHT(AM$1,2),""),VLOOKUP($D228,素材!$1:$1016,COLUMN($F$1),FALSE))),VLOOKUP($C228,武器!$1:$998,COLUMN($O$1),FALSE)*VLOOKUP($D228,素材!$1:$1016,COLUMN($E$1),FALSE)/(LEN(VLOOKUP($D228,素材!$1:$1016,COLUMN($F$1),FALSE))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N228">
        <f>IF(ISNUMBER(SEARCH(SUBSTITUTE(AN$1,RIGHT(AN$1,2),""),VLOOKUP($D228,素材!$1:$1016,COLUMN($F$1),FALSE))),VLOOKUP($C228,武器!$1:$998,COLUMN($O$1),FALSE)*VLOOKUP($D228,素材!$1:$1016,COLUMN($E$1),FALSE)/(LEN(VLOOKUP($D228,素材!$1:$1016,COLUMN($F$1),FALSE))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O228">
        <f>IF(ISNUMBER(SEARCH(SUBSTITUTE(AO$1,RIGHT(AO$1,2),""),VLOOKUP($D228,素材!$1:$1016,COLUMN($F$1),FALSE))),VLOOKUP($C228,武器!$1:$998,COLUMN($O$1),FALSE)*VLOOKUP($D228,素材!$1:$1016,COLUMN($E$1),FALSE)/(LEN(VLOOKUP($D228,素材!$1:$1016,COLUMN($F$1),FALSE))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P228">
        <f>IF(ISNUMBER(SEARCH(SUBSTITUTE(AP$1,RIGHT(AP$1,2),""),VLOOKUP($D228,素材!$1:$1016,COLUMN($F$1),FALSE))),VLOOKUP($C228,武器!$1:$998,COLUMN($O$1),FALSE)*VLOOKUP($D228,素材!$1:$1016,COLUMN($E$1),FALSE)/(LEN(VLOOKUP($D228,素材!$1:$1016,COLUMN($F$1),FALSE))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Q228">
        <f>IF(ISNUMBER(SEARCH(SUBSTITUTE(AQ$1,RIGHT(AQ$1,2),""),VLOOKUP($D228,素材!$1:$1016,COLUMN($F$1),FALSE))),VLOOKUP($C228,武器!$1:$998,COLUMN($O$1),FALSE)*VLOOKUP($D228,素材!$1:$1016,COLUMN($E$1),FALSE)/(LEN(VLOOKUP($D228,素材!$1:$1016,COLUMN($F$1),FALSE))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R228">
        <f>IF(ISNUMBER(SEARCH(SUBSTITUTE(AR$1,RIGHT(AR$1,2),""),VLOOKUP($D228,素材!$1:$1016,COLUMN($F$1),FALSE))),VLOOKUP($C228,武器!$1:$998,COLUMN($O$1),FALSE)*VLOOKUP($D228,素材!$1:$1016,COLUMN($E$1),FALSE)/(LEN(VLOOKUP($D228,素材!$1:$1016,COLUMN($F$1),FALSE))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S228">
        <f>IF(ISNUMBER(SEARCH(SUBSTITUTE(AS$1,RIGHT(AS$1,2),""),VLOOKUP($D228,素材!$1:$1016,COLUMN($F$1),FALSE))),VLOOKUP($C228,武器!$1:$998,COLUMN($O$1),FALSE)*VLOOKUP($D228,素材!$1:$1016,COLUMN($E$1),FALSE)/(LEN(VLOOKUP($D228,素材!$1:$1016,COLUMN($F$1),FALSE))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T228">
        <f>IF(ISNUMBER(SEARCH(SUBSTITUTE(AT$1,RIGHT(AT$1,2),""),VLOOKUP($D228,素材!$1:$1016,COLUMN($F$1),FALSE))),VLOOKUP($C228,武器!$1:$998,COLUMN($O$1),FALSE)*VLOOKUP($D228,素材!$1:$1016,COLUMN($E$1),FALSE)/(LEN(VLOOKUP($D228,素材!$1:$1016,COLUMN($F$1),FALSE))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U228">
        <f>IF(ISNUMBER(SEARCH(SUBSTITUTE(AU$1,RIGHT(AU$1,2),""),VLOOKUP($D228,素材!$1:$1016,COLUMN($F$1),FALSE))),VLOOKUP($C228,武器!$1:$998,COLUMN($O$1),FALSE)*VLOOKUP($D228,素材!$1:$1016,COLUMN($E$1),FALSE)/(LEN(VLOOKUP($D228,素材!$1:$1016,COLUMN($F$1),FALSE))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V228">
        <f>IF(ISNUMBER(SEARCH(SUBSTITUTE(AV$1,RIGHT(AV$1,2),""),VLOOKUP($D228,素材!$1:$1016,COLUMN($F$1),FALSE))),VLOOKUP($C228,武器!$1:$998,COLUMN($O$1),FALSE)*VLOOKUP($D228,素材!$1:$1016,COLUMN($E$1),FALSE)/(LEN(VLOOKUP($D228,素材!$1:$1016,COLUMN($F$1),FALSE))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W228">
        <f>IF(ISNUMBER(SEARCH(SUBSTITUTE(AW$1,RIGHT(AW$1,2),""),VLOOKUP($D228,素材!$1:$1016,COLUMN($F$1),FALSE))),VLOOKUP($C228,武器!$1:$998,COLUMN($O$1),FALSE)*VLOOKUP($D228,素材!$1:$1016,COLUMN($E$1),FALSE)/(LEN(VLOOKUP($D228,素材!$1:$1016,COLUMN($F$1),FALSE))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X228">
        <f>IF(ISNUMBER(SEARCH(SUBSTITUTE(AX$1,RIGHT(AX$1,2),""),VLOOKUP($D228,素材!$1:$1016,COLUMN($F$1),FALSE))),VLOOKUP($C228,武器!$1:$998,COLUMN($O$1),FALSE)*VLOOKUP($D228,素材!$1:$1016,COLUMN($E$1),FALSE)/(LEN(VLOOKUP($D228,素材!$1:$1016,COLUMN($F$1),FALSE))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Y228">
        <f>IF(ISNUMBER(SEARCH(SUBSTITUTE(AY$1,RIGHT(AY$1,2),""),VLOOKUP($D228,素材!$1:$1016,COLUMN($F$1),FALSE))),VLOOKUP($C228,武器!$1:$998,COLUMN($O$1),FALSE)*VLOOKUP($D228,素材!$1:$1016,COLUMN($E$1),FALSE)/(LEN(VLOOKUP($D228,素材!$1:$1016,COLUMN($F$1),FALSE))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AZ228">
        <f>IF(ISNUMBER(SEARCH(SUBSTITUTE(AZ$1,RIGHT(AZ$1,2),""),VLOOKUP($D228,素材!$1:$1016,COLUMN($F$1),FALSE))),VLOOKUP($C228,武器!$1:$998,COLUMN($O$1),FALSE)*VLOOKUP($D228,素材!$1:$1016,COLUMN($E$1),FALSE)/(LEN(VLOOKUP($D228,素材!$1:$1016,COLUMN($F$1),FALSE))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BA228">
        <f>IF(ISNUMBER(SEARCH(SUBSTITUTE(BA$1,RIGHT(BA$1,2),""),VLOOKUP($D228,素材!$1:$1016,COLUMN($F$1),FALSE))),VLOOKUP($C228,武器!$1:$998,COLUMN($O$1),FALSE)*VLOOKUP($D228,素材!$1:$1016,COLUMN($E$1),FALSE)/(LEN(VLOOKUP($D228,素材!$1:$1016,COLUMN($F$1),FALSE))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BB228">
        <f>IF(ISNUMBER(SEARCH(SUBSTITUTE(BB$1,RIGHT(BB$1,2),""),VLOOKUP($D228,素材!$1:$1016,COLUMN($F$1),FALSE))),VLOOKUP($C228,武器!$1:$998,COLUMN($O$1),FALSE)*VLOOKUP($D228,素材!$1:$1016,COLUMN($E$1),FALSE)/(LEN(VLOOKUP($D228,素材!$1:$1016,COLUMN($F$1),FALSE))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BC228">
        <f>IF(ISNUMBER(SEARCH(SUBSTITUTE(BC$1,RIGHT(BC$1,2),""),VLOOKUP($D228,素材!$1:$1016,COLUMN($F$1),FALSE))),VLOOKUP($C228,武器!$1:$998,COLUMN($O$1),FALSE)*VLOOKUP($D228,素材!$1:$1016,COLUMN($E$1),FALSE)/(LEN(VLOOKUP($D228,素材!$1:$1016,COLUMN($F$1),FALSE))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BD228">
        <f>IF(ISNUMBER(SEARCH(SUBSTITUTE(BD$1,RIGHT(BD$1,2),""),VLOOKUP($D228,素材!$1:$1016,COLUMN($F$1),FALSE))),VLOOKUP($C228,武器!$1:$998,COLUMN($O$1),FALSE)*VLOOKUP($D228,素材!$1:$1016,COLUMN($E$1),FALSE)/(LEN(VLOOKUP($D228,素材!$1:$1016,COLUMN($F$1),FALSE))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BE228">
        <f>IF(ISNUMBER(SEARCH(SUBSTITUTE(BE$1,RIGHT(BE$1,2),""),VLOOKUP($D228,素材!$1:$1016,COLUMN($F$1),FALSE))),VLOOKUP($C228,武器!$1:$998,COLUMN($O$1),FALSE)*VLOOKUP($D228,素材!$1:$1016,COLUMN($E$1),FALSE)/(LEN(VLOOKUP($D228,素材!$1:$1016,COLUMN($F$1),FALSE))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BF228">
        <f>IF(ISNUMBER(SEARCH(SUBSTITUTE(BF$1,RIGHT(BF$1,2),""),VLOOKUP($D228,素材!$1:$1016,COLUMN($F$1),FALSE))),VLOOKUP($C228,武器!$1:$998,COLUMN($O$1),FALSE)*VLOOKUP($D228,素材!$1:$1016,COLUMN($E$1),FALSE)/(LEN(VLOOKUP($D228,素材!$1:$1016,COLUMN($F$1),FALSE)) - LEN(SUBSTITUTE(VLOOKUP($D228,素材!$1:$1016,COLUMN($F$1),FALSE), "・", 0)) + 1), 0)</f>
        <v>0</v>
      </c>
      <c r="CM228">
        <f t="shared" si="31"/>
        <v>20</v>
      </c>
      <c r="CN228" s="22" t="str">
        <f>IF(E228="武器",IF(J228-1&gt;SUM(G228:I228),"盾",IF(MAX(G228:I228)=G228,"切断",IF(MAX(G228:I228)=H228,"貫通",IF(MAX(G228:I228)=I228,"打撃","射撃")))),E228)&amp;".webp"</f>
        <v>切断.webp</v>
      </c>
      <c r="CO228">
        <f>IFERROR(VLOOKUP($C228,武器!$1:$998,COLUMN(V$1),FALSE)*VLOOKUP($D228,素材!$1:$1016,COLUMN(N$1),FALSE)+IF(CJ228="",0,VLOOKUP($CJ228,装強!$1:$1008,COLUMN($CL$1),FALSE)),"")</f>
        <v>1500</v>
      </c>
      <c r="CP228">
        <f>VLOOKUP(D228,素材!$A:$O,COLUMN(素材!O$1),FALSE)</f>
        <v>0</v>
      </c>
      <c r="CQ228" t="str">
        <f>VLOOKUP(C228,武器!$A:$W,COLUMN(武器!W$1),FALSE)</f>
        <v>短刀。暗殺向けの武器で、軽量かつ片手操作に適する。Cr威力が高い</v>
      </c>
      <c r="CS228" t="str">
        <f t="shared" si="32"/>
        <v>e_228</v>
      </c>
      <c r="CT228">
        <f t="shared" si="33"/>
        <v>150000</v>
      </c>
    </row>
    <row r="229" spans="1:98" outlineLevel="1" x14ac:dyDescent="0.4">
      <c r="A229" t="str">
        <f t="shared" si="34"/>
        <v>熱鉄の刀</v>
      </c>
      <c r="B229" t="str">
        <f>IFERROR(VLOOKUP($D229,素材!$1:$1016,COLUMN($B$1),FALSE)&amp;"・"&amp;VLOOKUP($C229,武器!$1:$998,COLUMN(B$1),FALSE),"")</f>
        <v>ヒートスティール・カタナ</v>
      </c>
      <c r="C229" s="24" t="s">
        <v>241</v>
      </c>
      <c r="D229" s="24" t="s">
        <v>205</v>
      </c>
      <c r="E229" t="str">
        <f>IFERROR(VLOOKUP(C229,武器!$1:$998,COLUMN(C$1),FALSE),"")</f>
        <v>武器</v>
      </c>
      <c r="F229">
        <f>IFERROR(ROUNDDOWN((VLOOKUP($C229,武器!$1:$998,COLUMN(D$1),FALSE)+IFERROR(VLOOKUP($CJ229,装強!$1:$999,COLUMN(F$1),FALSE),0))*VLOOKUP($D229,素材!$1:$1016,COLUMN(D$1),FALSE),0),"")</f>
        <v>105</v>
      </c>
      <c r="G229">
        <f>IFERROR(ROUNDDOWN((VLOOKUP($C229,武器!$1:$998,COLUMN(E$1),FALSE)+IFERROR(VLOOKUP($CJ229,装強!$1:$999,COLUMN(G$1),FALSE),0))*VLOOKUP($D229,素材!$1:$1016,COLUMN($E$1),FALSE),0),"")</f>
        <v>14</v>
      </c>
      <c r="H229">
        <f>IFERROR(ROUNDDOWN((VLOOKUP($C229,武器!$1:$998,COLUMN(F$1),FALSE)+IFERROR(VLOOKUP($CJ229,装強!$1:$999,COLUMN(H$1),FALSE),0))*VLOOKUP($D229,素材!$1:$1016,COLUMN($E$1),FALSE),0),"")</f>
        <v>8</v>
      </c>
      <c r="I229">
        <f>IFERROR(ROUNDDOWN((VLOOKUP($C229,武器!$1:$998,COLUMN(G$1),FALSE)+IFERROR(VLOOKUP($CJ229,装強!$1:$999,COLUMN(I$1),FALSE),0))*VLOOKUP($D229,素材!$1:$1016,COLUMN($E$1),FALSE),0),"")</f>
        <v>2</v>
      </c>
      <c r="J229">
        <f>IFERROR(ROUNDDOWN((VLOOKUP($C229,武器!$1:$998,COLUMN(H$1),FALSE)+IFERROR(VLOOKUP($CJ229,装強!$1:$999,COLUMN(J$1),FALSE),0))*VLOOKUP($D229,素材!$1:$1016,COLUMN($E$1),FALSE),0),"")</f>
        <v>17</v>
      </c>
      <c r="K229">
        <f>IFERROR(ROUNDDOWN((VLOOKUP($C229,武器!$1:$998,COLUMN(I$1),FALSE)+IFERROR(VLOOKUP($CJ229,装強!$1:$999,COLUMN(K$1),FALSE),0))*VLOOKUP($D229,素材!$1:$1016,COLUMN($E$1),FALSE),0),"")</f>
        <v>0</v>
      </c>
      <c r="L229" t="str">
        <f>IFERROR(VLOOKUP($D229,素材!$1:$1016,COLUMN($F$1),FALSE),"")</f>
        <v>炎</v>
      </c>
      <c r="M229">
        <f>IFERROR(VLOOKUP($C229,武器!$1:$998,COLUMN(AA$1),FALSE)*VLOOKUP($D229,素材!$1:$1016,COLUMN($G$1),FALSE),"")</f>
        <v>42</v>
      </c>
      <c r="N229">
        <f>IFERROR(VLOOKUP($C229,武器!$1:$998,COLUMN(I$1),FALSE),"")</f>
        <v>0</v>
      </c>
      <c r="O229" s="23">
        <f>IFERROR((VLOOKUP($C229,武器!$1:$998,COLUMN(K$1),FALSE)+VLOOKUP($D229,素材!$1:$1016,COLUMN(H$1),FALSE))*100+IFERROR(VLOOKUP($CJ229,装強!$1:$999,COLUMN(O$1),FALSE),0),"")</f>
        <v>10</v>
      </c>
      <c r="P229" s="23">
        <f>IFERROR((VLOOKUP($C229,武器!$1:$998,COLUMN(L$1),FALSE)+VLOOKUP($D229,素材!$1:$1016,COLUMN(I$1),FALSE))*100+IFERROR(VLOOKUP($CJ229,装強!$1:$999,COLUMN(P$1),FALSE),0),"")</f>
        <v>175</v>
      </c>
      <c r="Q229">
        <f>IFERROR(ROUNDUP(VLOOKUP($C229,武器!$1:$998,COLUMN(M$1),FALSE)*(VLOOKUP($D229,素材!$1:$1002,COLUMN(D$1),FALSE)/100),1),"")</f>
        <v>0</v>
      </c>
      <c r="R229">
        <f>IFERROR(ROUNDUP(VLOOKUP($C229,武器!$1:$998,COLUMN(N$1),FALSE)*(VLOOKUP($D229,素材!$1:$1002,COLUMN(D$1),FALSE)/100),1),"")</f>
        <v>0</v>
      </c>
      <c r="S229">
        <f>IFERROR(VLOOKUP($C229,武器!$1:$998,COLUMN(P$1),FALSE),"")</f>
        <v>0</v>
      </c>
      <c r="T229">
        <f>IFERROR(VLOOKUP($C229,武器!$1:$998,COLUMN(Q$1),FALSE),"")</f>
        <v>0</v>
      </c>
      <c r="U229">
        <f>IFERROR(VLOOKUP($C229,武器!$1:$998,COLUMN(R$1),FALSE),"")</f>
        <v>0</v>
      </c>
      <c r="V229">
        <f>IFERROR(VLOOKUP($C229,武器!$1:$998,COLUMN(Q$1),FALSE),"")</f>
        <v>0</v>
      </c>
      <c r="W229" t="str">
        <f>IFERROR(VLOOKUP($C229,武器!$1:$998,COLUMN(T$1),FALSE),"")</f>
        <v>A</v>
      </c>
      <c r="Y229">
        <f>IFERROR(VLOOKUP($C229,武器!$1:$998,COLUMN(U$1),FALSE),"")</f>
        <v>0</v>
      </c>
      <c r="Z229">
        <f>IFERROR(ROUNDUP(VLOOKUP($C229,武器!$1:$998,COLUMN(O$1),FALSE)*VLOOKUP($D229,素材!$1:$1016,COLUMN(E$1),FALSE),1),"")</f>
        <v>0</v>
      </c>
      <c r="AA229">
        <f>IF(ISNUMBER(SEARCH(SUBSTITUTE(AA$1,RIGHT(AA$1,2),""),VLOOKUP($D229,素材!$1:$1016,COLUMN($F$1),FALSE))),VLOOKUP($C229,武器!$1:$998,COLUMN($O$1),FALSE)*VLOOKUP($D229,素材!$1:$1016,COLUMN($E$1),FALSE)/(LEN(VLOOKUP($D229,素材!$1:$1016,COLUMN($F$1),FALSE))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B229">
        <f>IF(ISNUMBER(SEARCH(SUBSTITUTE(AB$1,RIGHT(AB$1,2),""),VLOOKUP($D229,素材!$1:$1016,COLUMN($F$1),FALSE))),VLOOKUP($C229,武器!$1:$998,COLUMN($O$1),FALSE)*VLOOKUP($D229,素材!$1:$1016,COLUMN($E$1),FALSE)/(LEN(VLOOKUP($D229,素材!$1:$1016,COLUMN($F$1),FALSE))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C229">
        <f>IF(ISNUMBER(SEARCH(SUBSTITUTE(AC$1,RIGHT(AC$1,2),""),VLOOKUP($D229,素材!$1:$1016,COLUMN($F$1),FALSE))),VLOOKUP($C229,武器!$1:$998,COLUMN($O$1),FALSE)*VLOOKUP($D229,素材!$1:$1016,COLUMN($E$1),FALSE)/(LEN(VLOOKUP($D229,素材!$1:$1016,COLUMN($F$1),FALSE))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D229">
        <f>IF(ISNUMBER(SEARCH(SUBSTITUTE(AD$1,RIGHT(AD$1,2),""),VLOOKUP($D229,素材!$1:$1016,COLUMN($F$1),FALSE))),VLOOKUP($C229,武器!$1:$998,COLUMN($O$1),FALSE)*VLOOKUP($D229,素材!$1:$1016,COLUMN($E$1),FALSE)/(LEN(VLOOKUP($D229,素材!$1:$1016,COLUMN($F$1),FALSE))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E229">
        <f>IF(ISNUMBER(SEARCH(SUBSTITUTE(AE$1,RIGHT(AE$1,2),""),VLOOKUP($D229,素材!$1:$1016,COLUMN($F$1),FALSE))),VLOOKUP($C229,武器!$1:$998,COLUMN($O$1),FALSE)*VLOOKUP($D229,素材!$1:$1016,COLUMN($E$1),FALSE)/(LEN(VLOOKUP($D229,素材!$1:$1016,COLUMN($F$1),FALSE))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F229">
        <f>IF(ISNUMBER(SEARCH(SUBSTITUTE(AF$1,RIGHT(AF$1,2),""),VLOOKUP($D229,素材!$1:$1016,COLUMN($F$1),FALSE))),VLOOKUP($C229,武器!$1:$998,COLUMN($O$1),FALSE)*VLOOKUP($D229,素材!$1:$1016,COLUMN($E$1),FALSE)/(LEN(VLOOKUP($D229,素材!$1:$1016,COLUMN($F$1),FALSE))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G229">
        <f>IF(ISNUMBER(SEARCH(SUBSTITUTE(AG$1,RIGHT(AG$1,2),""),VLOOKUP($D229,素材!$1:$1016,COLUMN($F$1),FALSE))),VLOOKUP($C229,武器!$1:$998,COLUMN($O$1),FALSE)*VLOOKUP($D229,素材!$1:$1016,COLUMN($E$1),FALSE)/(LEN(VLOOKUP($D229,素材!$1:$1016,COLUMN($F$1),FALSE))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H229">
        <f>IF(ISNUMBER(SEARCH(SUBSTITUTE(AH$1,RIGHT(AH$1,2),""),VLOOKUP($D229,素材!$1:$1016,COLUMN($F$1),FALSE))),VLOOKUP($C229,武器!$1:$998,COLUMN($O$1),FALSE)*VLOOKUP($D229,素材!$1:$1016,COLUMN($E$1),FALSE)/(LEN(VLOOKUP($D229,素材!$1:$1016,COLUMN($F$1),FALSE))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I229">
        <f>IF(ISNUMBER(SEARCH(SUBSTITUTE(AI$1,RIGHT(AI$1,2),""),VLOOKUP($D229,素材!$1:$1016,COLUMN($F$1),FALSE))),VLOOKUP($C229,武器!$1:$998,COLUMN($O$1),FALSE)*VLOOKUP($D229,素材!$1:$1016,COLUMN($E$1),FALSE)/(LEN(VLOOKUP($D229,素材!$1:$1016,COLUMN($F$1),FALSE))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J229">
        <f>IF(ISNUMBER(SEARCH(SUBSTITUTE(AJ$1,RIGHT(AJ$1,2),""),VLOOKUP($D229,素材!$1:$1016,COLUMN($F$1),FALSE))),VLOOKUP($C229,武器!$1:$998,COLUMN($O$1),FALSE)*VLOOKUP($D229,素材!$1:$1016,COLUMN($E$1),FALSE)/(LEN(VLOOKUP($D229,素材!$1:$1016,COLUMN($F$1),FALSE))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K229">
        <f>IF(ISNUMBER(SEARCH(SUBSTITUTE(AK$1,RIGHT(AK$1,2),""),VLOOKUP($D229,素材!$1:$1016,COLUMN($F$1),FALSE))),VLOOKUP($C229,武器!$1:$998,COLUMN($O$1),FALSE)*VLOOKUP($D229,素材!$1:$1016,COLUMN($E$1),FALSE)/(LEN(VLOOKUP($D229,素材!$1:$1016,COLUMN($F$1),FALSE))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L229">
        <f>IF(ISNUMBER(SEARCH(SUBSTITUTE(AL$1,RIGHT(AL$1,2),""),VLOOKUP($D229,素材!$1:$1016,COLUMN($F$1),FALSE))),VLOOKUP($C229,武器!$1:$998,COLUMN($O$1),FALSE)*VLOOKUP($D229,素材!$1:$1016,COLUMN($E$1),FALSE)/(LEN(VLOOKUP($D229,素材!$1:$1016,COLUMN($F$1),FALSE))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M229">
        <f>IF(ISNUMBER(SEARCH(SUBSTITUTE(AM$1,RIGHT(AM$1,2),""),VLOOKUP($D229,素材!$1:$1016,COLUMN($F$1),FALSE))),VLOOKUP($C229,武器!$1:$998,COLUMN($O$1),FALSE)*VLOOKUP($D229,素材!$1:$1016,COLUMN($E$1),FALSE)/(LEN(VLOOKUP($D229,素材!$1:$1016,COLUMN($F$1),FALSE))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N229">
        <f>IF(ISNUMBER(SEARCH(SUBSTITUTE(AN$1,RIGHT(AN$1,2),""),VLOOKUP($D229,素材!$1:$1016,COLUMN($F$1),FALSE))),VLOOKUP($C229,武器!$1:$998,COLUMN($O$1),FALSE)*VLOOKUP($D229,素材!$1:$1016,COLUMN($E$1),FALSE)/(LEN(VLOOKUP($D229,素材!$1:$1016,COLUMN($F$1),FALSE))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O229">
        <f>IF(ISNUMBER(SEARCH(SUBSTITUTE(AO$1,RIGHT(AO$1,2),""),VLOOKUP($D229,素材!$1:$1016,COLUMN($F$1),FALSE))),VLOOKUP($C229,武器!$1:$998,COLUMN($O$1),FALSE)*VLOOKUP($D229,素材!$1:$1016,COLUMN($E$1),FALSE)/(LEN(VLOOKUP($D229,素材!$1:$1016,COLUMN($F$1),FALSE))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P229">
        <f>IF(ISNUMBER(SEARCH(SUBSTITUTE(AP$1,RIGHT(AP$1,2),""),VLOOKUP($D229,素材!$1:$1016,COLUMN($F$1),FALSE))),VLOOKUP($C229,武器!$1:$998,COLUMN($O$1),FALSE)*VLOOKUP($D229,素材!$1:$1016,COLUMN($E$1),FALSE)/(LEN(VLOOKUP($D229,素材!$1:$1016,COLUMN($F$1),FALSE))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Q229">
        <f>IF(ISNUMBER(SEARCH(SUBSTITUTE(AQ$1,RIGHT(AQ$1,2),""),VLOOKUP($D229,素材!$1:$1016,COLUMN($F$1),FALSE))),VLOOKUP($C229,武器!$1:$998,COLUMN($O$1),FALSE)*VLOOKUP($D229,素材!$1:$1016,COLUMN($E$1),FALSE)/(LEN(VLOOKUP($D229,素材!$1:$1016,COLUMN($F$1),FALSE))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R229">
        <f>IF(ISNUMBER(SEARCH(SUBSTITUTE(AR$1,RIGHT(AR$1,2),""),VLOOKUP($D229,素材!$1:$1016,COLUMN($F$1),FALSE))),VLOOKUP($C229,武器!$1:$998,COLUMN($O$1),FALSE)*VLOOKUP($D229,素材!$1:$1016,COLUMN($E$1),FALSE)/(LEN(VLOOKUP($D229,素材!$1:$1016,COLUMN($F$1),FALSE))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S229">
        <f>IF(ISNUMBER(SEARCH(SUBSTITUTE(AS$1,RIGHT(AS$1,2),""),VLOOKUP($D229,素材!$1:$1016,COLUMN($F$1),FALSE))),VLOOKUP($C229,武器!$1:$998,COLUMN($O$1),FALSE)*VLOOKUP($D229,素材!$1:$1016,COLUMN($E$1),FALSE)/(LEN(VLOOKUP($D229,素材!$1:$1016,COLUMN($F$1),FALSE))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T229">
        <f>IF(ISNUMBER(SEARCH(SUBSTITUTE(AT$1,RIGHT(AT$1,2),""),VLOOKUP($D229,素材!$1:$1016,COLUMN($F$1),FALSE))),VLOOKUP($C229,武器!$1:$998,COLUMN($O$1),FALSE)*VLOOKUP($D229,素材!$1:$1016,COLUMN($E$1),FALSE)/(LEN(VLOOKUP($D229,素材!$1:$1016,COLUMN($F$1),FALSE))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U229">
        <f>IF(ISNUMBER(SEARCH(SUBSTITUTE(AU$1,RIGHT(AU$1,2),""),VLOOKUP($D229,素材!$1:$1016,COLUMN($F$1),FALSE))),VLOOKUP($C229,武器!$1:$998,COLUMN($O$1),FALSE)*VLOOKUP($D229,素材!$1:$1016,COLUMN($E$1),FALSE)/(LEN(VLOOKUP($D229,素材!$1:$1016,COLUMN($F$1),FALSE))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V229">
        <f>IF(ISNUMBER(SEARCH(SUBSTITUTE(AV$1,RIGHT(AV$1,2),""),VLOOKUP($D229,素材!$1:$1016,COLUMN($F$1),FALSE))),VLOOKUP($C229,武器!$1:$998,COLUMN($O$1),FALSE)*VLOOKUP($D229,素材!$1:$1016,COLUMN($E$1),FALSE)/(LEN(VLOOKUP($D229,素材!$1:$1016,COLUMN($F$1),FALSE))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W229">
        <f>IF(ISNUMBER(SEARCH(SUBSTITUTE(AW$1,RIGHT(AW$1,2),""),VLOOKUP($D229,素材!$1:$1016,COLUMN($F$1),FALSE))),VLOOKUP($C229,武器!$1:$998,COLUMN($O$1),FALSE)*VLOOKUP($D229,素材!$1:$1016,COLUMN($E$1),FALSE)/(LEN(VLOOKUP($D229,素材!$1:$1016,COLUMN($F$1),FALSE))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X229">
        <f>IF(ISNUMBER(SEARCH(SUBSTITUTE(AX$1,RIGHT(AX$1,2),""),VLOOKUP($D229,素材!$1:$1016,COLUMN($F$1),FALSE))),VLOOKUP($C229,武器!$1:$998,COLUMN($O$1),FALSE)*VLOOKUP($D229,素材!$1:$1016,COLUMN($E$1),FALSE)/(LEN(VLOOKUP($D229,素材!$1:$1016,COLUMN($F$1),FALSE))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Y229">
        <f>IF(ISNUMBER(SEARCH(SUBSTITUTE(AY$1,RIGHT(AY$1,2),""),VLOOKUP($D229,素材!$1:$1016,COLUMN($F$1),FALSE))),VLOOKUP($C229,武器!$1:$998,COLUMN($O$1),FALSE)*VLOOKUP($D229,素材!$1:$1016,COLUMN($E$1),FALSE)/(LEN(VLOOKUP($D229,素材!$1:$1016,COLUMN($F$1),FALSE))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AZ229">
        <f>IF(ISNUMBER(SEARCH(SUBSTITUTE(AZ$1,RIGHT(AZ$1,2),""),VLOOKUP($D229,素材!$1:$1016,COLUMN($F$1),FALSE))),VLOOKUP($C229,武器!$1:$998,COLUMN($O$1),FALSE)*VLOOKUP($D229,素材!$1:$1016,COLUMN($E$1),FALSE)/(LEN(VLOOKUP($D229,素材!$1:$1016,COLUMN($F$1),FALSE))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BA229">
        <f>IF(ISNUMBER(SEARCH(SUBSTITUTE(BA$1,RIGHT(BA$1,2),""),VLOOKUP($D229,素材!$1:$1016,COLUMN($F$1),FALSE))),VLOOKUP($C229,武器!$1:$998,COLUMN($O$1),FALSE)*VLOOKUP($D229,素材!$1:$1016,COLUMN($E$1),FALSE)/(LEN(VLOOKUP($D229,素材!$1:$1016,COLUMN($F$1),FALSE))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BB229">
        <f>IF(ISNUMBER(SEARCH(SUBSTITUTE(BB$1,RIGHT(BB$1,2),""),VLOOKUP($D229,素材!$1:$1016,COLUMN($F$1),FALSE))),VLOOKUP($C229,武器!$1:$998,COLUMN($O$1),FALSE)*VLOOKUP($D229,素材!$1:$1016,COLUMN($E$1),FALSE)/(LEN(VLOOKUP($D229,素材!$1:$1016,COLUMN($F$1),FALSE))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BC229">
        <f>IF(ISNUMBER(SEARCH(SUBSTITUTE(BC$1,RIGHT(BC$1,2),""),VLOOKUP($D229,素材!$1:$1016,COLUMN($F$1),FALSE))),VLOOKUP($C229,武器!$1:$998,COLUMN($O$1),FALSE)*VLOOKUP($D229,素材!$1:$1016,COLUMN($E$1),FALSE)/(LEN(VLOOKUP($D229,素材!$1:$1016,COLUMN($F$1),FALSE))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BD229">
        <f>IF(ISNUMBER(SEARCH(SUBSTITUTE(BD$1,RIGHT(BD$1,2),""),VLOOKUP($D229,素材!$1:$1016,COLUMN($F$1),FALSE))),VLOOKUP($C229,武器!$1:$998,COLUMN($O$1),FALSE)*VLOOKUP($D229,素材!$1:$1016,COLUMN($E$1),FALSE)/(LEN(VLOOKUP($D229,素材!$1:$1016,COLUMN($F$1),FALSE))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BE229">
        <f>IF(ISNUMBER(SEARCH(SUBSTITUTE(BE$1,RIGHT(BE$1,2),""),VLOOKUP($D229,素材!$1:$1016,COLUMN($F$1),FALSE))),VLOOKUP($C229,武器!$1:$998,COLUMN($O$1),FALSE)*VLOOKUP($D229,素材!$1:$1016,COLUMN($E$1),FALSE)/(LEN(VLOOKUP($D229,素材!$1:$1016,COLUMN($F$1),FALSE))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BF229">
        <f>IF(ISNUMBER(SEARCH(SUBSTITUTE(BF$1,RIGHT(BF$1,2),""),VLOOKUP($D229,素材!$1:$1016,COLUMN($F$1),FALSE))),VLOOKUP($C229,武器!$1:$998,COLUMN($O$1),FALSE)*VLOOKUP($D229,素材!$1:$1016,COLUMN($E$1),FALSE)/(LEN(VLOOKUP($D229,素材!$1:$1016,COLUMN($F$1),FALSE)) - LEN(SUBSTITUTE(VLOOKUP($D229,素材!$1:$1016,COLUMN($F$1),FALSE), "・", 0)) + 1), 0)</f>
        <v>0</v>
      </c>
      <c r="CM229">
        <f t="shared" si="31"/>
        <v>24</v>
      </c>
      <c r="CN229" s="22" t="str">
        <f>IF(E229="武器",IF(J229-1&gt;SUM(G229:I229),"盾",IF(MAX(G229:I229)=G229,"切断",IF(MAX(G229:I229)=H229,"貫通",IF(MAX(G229:I229)=I229,"打撃","射撃")))),E229)&amp;".webp"</f>
        <v>切断.webp</v>
      </c>
      <c r="CO229">
        <f>IFERROR(VLOOKUP($C229,武器!$1:$998,COLUMN(V$1),FALSE)*VLOOKUP($D229,素材!$1:$1016,COLUMN(N$1),FALSE)+IF(CJ229="",0,VLOOKUP($CJ229,装強!$1:$1008,COLUMN($CL$1),FALSE)),"")</f>
        <v>3000</v>
      </c>
      <c r="CP229">
        <f>VLOOKUP(D229,素材!$A:$O,COLUMN(素材!O$1),FALSE)</f>
        <v>0</v>
      </c>
      <c r="CQ229" t="str">
        <f>VLOOKUP(C229,武器!$A:$W,COLUMN(武器!W$1),FALSE)</f>
        <v>刀。切断力に優れた武器で、Cr威力が高い</v>
      </c>
      <c r="CS229" t="str">
        <f t="shared" si="32"/>
        <v>e_229</v>
      </c>
      <c r="CT229">
        <f t="shared" si="33"/>
        <v>300000</v>
      </c>
    </row>
    <row r="230" spans="1:98" outlineLevel="1" x14ac:dyDescent="0.4">
      <c r="A230" t="str">
        <f t="shared" si="34"/>
        <v>熱鉄の剣</v>
      </c>
      <c r="B230" t="str">
        <f>IFERROR(VLOOKUP($D230,素材!$1:$1016,COLUMN($B$1),FALSE)&amp;"・"&amp;VLOOKUP($C230,武器!$1:$998,COLUMN(B$1),FALSE),"")</f>
        <v>ヒートスティール・ソード</v>
      </c>
      <c r="C230" s="24" t="s">
        <v>240</v>
      </c>
      <c r="D230" s="24" t="s">
        <v>205</v>
      </c>
      <c r="E230" t="str">
        <f>IFERROR(VLOOKUP(C230,武器!$1:$998,COLUMN(C$1),FALSE),"")</f>
        <v>武器</v>
      </c>
      <c r="F230">
        <f>IFERROR(ROUNDDOWN((VLOOKUP($C230,武器!$1:$998,COLUMN(D$1),FALSE)+IFERROR(VLOOKUP($CJ230,装強!$1:$999,COLUMN(F$1),FALSE),0))*VLOOKUP($D230,素材!$1:$1016,COLUMN(D$1),FALSE),0),"")</f>
        <v>100</v>
      </c>
      <c r="G230">
        <f>IFERROR(ROUNDDOWN((VLOOKUP($C230,武器!$1:$998,COLUMN(E$1),FALSE)+IFERROR(VLOOKUP($CJ230,装強!$1:$999,COLUMN(G$1),FALSE),0))*VLOOKUP($D230,素材!$1:$1016,COLUMN($E$1),FALSE),0),"")</f>
        <v>12</v>
      </c>
      <c r="H230">
        <f>IFERROR(ROUNDDOWN((VLOOKUP($C230,武器!$1:$998,COLUMN(F$1),FALSE)+IFERROR(VLOOKUP($CJ230,装強!$1:$999,COLUMN(H$1),FALSE),0))*VLOOKUP($D230,素材!$1:$1016,COLUMN($E$1),FALSE),0),"")</f>
        <v>9</v>
      </c>
      <c r="I230">
        <f>IFERROR(ROUNDDOWN((VLOOKUP($C230,武器!$1:$998,COLUMN(G$1),FALSE)+IFERROR(VLOOKUP($CJ230,装強!$1:$999,COLUMN(I$1),FALSE),0))*VLOOKUP($D230,素材!$1:$1016,COLUMN($E$1),FALSE),0),"")</f>
        <v>3</v>
      </c>
      <c r="J230">
        <f>IFERROR(ROUNDDOWN((VLOOKUP($C230,武器!$1:$998,COLUMN(H$1),FALSE)+IFERROR(VLOOKUP($CJ230,装強!$1:$999,COLUMN(J$1),FALSE),0))*VLOOKUP($D230,素材!$1:$1016,COLUMN($E$1),FALSE),0),"")</f>
        <v>19</v>
      </c>
      <c r="K230">
        <f>IFERROR(ROUNDDOWN((VLOOKUP($C230,武器!$1:$998,COLUMN(I$1),FALSE)+IFERROR(VLOOKUP($CJ230,装強!$1:$999,COLUMN(K$1),FALSE),0))*VLOOKUP($D230,素材!$1:$1016,COLUMN($E$1),FALSE),0),"")</f>
        <v>0</v>
      </c>
      <c r="L230" t="str">
        <f>IFERROR(VLOOKUP($D230,素材!$1:$1016,COLUMN($F$1),FALSE),"")</f>
        <v>炎</v>
      </c>
      <c r="M230">
        <f>IFERROR(VLOOKUP($C230,武器!$1:$998,COLUMN(AA$1),FALSE)*VLOOKUP($D230,素材!$1:$1016,COLUMN($G$1),FALSE),"")</f>
        <v>40.25</v>
      </c>
      <c r="N230">
        <f>IFERROR(VLOOKUP($C230,武器!$1:$998,COLUMN(I$1),FALSE),"")</f>
        <v>0</v>
      </c>
      <c r="O230" s="23">
        <f>IFERROR((VLOOKUP($C230,武器!$1:$998,COLUMN(K$1),FALSE)+VLOOKUP($D230,素材!$1:$1016,COLUMN(H$1),FALSE))*100+IFERROR(VLOOKUP($CJ230,装強!$1:$999,COLUMN(O$1),FALSE),0),"")</f>
        <v>10</v>
      </c>
      <c r="P230" s="23">
        <f>IFERROR((VLOOKUP($C230,武器!$1:$998,COLUMN(L$1),FALSE)+VLOOKUP($D230,素材!$1:$1016,COLUMN(I$1),FALSE))*100+IFERROR(VLOOKUP($CJ230,装強!$1:$999,COLUMN(P$1),FALSE),0),"")</f>
        <v>150</v>
      </c>
      <c r="Q230">
        <f>IFERROR(ROUNDUP(VLOOKUP($C230,武器!$1:$998,COLUMN(M$1),FALSE)*(VLOOKUP($D230,素材!$1:$1002,COLUMN(D$1),FALSE)/100),1),"")</f>
        <v>0</v>
      </c>
      <c r="R230">
        <f>IFERROR(ROUNDUP(VLOOKUP($C230,武器!$1:$998,COLUMN(N$1),FALSE)*(VLOOKUP($D230,素材!$1:$1002,COLUMN(D$1),FALSE)/100),1),"")</f>
        <v>0</v>
      </c>
      <c r="S230">
        <f>IFERROR(VLOOKUP($C230,武器!$1:$998,COLUMN(P$1),FALSE),"")</f>
        <v>0</v>
      </c>
      <c r="T230">
        <f>IFERROR(VLOOKUP($C230,武器!$1:$998,COLUMN(Q$1),FALSE),"")</f>
        <v>0</v>
      </c>
      <c r="U230">
        <f>IFERROR(VLOOKUP($C230,武器!$1:$998,COLUMN(R$1),FALSE),"")</f>
        <v>0</v>
      </c>
      <c r="V230">
        <f>IFERROR(VLOOKUP($C230,武器!$1:$998,COLUMN(Q$1),FALSE),"")</f>
        <v>0</v>
      </c>
      <c r="W230" t="str">
        <f>IFERROR(VLOOKUP($C230,武器!$1:$998,COLUMN(T$1),FALSE),"")</f>
        <v>A</v>
      </c>
      <c r="Y230" t="str">
        <f>IFERROR(VLOOKUP($C230,武器!$1:$998,COLUMN(U$1),FALSE),"")</f>
        <v>片手適正Ⅰ</v>
      </c>
      <c r="Z230">
        <f>IFERROR(ROUNDUP(VLOOKUP($C230,武器!$1:$998,COLUMN(O$1),FALSE)*VLOOKUP($D230,素材!$1:$1016,COLUMN(E$1),FALSE),1),"")</f>
        <v>0</v>
      </c>
      <c r="AA230">
        <f>IF(ISNUMBER(SEARCH(SUBSTITUTE(AA$1,RIGHT(AA$1,2),""),VLOOKUP($D230,素材!$1:$1016,COLUMN($F$1),FALSE))),VLOOKUP($C230,武器!$1:$998,COLUMN($O$1),FALSE)*VLOOKUP($D230,素材!$1:$1016,COLUMN($E$1),FALSE)/(LEN(VLOOKUP($D230,素材!$1:$1016,COLUMN($F$1),FALSE))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B230">
        <f>IF(ISNUMBER(SEARCH(SUBSTITUTE(AB$1,RIGHT(AB$1,2),""),VLOOKUP($D230,素材!$1:$1016,COLUMN($F$1),FALSE))),VLOOKUP($C230,武器!$1:$998,COLUMN($O$1),FALSE)*VLOOKUP($D230,素材!$1:$1016,COLUMN($E$1),FALSE)/(LEN(VLOOKUP($D230,素材!$1:$1016,COLUMN($F$1),FALSE))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C230">
        <f>IF(ISNUMBER(SEARCH(SUBSTITUTE(AC$1,RIGHT(AC$1,2),""),VLOOKUP($D230,素材!$1:$1016,COLUMN($F$1),FALSE))),VLOOKUP($C230,武器!$1:$998,COLUMN($O$1),FALSE)*VLOOKUP($D230,素材!$1:$1016,COLUMN($E$1),FALSE)/(LEN(VLOOKUP($D230,素材!$1:$1016,COLUMN($F$1),FALSE))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D230">
        <f>IF(ISNUMBER(SEARCH(SUBSTITUTE(AD$1,RIGHT(AD$1,2),""),VLOOKUP($D230,素材!$1:$1016,COLUMN($F$1),FALSE))),VLOOKUP($C230,武器!$1:$998,COLUMN($O$1),FALSE)*VLOOKUP($D230,素材!$1:$1016,COLUMN($E$1),FALSE)/(LEN(VLOOKUP($D230,素材!$1:$1016,COLUMN($F$1),FALSE))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E230">
        <f>IF(ISNUMBER(SEARCH(SUBSTITUTE(AE$1,RIGHT(AE$1,2),""),VLOOKUP($D230,素材!$1:$1016,COLUMN($F$1),FALSE))),VLOOKUP($C230,武器!$1:$998,COLUMN($O$1),FALSE)*VLOOKUP($D230,素材!$1:$1016,COLUMN($E$1),FALSE)/(LEN(VLOOKUP($D230,素材!$1:$1016,COLUMN($F$1),FALSE))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F230">
        <f>IF(ISNUMBER(SEARCH(SUBSTITUTE(AF$1,RIGHT(AF$1,2),""),VLOOKUP($D230,素材!$1:$1016,COLUMN($F$1),FALSE))),VLOOKUP($C230,武器!$1:$998,COLUMN($O$1),FALSE)*VLOOKUP($D230,素材!$1:$1016,COLUMN($E$1),FALSE)/(LEN(VLOOKUP($D230,素材!$1:$1016,COLUMN($F$1),FALSE))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G230">
        <f>IF(ISNUMBER(SEARCH(SUBSTITUTE(AG$1,RIGHT(AG$1,2),""),VLOOKUP($D230,素材!$1:$1016,COLUMN($F$1),FALSE))),VLOOKUP($C230,武器!$1:$998,COLUMN($O$1),FALSE)*VLOOKUP($D230,素材!$1:$1016,COLUMN($E$1),FALSE)/(LEN(VLOOKUP($D230,素材!$1:$1016,COLUMN($F$1),FALSE))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H230">
        <f>IF(ISNUMBER(SEARCH(SUBSTITUTE(AH$1,RIGHT(AH$1,2),""),VLOOKUP($D230,素材!$1:$1016,COLUMN($F$1),FALSE))),VLOOKUP($C230,武器!$1:$998,COLUMN($O$1),FALSE)*VLOOKUP($D230,素材!$1:$1016,COLUMN($E$1),FALSE)/(LEN(VLOOKUP($D230,素材!$1:$1016,COLUMN($F$1),FALSE))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I230">
        <f>IF(ISNUMBER(SEARCH(SUBSTITUTE(AI$1,RIGHT(AI$1,2),""),VLOOKUP($D230,素材!$1:$1016,COLUMN($F$1),FALSE))),VLOOKUP($C230,武器!$1:$998,COLUMN($O$1),FALSE)*VLOOKUP($D230,素材!$1:$1016,COLUMN($E$1),FALSE)/(LEN(VLOOKUP($D230,素材!$1:$1016,COLUMN($F$1),FALSE))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J230">
        <f>IF(ISNUMBER(SEARCH(SUBSTITUTE(AJ$1,RIGHT(AJ$1,2),""),VLOOKUP($D230,素材!$1:$1016,COLUMN($F$1),FALSE))),VLOOKUP($C230,武器!$1:$998,COLUMN($O$1),FALSE)*VLOOKUP($D230,素材!$1:$1016,COLUMN($E$1),FALSE)/(LEN(VLOOKUP($D230,素材!$1:$1016,COLUMN($F$1),FALSE))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K230">
        <f>IF(ISNUMBER(SEARCH(SUBSTITUTE(AK$1,RIGHT(AK$1,2),""),VLOOKUP($D230,素材!$1:$1016,COLUMN($F$1),FALSE))),VLOOKUP($C230,武器!$1:$998,COLUMN($O$1),FALSE)*VLOOKUP($D230,素材!$1:$1016,COLUMN($E$1),FALSE)/(LEN(VLOOKUP($D230,素材!$1:$1016,COLUMN($F$1),FALSE))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L230">
        <f>IF(ISNUMBER(SEARCH(SUBSTITUTE(AL$1,RIGHT(AL$1,2),""),VLOOKUP($D230,素材!$1:$1016,COLUMN($F$1),FALSE))),VLOOKUP($C230,武器!$1:$998,COLUMN($O$1),FALSE)*VLOOKUP($D230,素材!$1:$1016,COLUMN($E$1),FALSE)/(LEN(VLOOKUP($D230,素材!$1:$1016,COLUMN($F$1),FALSE))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M230">
        <f>IF(ISNUMBER(SEARCH(SUBSTITUTE(AM$1,RIGHT(AM$1,2),""),VLOOKUP($D230,素材!$1:$1016,COLUMN($F$1),FALSE))),VLOOKUP($C230,武器!$1:$998,COLUMN($O$1),FALSE)*VLOOKUP($D230,素材!$1:$1016,COLUMN($E$1),FALSE)/(LEN(VLOOKUP($D230,素材!$1:$1016,COLUMN($F$1),FALSE))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N230">
        <f>IF(ISNUMBER(SEARCH(SUBSTITUTE(AN$1,RIGHT(AN$1,2),""),VLOOKUP($D230,素材!$1:$1016,COLUMN($F$1),FALSE))),VLOOKUP($C230,武器!$1:$998,COLUMN($O$1),FALSE)*VLOOKUP($D230,素材!$1:$1016,COLUMN($E$1),FALSE)/(LEN(VLOOKUP($D230,素材!$1:$1016,COLUMN($F$1),FALSE))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O230">
        <f>IF(ISNUMBER(SEARCH(SUBSTITUTE(AO$1,RIGHT(AO$1,2),""),VLOOKUP($D230,素材!$1:$1016,COLUMN($F$1),FALSE))),VLOOKUP($C230,武器!$1:$998,COLUMN($O$1),FALSE)*VLOOKUP($D230,素材!$1:$1016,COLUMN($E$1),FALSE)/(LEN(VLOOKUP($D230,素材!$1:$1016,COLUMN($F$1),FALSE))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P230">
        <f>IF(ISNUMBER(SEARCH(SUBSTITUTE(AP$1,RIGHT(AP$1,2),""),VLOOKUP($D230,素材!$1:$1016,COLUMN($F$1),FALSE))),VLOOKUP($C230,武器!$1:$998,COLUMN($O$1),FALSE)*VLOOKUP($D230,素材!$1:$1016,COLUMN($E$1),FALSE)/(LEN(VLOOKUP($D230,素材!$1:$1016,COLUMN($F$1),FALSE))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Q230">
        <f>IF(ISNUMBER(SEARCH(SUBSTITUTE(AQ$1,RIGHT(AQ$1,2),""),VLOOKUP($D230,素材!$1:$1016,COLUMN($F$1),FALSE))),VLOOKUP($C230,武器!$1:$998,COLUMN($O$1),FALSE)*VLOOKUP($D230,素材!$1:$1016,COLUMN($E$1),FALSE)/(LEN(VLOOKUP($D230,素材!$1:$1016,COLUMN($F$1),FALSE))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R230">
        <f>IF(ISNUMBER(SEARCH(SUBSTITUTE(AR$1,RIGHT(AR$1,2),""),VLOOKUP($D230,素材!$1:$1016,COLUMN($F$1),FALSE))),VLOOKUP($C230,武器!$1:$998,COLUMN($O$1),FALSE)*VLOOKUP($D230,素材!$1:$1016,COLUMN($E$1),FALSE)/(LEN(VLOOKUP($D230,素材!$1:$1016,COLUMN($F$1),FALSE))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S230">
        <f>IF(ISNUMBER(SEARCH(SUBSTITUTE(AS$1,RIGHT(AS$1,2),""),VLOOKUP($D230,素材!$1:$1016,COLUMN($F$1),FALSE))),VLOOKUP($C230,武器!$1:$998,COLUMN($O$1),FALSE)*VLOOKUP($D230,素材!$1:$1016,COLUMN($E$1),FALSE)/(LEN(VLOOKUP($D230,素材!$1:$1016,COLUMN($F$1),FALSE))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T230">
        <f>IF(ISNUMBER(SEARCH(SUBSTITUTE(AT$1,RIGHT(AT$1,2),""),VLOOKUP($D230,素材!$1:$1016,COLUMN($F$1),FALSE))),VLOOKUP($C230,武器!$1:$998,COLUMN($O$1),FALSE)*VLOOKUP($D230,素材!$1:$1016,COLUMN($E$1),FALSE)/(LEN(VLOOKUP($D230,素材!$1:$1016,COLUMN($F$1),FALSE))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U230">
        <f>IF(ISNUMBER(SEARCH(SUBSTITUTE(AU$1,RIGHT(AU$1,2),""),VLOOKUP($D230,素材!$1:$1016,COLUMN($F$1),FALSE))),VLOOKUP($C230,武器!$1:$998,COLUMN($O$1),FALSE)*VLOOKUP($D230,素材!$1:$1016,COLUMN($E$1),FALSE)/(LEN(VLOOKUP($D230,素材!$1:$1016,COLUMN($F$1),FALSE))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V230">
        <f>IF(ISNUMBER(SEARCH(SUBSTITUTE(AV$1,RIGHT(AV$1,2),""),VLOOKUP($D230,素材!$1:$1016,COLUMN($F$1),FALSE))),VLOOKUP($C230,武器!$1:$998,COLUMN($O$1),FALSE)*VLOOKUP($D230,素材!$1:$1016,COLUMN($E$1),FALSE)/(LEN(VLOOKUP($D230,素材!$1:$1016,COLUMN($F$1),FALSE))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W230">
        <f>IF(ISNUMBER(SEARCH(SUBSTITUTE(AW$1,RIGHT(AW$1,2),""),VLOOKUP($D230,素材!$1:$1016,COLUMN($F$1),FALSE))),VLOOKUP($C230,武器!$1:$998,COLUMN($O$1),FALSE)*VLOOKUP($D230,素材!$1:$1016,COLUMN($E$1),FALSE)/(LEN(VLOOKUP($D230,素材!$1:$1016,COLUMN($F$1),FALSE))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X230">
        <f>IF(ISNUMBER(SEARCH(SUBSTITUTE(AX$1,RIGHT(AX$1,2),""),VLOOKUP($D230,素材!$1:$1016,COLUMN($F$1),FALSE))),VLOOKUP($C230,武器!$1:$998,COLUMN($O$1),FALSE)*VLOOKUP($D230,素材!$1:$1016,COLUMN($E$1),FALSE)/(LEN(VLOOKUP($D230,素材!$1:$1016,COLUMN($F$1),FALSE))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Y230">
        <f>IF(ISNUMBER(SEARCH(SUBSTITUTE(AY$1,RIGHT(AY$1,2),""),VLOOKUP($D230,素材!$1:$1016,COLUMN($F$1),FALSE))),VLOOKUP($C230,武器!$1:$998,COLUMN($O$1),FALSE)*VLOOKUP($D230,素材!$1:$1016,COLUMN($E$1),FALSE)/(LEN(VLOOKUP($D230,素材!$1:$1016,COLUMN($F$1),FALSE))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AZ230">
        <f>IF(ISNUMBER(SEARCH(SUBSTITUTE(AZ$1,RIGHT(AZ$1,2),""),VLOOKUP($D230,素材!$1:$1016,COLUMN($F$1),FALSE))),VLOOKUP($C230,武器!$1:$998,COLUMN($O$1),FALSE)*VLOOKUP($D230,素材!$1:$1016,COLUMN($E$1),FALSE)/(LEN(VLOOKUP($D230,素材!$1:$1016,COLUMN($F$1),FALSE))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BA230">
        <f>IF(ISNUMBER(SEARCH(SUBSTITUTE(BA$1,RIGHT(BA$1,2),""),VLOOKUP($D230,素材!$1:$1016,COLUMN($F$1),FALSE))),VLOOKUP($C230,武器!$1:$998,COLUMN($O$1),FALSE)*VLOOKUP($D230,素材!$1:$1016,COLUMN($E$1),FALSE)/(LEN(VLOOKUP($D230,素材!$1:$1016,COLUMN($F$1),FALSE))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BB230">
        <f>IF(ISNUMBER(SEARCH(SUBSTITUTE(BB$1,RIGHT(BB$1,2),""),VLOOKUP($D230,素材!$1:$1016,COLUMN($F$1),FALSE))),VLOOKUP($C230,武器!$1:$998,COLUMN($O$1),FALSE)*VLOOKUP($D230,素材!$1:$1016,COLUMN($E$1),FALSE)/(LEN(VLOOKUP($D230,素材!$1:$1016,COLUMN($F$1),FALSE))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BC230">
        <f>IF(ISNUMBER(SEARCH(SUBSTITUTE(BC$1,RIGHT(BC$1,2),""),VLOOKUP($D230,素材!$1:$1016,COLUMN($F$1),FALSE))),VLOOKUP($C230,武器!$1:$998,COLUMN($O$1),FALSE)*VLOOKUP($D230,素材!$1:$1016,COLUMN($E$1),FALSE)/(LEN(VLOOKUP($D230,素材!$1:$1016,COLUMN($F$1),FALSE))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BD230">
        <f>IF(ISNUMBER(SEARCH(SUBSTITUTE(BD$1,RIGHT(BD$1,2),""),VLOOKUP($D230,素材!$1:$1016,COLUMN($F$1),FALSE))),VLOOKUP($C230,武器!$1:$998,COLUMN($O$1),FALSE)*VLOOKUP($D230,素材!$1:$1016,COLUMN($E$1),FALSE)/(LEN(VLOOKUP($D230,素材!$1:$1016,COLUMN($F$1),FALSE))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BE230">
        <f>IF(ISNUMBER(SEARCH(SUBSTITUTE(BE$1,RIGHT(BE$1,2),""),VLOOKUP($D230,素材!$1:$1016,COLUMN($F$1),FALSE))),VLOOKUP($C230,武器!$1:$998,COLUMN($O$1),FALSE)*VLOOKUP($D230,素材!$1:$1016,COLUMN($E$1),FALSE)/(LEN(VLOOKUP($D230,素材!$1:$1016,COLUMN($F$1),FALSE))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BF230">
        <f>IF(ISNUMBER(SEARCH(SUBSTITUTE(BF$1,RIGHT(BF$1,2),""),VLOOKUP($D230,素材!$1:$1016,COLUMN($F$1),FALSE))),VLOOKUP($C230,武器!$1:$998,COLUMN($O$1),FALSE)*VLOOKUP($D230,素材!$1:$1016,COLUMN($E$1),FALSE)/(LEN(VLOOKUP($D230,素材!$1:$1016,COLUMN($F$1),FALSE)) - LEN(SUBSTITUTE(VLOOKUP($D230,素材!$1:$1016,COLUMN($F$1),FALSE), "・", 0)) + 1), 0)</f>
        <v>0</v>
      </c>
      <c r="CM230">
        <f t="shared" si="31"/>
        <v>24</v>
      </c>
      <c r="CN230" s="22" t="str">
        <f>IF(E230="武器",IF(J230-1&gt;SUM(G230:I230),"盾",IF(MAX(G230:I230)=G230,"切断",IF(MAX(G230:I230)=H230,"貫通",IF(MAX(G230:I230)=I230,"打撃","射撃")))),E230)&amp;".webp"</f>
        <v>切断.webp</v>
      </c>
      <c r="CO230">
        <f>IFERROR(VLOOKUP($C230,武器!$1:$998,COLUMN(V$1),FALSE)*VLOOKUP($D230,素材!$1:$1016,COLUMN(N$1),FALSE)+IF(CJ230="",0,VLOOKUP($CJ230,装強!$1:$1008,COLUMN($CL$1),FALSE)),"")</f>
        <v>2250</v>
      </c>
      <c r="CP230">
        <f>VLOOKUP(D230,素材!$A:$O,COLUMN(素材!O$1),FALSE)</f>
        <v>0</v>
      </c>
      <c r="CQ230" t="str">
        <f>VLOOKUP(C230,武器!$A:$W,COLUMN(武器!W$1),FALSE)</f>
        <v>剣。短い剣で片手で扱いやすく、初心者向けの武器。</v>
      </c>
      <c r="CS230" t="str">
        <f t="shared" si="32"/>
        <v>e_230</v>
      </c>
      <c r="CT230">
        <f t="shared" si="33"/>
        <v>225000</v>
      </c>
    </row>
    <row r="231" spans="1:98" outlineLevel="1" x14ac:dyDescent="0.4">
      <c r="A231" t="str">
        <f t="shared" si="34"/>
        <v>熱鉄の広剣</v>
      </c>
      <c r="B231" t="str">
        <f>IFERROR(VLOOKUP($D231,素材!$1:$1016,COLUMN($B$1),FALSE)&amp;"・"&amp;VLOOKUP($C231,武器!$1:$998,COLUMN(B$1),FALSE),"")</f>
        <v>ヒートスティール・ブロードソード</v>
      </c>
      <c r="C231" s="24" t="s">
        <v>239</v>
      </c>
      <c r="D231" s="24" t="s">
        <v>205</v>
      </c>
      <c r="E231" t="str">
        <f>IFERROR(VLOOKUP(C231,武器!$1:$998,COLUMN(C$1),FALSE),"")</f>
        <v>武器</v>
      </c>
      <c r="F231">
        <f>IFERROR(ROUNDDOWN((VLOOKUP($C231,武器!$1:$998,COLUMN(D$1),FALSE)+IFERROR(VLOOKUP($CJ231,装強!$1:$999,COLUMN(F$1),FALSE),0))*VLOOKUP($D231,素材!$1:$1016,COLUMN(D$1),FALSE),0),"")</f>
        <v>110</v>
      </c>
      <c r="G231">
        <f>IFERROR(ROUNDDOWN((VLOOKUP($C231,武器!$1:$998,COLUMN(E$1),FALSE)+IFERROR(VLOOKUP($CJ231,装強!$1:$999,COLUMN(G$1),FALSE),0))*VLOOKUP($D231,素材!$1:$1016,COLUMN($E$1),FALSE),0),"")</f>
        <v>12</v>
      </c>
      <c r="H231">
        <f>IFERROR(ROUNDDOWN((VLOOKUP($C231,武器!$1:$998,COLUMN(F$1),FALSE)+IFERROR(VLOOKUP($CJ231,装強!$1:$999,COLUMN(H$1),FALSE),0))*VLOOKUP($D231,素材!$1:$1016,COLUMN($E$1),FALSE),0),"")</f>
        <v>8</v>
      </c>
      <c r="I231">
        <f>IFERROR(ROUNDDOWN((VLOOKUP($C231,武器!$1:$998,COLUMN(G$1),FALSE)+IFERROR(VLOOKUP($CJ231,装強!$1:$999,COLUMN(I$1),FALSE),0))*VLOOKUP($D231,素材!$1:$1016,COLUMN($E$1),FALSE),0),"")</f>
        <v>3</v>
      </c>
      <c r="J231">
        <f>IFERROR(ROUNDDOWN((VLOOKUP($C231,武器!$1:$998,COLUMN(H$1),FALSE)+IFERROR(VLOOKUP($CJ231,装強!$1:$999,COLUMN(J$1),FALSE),0))*VLOOKUP($D231,素材!$1:$1016,COLUMN($E$1),FALSE),0),"")</f>
        <v>23</v>
      </c>
      <c r="K231">
        <f>IFERROR(ROUNDDOWN((VLOOKUP($C231,武器!$1:$998,COLUMN(I$1),FALSE)+IFERROR(VLOOKUP($CJ231,装強!$1:$999,COLUMN(K$1),FALSE),0))*VLOOKUP($D231,素材!$1:$1016,COLUMN($E$1),FALSE),0),"")</f>
        <v>0</v>
      </c>
      <c r="L231" t="str">
        <f>IFERROR(VLOOKUP($D231,素材!$1:$1016,COLUMN($F$1),FALSE),"")</f>
        <v>炎</v>
      </c>
      <c r="M231">
        <f>IFERROR(VLOOKUP($C231,武器!$1:$998,COLUMN(AA$1),FALSE)*VLOOKUP($D231,素材!$1:$1016,COLUMN($G$1),FALSE),"")</f>
        <v>40.25</v>
      </c>
      <c r="N231">
        <f>IFERROR(VLOOKUP($C231,武器!$1:$998,COLUMN(I$1),FALSE),"")</f>
        <v>0</v>
      </c>
      <c r="O231" s="23">
        <f>IFERROR((VLOOKUP($C231,武器!$1:$998,COLUMN(K$1),FALSE)+VLOOKUP($D231,素材!$1:$1016,COLUMN(H$1),FALSE))*100+IFERROR(VLOOKUP($CJ231,装強!$1:$999,COLUMN(O$1),FALSE),0),"")</f>
        <v>10</v>
      </c>
      <c r="P231" s="23">
        <f>IFERROR((VLOOKUP($C231,武器!$1:$998,COLUMN(L$1),FALSE)+VLOOKUP($D231,素材!$1:$1016,COLUMN(I$1),FALSE))*100+IFERROR(VLOOKUP($CJ231,装強!$1:$999,COLUMN(P$1),FALSE),0),"")</f>
        <v>150</v>
      </c>
      <c r="Q231">
        <f>IFERROR(ROUNDUP(VLOOKUP($C231,武器!$1:$998,COLUMN(M$1),FALSE)*(VLOOKUP($D231,素材!$1:$1002,COLUMN(D$1),FALSE)/100),1),"")</f>
        <v>-2.5</v>
      </c>
      <c r="R231">
        <f>IFERROR(ROUNDUP(VLOOKUP($C231,武器!$1:$998,COLUMN(N$1),FALSE)*(VLOOKUP($D231,素材!$1:$1002,COLUMN(D$1),FALSE)/100),1),"")</f>
        <v>-2.5</v>
      </c>
      <c r="S231">
        <f>IFERROR(VLOOKUP($C231,武器!$1:$998,COLUMN(P$1),FALSE),"")</f>
        <v>0</v>
      </c>
      <c r="T231">
        <f>IFERROR(VLOOKUP($C231,武器!$1:$998,COLUMN(Q$1),FALSE),"")</f>
        <v>0</v>
      </c>
      <c r="U231">
        <f>IFERROR(VLOOKUP($C231,武器!$1:$998,COLUMN(R$1),FALSE),"")</f>
        <v>0</v>
      </c>
      <c r="V231">
        <f>IFERROR(VLOOKUP($C231,武器!$1:$998,COLUMN(Q$1),FALSE),"")</f>
        <v>0</v>
      </c>
      <c r="W231" t="str">
        <f>IFERROR(VLOOKUP($C231,武器!$1:$998,COLUMN(T$1),FALSE),"")</f>
        <v>A</v>
      </c>
      <c r="Y231">
        <f>IFERROR(VLOOKUP($C231,武器!$1:$998,COLUMN(U$1),FALSE),"")</f>
        <v>0</v>
      </c>
      <c r="Z231">
        <f>IFERROR(ROUNDUP(VLOOKUP($C231,武器!$1:$998,COLUMN(O$1),FALSE)*VLOOKUP($D231,素材!$1:$1016,COLUMN(E$1),FALSE),1),"")</f>
        <v>0</v>
      </c>
      <c r="AA231">
        <f>IF(ISNUMBER(SEARCH(SUBSTITUTE(AA$1,RIGHT(AA$1,2),""),VLOOKUP($D231,素材!$1:$1016,COLUMN($F$1),FALSE))),VLOOKUP($C231,武器!$1:$998,COLUMN($O$1),FALSE)*VLOOKUP($D231,素材!$1:$1016,COLUMN($E$1),FALSE)/(LEN(VLOOKUP($D231,素材!$1:$1016,COLUMN($F$1),FALSE))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B231">
        <f>IF(ISNUMBER(SEARCH(SUBSTITUTE(AB$1,RIGHT(AB$1,2),""),VLOOKUP($D231,素材!$1:$1016,COLUMN($F$1),FALSE))),VLOOKUP($C231,武器!$1:$998,COLUMN($O$1),FALSE)*VLOOKUP($D231,素材!$1:$1016,COLUMN($E$1),FALSE)/(LEN(VLOOKUP($D231,素材!$1:$1016,COLUMN($F$1),FALSE))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C231">
        <f>IF(ISNUMBER(SEARCH(SUBSTITUTE(AC$1,RIGHT(AC$1,2),""),VLOOKUP($D231,素材!$1:$1016,COLUMN($F$1),FALSE))),VLOOKUP($C231,武器!$1:$998,COLUMN($O$1),FALSE)*VLOOKUP($D231,素材!$1:$1016,COLUMN($E$1),FALSE)/(LEN(VLOOKUP($D231,素材!$1:$1016,COLUMN($F$1),FALSE))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D231">
        <f>IF(ISNUMBER(SEARCH(SUBSTITUTE(AD$1,RIGHT(AD$1,2),""),VLOOKUP($D231,素材!$1:$1016,COLUMN($F$1),FALSE))),VLOOKUP($C231,武器!$1:$998,COLUMN($O$1),FALSE)*VLOOKUP($D231,素材!$1:$1016,COLUMN($E$1),FALSE)/(LEN(VLOOKUP($D231,素材!$1:$1016,COLUMN($F$1),FALSE))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E231">
        <f>IF(ISNUMBER(SEARCH(SUBSTITUTE(AE$1,RIGHT(AE$1,2),""),VLOOKUP($D231,素材!$1:$1016,COLUMN($F$1),FALSE))),VLOOKUP($C231,武器!$1:$998,COLUMN($O$1),FALSE)*VLOOKUP($D231,素材!$1:$1016,COLUMN($E$1),FALSE)/(LEN(VLOOKUP($D231,素材!$1:$1016,COLUMN($F$1),FALSE))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F231">
        <f>IF(ISNUMBER(SEARCH(SUBSTITUTE(AF$1,RIGHT(AF$1,2),""),VLOOKUP($D231,素材!$1:$1016,COLUMN($F$1),FALSE))),VLOOKUP($C231,武器!$1:$998,COLUMN($O$1),FALSE)*VLOOKUP($D231,素材!$1:$1016,COLUMN($E$1),FALSE)/(LEN(VLOOKUP($D231,素材!$1:$1016,COLUMN($F$1),FALSE))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G231">
        <f>IF(ISNUMBER(SEARCH(SUBSTITUTE(AG$1,RIGHT(AG$1,2),""),VLOOKUP($D231,素材!$1:$1016,COLUMN($F$1),FALSE))),VLOOKUP($C231,武器!$1:$998,COLUMN($O$1),FALSE)*VLOOKUP($D231,素材!$1:$1016,COLUMN($E$1),FALSE)/(LEN(VLOOKUP($D231,素材!$1:$1016,COLUMN($F$1),FALSE))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H231">
        <f>IF(ISNUMBER(SEARCH(SUBSTITUTE(AH$1,RIGHT(AH$1,2),""),VLOOKUP($D231,素材!$1:$1016,COLUMN($F$1),FALSE))),VLOOKUP($C231,武器!$1:$998,COLUMN($O$1),FALSE)*VLOOKUP($D231,素材!$1:$1016,COLUMN($E$1),FALSE)/(LEN(VLOOKUP($D231,素材!$1:$1016,COLUMN($F$1),FALSE))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I231">
        <f>IF(ISNUMBER(SEARCH(SUBSTITUTE(AI$1,RIGHT(AI$1,2),""),VLOOKUP($D231,素材!$1:$1016,COLUMN($F$1),FALSE))),VLOOKUP($C231,武器!$1:$998,COLUMN($O$1),FALSE)*VLOOKUP($D231,素材!$1:$1016,COLUMN($E$1),FALSE)/(LEN(VLOOKUP($D231,素材!$1:$1016,COLUMN($F$1),FALSE))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J231">
        <f>IF(ISNUMBER(SEARCH(SUBSTITUTE(AJ$1,RIGHT(AJ$1,2),""),VLOOKUP($D231,素材!$1:$1016,COLUMN($F$1),FALSE))),VLOOKUP($C231,武器!$1:$998,COLUMN($O$1),FALSE)*VLOOKUP($D231,素材!$1:$1016,COLUMN($E$1),FALSE)/(LEN(VLOOKUP($D231,素材!$1:$1016,COLUMN($F$1),FALSE))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K231">
        <f>IF(ISNUMBER(SEARCH(SUBSTITUTE(AK$1,RIGHT(AK$1,2),""),VLOOKUP($D231,素材!$1:$1016,COLUMN($F$1),FALSE))),VLOOKUP($C231,武器!$1:$998,COLUMN($O$1),FALSE)*VLOOKUP($D231,素材!$1:$1016,COLUMN($E$1),FALSE)/(LEN(VLOOKUP($D231,素材!$1:$1016,COLUMN($F$1),FALSE))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L231">
        <f>IF(ISNUMBER(SEARCH(SUBSTITUTE(AL$1,RIGHT(AL$1,2),""),VLOOKUP($D231,素材!$1:$1016,COLUMN($F$1),FALSE))),VLOOKUP($C231,武器!$1:$998,COLUMN($O$1),FALSE)*VLOOKUP($D231,素材!$1:$1016,COLUMN($E$1),FALSE)/(LEN(VLOOKUP($D231,素材!$1:$1016,COLUMN($F$1),FALSE))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M231">
        <f>IF(ISNUMBER(SEARCH(SUBSTITUTE(AM$1,RIGHT(AM$1,2),""),VLOOKUP($D231,素材!$1:$1016,COLUMN($F$1),FALSE))),VLOOKUP($C231,武器!$1:$998,COLUMN($O$1),FALSE)*VLOOKUP($D231,素材!$1:$1016,COLUMN($E$1),FALSE)/(LEN(VLOOKUP($D231,素材!$1:$1016,COLUMN($F$1),FALSE))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N231">
        <f>IF(ISNUMBER(SEARCH(SUBSTITUTE(AN$1,RIGHT(AN$1,2),""),VLOOKUP($D231,素材!$1:$1016,COLUMN($F$1),FALSE))),VLOOKUP($C231,武器!$1:$998,COLUMN($O$1),FALSE)*VLOOKUP($D231,素材!$1:$1016,COLUMN($E$1),FALSE)/(LEN(VLOOKUP($D231,素材!$1:$1016,COLUMN($F$1),FALSE))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O231">
        <f>IF(ISNUMBER(SEARCH(SUBSTITUTE(AO$1,RIGHT(AO$1,2),""),VLOOKUP($D231,素材!$1:$1016,COLUMN($F$1),FALSE))),VLOOKUP($C231,武器!$1:$998,COLUMN($O$1),FALSE)*VLOOKUP($D231,素材!$1:$1016,COLUMN($E$1),FALSE)/(LEN(VLOOKUP($D231,素材!$1:$1016,COLUMN($F$1),FALSE))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P231">
        <f>IF(ISNUMBER(SEARCH(SUBSTITUTE(AP$1,RIGHT(AP$1,2),""),VLOOKUP($D231,素材!$1:$1016,COLUMN($F$1),FALSE))),VLOOKUP($C231,武器!$1:$998,COLUMN($O$1),FALSE)*VLOOKUP($D231,素材!$1:$1016,COLUMN($E$1),FALSE)/(LEN(VLOOKUP($D231,素材!$1:$1016,COLUMN($F$1),FALSE))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Q231">
        <f>IF(ISNUMBER(SEARCH(SUBSTITUTE(AQ$1,RIGHT(AQ$1,2),""),VLOOKUP($D231,素材!$1:$1016,COLUMN($F$1),FALSE))),VLOOKUP($C231,武器!$1:$998,COLUMN($O$1),FALSE)*VLOOKUP($D231,素材!$1:$1016,COLUMN($E$1),FALSE)/(LEN(VLOOKUP($D231,素材!$1:$1016,COLUMN($F$1),FALSE))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R231">
        <f>IF(ISNUMBER(SEARCH(SUBSTITUTE(AR$1,RIGHT(AR$1,2),""),VLOOKUP($D231,素材!$1:$1016,COLUMN($F$1),FALSE))),VLOOKUP($C231,武器!$1:$998,COLUMN($O$1),FALSE)*VLOOKUP($D231,素材!$1:$1016,COLUMN($E$1),FALSE)/(LEN(VLOOKUP($D231,素材!$1:$1016,COLUMN($F$1),FALSE))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S231">
        <f>IF(ISNUMBER(SEARCH(SUBSTITUTE(AS$1,RIGHT(AS$1,2),""),VLOOKUP($D231,素材!$1:$1016,COLUMN($F$1),FALSE))),VLOOKUP($C231,武器!$1:$998,COLUMN($O$1),FALSE)*VLOOKUP($D231,素材!$1:$1016,COLUMN($E$1),FALSE)/(LEN(VLOOKUP($D231,素材!$1:$1016,COLUMN($F$1),FALSE))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T231">
        <f>IF(ISNUMBER(SEARCH(SUBSTITUTE(AT$1,RIGHT(AT$1,2),""),VLOOKUP($D231,素材!$1:$1016,COLUMN($F$1),FALSE))),VLOOKUP($C231,武器!$1:$998,COLUMN($O$1),FALSE)*VLOOKUP($D231,素材!$1:$1016,COLUMN($E$1),FALSE)/(LEN(VLOOKUP($D231,素材!$1:$1016,COLUMN($F$1),FALSE))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U231">
        <f>IF(ISNUMBER(SEARCH(SUBSTITUTE(AU$1,RIGHT(AU$1,2),""),VLOOKUP($D231,素材!$1:$1016,COLUMN($F$1),FALSE))),VLOOKUP($C231,武器!$1:$998,COLUMN($O$1),FALSE)*VLOOKUP($D231,素材!$1:$1016,COLUMN($E$1),FALSE)/(LEN(VLOOKUP($D231,素材!$1:$1016,COLUMN($F$1),FALSE))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V231">
        <f>IF(ISNUMBER(SEARCH(SUBSTITUTE(AV$1,RIGHT(AV$1,2),""),VLOOKUP($D231,素材!$1:$1016,COLUMN($F$1),FALSE))),VLOOKUP($C231,武器!$1:$998,COLUMN($O$1),FALSE)*VLOOKUP($D231,素材!$1:$1016,COLUMN($E$1),FALSE)/(LEN(VLOOKUP($D231,素材!$1:$1016,COLUMN($F$1),FALSE))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W231">
        <f>IF(ISNUMBER(SEARCH(SUBSTITUTE(AW$1,RIGHT(AW$1,2),""),VLOOKUP($D231,素材!$1:$1016,COLUMN($F$1),FALSE))),VLOOKUP($C231,武器!$1:$998,COLUMN($O$1),FALSE)*VLOOKUP($D231,素材!$1:$1016,COLUMN($E$1),FALSE)/(LEN(VLOOKUP($D231,素材!$1:$1016,COLUMN($F$1),FALSE))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X231">
        <f>IF(ISNUMBER(SEARCH(SUBSTITUTE(AX$1,RIGHT(AX$1,2),""),VLOOKUP($D231,素材!$1:$1016,COLUMN($F$1),FALSE))),VLOOKUP($C231,武器!$1:$998,COLUMN($O$1),FALSE)*VLOOKUP($D231,素材!$1:$1016,COLUMN($E$1),FALSE)/(LEN(VLOOKUP($D231,素材!$1:$1016,COLUMN($F$1),FALSE))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Y231">
        <f>IF(ISNUMBER(SEARCH(SUBSTITUTE(AY$1,RIGHT(AY$1,2),""),VLOOKUP($D231,素材!$1:$1016,COLUMN($F$1),FALSE))),VLOOKUP($C231,武器!$1:$998,COLUMN($O$1),FALSE)*VLOOKUP($D231,素材!$1:$1016,COLUMN($E$1),FALSE)/(LEN(VLOOKUP($D231,素材!$1:$1016,COLUMN($F$1),FALSE))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AZ231">
        <f>IF(ISNUMBER(SEARCH(SUBSTITUTE(AZ$1,RIGHT(AZ$1,2),""),VLOOKUP($D231,素材!$1:$1016,COLUMN($F$1),FALSE))),VLOOKUP($C231,武器!$1:$998,COLUMN($O$1),FALSE)*VLOOKUP($D231,素材!$1:$1016,COLUMN($E$1),FALSE)/(LEN(VLOOKUP($D231,素材!$1:$1016,COLUMN($F$1),FALSE))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BA231">
        <f>IF(ISNUMBER(SEARCH(SUBSTITUTE(BA$1,RIGHT(BA$1,2),""),VLOOKUP($D231,素材!$1:$1016,COLUMN($F$1),FALSE))),VLOOKUP($C231,武器!$1:$998,COLUMN($O$1),FALSE)*VLOOKUP($D231,素材!$1:$1016,COLUMN($E$1),FALSE)/(LEN(VLOOKUP($D231,素材!$1:$1016,COLUMN($F$1),FALSE))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BB231">
        <f>IF(ISNUMBER(SEARCH(SUBSTITUTE(BB$1,RIGHT(BB$1,2),""),VLOOKUP($D231,素材!$1:$1016,COLUMN($F$1),FALSE))),VLOOKUP($C231,武器!$1:$998,COLUMN($O$1),FALSE)*VLOOKUP($D231,素材!$1:$1016,COLUMN($E$1),FALSE)/(LEN(VLOOKUP($D231,素材!$1:$1016,COLUMN($F$1),FALSE))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BC231">
        <f>IF(ISNUMBER(SEARCH(SUBSTITUTE(BC$1,RIGHT(BC$1,2),""),VLOOKUP($D231,素材!$1:$1016,COLUMN($F$1),FALSE))),VLOOKUP($C231,武器!$1:$998,COLUMN($O$1),FALSE)*VLOOKUP($D231,素材!$1:$1016,COLUMN($E$1),FALSE)/(LEN(VLOOKUP($D231,素材!$1:$1016,COLUMN($F$1),FALSE))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BD231">
        <f>IF(ISNUMBER(SEARCH(SUBSTITUTE(BD$1,RIGHT(BD$1,2),""),VLOOKUP($D231,素材!$1:$1016,COLUMN($F$1),FALSE))),VLOOKUP($C231,武器!$1:$998,COLUMN($O$1),FALSE)*VLOOKUP($D231,素材!$1:$1016,COLUMN($E$1),FALSE)/(LEN(VLOOKUP($D231,素材!$1:$1016,COLUMN($F$1),FALSE))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BE231">
        <f>IF(ISNUMBER(SEARCH(SUBSTITUTE(BE$1,RIGHT(BE$1,2),""),VLOOKUP($D231,素材!$1:$1016,COLUMN($F$1),FALSE))),VLOOKUP($C231,武器!$1:$998,COLUMN($O$1),FALSE)*VLOOKUP($D231,素材!$1:$1016,COLUMN($E$1),FALSE)/(LEN(VLOOKUP($D231,素材!$1:$1016,COLUMN($F$1),FALSE))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BF231">
        <f>IF(ISNUMBER(SEARCH(SUBSTITUTE(BF$1,RIGHT(BF$1,2),""),VLOOKUP($D231,素材!$1:$1016,COLUMN($F$1),FALSE))),VLOOKUP($C231,武器!$1:$998,COLUMN($O$1),FALSE)*VLOOKUP($D231,素材!$1:$1016,COLUMN($E$1),FALSE)/(LEN(VLOOKUP($D231,素材!$1:$1016,COLUMN($F$1),FALSE)) - LEN(SUBSTITUTE(VLOOKUP($D231,素材!$1:$1016,COLUMN($F$1),FALSE), "・", 0)) + 1), 0)</f>
        <v>0</v>
      </c>
      <c r="CM231">
        <f t="shared" si="31"/>
        <v>23</v>
      </c>
      <c r="CN231" s="22" t="str">
        <f>IF(E231="武器",IF(J231-1&gt;SUM(G231:I231),"盾",IF(MAX(G231:I231)=G231,"切断",IF(MAX(G231:I231)=H231,"貫通",IF(MAX(G231:I231)=I231,"打撃","射撃")))),E231)&amp;".webp"</f>
        <v>切断.webp</v>
      </c>
      <c r="CO231">
        <f>IFERROR(VLOOKUP($C231,武器!$1:$998,COLUMN(V$1),FALSE)*VLOOKUP($D231,素材!$1:$1016,COLUMN(N$1),FALSE)+IF(CJ231="",0,VLOOKUP($CJ231,装強!$1:$1008,COLUMN($CL$1),FALSE)),"")</f>
        <v>3000</v>
      </c>
      <c r="CP231">
        <f>VLOOKUP(D231,素材!$A:$O,COLUMN(素材!O$1),FALSE)</f>
        <v>0</v>
      </c>
      <c r="CQ231" t="str">
        <f>VLOOKUP(C231,武器!$A:$W,COLUMN(武器!W$1),FALSE)</f>
        <v>幅の広い剣。扱いにくいが攻撃と防御にも優れている。状況に合わせて立ち回ろう。</v>
      </c>
      <c r="CS231" t="str">
        <f t="shared" si="32"/>
        <v>e_231</v>
      </c>
      <c r="CT231">
        <f t="shared" si="33"/>
        <v>300000</v>
      </c>
    </row>
    <row r="232" spans="1:98" outlineLevel="1" x14ac:dyDescent="0.4">
      <c r="A232" t="str">
        <f t="shared" si="34"/>
        <v>熱鉄の長剣</v>
      </c>
      <c r="B232" t="str">
        <f>IFERROR(VLOOKUP($D232,素材!$1:$1016,COLUMN($B$1),FALSE)&amp;"・"&amp;VLOOKUP($C232,武器!$1:$998,COLUMN(B$1),FALSE),"")</f>
        <v>ヒートスティール・ロングソード</v>
      </c>
      <c r="C232" s="24" t="s">
        <v>238</v>
      </c>
      <c r="D232" s="24" t="s">
        <v>205</v>
      </c>
      <c r="E232" t="str">
        <f>IFERROR(VLOOKUP(C232,武器!$1:$998,COLUMN(C$1),FALSE),"")</f>
        <v>武器</v>
      </c>
      <c r="F232">
        <f>IFERROR(ROUNDDOWN((VLOOKUP($C232,武器!$1:$998,COLUMN(D$1),FALSE)+IFERROR(VLOOKUP($CJ232,装強!$1:$999,COLUMN(F$1),FALSE),0))*VLOOKUP($D232,素材!$1:$1016,COLUMN(D$1),FALSE),0),"")</f>
        <v>115</v>
      </c>
      <c r="G232">
        <f>IFERROR(ROUNDDOWN((VLOOKUP($C232,武器!$1:$998,COLUMN(E$1),FALSE)+IFERROR(VLOOKUP($CJ232,装強!$1:$999,COLUMN(G$1),FALSE),0))*VLOOKUP($D232,素材!$1:$1016,COLUMN($E$1),FALSE),0),"")</f>
        <v>15</v>
      </c>
      <c r="H232">
        <f>IFERROR(ROUNDDOWN((VLOOKUP($C232,武器!$1:$998,COLUMN(F$1),FALSE)+IFERROR(VLOOKUP($CJ232,装強!$1:$999,COLUMN(H$1),FALSE),0))*VLOOKUP($D232,素材!$1:$1016,COLUMN($E$1),FALSE),0),"")</f>
        <v>9</v>
      </c>
      <c r="I232">
        <f>IFERROR(ROUNDDOWN((VLOOKUP($C232,武器!$1:$998,COLUMN(G$1),FALSE)+IFERROR(VLOOKUP($CJ232,装強!$1:$999,COLUMN(I$1),FALSE),0))*VLOOKUP($D232,素材!$1:$1016,COLUMN($E$1),FALSE),0),"")</f>
        <v>3</v>
      </c>
      <c r="J232">
        <f>IFERROR(ROUNDDOWN((VLOOKUP($C232,武器!$1:$998,COLUMN(H$1),FALSE)+IFERROR(VLOOKUP($CJ232,装強!$1:$999,COLUMN(J$1),FALSE),0))*VLOOKUP($D232,素材!$1:$1016,COLUMN($E$1),FALSE),0),"")</f>
        <v>20</v>
      </c>
      <c r="K232">
        <f>IFERROR(ROUNDDOWN((VLOOKUP($C232,武器!$1:$998,COLUMN(I$1),FALSE)+IFERROR(VLOOKUP($CJ232,装強!$1:$999,COLUMN(K$1),FALSE),0))*VLOOKUP($D232,素材!$1:$1016,COLUMN($E$1),FALSE),0),"")</f>
        <v>0</v>
      </c>
      <c r="L232" t="str">
        <f>IFERROR(VLOOKUP($D232,素材!$1:$1016,COLUMN($F$1),FALSE),"")</f>
        <v>炎</v>
      </c>
      <c r="M232">
        <f>IFERROR(VLOOKUP($C232,武器!$1:$998,COLUMN(AA$1),FALSE)*VLOOKUP($D232,素材!$1:$1016,COLUMN($G$1),FALSE),"")</f>
        <v>47.25</v>
      </c>
      <c r="N232">
        <f>IFERROR(VLOOKUP($C232,武器!$1:$998,COLUMN(I$1),FALSE),"")</f>
        <v>0</v>
      </c>
      <c r="O232" s="23">
        <f>IFERROR((VLOOKUP($C232,武器!$1:$998,COLUMN(K$1),FALSE)+VLOOKUP($D232,素材!$1:$1016,COLUMN(H$1),FALSE))*100+IFERROR(VLOOKUP($CJ232,装強!$1:$999,COLUMN(O$1),FALSE),0),"")</f>
        <v>10</v>
      </c>
      <c r="P232" s="23">
        <f>IFERROR((VLOOKUP($C232,武器!$1:$998,COLUMN(L$1),FALSE)+VLOOKUP($D232,素材!$1:$1016,COLUMN(I$1),FALSE))*100+IFERROR(VLOOKUP($CJ232,装強!$1:$999,COLUMN(P$1),FALSE),0),"")</f>
        <v>150</v>
      </c>
      <c r="Q232">
        <f>IFERROR(ROUNDUP(VLOOKUP($C232,武器!$1:$998,COLUMN(M$1),FALSE)*(VLOOKUP($D232,素材!$1:$1002,COLUMN(D$1),FALSE)/100),1),"")</f>
        <v>-2.5</v>
      </c>
      <c r="R232">
        <f>IFERROR(ROUNDUP(VLOOKUP($C232,武器!$1:$998,COLUMN(N$1),FALSE)*(VLOOKUP($D232,素材!$1:$1002,COLUMN(D$1),FALSE)/100),1),"")</f>
        <v>-2.5</v>
      </c>
      <c r="S232">
        <f>IFERROR(VLOOKUP($C232,武器!$1:$998,COLUMN(P$1),FALSE),"")</f>
        <v>0</v>
      </c>
      <c r="T232">
        <f>IFERROR(VLOOKUP($C232,武器!$1:$998,COLUMN(Q$1),FALSE),"")</f>
        <v>0</v>
      </c>
      <c r="U232">
        <f>IFERROR(VLOOKUP($C232,武器!$1:$998,COLUMN(R$1),FALSE),"")</f>
        <v>0</v>
      </c>
      <c r="V232">
        <f>IFERROR(VLOOKUP($C232,武器!$1:$998,COLUMN(Q$1),FALSE),"")</f>
        <v>0</v>
      </c>
      <c r="W232" t="str">
        <f>IFERROR(VLOOKUP($C232,武器!$1:$998,COLUMN(T$1),FALSE),"")</f>
        <v>A</v>
      </c>
      <c r="Y232">
        <f>IFERROR(VLOOKUP($C232,武器!$1:$998,COLUMN(U$1),FALSE),"")</f>
        <v>0</v>
      </c>
      <c r="Z232">
        <f>IFERROR(ROUNDUP(VLOOKUP($C232,武器!$1:$998,COLUMN(O$1),FALSE)*VLOOKUP($D232,素材!$1:$1016,COLUMN(E$1),FALSE),1),"")</f>
        <v>0</v>
      </c>
      <c r="AA232">
        <f>IF(ISNUMBER(SEARCH(SUBSTITUTE(AA$1,RIGHT(AA$1,2),""),VLOOKUP($D232,素材!$1:$1016,COLUMN($F$1),FALSE))),VLOOKUP($C232,武器!$1:$998,COLUMN($O$1),FALSE)*VLOOKUP($D232,素材!$1:$1016,COLUMN($E$1),FALSE)/(LEN(VLOOKUP($D232,素材!$1:$1016,COLUMN($F$1),FALSE))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B232">
        <f>IF(ISNUMBER(SEARCH(SUBSTITUTE(AB$1,RIGHT(AB$1,2),""),VLOOKUP($D232,素材!$1:$1016,COLUMN($F$1),FALSE))),VLOOKUP($C232,武器!$1:$998,COLUMN($O$1),FALSE)*VLOOKUP($D232,素材!$1:$1016,COLUMN($E$1),FALSE)/(LEN(VLOOKUP($D232,素材!$1:$1016,COLUMN($F$1),FALSE))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C232">
        <f>IF(ISNUMBER(SEARCH(SUBSTITUTE(AC$1,RIGHT(AC$1,2),""),VLOOKUP($D232,素材!$1:$1016,COLUMN($F$1),FALSE))),VLOOKUP($C232,武器!$1:$998,COLUMN($O$1),FALSE)*VLOOKUP($D232,素材!$1:$1016,COLUMN($E$1),FALSE)/(LEN(VLOOKUP($D232,素材!$1:$1016,COLUMN($F$1),FALSE))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D232">
        <f>IF(ISNUMBER(SEARCH(SUBSTITUTE(AD$1,RIGHT(AD$1,2),""),VLOOKUP($D232,素材!$1:$1016,COLUMN($F$1),FALSE))),VLOOKUP($C232,武器!$1:$998,COLUMN($O$1),FALSE)*VLOOKUP($D232,素材!$1:$1016,COLUMN($E$1),FALSE)/(LEN(VLOOKUP($D232,素材!$1:$1016,COLUMN($F$1),FALSE))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E232">
        <f>IF(ISNUMBER(SEARCH(SUBSTITUTE(AE$1,RIGHT(AE$1,2),""),VLOOKUP($D232,素材!$1:$1016,COLUMN($F$1),FALSE))),VLOOKUP($C232,武器!$1:$998,COLUMN($O$1),FALSE)*VLOOKUP($D232,素材!$1:$1016,COLUMN($E$1),FALSE)/(LEN(VLOOKUP($D232,素材!$1:$1016,COLUMN($F$1),FALSE))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F232">
        <f>IF(ISNUMBER(SEARCH(SUBSTITUTE(AF$1,RIGHT(AF$1,2),""),VLOOKUP($D232,素材!$1:$1016,COLUMN($F$1),FALSE))),VLOOKUP($C232,武器!$1:$998,COLUMN($O$1),FALSE)*VLOOKUP($D232,素材!$1:$1016,COLUMN($E$1),FALSE)/(LEN(VLOOKUP($D232,素材!$1:$1016,COLUMN($F$1),FALSE))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G232">
        <f>IF(ISNUMBER(SEARCH(SUBSTITUTE(AG$1,RIGHT(AG$1,2),""),VLOOKUP($D232,素材!$1:$1016,COLUMN($F$1),FALSE))),VLOOKUP($C232,武器!$1:$998,COLUMN($O$1),FALSE)*VLOOKUP($D232,素材!$1:$1016,COLUMN($E$1),FALSE)/(LEN(VLOOKUP($D232,素材!$1:$1016,COLUMN($F$1),FALSE))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H232">
        <f>IF(ISNUMBER(SEARCH(SUBSTITUTE(AH$1,RIGHT(AH$1,2),""),VLOOKUP($D232,素材!$1:$1016,COLUMN($F$1),FALSE))),VLOOKUP($C232,武器!$1:$998,COLUMN($O$1),FALSE)*VLOOKUP($D232,素材!$1:$1016,COLUMN($E$1),FALSE)/(LEN(VLOOKUP($D232,素材!$1:$1016,COLUMN($F$1),FALSE))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I232">
        <f>IF(ISNUMBER(SEARCH(SUBSTITUTE(AI$1,RIGHT(AI$1,2),""),VLOOKUP($D232,素材!$1:$1016,COLUMN($F$1),FALSE))),VLOOKUP($C232,武器!$1:$998,COLUMN($O$1),FALSE)*VLOOKUP($D232,素材!$1:$1016,COLUMN($E$1),FALSE)/(LEN(VLOOKUP($D232,素材!$1:$1016,COLUMN($F$1),FALSE))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J232">
        <f>IF(ISNUMBER(SEARCH(SUBSTITUTE(AJ$1,RIGHT(AJ$1,2),""),VLOOKUP($D232,素材!$1:$1016,COLUMN($F$1),FALSE))),VLOOKUP($C232,武器!$1:$998,COLUMN($O$1),FALSE)*VLOOKUP($D232,素材!$1:$1016,COLUMN($E$1),FALSE)/(LEN(VLOOKUP($D232,素材!$1:$1016,COLUMN($F$1),FALSE))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K232">
        <f>IF(ISNUMBER(SEARCH(SUBSTITUTE(AK$1,RIGHT(AK$1,2),""),VLOOKUP($D232,素材!$1:$1016,COLUMN($F$1),FALSE))),VLOOKUP($C232,武器!$1:$998,COLUMN($O$1),FALSE)*VLOOKUP($D232,素材!$1:$1016,COLUMN($E$1),FALSE)/(LEN(VLOOKUP($D232,素材!$1:$1016,COLUMN($F$1),FALSE))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L232">
        <f>IF(ISNUMBER(SEARCH(SUBSTITUTE(AL$1,RIGHT(AL$1,2),""),VLOOKUP($D232,素材!$1:$1016,COLUMN($F$1),FALSE))),VLOOKUP($C232,武器!$1:$998,COLUMN($O$1),FALSE)*VLOOKUP($D232,素材!$1:$1016,COLUMN($E$1),FALSE)/(LEN(VLOOKUP($D232,素材!$1:$1016,COLUMN($F$1),FALSE))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M232">
        <f>IF(ISNUMBER(SEARCH(SUBSTITUTE(AM$1,RIGHT(AM$1,2),""),VLOOKUP($D232,素材!$1:$1016,COLUMN($F$1),FALSE))),VLOOKUP($C232,武器!$1:$998,COLUMN($O$1),FALSE)*VLOOKUP($D232,素材!$1:$1016,COLUMN($E$1),FALSE)/(LEN(VLOOKUP($D232,素材!$1:$1016,COLUMN($F$1),FALSE))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N232">
        <f>IF(ISNUMBER(SEARCH(SUBSTITUTE(AN$1,RIGHT(AN$1,2),""),VLOOKUP($D232,素材!$1:$1016,COLUMN($F$1),FALSE))),VLOOKUP($C232,武器!$1:$998,COLUMN($O$1),FALSE)*VLOOKUP($D232,素材!$1:$1016,COLUMN($E$1),FALSE)/(LEN(VLOOKUP($D232,素材!$1:$1016,COLUMN($F$1),FALSE))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O232">
        <f>IF(ISNUMBER(SEARCH(SUBSTITUTE(AO$1,RIGHT(AO$1,2),""),VLOOKUP($D232,素材!$1:$1016,COLUMN($F$1),FALSE))),VLOOKUP($C232,武器!$1:$998,COLUMN($O$1),FALSE)*VLOOKUP($D232,素材!$1:$1016,COLUMN($E$1),FALSE)/(LEN(VLOOKUP($D232,素材!$1:$1016,COLUMN($F$1),FALSE))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P232">
        <f>IF(ISNUMBER(SEARCH(SUBSTITUTE(AP$1,RIGHT(AP$1,2),""),VLOOKUP($D232,素材!$1:$1016,COLUMN($F$1),FALSE))),VLOOKUP($C232,武器!$1:$998,COLUMN($O$1),FALSE)*VLOOKUP($D232,素材!$1:$1016,COLUMN($E$1),FALSE)/(LEN(VLOOKUP($D232,素材!$1:$1016,COLUMN($F$1),FALSE))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Q232">
        <f>IF(ISNUMBER(SEARCH(SUBSTITUTE(AQ$1,RIGHT(AQ$1,2),""),VLOOKUP($D232,素材!$1:$1016,COLUMN($F$1),FALSE))),VLOOKUP($C232,武器!$1:$998,COLUMN($O$1),FALSE)*VLOOKUP($D232,素材!$1:$1016,COLUMN($E$1),FALSE)/(LEN(VLOOKUP($D232,素材!$1:$1016,COLUMN($F$1),FALSE))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R232">
        <f>IF(ISNUMBER(SEARCH(SUBSTITUTE(AR$1,RIGHT(AR$1,2),""),VLOOKUP($D232,素材!$1:$1016,COLUMN($F$1),FALSE))),VLOOKUP($C232,武器!$1:$998,COLUMN($O$1),FALSE)*VLOOKUP($D232,素材!$1:$1016,COLUMN($E$1),FALSE)/(LEN(VLOOKUP($D232,素材!$1:$1016,COLUMN($F$1),FALSE))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S232">
        <f>IF(ISNUMBER(SEARCH(SUBSTITUTE(AS$1,RIGHT(AS$1,2),""),VLOOKUP($D232,素材!$1:$1016,COLUMN($F$1),FALSE))),VLOOKUP($C232,武器!$1:$998,COLUMN($O$1),FALSE)*VLOOKUP($D232,素材!$1:$1016,COLUMN($E$1),FALSE)/(LEN(VLOOKUP($D232,素材!$1:$1016,COLUMN($F$1),FALSE))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T232">
        <f>IF(ISNUMBER(SEARCH(SUBSTITUTE(AT$1,RIGHT(AT$1,2),""),VLOOKUP($D232,素材!$1:$1016,COLUMN($F$1),FALSE))),VLOOKUP($C232,武器!$1:$998,COLUMN($O$1),FALSE)*VLOOKUP($D232,素材!$1:$1016,COLUMN($E$1),FALSE)/(LEN(VLOOKUP($D232,素材!$1:$1016,COLUMN($F$1),FALSE))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U232">
        <f>IF(ISNUMBER(SEARCH(SUBSTITUTE(AU$1,RIGHT(AU$1,2),""),VLOOKUP($D232,素材!$1:$1016,COLUMN($F$1),FALSE))),VLOOKUP($C232,武器!$1:$998,COLUMN($O$1),FALSE)*VLOOKUP($D232,素材!$1:$1016,COLUMN($E$1),FALSE)/(LEN(VLOOKUP($D232,素材!$1:$1016,COLUMN($F$1),FALSE))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V232">
        <f>IF(ISNUMBER(SEARCH(SUBSTITUTE(AV$1,RIGHT(AV$1,2),""),VLOOKUP($D232,素材!$1:$1016,COLUMN($F$1),FALSE))),VLOOKUP($C232,武器!$1:$998,COLUMN($O$1),FALSE)*VLOOKUP($D232,素材!$1:$1016,COLUMN($E$1),FALSE)/(LEN(VLOOKUP($D232,素材!$1:$1016,COLUMN($F$1),FALSE))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W232">
        <f>IF(ISNUMBER(SEARCH(SUBSTITUTE(AW$1,RIGHT(AW$1,2),""),VLOOKUP($D232,素材!$1:$1016,COLUMN($F$1),FALSE))),VLOOKUP($C232,武器!$1:$998,COLUMN($O$1),FALSE)*VLOOKUP($D232,素材!$1:$1016,COLUMN($E$1),FALSE)/(LEN(VLOOKUP($D232,素材!$1:$1016,COLUMN($F$1),FALSE))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X232">
        <f>IF(ISNUMBER(SEARCH(SUBSTITUTE(AX$1,RIGHT(AX$1,2),""),VLOOKUP($D232,素材!$1:$1016,COLUMN($F$1),FALSE))),VLOOKUP($C232,武器!$1:$998,COLUMN($O$1),FALSE)*VLOOKUP($D232,素材!$1:$1016,COLUMN($E$1),FALSE)/(LEN(VLOOKUP($D232,素材!$1:$1016,COLUMN($F$1),FALSE))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Y232">
        <f>IF(ISNUMBER(SEARCH(SUBSTITUTE(AY$1,RIGHT(AY$1,2),""),VLOOKUP($D232,素材!$1:$1016,COLUMN($F$1),FALSE))),VLOOKUP($C232,武器!$1:$998,COLUMN($O$1),FALSE)*VLOOKUP($D232,素材!$1:$1016,COLUMN($E$1),FALSE)/(LEN(VLOOKUP($D232,素材!$1:$1016,COLUMN($F$1),FALSE))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AZ232">
        <f>IF(ISNUMBER(SEARCH(SUBSTITUTE(AZ$1,RIGHT(AZ$1,2),""),VLOOKUP($D232,素材!$1:$1016,COLUMN($F$1),FALSE))),VLOOKUP($C232,武器!$1:$998,COLUMN($O$1),FALSE)*VLOOKUP($D232,素材!$1:$1016,COLUMN($E$1),FALSE)/(LEN(VLOOKUP($D232,素材!$1:$1016,COLUMN($F$1),FALSE))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BA232">
        <f>IF(ISNUMBER(SEARCH(SUBSTITUTE(BA$1,RIGHT(BA$1,2),""),VLOOKUP($D232,素材!$1:$1016,COLUMN($F$1),FALSE))),VLOOKUP($C232,武器!$1:$998,COLUMN($O$1),FALSE)*VLOOKUP($D232,素材!$1:$1016,COLUMN($E$1),FALSE)/(LEN(VLOOKUP($D232,素材!$1:$1016,COLUMN($F$1),FALSE))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BB232">
        <f>IF(ISNUMBER(SEARCH(SUBSTITUTE(BB$1,RIGHT(BB$1,2),""),VLOOKUP($D232,素材!$1:$1016,COLUMN($F$1),FALSE))),VLOOKUP($C232,武器!$1:$998,COLUMN($O$1),FALSE)*VLOOKUP($D232,素材!$1:$1016,COLUMN($E$1),FALSE)/(LEN(VLOOKUP($D232,素材!$1:$1016,COLUMN($F$1),FALSE))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BC232">
        <f>IF(ISNUMBER(SEARCH(SUBSTITUTE(BC$1,RIGHT(BC$1,2),""),VLOOKUP($D232,素材!$1:$1016,COLUMN($F$1),FALSE))),VLOOKUP($C232,武器!$1:$998,COLUMN($O$1),FALSE)*VLOOKUP($D232,素材!$1:$1016,COLUMN($E$1),FALSE)/(LEN(VLOOKUP($D232,素材!$1:$1016,COLUMN($F$1),FALSE))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BD232">
        <f>IF(ISNUMBER(SEARCH(SUBSTITUTE(BD$1,RIGHT(BD$1,2),""),VLOOKUP($D232,素材!$1:$1016,COLUMN($F$1),FALSE))),VLOOKUP($C232,武器!$1:$998,COLUMN($O$1),FALSE)*VLOOKUP($D232,素材!$1:$1016,COLUMN($E$1),FALSE)/(LEN(VLOOKUP($D232,素材!$1:$1016,COLUMN($F$1),FALSE))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BE232">
        <f>IF(ISNUMBER(SEARCH(SUBSTITUTE(BE$1,RIGHT(BE$1,2),""),VLOOKUP($D232,素材!$1:$1016,COLUMN($F$1),FALSE))),VLOOKUP($C232,武器!$1:$998,COLUMN($O$1),FALSE)*VLOOKUP($D232,素材!$1:$1016,COLUMN($E$1),FALSE)/(LEN(VLOOKUP($D232,素材!$1:$1016,COLUMN($F$1),FALSE))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BF232">
        <f>IF(ISNUMBER(SEARCH(SUBSTITUTE(BF$1,RIGHT(BF$1,2),""),VLOOKUP($D232,素材!$1:$1016,COLUMN($F$1),FALSE))),VLOOKUP($C232,武器!$1:$998,COLUMN($O$1),FALSE)*VLOOKUP($D232,素材!$1:$1016,COLUMN($E$1),FALSE)/(LEN(VLOOKUP($D232,素材!$1:$1016,COLUMN($F$1),FALSE)) - LEN(SUBSTITUTE(VLOOKUP($D232,素材!$1:$1016,COLUMN($F$1),FALSE), "・", 0)) + 1), 0)</f>
        <v>0</v>
      </c>
      <c r="CM232">
        <f t="shared" si="31"/>
        <v>27</v>
      </c>
      <c r="CN232" s="22" t="str">
        <f>IF(E232="武器",IF(J232-1&gt;SUM(G232:I232),"盾",IF(MAX(G232:I232)=G232,"切断",IF(MAX(G232:I232)=H232,"貫通",IF(MAX(G232:I232)=I232,"打撃","射撃")))),E232)&amp;".webp"</f>
        <v>切断.webp</v>
      </c>
      <c r="CO232">
        <f>IFERROR(VLOOKUP($C232,武器!$1:$998,COLUMN(V$1),FALSE)*VLOOKUP($D232,素材!$1:$1016,COLUMN(N$1),FALSE)+IF(CJ232="",0,VLOOKUP($CJ232,装強!$1:$1008,COLUMN($CL$1),FALSE)),"")</f>
        <v>3000</v>
      </c>
      <c r="CP232">
        <f>VLOOKUP(D232,素材!$A:$O,COLUMN(素材!O$1),FALSE)</f>
        <v>0</v>
      </c>
      <c r="CQ232" t="str">
        <f>VLOOKUP(C232,武器!$A:$W,COLUMN(武器!W$1),FALSE)</f>
        <v>長剣。長く重い分扱いにくいが威力が高い。</v>
      </c>
      <c r="CS232" t="str">
        <f t="shared" si="32"/>
        <v>e_232</v>
      </c>
      <c r="CT232">
        <f t="shared" si="33"/>
        <v>300000</v>
      </c>
    </row>
    <row r="233" spans="1:98" outlineLevel="1" x14ac:dyDescent="0.4">
      <c r="A233" t="str">
        <f t="shared" si="34"/>
        <v>熱鉄の大剣</v>
      </c>
      <c r="B233" t="str">
        <f>IFERROR(VLOOKUP($D233,素材!$1:$1016,COLUMN($B$1),FALSE)&amp;"・"&amp;VLOOKUP($C233,武器!$1:$998,COLUMN(B$1),FALSE),"")</f>
        <v>ヒートスティール・バスターソード</v>
      </c>
      <c r="C233" s="24" t="s">
        <v>237</v>
      </c>
      <c r="D233" s="24" t="s">
        <v>205</v>
      </c>
      <c r="E233" t="str">
        <f>IFERROR(VLOOKUP(C233,武器!$1:$998,COLUMN(C$1),FALSE),"")</f>
        <v>武器</v>
      </c>
      <c r="F233">
        <f>IFERROR(ROUNDDOWN((VLOOKUP($C233,武器!$1:$998,COLUMN(D$1),FALSE)+IFERROR(VLOOKUP($CJ233,装強!$1:$999,COLUMN(F$1),FALSE),0))*VLOOKUP($D233,素材!$1:$1016,COLUMN(D$1),FALSE),0),"")</f>
        <v>125</v>
      </c>
      <c r="G233">
        <f>IFERROR(ROUNDDOWN((VLOOKUP($C233,武器!$1:$998,COLUMN(E$1),FALSE)+IFERROR(VLOOKUP($CJ233,装強!$1:$999,COLUMN(G$1),FALSE),0))*VLOOKUP($D233,素材!$1:$1016,COLUMN($E$1),FALSE),0),"")</f>
        <v>18</v>
      </c>
      <c r="H233">
        <f>IFERROR(ROUNDDOWN((VLOOKUP($C233,武器!$1:$998,COLUMN(F$1),FALSE)+IFERROR(VLOOKUP($CJ233,装強!$1:$999,COLUMN(H$1),FALSE),0))*VLOOKUP($D233,素材!$1:$1016,COLUMN($E$1),FALSE),0),"")</f>
        <v>9</v>
      </c>
      <c r="I233">
        <f>IFERROR(ROUNDDOWN((VLOOKUP($C233,武器!$1:$998,COLUMN(G$1),FALSE)+IFERROR(VLOOKUP($CJ233,装強!$1:$999,COLUMN(I$1),FALSE),0))*VLOOKUP($D233,素材!$1:$1016,COLUMN($E$1),FALSE),0),"")</f>
        <v>4</v>
      </c>
      <c r="J233">
        <f>IFERROR(ROUNDDOWN((VLOOKUP($C233,武器!$1:$998,COLUMN(H$1),FALSE)+IFERROR(VLOOKUP($CJ233,装強!$1:$999,COLUMN(J$1),FALSE),0))*VLOOKUP($D233,素材!$1:$1016,COLUMN($E$1),FALSE),0),"")</f>
        <v>22</v>
      </c>
      <c r="K233">
        <f>IFERROR(ROUNDDOWN((VLOOKUP($C233,武器!$1:$998,COLUMN(I$1),FALSE)+IFERROR(VLOOKUP($CJ233,装強!$1:$999,COLUMN(K$1),FALSE),0))*VLOOKUP($D233,素材!$1:$1016,COLUMN($E$1),FALSE),0),"")</f>
        <v>0</v>
      </c>
      <c r="L233" t="str">
        <f>IFERROR(VLOOKUP($D233,素材!$1:$1016,COLUMN($F$1),FALSE),"")</f>
        <v>炎</v>
      </c>
      <c r="M233">
        <f>IFERROR(VLOOKUP($C233,武器!$1:$998,COLUMN(AA$1),FALSE)*VLOOKUP($D233,素材!$1:$1016,COLUMN($G$1),FALSE),"")</f>
        <v>54.25</v>
      </c>
      <c r="N233">
        <f>IFERROR(VLOOKUP($C233,武器!$1:$998,COLUMN(I$1),FALSE),"")</f>
        <v>0</v>
      </c>
      <c r="O233" s="23">
        <f>IFERROR((VLOOKUP($C233,武器!$1:$998,COLUMN(K$1),FALSE)+VLOOKUP($D233,素材!$1:$1016,COLUMN(H$1),FALSE))*100+IFERROR(VLOOKUP($CJ233,装強!$1:$999,COLUMN(O$1),FALSE),0),"")</f>
        <v>10</v>
      </c>
      <c r="P233" s="23">
        <f>IFERROR((VLOOKUP($C233,武器!$1:$998,COLUMN(L$1),FALSE)+VLOOKUP($D233,素材!$1:$1016,COLUMN(I$1),FALSE))*100+IFERROR(VLOOKUP($CJ233,装強!$1:$999,COLUMN(P$1),FALSE),0),"")</f>
        <v>150</v>
      </c>
      <c r="Q233">
        <f>IFERROR(ROUNDUP(VLOOKUP($C233,武器!$1:$998,COLUMN(M$1),FALSE)*(VLOOKUP($D233,素材!$1:$1002,COLUMN(D$1),FALSE)/100),1),"")</f>
        <v>-7.5</v>
      </c>
      <c r="R233">
        <f>IFERROR(ROUNDUP(VLOOKUP($C233,武器!$1:$998,COLUMN(N$1),FALSE)*(VLOOKUP($D233,素材!$1:$1002,COLUMN(D$1),FALSE)/100),1),"")</f>
        <v>-7.5</v>
      </c>
      <c r="S233">
        <f>IFERROR(VLOOKUP($C233,武器!$1:$998,COLUMN(P$1),FALSE),"")</f>
        <v>0</v>
      </c>
      <c r="T233">
        <f>IFERROR(VLOOKUP($C233,武器!$1:$998,COLUMN(Q$1),FALSE),"")</f>
        <v>0</v>
      </c>
      <c r="U233">
        <f>IFERROR(VLOOKUP($C233,武器!$1:$998,COLUMN(R$1),FALSE),"")</f>
        <v>0</v>
      </c>
      <c r="V233">
        <f>IFERROR(VLOOKUP($C233,武器!$1:$998,COLUMN(Q$1),FALSE),"")</f>
        <v>0</v>
      </c>
      <c r="W233" t="str">
        <f>IFERROR(VLOOKUP($C233,武器!$1:$998,COLUMN(T$1),FALSE),"")</f>
        <v>A</v>
      </c>
      <c r="Y233">
        <f>IFERROR(VLOOKUP($C233,武器!$1:$998,COLUMN(U$1),FALSE),"")</f>
        <v>0</v>
      </c>
      <c r="Z233">
        <f>IFERROR(ROUNDUP(VLOOKUP($C233,武器!$1:$998,COLUMN(O$1),FALSE)*VLOOKUP($D233,素材!$1:$1016,COLUMN(E$1),FALSE),1),"")</f>
        <v>0</v>
      </c>
      <c r="AA233">
        <f>IF(ISNUMBER(SEARCH(SUBSTITUTE(AA$1,RIGHT(AA$1,2),""),VLOOKUP($D233,素材!$1:$1016,COLUMN($F$1),FALSE))),VLOOKUP($C233,武器!$1:$998,COLUMN($O$1),FALSE)*VLOOKUP($D233,素材!$1:$1016,COLUMN($E$1),FALSE)/(LEN(VLOOKUP($D233,素材!$1:$1016,COLUMN($F$1),FALSE))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B233">
        <f>IF(ISNUMBER(SEARCH(SUBSTITUTE(AB$1,RIGHT(AB$1,2),""),VLOOKUP($D233,素材!$1:$1016,COLUMN($F$1),FALSE))),VLOOKUP($C233,武器!$1:$998,COLUMN($O$1),FALSE)*VLOOKUP($D233,素材!$1:$1016,COLUMN($E$1),FALSE)/(LEN(VLOOKUP($D233,素材!$1:$1016,COLUMN($F$1),FALSE))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C233">
        <f>IF(ISNUMBER(SEARCH(SUBSTITUTE(AC$1,RIGHT(AC$1,2),""),VLOOKUP($D233,素材!$1:$1016,COLUMN($F$1),FALSE))),VLOOKUP($C233,武器!$1:$998,COLUMN($O$1),FALSE)*VLOOKUP($D233,素材!$1:$1016,COLUMN($E$1),FALSE)/(LEN(VLOOKUP($D233,素材!$1:$1016,COLUMN($F$1),FALSE))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D233">
        <f>IF(ISNUMBER(SEARCH(SUBSTITUTE(AD$1,RIGHT(AD$1,2),""),VLOOKUP($D233,素材!$1:$1016,COLUMN($F$1),FALSE))),VLOOKUP($C233,武器!$1:$998,COLUMN($O$1),FALSE)*VLOOKUP($D233,素材!$1:$1016,COLUMN($E$1),FALSE)/(LEN(VLOOKUP($D233,素材!$1:$1016,COLUMN($F$1),FALSE))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E233">
        <f>IF(ISNUMBER(SEARCH(SUBSTITUTE(AE$1,RIGHT(AE$1,2),""),VLOOKUP($D233,素材!$1:$1016,COLUMN($F$1),FALSE))),VLOOKUP($C233,武器!$1:$998,COLUMN($O$1),FALSE)*VLOOKUP($D233,素材!$1:$1016,COLUMN($E$1),FALSE)/(LEN(VLOOKUP($D233,素材!$1:$1016,COLUMN($F$1),FALSE))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F233">
        <f>IF(ISNUMBER(SEARCH(SUBSTITUTE(AF$1,RIGHT(AF$1,2),""),VLOOKUP($D233,素材!$1:$1016,COLUMN($F$1),FALSE))),VLOOKUP($C233,武器!$1:$998,COLUMN($O$1),FALSE)*VLOOKUP($D233,素材!$1:$1016,COLUMN($E$1),FALSE)/(LEN(VLOOKUP($D233,素材!$1:$1016,COLUMN($F$1),FALSE))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G233">
        <f>IF(ISNUMBER(SEARCH(SUBSTITUTE(AG$1,RIGHT(AG$1,2),""),VLOOKUP($D233,素材!$1:$1016,COLUMN($F$1),FALSE))),VLOOKUP($C233,武器!$1:$998,COLUMN($O$1),FALSE)*VLOOKUP($D233,素材!$1:$1016,COLUMN($E$1),FALSE)/(LEN(VLOOKUP($D233,素材!$1:$1016,COLUMN($F$1),FALSE))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H233">
        <f>IF(ISNUMBER(SEARCH(SUBSTITUTE(AH$1,RIGHT(AH$1,2),""),VLOOKUP($D233,素材!$1:$1016,COLUMN($F$1),FALSE))),VLOOKUP($C233,武器!$1:$998,COLUMN($O$1),FALSE)*VLOOKUP($D233,素材!$1:$1016,COLUMN($E$1),FALSE)/(LEN(VLOOKUP($D233,素材!$1:$1016,COLUMN($F$1),FALSE))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I233">
        <f>IF(ISNUMBER(SEARCH(SUBSTITUTE(AI$1,RIGHT(AI$1,2),""),VLOOKUP($D233,素材!$1:$1016,COLUMN($F$1),FALSE))),VLOOKUP($C233,武器!$1:$998,COLUMN($O$1),FALSE)*VLOOKUP($D233,素材!$1:$1016,COLUMN($E$1),FALSE)/(LEN(VLOOKUP($D233,素材!$1:$1016,COLUMN($F$1),FALSE))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J233">
        <f>IF(ISNUMBER(SEARCH(SUBSTITUTE(AJ$1,RIGHT(AJ$1,2),""),VLOOKUP($D233,素材!$1:$1016,COLUMN($F$1),FALSE))),VLOOKUP($C233,武器!$1:$998,COLUMN($O$1),FALSE)*VLOOKUP($D233,素材!$1:$1016,COLUMN($E$1),FALSE)/(LEN(VLOOKUP($D233,素材!$1:$1016,COLUMN($F$1),FALSE))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K233">
        <f>IF(ISNUMBER(SEARCH(SUBSTITUTE(AK$1,RIGHT(AK$1,2),""),VLOOKUP($D233,素材!$1:$1016,COLUMN($F$1),FALSE))),VLOOKUP($C233,武器!$1:$998,COLUMN($O$1),FALSE)*VLOOKUP($D233,素材!$1:$1016,COLUMN($E$1),FALSE)/(LEN(VLOOKUP($D233,素材!$1:$1016,COLUMN($F$1),FALSE))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L233">
        <f>IF(ISNUMBER(SEARCH(SUBSTITUTE(AL$1,RIGHT(AL$1,2),""),VLOOKUP($D233,素材!$1:$1016,COLUMN($F$1),FALSE))),VLOOKUP($C233,武器!$1:$998,COLUMN($O$1),FALSE)*VLOOKUP($D233,素材!$1:$1016,COLUMN($E$1),FALSE)/(LEN(VLOOKUP($D233,素材!$1:$1016,COLUMN($F$1),FALSE))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M233">
        <f>IF(ISNUMBER(SEARCH(SUBSTITUTE(AM$1,RIGHT(AM$1,2),""),VLOOKUP($D233,素材!$1:$1016,COLUMN($F$1),FALSE))),VLOOKUP($C233,武器!$1:$998,COLUMN($O$1),FALSE)*VLOOKUP($D233,素材!$1:$1016,COLUMN($E$1),FALSE)/(LEN(VLOOKUP($D233,素材!$1:$1016,COLUMN($F$1),FALSE))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N233">
        <f>IF(ISNUMBER(SEARCH(SUBSTITUTE(AN$1,RIGHT(AN$1,2),""),VLOOKUP($D233,素材!$1:$1016,COLUMN($F$1),FALSE))),VLOOKUP($C233,武器!$1:$998,COLUMN($O$1),FALSE)*VLOOKUP($D233,素材!$1:$1016,COLUMN($E$1),FALSE)/(LEN(VLOOKUP($D233,素材!$1:$1016,COLUMN($F$1),FALSE))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O233">
        <f>IF(ISNUMBER(SEARCH(SUBSTITUTE(AO$1,RIGHT(AO$1,2),""),VLOOKUP($D233,素材!$1:$1016,COLUMN($F$1),FALSE))),VLOOKUP($C233,武器!$1:$998,COLUMN($O$1),FALSE)*VLOOKUP($D233,素材!$1:$1016,COLUMN($E$1),FALSE)/(LEN(VLOOKUP($D233,素材!$1:$1016,COLUMN($F$1),FALSE))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P233">
        <f>IF(ISNUMBER(SEARCH(SUBSTITUTE(AP$1,RIGHT(AP$1,2),""),VLOOKUP($D233,素材!$1:$1016,COLUMN($F$1),FALSE))),VLOOKUP($C233,武器!$1:$998,COLUMN($O$1),FALSE)*VLOOKUP($D233,素材!$1:$1016,COLUMN($E$1),FALSE)/(LEN(VLOOKUP($D233,素材!$1:$1016,COLUMN($F$1),FALSE))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Q233">
        <f>IF(ISNUMBER(SEARCH(SUBSTITUTE(AQ$1,RIGHT(AQ$1,2),""),VLOOKUP($D233,素材!$1:$1016,COLUMN($F$1),FALSE))),VLOOKUP($C233,武器!$1:$998,COLUMN($O$1),FALSE)*VLOOKUP($D233,素材!$1:$1016,COLUMN($E$1),FALSE)/(LEN(VLOOKUP($D233,素材!$1:$1016,COLUMN($F$1),FALSE))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R233">
        <f>IF(ISNUMBER(SEARCH(SUBSTITUTE(AR$1,RIGHT(AR$1,2),""),VLOOKUP($D233,素材!$1:$1016,COLUMN($F$1),FALSE))),VLOOKUP($C233,武器!$1:$998,COLUMN($O$1),FALSE)*VLOOKUP($D233,素材!$1:$1016,COLUMN($E$1),FALSE)/(LEN(VLOOKUP($D233,素材!$1:$1016,COLUMN($F$1),FALSE))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S233">
        <f>IF(ISNUMBER(SEARCH(SUBSTITUTE(AS$1,RIGHT(AS$1,2),""),VLOOKUP($D233,素材!$1:$1016,COLUMN($F$1),FALSE))),VLOOKUP($C233,武器!$1:$998,COLUMN($O$1),FALSE)*VLOOKUP($D233,素材!$1:$1016,COLUMN($E$1),FALSE)/(LEN(VLOOKUP($D233,素材!$1:$1016,COLUMN($F$1),FALSE))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T233">
        <f>IF(ISNUMBER(SEARCH(SUBSTITUTE(AT$1,RIGHT(AT$1,2),""),VLOOKUP($D233,素材!$1:$1016,COLUMN($F$1),FALSE))),VLOOKUP($C233,武器!$1:$998,COLUMN($O$1),FALSE)*VLOOKUP($D233,素材!$1:$1016,COLUMN($E$1),FALSE)/(LEN(VLOOKUP($D233,素材!$1:$1016,COLUMN($F$1),FALSE))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U233">
        <f>IF(ISNUMBER(SEARCH(SUBSTITUTE(AU$1,RIGHT(AU$1,2),""),VLOOKUP($D233,素材!$1:$1016,COLUMN($F$1),FALSE))),VLOOKUP($C233,武器!$1:$998,COLUMN($O$1),FALSE)*VLOOKUP($D233,素材!$1:$1016,COLUMN($E$1),FALSE)/(LEN(VLOOKUP($D233,素材!$1:$1016,COLUMN($F$1),FALSE))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V233">
        <f>IF(ISNUMBER(SEARCH(SUBSTITUTE(AV$1,RIGHT(AV$1,2),""),VLOOKUP($D233,素材!$1:$1016,COLUMN($F$1),FALSE))),VLOOKUP($C233,武器!$1:$998,COLUMN($O$1),FALSE)*VLOOKUP($D233,素材!$1:$1016,COLUMN($E$1),FALSE)/(LEN(VLOOKUP($D233,素材!$1:$1016,COLUMN($F$1),FALSE))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W233">
        <f>IF(ISNUMBER(SEARCH(SUBSTITUTE(AW$1,RIGHT(AW$1,2),""),VLOOKUP($D233,素材!$1:$1016,COLUMN($F$1),FALSE))),VLOOKUP($C233,武器!$1:$998,COLUMN($O$1),FALSE)*VLOOKUP($D233,素材!$1:$1016,COLUMN($E$1),FALSE)/(LEN(VLOOKUP($D233,素材!$1:$1016,COLUMN($F$1),FALSE))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X233">
        <f>IF(ISNUMBER(SEARCH(SUBSTITUTE(AX$1,RIGHT(AX$1,2),""),VLOOKUP($D233,素材!$1:$1016,COLUMN($F$1),FALSE))),VLOOKUP($C233,武器!$1:$998,COLUMN($O$1),FALSE)*VLOOKUP($D233,素材!$1:$1016,COLUMN($E$1),FALSE)/(LEN(VLOOKUP($D233,素材!$1:$1016,COLUMN($F$1),FALSE))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Y233">
        <f>IF(ISNUMBER(SEARCH(SUBSTITUTE(AY$1,RIGHT(AY$1,2),""),VLOOKUP($D233,素材!$1:$1016,COLUMN($F$1),FALSE))),VLOOKUP($C233,武器!$1:$998,COLUMN($O$1),FALSE)*VLOOKUP($D233,素材!$1:$1016,COLUMN($E$1),FALSE)/(LEN(VLOOKUP($D233,素材!$1:$1016,COLUMN($F$1),FALSE))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AZ233">
        <f>IF(ISNUMBER(SEARCH(SUBSTITUTE(AZ$1,RIGHT(AZ$1,2),""),VLOOKUP($D233,素材!$1:$1016,COLUMN($F$1),FALSE))),VLOOKUP($C233,武器!$1:$998,COLUMN($O$1),FALSE)*VLOOKUP($D233,素材!$1:$1016,COLUMN($E$1),FALSE)/(LEN(VLOOKUP($D233,素材!$1:$1016,COLUMN($F$1),FALSE))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BA233">
        <f>IF(ISNUMBER(SEARCH(SUBSTITUTE(BA$1,RIGHT(BA$1,2),""),VLOOKUP($D233,素材!$1:$1016,COLUMN($F$1),FALSE))),VLOOKUP($C233,武器!$1:$998,COLUMN($O$1),FALSE)*VLOOKUP($D233,素材!$1:$1016,COLUMN($E$1),FALSE)/(LEN(VLOOKUP($D233,素材!$1:$1016,COLUMN($F$1),FALSE))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BB233">
        <f>IF(ISNUMBER(SEARCH(SUBSTITUTE(BB$1,RIGHT(BB$1,2),""),VLOOKUP($D233,素材!$1:$1016,COLUMN($F$1),FALSE))),VLOOKUP($C233,武器!$1:$998,COLUMN($O$1),FALSE)*VLOOKUP($D233,素材!$1:$1016,COLUMN($E$1),FALSE)/(LEN(VLOOKUP($D233,素材!$1:$1016,COLUMN($F$1),FALSE))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BC233">
        <f>IF(ISNUMBER(SEARCH(SUBSTITUTE(BC$1,RIGHT(BC$1,2),""),VLOOKUP($D233,素材!$1:$1016,COLUMN($F$1),FALSE))),VLOOKUP($C233,武器!$1:$998,COLUMN($O$1),FALSE)*VLOOKUP($D233,素材!$1:$1016,COLUMN($E$1),FALSE)/(LEN(VLOOKUP($D233,素材!$1:$1016,COLUMN($F$1),FALSE))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BD233">
        <f>IF(ISNUMBER(SEARCH(SUBSTITUTE(BD$1,RIGHT(BD$1,2),""),VLOOKUP($D233,素材!$1:$1016,COLUMN($F$1),FALSE))),VLOOKUP($C233,武器!$1:$998,COLUMN($O$1),FALSE)*VLOOKUP($D233,素材!$1:$1016,COLUMN($E$1),FALSE)/(LEN(VLOOKUP($D233,素材!$1:$1016,COLUMN($F$1),FALSE))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BE233">
        <f>IF(ISNUMBER(SEARCH(SUBSTITUTE(BE$1,RIGHT(BE$1,2),""),VLOOKUP($D233,素材!$1:$1016,COLUMN($F$1),FALSE))),VLOOKUP($C233,武器!$1:$998,COLUMN($O$1),FALSE)*VLOOKUP($D233,素材!$1:$1016,COLUMN($E$1),FALSE)/(LEN(VLOOKUP($D233,素材!$1:$1016,COLUMN($F$1),FALSE))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BF233">
        <f>IF(ISNUMBER(SEARCH(SUBSTITUTE(BF$1,RIGHT(BF$1,2),""),VLOOKUP($D233,素材!$1:$1016,COLUMN($F$1),FALSE))),VLOOKUP($C233,武器!$1:$998,COLUMN($O$1),FALSE)*VLOOKUP($D233,素材!$1:$1016,COLUMN($E$1),FALSE)/(LEN(VLOOKUP($D233,素材!$1:$1016,COLUMN($F$1),FALSE)) - LEN(SUBSTITUTE(VLOOKUP($D233,素材!$1:$1016,COLUMN($F$1),FALSE), "・", 0)) + 1), 0)</f>
        <v>0</v>
      </c>
      <c r="CM233">
        <f t="shared" si="31"/>
        <v>31</v>
      </c>
      <c r="CN233" s="22" t="str">
        <f>IF(E233="武器",IF(J233-1&gt;SUM(G233:I233),"盾",IF(MAX(G233:I233)=G233,"切断",IF(MAX(G233:I233)=H233,"貫通",IF(MAX(G233:I233)=I233,"打撃","射撃")))),E233)&amp;".webp"</f>
        <v>切断.webp</v>
      </c>
      <c r="CO233">
        <f>IFERROR(VLOOKUP($C233,武器!$1:$998,COLUMN(V$1),FALSE)*VLOOKUP($D233,素材!$1:$1016,COLUMN(N$1),FALSE)+IF(CJ233="",0,VLOOKUP($CJ233,装強!$1:$1008,COLUMN($CL$1),FALSE)),"")</f>
        <v>4500</v>
      </c>
      <c r="CP233">
        <f>VLOOKUP(D233,素材!$A:$O,COLUMN(素材!O$1),FALSE)</f>
        <v>0</v>
      </c>
      <c r="CQ233" t="str">
        <f>VLOOKUP(C233,武器!$A:$W,COLUMN(武器!W$1),FALSE)</f>
        <v>大剣。非常に重いが威力が突出して高い武器。大きい分ガードにも向いている</v>
      </c>
      <c r="CS233" t="str">
        <f t="shared" si="32"/>
        <v>e_233</v>
      </c>
      <c r="CT233">
        <f t="shared" si="33"/>
        <v>450000</v>
      </c>
    </row>
    <row r="234" spans="1:98" outlineLevel="1" x14ac:dyDescent="0.4">
      <c r="A234" t="str">
        <f t="shared" si="34"/>
        <v>熱鉄の細剣</v>
      </c>
      <c r="B234" t="str">
        <f>IFERROR(VLOOKUP($D234,素材!$1:$1016,COLUMN($B$1),FALSE)&amp;"・"&amp;VLOOKUP($C234,武器!$1:$998,COLUMN(B$1),FALSE),"")</f>
        <v>ヒートスティール・レイピア</v>
      </c>
      <c r="C234" s="24" t="s">
        <v>236</v>
      </c>
      <c r="D234" s="24" t="s">
        <v>205</v>
      </c>
      <c r="E234" t="str">
        <f>IFERROR(VLOOKUP(C234,武器!$1:$998,COLUMN(C$1),FALSE),"")</f>
        <v>武器</v>
      </c>
      <c r="F234">
        <f>IFERROR(ROUNDDOWN((VLOOKUP($C234,武器!$1:$998,COLUMN(D$1),FALSE)+IFERROR(VLOOKUP($CJ234,装強!$1:$999,COLUMN(F$1),FALSE),0))*VLOOKUP($D234,素材!$1:$1016,COLUMN(D$1),FALSE),0),"")</f>
        <v>100</v>
      </c>
      <c r="G234">
        <f>IFERROR(ROUNDDOWN((VLOOKUP($C234,武器!$1:$998,COLUMN(E$1),FALSE)+IFERROR(VLOOKUP($CJ234,装強!$1:$999,COLUMN(G$1),FALSE),0))*VLOOKUP($D234,素材!$1:$1016,COLUMN($E$1),FALSE),0),"")</f>
        <v>9</v>
      </c>
      <c r="H234">
        <f>IFERROR(ROUNDDOWN((VLOOKUP($C234,武器!$1:$998,COLUMN(F$1),FALSE)+IFERROR(VLOOKUP($CJ234,装強!$1:$999,COLUMN(H$1),FALSE),0))*VLOOKUP($D234,素材!$1:$1016,COLUMN($E$1),FALSE),0),"")</f>
        <v>13</v>
      </c>
      <c r="I234">
        <f>IFERROR(ROUNDDOWN((VLOOKUP($C234,武器!$1:$998,COLUMN(G$1),FALSE)+IFERROR(VLOOKUP($CJ234,装強!$1:$999,COLUMN(I$1),FALSE),0))*VLOOKUP($D234,素材!$1:$1016,COLUMN($E$1),FALSE),0),"")</f>
        <v>0</v>
      </c>
      <c r="J234">
        <f>IFERROR(ROUNDDOWN((VLOOKUP($C234,武器!$1:$998,COLUMN(H$1),FALSE)+IFERROR(VLOOKUP($CJ234,装強!$1:$999,COLUMN(J$1),FALSE),0))*VLOOKUP($D234,素材!$1:$1016,COLUMN($E$1),FALSE),0),"")</f>
        <v>16</v>
      </c>
      <c r="K234">
        <f>IFERROR(ROUNDDOWN((VLOOKUP($C234,武器!$1:$998,COLUMN(I$1),FALSE)+IFERROR(VLOOKUP($CJ234,装強!$1:$999,COLUMN(K$1),FALSE),0))*VLOOKUP($D234,素材!$1:$1016,COLUMN($E$1),FALSE),0),"")</f>
        <v>0</v>
      </c>
      <c r="L234" t="str">
        <f>IFERROR(VLOOKUP($D234,素材!$1:$1016,COLUMN($F$1),FALSE),"")</f>
        <v>炎</v>
      </c>
      <c r="M234">
        <f>IFERROR(VLOOKUP($C234,武器!$1:$998,COLUMN(AA$1),FALSE)*VLOOKUP($D234,素材!$1:$1016,COLUMN($G$1),FALSE),"")</f>
        <v>42</v>
      </c>
      <c r="N234">
        <f>IFERROR(VLOOKUP($C234,武器!$1:$998,COLUMN(I$1),FALSE),"")</f>
        <v>0</v>
      </c>
      <c r="O234" s="23">
        <f>IFERROR((VLOOKUP($C234,武器!$1:$998,COLUMN(K$1),FALSE)+VLOOKUP($D234,素材!$1:$1016,COLUMN(H$1),FALSE))*100+IFERROR(VLOOKUP($CJ234,装強!$1:$999,COLUMN(O$1),FALSE),0),"")</f>
        <v>15</v>
      </c>
      <c r="P234" s="23">
        <f>IFERROR((VLOOKUP($C234,武器!$1:$998,COLUMN(L$1),FALSE)+VLOOKUP($D234,素材!$1:$1016,COLUMN(I$1),FALSE))*100+IFERROR(VLOOKUP($CJ234,装強!$1:$999,COLUMN(P$1),FALSE),0),"")</f>
        <v>125</v>
      </c>
      <c r="Q234">
        <f>IFERROR(ROUNDUP(VLOOKUP($C234,武器!$1:$998,COLUMN(M$1),FALSE)*(VLOOKUP($D234,素材!$1:$1002,COLUMN(D$1),FALSE)/100),1),"")</f>
        <v>0</v>
      </c>
      <c r="R234">
        <f>IFERROR(ROUNDUP(VLOOKUP($C234,武器!$1:$998,COLUMN(N$1),FALSE)*(VLOOKUP($D234,素材!$1:$1002,COLUMN(D$1),FALSE)/100),1),"")</f>
        <v>0</v>
      </c>
      <c r="S234">
        <f>IFERROR(VLOOKUP($C234,武器!$1:$998,COLUMN(P$1),FALSE),"")</f>
        <v>0</v>
      </c>
      <c r="T234">
        <f>IFERROR(VLOOKUP($C234,武器!$1:$998,COLUMN(Q$1),FALSE),"")</f>
        <v>0</v>
      </c>
      <c r="U234">
        <f>IFERROR(VLOOKUP($C234,武器!$1:$998,COLUMN(R$1),FALSE),"")</f>
        <v>0</v>
      </c>
      <c r="V234">
        <f>IFERROR(VLOOKUP($C234,武器!$1:$998,COLUMN(Q$1),FALSE),"")</f>
        <v>0</v>
      </c>
      <c r="W234" t="str">
        <f>IFERROR(VLOOKUP($C234,武器!$1:$998,COLUMN(T$1),FALSE),"")</f>
        <v>A</v>
      </c>
      <c r="Y234" t="str">
        <f>IFERROR(VLOOKUP($C234,武器!$1:$998,COLUMN(U$1),FALSE),"")</f>
        <v>片手適正Ⅰ</v>
      </c>
      <c r="Z234">
        <f>IFERROR(ROUNDUP(VLOOKUP($C234,武器!$1:$998,COLUMN(O$1),FALSE)*VLOOKUP($D234,素材!$1:$1016,COLUMN(E$1),FALSE),1),"")</f>
        <v>0</v>
      </c>
      <c r="AA234">
        <f>IF(ISNUMBER(SEARCH(SUBSTITUTE(AA$1,RIGHT(AA$1,2),""),VLOOKUP($D234,素材!$1:$1016,COLUMN($F$1),FALSE))),VLOOKUP($C234,武器!$1:$998,COLUMN($O$1),FALSE)*VLOOKUP($D234,素材!$1:$1016,COLUMN($E$1),FALSE)/(LEN(VLOOKUP($D234,素材!$1:$1016,COLUMN($F$1),FALSE))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B234">
        <f>IF(ISNUMBER(SEARCH(SUBSTITUTE(AB$1,RIGHT(AB$1,2),""),VLOOKUP($D234,素材!$1:$1016,COLUMN($F$1),FALSE))),VLOOKUP($C234,武器!$1:$998,COLUMN($O$1),FALSE)*VLOOKUP($D234,素材!$1:$1016,COLUMN($E$1),FALSE)/(LEN(VLOOKUP($D234,素材!$1:$1016,COLUMN($F$1),FALSE))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C234">
        <f>IF(ISNUMBER(SEARCH(SUBSTITUTE(AC$1,RIGHT(AC$1,2),""),VLOOKUP($D234,素材!$1:$1016,COLUMN($F$1),FALSE))),VLOOKUP($C234,武器!$1:$998,COLUMN($O$1),FALSE)*VLOOKUP($D234,素材!$1:$1016,COLUMN($E$1),FALSE)/(LEN(VLOOKUP($D234,素材!$1:$1016,COLUMN($F$1),FALSE))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D234">
        <f>IF(ISNUMBER(SEARCH(SUBSTITUTE(AD$1,RIGHT(AD$1,2),""),VLOOKUP($D234,素材!$1:$1016,COLUMN($F$1),FALSE))),VLOOKUP($C234,武器!$1:$998,COLUMN($O$1),FALSE)*VLOOKUP($D234,素材!$1:$1016,COLUMN($E$1),FALSE)/(LEN(VLOOKUP($D234,素材!$1:$1016,COLUMN($F$1),FALSE))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E234">
        <f>IF(ISNUMBER(SEARCH(SUBSTITUTE(AE$1,RIGHT(AE$1,2),""),VLOOKUP($D234,素材!$1:$1016,COLUMN($F$1),FALSE))),VLOOKUP($C234,武器!$1:$998,COLUMN($O$1),FALSE)*VLOOKUP($D234,素材!$1:$1016,COLUMN($E$1),FALSE)/(LEN(VLOOKUP($D234,素材!$1:$1016,COLUMN($F$1),FALSE))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F234">
        <f>IF(ISNUMBER(SEARCH(SUBSTITUTE(AF$1,RIGHT(AF$1,2),""),VLOOKUP($D234,素材!$1:$1016,COLUMN($F$1),FALSE))),VLOOKUP($C234,武器!$1:$998,COLUMN($O$1),FALSE)*VLOOKUP($D234,素材!$1:$1016,COLUMN($E$1),FALSE)/(LEN(VLOOKUP($D234,素材!$1:$1016,COLUMN($F$1),FALSE))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G234">
        <f>IF(ISNUMBER(SEARCH(SUBSTITUTE(AG$1,RIGHT(AG$1,2),""),VLOOKUP($D234,素材!$1:$1016,COLUMN($F$1),FALSE))),VLOOKUP($C234,武器!$1:$998,COLUMN($O$1),FALSE)*VLOOKUP($D234,素材!$1:$1016,COLUMN($E$1),FALSE)/(LEN(VLOOKUP($D234,素材!$1:$1016,COLUMN($F$1),FALSE))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H234">
        <f>IF(ISNUMBER(SEARCH(SUBSTITUTE(AH$1,RIGHT(AH$1,2),""),VLOOKUP($D234,素材!$1:$1016,COLUMN($F$1),FALSE))),VLOOKUP($C234,武器!$1:$998,COLUMN($O$1),FALSE)*VLOOKUP($D234,素材!$1:$1016,COLUMN($E$1),FALSE)/(LEN(VLOOKUP($D234,素材!$1:$1016,COLUMN($F$1),FALSE))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I234">
        <f>IF(ISNUMBER(SEARCH(SUBSTITUTE(AI$1,RIGHT(AI$1,2),""),VLOOKUP($D234,素材!$1:$1016,COLUMN($F$1),FALSE))),VLOOKUP($C234,武器!$1:$998,COLUMN($O$1),FALSE)*VLOOKUP($D234,素材!$1:$1016,COLUMN($E$1),FALSE)/(LEN(VLOOKUP($D234,素材!$1:$1016,COLUMN($F$1),FALSE))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J234">
        <f>IF(ISNUMBER(SEARCH(SUBSTITUTE(AJ$1,RIGHT(AJ$1,2),""),VLOOKUP($D234,素材!$1:$1016,COLUMN($F$1),FALSE))),VLOOKUP($C234,武器!$1:$998,COLUMN($O$1),FALSE)*VLOOKUP($D234,素材!$1:$1016,COLUMN($E$1),FALSE)/(LEN(VLOOKUP($D234,素材!$1:$1016,COLUMN($F$1),FALSE))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K234">
        <f>IF(ISNUMBER(SEARCH(SUBSTITUTE(AK$1,RIGHT(AK$1,2),""),VLOOKUP($D234,素材!$1:$1016,COLUMN($F$1),FALSE))),VLOOKUP($C234,武器!$1:$998,COLUMN($O$1),FALSE)*VLOOKUP($D234,素材!$1:$1016,COLUMN($E$1),FALSE)/(LEN(VLOOKUP($D234,素材!$1:$1016,COLUMN($F$1),FALSE))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L234">
        <f>IF(ISNUMBER(SEARCH(SUBSTITUTE(AL$1,RIGHT(AL$1,2),""),VLOOKUP($D234,素材!$1:$1016,COLUMN($F$1),FALSE))),VLOOKUP($C234,武器!$1:$998,COLUMN($O$1),FALSE)*VLOOKUP($D234,素材!$1:$1016,COLUMN($E$1),FALSE)/(LEN(VLOOKUP($D234,素材!$1:$1016,COLUMN($F$1),FALSE))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M234">
        <f>IF(ISNUMBER(SEARCH(SUBSTITUTE(AM$1,RIGHT(AM$1,2),""),VLOOKUP($D234,素材!$1:$1016,COLUMN($F$1),FALSE))),VLOOKUP($C234,武器!$1:$998,COLUMN($O$1),FALSE)*VLOOKUP($D234,素材!$1:$1016,COLUMN($E$1),FALSE)/(LEN(VLOOKUP($D234,素材!$1:$1016,COLUMN($F$1),FALSE))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N234">
        <f>IF(ISNUMBER(SEARCH(SUBSTITUTE(AN$1,RIGHT(AN$1,2),""),VLOOKUP($D234,素材!$1:$1016,COLUMN($F$1),FALSE))),VLOOKUP($C234,武器!$1:$998,COLUMN($O$1),FALSE)*VLOOKUP($D234,素材!$1:$1016,COLUMN($E$1),FALSE)/(LEN(VLOOKUP($D234,素材!$1:$1016,COLUMN($F$1),FALSE))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O234">
        <f>IF(ISNUMBER(SEARCH(SUBSTITUTE(AO$1,RIGHT(AO$1,2),""),VLOOKUP($D234,素材!$1:$1016,COLUMN($F$1),FALSE))),VLOOKUP($C234,武器!$1:$998,COLUMN($O$1),FALSE)*VLOOKUP($D234,素材!$1:$1016,COLUMN($E$1),FALSE)/(LEN(VLOOKUP($D234,素材!$1:$1016,COLUMN($F$1),FALSE))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P234">
        <f>IF(ISNUMBER(SEARCH(SUBSTITUTE(AP$1,RIGHT(AP$1,2),""),VLOOKUP($D234,素材!$1:$1016,COLUMN($F$1),FALSE))),VLOOKUP($C234,武器!$1:$998,COLUMN($O$1),FALSE)*VLOOKUP($D234,素材!$1:$1016,COLUMN($E$1),FALSE)/(LEN(VLOOKUP($D234,素材!$1:$1016,COLUMN($F$1),FALSE))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Q234">
        <f>IF(ISNUMBER(SEARCH(SUBSTITUTE(AQ$1,RIGHT(AQ$1,2),""),VLOOKUP($D234,素材!$1:$1016,COLUMN($F$1),FALSE))),VLOOKUP($C234,武器!$1:$998,COLUMN($O$1),FALSE)*VLOOKUP($D234,素材!$1:$1016,COLUMN($E$1),FALSE)/(LEN(VLOOKUP($D234,素材!$1:$1016,COLUMN($F$1),FALSE))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R234">
        <f>IF(ISNUMBER(SEARCH(SUBSTITUTE(AR$1,RIGHT(AR$1,2),""),VLOOKUP($D234,素材!$1:$1016,COLUMN($F$1),FALSE))),VLOOKUP($C234,武器!$1:$998,COLUMN($O$1),FALSE)*VLOOKUP($D234,素材!$1:$1016,COLUMN($E$1),FALSE)/(LEN(VLOOKUP($D234,素材!$1:$1016,COLUMN($F$1),FALSE))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S234">
        <f>IF(ISNUMBER(SEARCH(SUBSTITUTE(AS$1,RIGHT(AS$1,2),""),VLOOKUP($D234,素材!$1:$1016,COLUMN($F$1),FALSE))),VLOOKUP($C234,武器!$1:$998,COLUMN($O$1),FALSE)*VLOOKUP($D234,素材!$1:$1016,COLUMN($E$1),FALSE)/(LEN(VLOOKUP($D234,素材!$1:$1016,COLUMN($F$1),FALSE))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T234">
        <f>IF(ISNUMBER(SEARCH(SUBSTITUTE(AT$1,RIGHT(AT$1,2),""),VLOOKUP($D234,素材!$1:$1016,COLUMN($F$1),FALSE))),VLOOKUP($C234,武器!$1:$998,COLUMN($O$1),FALSE)*VLOOKUP($D234,素材!$1:$1016,COLUMN($E$1),FALSE)/(LEN(VLOOKUP($D234,素材!$1:$1016,COLUMN($F$1),FALSE))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U234">
        <f>IF(ISNUMBER(SEARCH(SUBSTITUTE(AU$1,RIGHT(AU$1,2),""),VLOOKUP($D234,素材!$1:$1016,COLUMN($F$1),FALSE))),VLOOKUP($C234,武器!$1:$998,COLUMN($O$1),FALSE)*VLOOKUP($D234,素材!$1:$1016,COLUMN($E$1),FALSE)/(LEN(VLOOKUP($D234,素材!$1:$1016,COLUMN($F$1),FALSE))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V234">
        <f>IF(ISNUMBER(SEARCH(SUBSTITUTE(AV$1,RIGHT(AV$1,2),""),VLOOKUP($D234,素材!$1:$1016,COLUMN($F$1),FALSE))),VLOOKUP($C234,武器!$1:$998,COLUMN($O$1),FALSE)*VLOOKUP($D234,素材!$1:$1016,COLUMN($E$1),FALSE)/(LEN(VLOOKUP($D234,素材!$1:$1016,COLUMN($F$1),FALSE))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W234">
        <f>IF(ISNUMBER(SEARCH(SUBSTITUTE(AW$1,RIGHT(AW$1,2),""),VLOOKUP($D234,素材!$1:$1016,COLUMN($F$1),FALSE))),VLOOKUP($C234,武器!$1:$998,COLUMN($O$1),FALSE)*VLOOKUP($D234,素材!$1:$1016,COLUMN($E$1),FALSE)/(LEN(VLOOKUP($D234,素材!$1:$1016,COLUMN($F$1),FALSE))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X234">
        <f>IF(ISNUMBER(SEARCH(SUBSTITUTE(AX$1,RIGHT(AX$1,2),""),VLOOKUP($D234,素材!$1:$1016,COLUMN($F$1),FALSE))),VLOOKUP($C234,武器!$1:$998,COLUMN($O$1),FALSE)*VLOOKUP($D234,素材!$1:$1016,COLUMN($E$1),FALSE)/(LEN(VLOOKUP($D234,素材!$1:$1016,COLUMN($F$1),FALSE))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Y234">
        <f>IF(ISNUMBER(SEARCH(SUBSTITUTE(AY$1,RIGHT(AY$1,2),""),VLOOKUP($D234,素材!$1:$1016,COLUMN($F$1),FALSE))),VLOOKUP($C234,武器!$1:$998,COLUMN($O$1),FALSE)*VLOOKUP($D234,素材!$1:$1016,COLUMN($E$1),FALSE)/(LEN(VLOOKUP($D234,素材!$1:$1016,COLUMN($F$1),FALSE))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AZ234">
        <f>IF(ISNUMBER(SEARCH(SUBSTITUTE(AZ$1,RIGHT(AZ$1,2),""),VLOOKUP($D234,素材!$1:$1016,COLUMN($F$1),FALSE))),VLOOKUP($C234,武器!$1:$998,COLUMN($O$1),FALSE)*VLOOKUP($D234,素材!$1:$1016,COLUMN($E$1),FALSE)/(LEN(VLOOKUP($D234,素材!$1:$1016,COLUMN($F$1),FALSE))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BA234">
        <f>IF(ISNUMBER(SEARCH(SUBSTITUTE(BA$1,RIGHT(BA$1,2),""),VLOOKUP($D234,素材!$1:$1016,COLUMN($F$1),FALSE))),VLOOKUP($C234,武器!$1:$998,COLUMN($O$1),FALSE)*VLOOKUP($D234,素材!$1:$1016,COLUMN($E$1),FALSE)/(LEN(VLOOKUP($D234,素材!$1:$1016,COLUMN($F$1),FALSE))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BB234">
        <f>IF(ISNUMBER(SEARCH(SUBSTITUTE(BB$1,RIGHT(BB$1,2),""),VLOOKUP($D234,素材!$1:$1016,COLUMN($F$1),FALSE))),VLOOKUP($C234,武器!$1:$998,COLUMN($O$1),FALSE)*VLOOKUP($D234,素材!$1:$1016,COLUMN($E$1),FALSE)/(LEN(VLOOKUP($D234,素材!$1:$1016,COLUMN($F$1),FALSE))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BC234">
        <f>IF(ISNUMBER(SEARCH(SUBSTITUTE(BC$1,RIGHT(BC$1,2),""),VLOOKUP($D234,素材!$1:$1016,COLUMN($F$1),FALSE))),VLOOKUP($C234,武器!$1:$998,COLUMN($O$1),FALSE)*VLOOKUP($D234,素材!$1:$1016,COLUMN($E$1),FALSE)/(LEN(VLOOKUP($D234,素材!$1:$1016,COLUMN($F$1),FALSE))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BD234">
        <f>IF(ISNUMBER(SEARCH(SUBSTITUTE(BD$1,RIGHT(BD$1,2),""),VLOOKUP($D234,素材!$1:$1016,COLUMN($F$1),FALSE))),VLOOKUP($C234,武器!$1:$998,COLUMN($O$1),FALSE)*VLOOKUP($D234,素材!$1:$1016,COLUMN($E$1),FALSE)/(LEN(VLOOKUP($D234,素材!$1:$1016,COLUMN($F$1),FALSE))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BE234">
        <f>IF(ISNUMBER(SEARCH(SUBSTITUTE(BE$1,RIGHT(BE$1,2),""),VLOOKUP($D234,素材!$1:$1016,COLUMN($F$1),FALSE))),VLOOKUP($C234,武器!$1:$998,COLUMN($O$1),FALSE)*VLOOKUP($D234,素材!$1:$1016,COLUMN($E$1),FALSE)/(LEN(VLOOKUP($D234,素材!$1:$1016,COLUMN($F$1),FALSE))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BF234">
        <f>IF(ISNUMBER(SEARCH(SUBSTITUTE(BF$1,RIGHT(BF$1,2),""),VLOOKUP($D234,素材!$1:$1016,COLUMN($F$1),FALSE))),VLOOKUP($C234,武器!$1:$998,COLUMN($O$1),FALSE)*VLOOKUP($D234,素材!$1:$1016,COLUMN($E$1),FALSE)/(LEN(VLOOKUP($D234,素材!$1:$1016,COLUMN($F$1),FALSE)) - LEN(SUBSTITUTE(VLOOKUP($D234,素材!$1:$1016,COLUMN($F$1),FALSE), "・", 0)) + 1), 0)</f>
        <v>0</v>
      </c>
      <c r="CM234">
        <f t="shared" si="31"/>
        <v>22</v>
      </c>
      <c r="CN234" s="22" t="str">
        <f>IF(E234="武器",IF(J234-1&gt;SUM(G234:I234),"盾",IF(MAX(G234:I234)=G234,"切断",IF(MAX(G234:I234)=H234,"貫通",IF(MAX(G234:I234)=I234,"打撃","射撃")))),E234)&amp;".webp"</f>
        <v>貫通.webp</v>
      </c>
      <c r="CO234">
        <f>IFERROR(VLOOKUP($C234,武器!$1:$998,COLUMN(V$1),FALSE)*VLOOKUP($D234,素材!$1:$1016,COLUMN(N$1),FALSE)+IF(CJ234="",0,VLOOKUP($CJ234,装強!$1:$1008,COLUMN($CL$1),FALSE)),"")</f>
        <v>3000</v>
      </c>
      <c r="CP234">
        <f>VLOOKUP(D234,素材!$A:$O,COLUMN(素材!O$1),FALSE)</f>
        <v>0</v>
      </c>
      <c r="CQ234" t="str">
        <f>VLOOKUP(C234,武器!$A:$W,COLUMN(武器!W$1),FALSE)</f>
        <v>細剣。刺突に優れた武器でCr率が高い</v>
      </c>
      <c r="CS234" t="str">
        <f t="shared" si="32"/>
        <v>e_234</v>
      </c>
      <c r="CT234">
        <f t="shared" si="33"/>
        <v>300000</v>
      </c>
    </row>
    <row r="235" spans="1:98" outlineLevel="1" x14ac:dyDescent="0.4">
      <c r="A235" t="str">
        <f t="shared" si="34"/>
        <v>熱鉄の刺剣</v>
      </c>
      <c r="B235" t="str">
        <f>IFERROR(VLOOKUP($D235,素材!$1:$1016,COLUMN($B$1),FALSE)&amp;"・"&amp;VLOOKUP($C235,武器!$1:$998,COLUMN(B$1),FALSE),"")</f>
        <v>ヒートスティール・スティレット</v>
      </c>
      <c r="C235" s="24" t="s">
        <v>235</v>
      </c>
      <c r="D235" s="24" t="s">
        <v>205</v>
      </c>
      <c r="E235" t="str">
        <f>IFERROR(VLOOKUP(C235,武器!$1:$998,COLUMN(C$1),FALSE),"")</f>
        <v>武器</v>
      </c>
      <c r="F235">
        <f>IFERROR(ROUNDDOWN((VLOOKUP($C235,武器!$1:$998,COLUMN(D$1),FALSE)+IFERROR(VLOOKUP($CJ235,装強!$1:$999,COLUMN(F$1),FALSE),0))*VLOOKUP($D235,素材!$1:$1016,COLUMN(D$1),FALSE),0),"")</f>
        <v>110</v>
      </c>
      <c r="G235">
        <f>IFERROR(ROUNDDOWN((VLOOKUP($C235,武器!$1:$998,COLUMN(E$1),FALSE)+IFERROR(VLOOKUP($CJ235,装強!$1:$999,COLUMN(G$1),FALSE),0))*VLOOKUP($D235,素材!$1:$1016,COLUMN($E$1),FALSE),0),"")</f>
        <v>4</v>
      </c>
      <c r="H235">
        <f>IFERROR(ROUNDDOWN((VLOOKUP($C235,武器!$1:$998,COLUMN(F$1),FALSE)+IFERROR(VLOOKUP($CJ235,装強!$1:$999,COLUMN(H$1),FALSE),0))*VLOOKUP($D235,素材!$1:$1016,COLUMN($E$1),FALSE),0),"")</f>
        <v>18</v>
      </c>
      <c r="I235">
        <f>IFERROR(ROUNDDOWN((VLOOKUP($C235,武器!$1:$998,COLUMN(G$1),FALSE)+IFERROR(VLOOKUP($CJ235,装強!$1:$999,COLUMN(I$1),FALSE),0))*VLOOKUP($D235,素材!$1:$1016,COLUMN($E$1),FALSE),0),"")</f>
        <v>0</v>
      </c>
      <c r="J235">
        <f>IFERROR(ROUNDDOWN((VLOOKUP($C235,武器!$1:$998,COLUMN(H$1),FALSE)+IFERROR(VLOOKUP($CJ235,装強!$1:$999,COLUMN(J$1),FALSE),0))*VLOOKUP($D235,素材!$1:$1016,COLUMN($E$1),FALSE),0),"")</f>
        <v>17</v>
      </c>
      <c r="K235">
        <f>IFERROR(ROUNDDOWN((VLOOKUP($C235,武器!$1:$998,COLUMN(I$1),FALSE)+IFERROR(VLOOKUP($CJ235,装強!$1:$999,COLUMN(K$1),FALSE),0))*VLOOKUP($D235,素材!$1:$1016,COLUMN($E$1),FALSE),0),"")</f>
        <v>0</v>
      </c>
      <c r="L235" t="str">
        <f>IFERROR(VLOOKUP($D235,素材!$1:$1016,COLUMN($F$1),FALSE),"")</f>
        <v>炎</v>
      </c>
      <c r="M235">
        <f>IFERROR(VLOOKUP($C235,武器!$1:$998,COLUMN(AA$1),FALSE)*VLOOKUP($D235,素材!$1:$1016,COLUMN($G$1),FALSE),"")</f>
        <v>38.5</v>
      </c>
      <c r="N235">
        <f>IFERROR(VLOOKUP($C235,武器!$1:$998,COLUMN(I$1),FALSE),"")</f>
        <v>0</v>
      </c>
      <c r="O235" s="23">
        <f>IFERROR((VLOOKUP($C235,武器!$1:$998,COLUMN(K$1),FALSE)+VLOOKUP($D235,素材!$1:$1016,COLUMN(H$1),FALSE))*100+IFERROR(VLOOKUP($CJ235,装強!$1:$999,COLUMN(O$1),FALSE),0),"")</f>
        <v>10</v>
      </c>
      <c r="P235" s="23">
        <f>IFERROR((VLOOKUP($C235,武器!$1:$998,COLUMN(L$1),FALSE)+VLOOKUP($D235,素材!$1:$1016,COLUMN(I$1),FALSE))*100+IFERROR(VLOOKUP($CJ235,装強!$1:$999,COLUMN(P$1),FALSE),0),"")</f>
        <v>150</v>
      </c>
      <c r="Q235">
        <f>IFERROR(ROUNDUP(VLOOKUP($C235,武器!$1:$998,COLUMN(M$1),FALSE)*(VLOOKUP($D235,素材!$1:$1002,COLUMN(D$1),FALSE)/100),1),"")</f>
        <v>0</v>
      </c>
      <c r="R235">
        <f>IFERROR(ROUNDUP(VLOOKUP($C235,武器!$1:$998,COLUMN(N$1),FALSE)*(VLOOKUP($D235,素材!$1:$1002,COLUMN(D$1),FALSE)/100),1),"")</f>
        <v>0</v>
      </c>
      <c r="S235">
        <f>IFERROR(VLOOKUP($C235,武器!$1:$998,COLUMN(P$1),FALSE),"")</f>
        <v>0</v>
      </c>
      <c r="T235">
        <f>IFERROR(VLOOKUP($C235,武器!$1:$998,COLUMN(Q$1),FALSE),"")</f>
        <v>0</v>
      </c>
      <c r="U235">
        <f>IFERROR(VLOOKUP($C235,武器!$1:$998,COLUMN(R$1),FALSE),"")</f>
        <v>0</v>
      </c>
      <c r="V235">
        <f>IFERROR(VLOOKUP($C235,武器!$1:$998,COLUMN(Q$1),FALSE),"")</f>
        <v>0</v>
      </c>
      <c r="W235" t="str">
        <f>IFERROR(VLOOKUP($C235,武器!$1:$998,COLUMN(T$1),FALSE),"")</f>
        <v>A</v>
      </c>
      <c r="Y235" t="str">
        <f>IFERROR(VLOOKUP($C235,武器!$1:$998,COLUMN(U$1),FALSE),"")</f>
        <v>片手適正Ⅰ</v>
      </c>
      <c r="Z235">
        <f>IFERROR(ROUNDUP(VLOOKUP($C235,武器!$1:$998,COLUMN(O$1),FALSE)*VLOOKUP($D235,素材!$1:$1016,COLUMN(E$1),FALSE),1),"")</f>
        <v>0</v>
      </c>
      <c r="AA235">
        <f>IF(ISNUMBER(SEARCH(SUBSTITUTE(AA$1,RIGHT(AA$1,2),""),VLOOKUP($D235,素材!$1:$1016,COLUMN($F$1),FALSE))),VLOOKUP($C235,武器!$1:$998,COLUMN($O$1),FALSE)*VLOOKUP($D235,素材!$1:$1016,COLUMN($E$1),FALSE)/(LEN(VLOOKUP($D235,素材!$1:$1016,COLUMN($F$1),FALSE))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B235">
        <f>IF(ISNUMBER(SEARCH(SUBSTITUTE(AB$1,RIGHT(AB$1,2),""),VLOOKUP($D235,素材!$1:$1016,COLUMN($F$1),FALSE))),VLOOKUP($C235,武器!$1:$998,COLUMN($O$1),FALSE)*VLOOKUP($D235,素材!$1:$1016,COLUMN($E$1),FALSE)/(LEN(VLOOKUP($D235,素材!$1:$1016,COLUMN($F$1),FALSE))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C235">
        <f>IF(ISNUMBER(SEARCH(SUBSTITUTE(AC$1,RIGHT(AC$1,2),""),VLOOKUP($D235,素材!$1:$1016,COLUMN($F$1),FALSE))),VLOOKUP($C235,武器!$1:$998,COLUMN($O$1),FALSE)*VLOOKUP($D235,素材!$1:$1016,COLUMN($E$1),FALSE)/(LEN(VLOOKUP($D235,素材!$1:$1016,COLUMN($F$1),FALSE))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D235">
        <f>IF(ISNUMBER(SEARCH(SUBSTITUTE(AD$1,RIGHT(AD$1,2),""),VLOOKUP($D235,素材!$1:$1016,COLUMN($F$1),FALSE))),VLOOKUP($C235,武器!$1:$998,COLUMN($O$1),FALSE)*VLOOKUP($D235,素材!$1:$1016,COLUMN($E$1),FALSE)/(LEN(VLOOKUP($D235,素材!$1:$1016,COLUMN($F$1),FALSE))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E235">
        <f>IF(ISNUMBER(SEARCH(SUBSTITUTE(AE$1,RIGHT(AE$1,2),""),VLOOKUP($D235,素材!$1:$1016,COLUMN($F$1),FALSE))),VLOOKUP($C235,武器!$1:$998,COLUMN($O$1),FALSE)*VLOOKUP($D235,素材!$1:$1016,COLUMN($E$1),FALSE)/(LEN(VLOOKUP($D235,素材!$1:$1016,COLUMN($F$1),FALSE))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F235">
        <f>IF(ISNUMBER(SEARCH(SUBSTITUTE(AF$1,RIGHT(AF$1,2),""),VLOOKUP($D235,素材!$1:$1016,COLUMN($F$1),FALSE))),VLOOKUP($C235,武器!$1:$998,COLUMN($O$1),FALSE)*VLOOKUP($D235,素材!$1:$1016,COLUMN($E$1),FALSE)/(LEN(VLOOKUP($D235,素材!$1:$1016,COLUMN($F$1),FALSE))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G235">
        <f>IF(ISNUMBER(SEARCH(SUBSTITUTE(AG$1,RIGHT(AG$1,2),""),VLOOKUP($D235,素材!$1:$1016,COLUMN($F$1),FALSE))),VLOOKUP($C235,武器!$1:$998,COLUMN($O$1),FALSE)*VLOOKUP($D235,素材!$1:$1016,COLUMN($E$1),FALSE)/(LEN(VLOOKUP($D235,素材!$1:$1016,COLUMN($F$1),FALSE))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H235">
        <f>IF(ISNUMBER(SEARCH(SUBSTITUTE(AH$1,RIGHT(AH$1,2),""),VLOOKUP($D235,素材!$1:$1016,COLUMN($F$1),FALSE))),VLOOKUP($C235,武器!$1:$998,COLUMN($O$1),FALSE)*VLOOKUP($D235,素材!$1:$1016,COLUMN($E$1),FALSE)/(LEN(VLOOKUP($D235,素材!$1:$1016,COLUMN($F$1),FALSE))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I235">
        <f>IF(ISNUMBER(SEARCH(SUBSTITUTE(AI$1,RIGHT(AI$1,2),""),VLOOKUP($D235,素材!$1:$1016,COLUMN($F$1),FALSE))),VLOOKUP($C235,武器!$1:$998,COLUMN($O$1),FALSE)*VLOOKUP($D235,素材!$1:$1016,COLUMN($E$1),FALSE)/(LEN(VLOOKUP($D235,素材!$1:$1016,COLUMN($F$1),FALSE))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J235">
        <f>IF(ISNUMBER(SEARCH(SUBSTITUTE(AJ$1,RIGHT(AJ$1,2),""),VLOOKUP($D235,素材!$1:$1016,COLUMN($F$1),FALSE))),VLOOKUP($C235,武器!$1:$998,COLUMN($O$1),FALSE)*VLOOKUP($D235,素材!$1:$1016,COLUMN($E$1),FALSE)/(LEN(VLOOKUP($D235,素材!$1:$1016,COLUMN($F$1),FALSE))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K235">
        <f>IF(ISNUMBER(SEARCH(SUBSTITUTE(AK$1,RIGHT(AK$1,2),""),VLOOKUP($D235,素材!$1:$1016,COLUMN($F$1),FALSE))),VLOOKUP($C235,武器!$1:$998,COLUMN($O$1),FALSE)*VLOOKUP($D235,素材!$1:$1016,COLUMN($E$1),FALSE)/(LEN(VLOOKUP($D235,素材!$1:$1016,COLUMN($F$1),FALSE))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L235">
        <f>IF(ISNUMBER(SEARCH(SUBSTITUTE(AL$1,RIGHT(AL$1,2),""),VLOOKUP($D235,素材!$1:$1016,COLUMN($F$1),FALSE))),VLOOKUP($C235,武器!$1:$998,COLUMN($O$1),FALSE)*VLOOKUP($D235,素材!$1:$1016,COLUMN($E$1),FALSE)/(LEN(VLOOKUP($D235,素材!$1:$1016,COLUMN($F$1),FALSE))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M235">
        <f>IF(ISNUMBER(SEARCH(SUBSTITUTE(AM$1,RIGHT(AM$1,2),""),VLOOKUP($D235,素材!$1:$1016,COLUMN($F$1),FALSE))),VLOOKUP($C235,武器!$1:$998,COLUMN($O$1),FALSE)*VLOOKUP($D235,素材!$1:$1016,COLUMN($E$1),FALSE)/(LEN(VLOOKUP($D235,素材!$1:$1016,COLUMN($F$1),FALSE))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N235">
        <f>IF(ISNUMBER(SEARCH(SUBSTITUTE(AN$1,RIGHT(AN$1,2),""),VLOOKUP($D235,素材!$1:$1016,COLUMN($F$1),FALSE))),VLOOKUP($C235,武器!$1:$998,COLUMN($O$1),FALSE)*VLOOKUP($D235,素材!$1:$1016,COLUMN($E$1),FALSE)/(LEN(VLOOKUP($D235,素材!$1:$1016,COLUMN($F$1),FALSE))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O235">
        <f>IF(ISNUMBER(SEARCH(SUBSTITUTE(AO$1,RIGHT(AO$1,2),""),VLOOKUP($D235,素材!$1:$1016,COLUMN($F$1),FALSE))),VLOOKUP($C235,武器!$1:$998,COLUMN($O$1),FALSE)*VLOOKUP($D235,素材!$1:$1016,COLUMN($E$1),FALSE)/(LEN(VLOOKUP($D235,素材!$1:$1016,COLUMN($F$1),FALSE))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P235">
        <f>IF(ISNUMBER(SEARCH(SUBSTITUTE(AP$1,RIGHT(AP$1,2),""),VLOOKUP($D235,素材!$1:$1016,COLUMN($F$1),FALSE))),VLOOKUP($C235,武器!$1:$998,COLUMN($O$1),FALSE)*VLOOKUP($D235,素材!$1:$1016,COLUMN($E$1),FALSE)/(LEN(VLOOKUP($D235,素材!$1:$1016,COLUMN($F$1),FALSE))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Q235">
        <f>IF(ISNUMBER(SEARCH(SUBSTITUTE(AQ$1,RIGHT(AQ$1,2),""),VLOOKUP($D235,素材!$1:$1016,COLUMN($F$1),FALSE))),VLOOKUP($C235,武器!$1:$998,COLUMN($O$1),FALSE)*VLOOKUP($D235,素材!$1:$1016,COLUMN($E$1),FALSE)/(LEN(VLOOKUP($D235,素材!$1:$1016,COLUMN($F$1),FALSE))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R235">
        <f>IF(ISNUMBER(SEARCH(SUBSTITUTE(AR$1,RIGHT(AR$1,2),""),VLOOKUP($D235,素材!$1:$1016,COLUMN($F$1),FALSE))),VLOOKUP($C235,武器!$1:$998,COLUMN($O$1),FALSE)*VLOOKUP($D235,素材!$1:$1016,COLUMN($E$1),FALSE)/(LEN(VLOOKUP($D235,素材!$1:$1016,COLUMN($F$1),FALSE))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S235">
        <f>IF(ISNUMBER(SEARCH(SUBSTITUTE(AS$1,RIGHT(AS$1,2),""),VLOOKUP($D235,素材!$1:$1016,COLUMN($F$1),FALSE))),VLOOKUP($C235,武器!$1:$998,COLUMN($O$1),FALSE)*VLOOKUP($D235,素材!$1:$1016,COLUMN($E$1),FALSE)/(LEN(VLOOKUP($D235,素材!$1:$1016,COLUMN($F$1),FALSE))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T235">
        <f>IF(ISNUMBER(SEARCH(SUBSTITUTE(AT$1,RIGHT(AT$1,2),""),VLOOKUP($D235,素材!$1:$1016,COLUMN($F$1),FALSE))),VLOOKUP($C235,武器!$1:$998,COLUMN($O$1),FALSE)*VLOOKUP($D235,素材!$1:$1016,COLUMN($E$1),FALSE)/(LEN(VLOOKUP($D235,素材!$1:$1016,COLUMN($F$1),FALSE))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U235">
        <f>IF(ISNUMBER(SEARCH(SUBSTITUTE(AU$1,RIGHT(AU$1,2),""),VLOOKUP($D235,素材!$1:$1016,COLUMN($F$1),FALSE))),VLOOKUP($C235,武器!$1:$998,COLUMN($O$1),FALSE)*VLOOKUP($D235,素材!$1:$1016,COLUMN($E$1),FALSE)/(LEN(VLOOKUP($D235,素材!$1:$1016,COLUMN($F$1),FALSE))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V235">
        <f>IF(ISNUMBER(SEARCH(SUBSTITUTE(AV$1,RIGHT(AV$1,2),""),VLOOKUP($D235,素材!$1:$1016,COLUMN($F$1),FALSE))),VLOOKUP($C235,武器!$1:$998,COLUMN($O$1),FALSE)*VLOOKUP($D235,素材!$1:$1016,COLUMN($E$1),FALSE)/(LEN(VLOOKUP($D235,素材!$1:$1016,COLUMN($F$1),FALSE))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W235">
        <f>IF(ISNUMBER(SEARCH(SUBSTITUTE(AW$1,RIGHT(AW$1,2),""),VLOOKUP($D235,素材!$1:$1016,COLUMN($F$1),FALSE))),VLOOKUP($C235,武器!$1:$998,COLUMN($O$1),FALSE)*VLOOKUP($D235,素材!$1:$1016,COLUMN($E$1),FALSE)/(LEN(VLOOKUP($D235,素材!$1:$1016,COLUMN($F$1),FALSE))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X235">
        <f>IF(ISNUMBER(SEARCH(SUBSTITUTE(AX$1,RIGHT(AX$1,2),""),VLOOKUP($D235,素材!$1:$1016,COLUMN($F$1),FALSE))),VLOOKUP($C235,武器!$1:$998,COLUMN($O$1),FALSE)*VLOOKUP($D235,素材!$1:$1016,COLUMN($E$1),FALSE)/(LEN(VLOOKUP($D235,素材!$1:$1016,COLUMN($F$1),FALSE))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Y235">
        <f>IF(ISNUMBER(SEARCH(SUBSTITUTE(AY$1,RIGHT(AY$1,2),""),VLOOKUP($D235,素材!$1:$1016,COLUMN($F$1),FALSE))),VLOOKUP($C235,武器!$1:$998,COLUMN($O$1),FALSE)*VLOOKUP($D235,素材!$1:$1016,COLUMN($E$1),FALSE)/(LEN(VLOOKUP($D235,素材!$1:$1016,COLUMN($F$1),FALSE))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AZ235">
        <f>IF(ISNUMBER(SEARCH(SUBSTITUTE(AZ$1,RIGHT(AZ$1,2),""),VLOOKUP($D235,素材!$1:$1016,COLUMN($F$1),FALSE))),VLOOKUP($C235,武器!$1:$998,COLUMN($O$1),FALSE)*VLOOKUP($D235,素材!$1:$1016,COLUMN($E$1),FALSE)/(LEN(VLOOKUP($D235,素材!$1:$1016,COLUMN($F$1),FALSE))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BA235">
        <f>IF(ISNUMBER(SEARCH(SUBSTITUTE(BA$1,RIGHT(BA$1,2),""),VLOOKUP($D235,素材!$1:$1016,COLUMN($F$1),FALSE))),VLOOKUP($C235,武器!$1:$998,COLUMN($O$1),FALSE)*VLOOKUP($D235,素材!$1:$1016,COLUMN($E$1),FALSE)/(LEN(VLOOKUP($D235,素材!$1:$1016,COLUMN($F$1),FALSE))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BB235">
        <f>IF(ISNUMBER(SEARCH(SUBSTITUTE(BB$1,RIGHT(BB$1,2),""),VLOOKUP($D235,素材!$1:$1016,COLUMN($F$1),FALSE))),VLOOKUP($C235,武器!$1:$998,COLUMN($O$1),FALSE)*VLOOKUP($D235,素材!$1:$1016,COLUMN($E$1),FALSE)/(LEN(VLOOKUP($D235,素材!$1:$1016,COLUMN($F$1),FALSE))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BC235">
        <f>IF(ISNUMBER(SEARCH(SUBSTITUTE(BC$1,RIGHT(BC$1,2),""),VLOOKUP($D235,素材!$1:$1016,COLUMN($F$1),FALSE))),VLOOKUP($C235,武器!$1:$998,COLUMN($O$1),FALSE)*VLOOKUP($D235,素材!$1:$1016,COLUMN($E$1),FALSE)/(LEN(VLOOKUP($D235,素材!$1:$1016,COLUMN($F$1),FALSE))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BD235">
        <f>IF(ISNUMBER(SEARCH(SUBSTITUTE(BD$1,RIGHT(BD$1,2),""),VLOOKUP($D235,素材!$1:$1016,COLUMN($F$1),FALSE))),VLOOKUP($C235,武器!$1:$998,COLUMN($O$1),FALSE)*VLOOKUP($D235,素材!$1:$1016,COLUMN($E$1),FALSE)/(LEN(VLOOKUP($D235,素材!$1:$1016,COLUMN($F$1),FALSE))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BE235">
        <f>IF(ISNUMBER(SEARCH(SUBSTITUTE(BE$1,RIGHT(BE$1,2),""),VLOOKUP($D235,素材!$1:$1016,COLUMN($F$1),FALSE))),VLOOKUP($C235,武器!$1:$998,COLUMN($O$1),FALSE)*VLOOKUP($D235,素材!$1:$1016,COLUMN($E$1),FALSE)/(LEN(VLOOKUP($D235,素材!$1:$1016,COLUMN($F$1),FALSE))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BF235">
        <f>IF(ISNUMBER(SEARCH(SUBSTITUTE(BF$1,RIGHT(BF$1,2),""),VLOOKUP($D235,素材!$1:$1016,COLUMN($F$1),FALSE))),VLOOKUP($C235,武器!$1:$998,COLUMN($O$1),FALSE)*VLOOKUP($D235,素材!$1:$1016,COLUMN($E$1),FALSE)/(LEN(VLOOKUP($D235,素材!$1:$1016,COLUMN($F$1),FALSE)) - LEN(SUBSTITUTE(VLOOKUP($D235,素材!$1:$1016,COLUMN($F$1),FALSE), "・", 0)) + 1), 0)</f>
        <v>0</v>
      </c>
      <c r="CM235">
        <f t="shared" si="31"/>
        <v>22</v>
      </c>
      <c r="CN235" s="22" t="str">
        <f>IF(E235="武器",IF(J235-1&gt;SUM(G235:I235),"盾",IF(MAX(G235:I235)=G235,"切断",IF(MAX(G235:I235)=H235,"貫通",IF(MAX(G235:I235)=I235,"打撃","射撃")))),E235)&amp;".webp"</f>
        <v>貫通.webp</v>
      </c>
      <c r="CO235">
        <f>IFERROR(VLOOKUP($C235,武器!$1:$998,COLUMN(V$1),FALSE)*VLOOKUP($D235,素材!$1:$1016,COLUMN(N$1),FALSE)+IF(CJ235="",0,VLOOKUP($CJ235,装強!$1:$1008,COLUMN($CL$1),FALSE)),"")</f>
        <v>2250</v>
      </c>
      <c r="CP235">
        <f>VLOOKUP(D235,素材!$A:$O,COLUMN(素材!O$1),FALSE)</f>
        <v>0</v>
      </c>
      <c r="CQ235" t="str">
        <f>VLOOKUP(C235,武器!$A:$W,COLUMN(武器!W$1),FALSE)</f>
        <v>刺剣。小型で精密な攻撃が可能な武器。</v>
      </c>
      <c r="CS235" t="str">
        <f t="shared" si="32"/>
        <v>e_235</v>
      </c>
      <c r="CT235">
        <f t="shared" si="33"/>
        <v>225000</v>
      </c>
    </row>
    <row r="236" spans="1:98" outlineLevel="1" x14ac:dyDescent="0.4">
      <c r="A236" t="str">
        <f t="shared" si="34"/>
        <v>熱鉄の短槍</v>
      </c>
      <c r="B236" t="str">
        <f>IFERROR(VLOOKUP($D236,素材!$1:$1016,COLUMN($B$1),FALSE)&amp;"・"&amp;VLOOKUP($C236,武器!$1:$998,COLUMN(B$1),FALSE),"")</f>
        <v>ヒートスティール・ショートスピア</v>
      </c>
      <c r="C236" s="24" t="s">
        <v>234</v>
      </c>
      <c r="D236" s="24" t="s">
        <v>205</v>
      </c>
      <c r="E236" t="str">
        <f>IFERROR(VLOOKUP(C236,武器!$1:$998,COLUMN(C$1),FALSE),"")</f>
        <v>武器</v>
      </c>
      <c r="F236">
        <f>IFERROR(ROUNDDOWN((VLOOKUP($C236,武器!$1:$998,COLUMN(D$1),FALSE)+IFERROR(VLOOKUP($CJ236,装強!$1:$999,COLUMN(F$1),FALSE),0))*VLOOKUP($D236,素材!$1:$1016,COLUMN(D$1),FALSE),0),"")</f>
        <v>105</v>
      </c>
      <c r="G236">
        <f>IFERROR(ROUNDDOWN((VLOOKUP($C236,武器!$1:$998,COLUMN(E$1),FALSE)+IFERROR(VLOOKUP($CJ236,装強!$1:$999,COLUMN(G$1),FALSE),0))*VLOOKUP($D236,素材!$1:$1016,COLUMN($E$1),FALSE),0),"")</f>
        <v>8</v>
      </c>
      <c r="H236">
        <f>IFERROR(ROUNDDOWN((VLOOKUP($C236,武器!$1:$998,COLUMN(F$1),FALSE)+IFERROR(VLOOKUP($CJ236,装強!$1:$999,COLUMN(H$1),FALSE),0))*VLOOKUP($D236,素材!$1:$1016,COLUMN($E$1),FALSE),0),"")</f>
        <v>14</v>
      </c>
      <c r="I236">
        <f>IFERROR(ROUNDDOWN((VLOOKUP($C236,武器!$1:$998,COLUMN(G$1),FALSE)+IFERROR(VLOOKUP($CJ236,装強!$1:$999,COLUMN(I$1),FALSE),0))*VLOOKUP($D236,素材!$1:$1016,COLUMN($E$1),FALSE),0),"")</f>
        <v>3</v>
      </c>
      <c r="J236">
        <f>IFERROR(ROUNDDOWN((VLOOKUP($C236,武器!$1:$998,COLUMN(H$1),FALSE)+IFERROR(VLOOKUP($CJ236,装強!$1:$999,COLUMN(J$1),FALSE),0))*VLOOKUP($D236,素材!$1:$1016,COLUMN($E$1),FALSE),0),"")</f>
        <v>17</v>
      </c>
      <c r="K236">
        <f>IFERROR(ROUNDDOWN((VLOOKUP($C236,武器!$1:$998,COLUMN(I$1),FALSE)+IFERROR(VLOOKUP($CJ236,装強!$1:$999,COLUMN(K$1),FALSE),0))*VLOOKUP($D236,素材!$1:$1016,COLUMN($E$1),FALSE),0),"")</f>
        <v>0</v>
      </c>
      <c r="L236" t="str">
        <f>IFERROR(VLOOKUP($D236,素材!$1:$1016,COLUMN($F$1),FALSE),"")</f>
        <v>炎</v>
      </c>
      <c r="M236">
        <f>IFERROR(VLOOKUP($C236,武器!$1:$998,COLUMN(AA$1),FALSE)*VLOOKUP($D236,素材!$1:$1016,COLUMN($G$1),FALSE),"")</f>
        <v>43.75</v>
      </c>
      <c r="N236">
        <f>IFERROR(VLOOKUP($C236,武器!$1:$998,COLUMN(I$1),FALSE),"")</f>
        <v>0</v>
      </c>
      <c r="O236" s="23">
        <f>IFERROR((VLOOKUP($C236,武器!$1:$998,COLUMN(K$1),FALSE)+VLOOKUP($D236,素材!$1:$1016,COLUMN(H$1),FALSE))*100+IFERROR(VLOOKUP($CJ236,装強!$1:$999,COLUMN(O$1),FALSE),0),"")</f>
        <v>10</v>
      </c>
      <c r="P236" s="23">
        <f>IFERROR((VLOOKUP($C236,武器!$1:$998,COLUMN(L$1),FALSE)+VLOOKUP($D236,素材!$1:$1016,COLUMN(I$1),FALSE))*100+IFERROR(VLOOKUP($CJ236,装強!$1:$999,COLUMN(P$1),FALSE),0),"")</f>
        <v>150</v>
      </c>
      <c r="Q236">
        <f>IFERROR(ROUNDUP(VLOOKUP($C236,武器!$1:$998,COLUMN(M$1),FALSE)*(VLOOKUP($D236,素材!$1:$1002,COLUMN(D$1),FALSE)/100),1),"")</f>
        <v>0</v>
      </c>
      <c r="R236">
        <f>IFERROR(ROUNDUP(VLOOKUP($C236,武器!$1:$998,COLUMN(N$1),FALSE)*(VLOOKUP($D236,素材!$1:$1002,COLUMN(D$1),FALSE)/100),1),"")</f>
        <v>0</v>
      </c>
      <c r="S236">
        <f>IFERROR(VLOOKUP($C236,武器!$1:$998,COLUMN(P$1),FALSE),"")</f>
        <v>0</v>
      </c>
      <c r="T236">
        <f>IFERROR(VLOOKUP($C236,武器!$1:$998,COLUMN(Q$1),FALSE),"")</f>
        <v>0</v>
      </c>
      <c r="U236">
        <f>IFERROR(VLOOKUP($C236,武器!$1:$998,COLUMN(R$1),FALSE),"")</f>
        <v>0</v>
      </c>
      <c r="V236">
        <f>IFERROR(VLOOKUP($C236,武器!$1:$998,COLUMN(Q$1),FALSE),"")</f>
        <v>0</v>
      </c>
      <c r="W236" t="str">
        <f>IFERROR(VLOOKUP($C236,武器!$1:$998,COLUMN(T$1),FALSE),"")</f>
        <v>A</v>
      </c>
      <c r="Y236" t="str">
        <f>IFERROR(VLOOKUP($C236,武器!$1:$998,COLUMN(U$1),FALSE),"")</f>
        <v>投擲強化</v>
      </c>
      <c r="Z236">
        <f>IFERROR(ROUNDUP(VLOOKUP($C236,武器!$1:$998,COLUMN(O$1),FALSE)*VLOOKUP($D236,素材!$1:$1016,COLUMN(E$1),FALSE),1),"")</f>
        <v>0</v>
      </c>
      <c r="AA236">
        <f>IF(ISNUMBER(SEARCH(SUBSTITUTE(AA$1,RIGHT(AA$1,2),""),VLOOKUP($D236,素材!$1:$1016,COLUMN($F$1),FALSE))),VLOOKUP($C236,武器!$1:$998,COLUMN($O$1),FALSE)*VLOOKUP($D236,素材!$1:$1016,COLUMN($E$1),FALSE)/(LEN(VLOOKUP($D236,素材!$1:$1016,COLUMN($F$1),FALSE))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B236">
        <f>IF(ISNUMBER(SEARCH(SUBSTITUTE(AB$1,RIGHT(AB$1,2),""),VLOOKUP($D236,素材!$1:$1016,COLUMN($F$1),FALSE))),VLOOKUP($C236,武器!$1:$998,COLUMN($O$1),FALSE)*VLOOKUP($D236,素材!$1:$1016,COLUMN($E$1),FALSE)/(LEN(VLOOKUP($D236,素材!$1:$1016,COLUMN($F$1),FALSE))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C236">
        <f>IF(ISNUMBER(SEARCH(SUBSTITUTE(AC$1,RIGHT(AC$1,2),""),VLOOKUP($D236,素材!$1:$1016,COLUMN($F$1),FALSE))),VLOOKUP($C236,武器!$1:$998,COLUMN($O$1),FALSE)*VLOOKUP($D236,素材!$1:$1016,COLUMN($E$1),FALSE)/(LEN(VLOOKUP($D236,素材!$1:$1016,COLUMN($F$1),FALSE))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D236">
        <f>IF(ISNUMBER(SEARCH(SUBSTITUTE(AD$1,RIGHT(AD$1,2),""),VLOOKUP($D236,素材!$1:$1016,COLUMN($F$1),FALSE))),VLOOKUP($C236,武器!$1:$998,COLUMN($O$1),FALSE)*VLOOKUP($D236,素材!$1:$1016,COLUMN($E$1),FALSE)/(LEN(VLOOKUP($D236,素材!$1:$1016,COLUMN($F$1),FALSE))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E236">
        <f>IF(ISNUMBER(SEARCH(SUBSTITUTE(AE$1,RIGHT(AE$1,2),""),VLOOKUP($D236,素材!$1:$1016,COLUMN($F$1),FALSE))),VLOOKUP($C236,武器!$1:$998,COLUMN($O$1),FALSE)*VLOOKUP($D236,素材!$1:$1016,COLUMN($E$1),FALSE)/(LEN(VLOOKUP($D236,素材!$1:$1016,COLUMN($F$1),FALSE))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F236">
        <f>IF(ISNUMBER(SEARCH(SUBSTITUTE(AF$1,RIGHT(AF$1,2),""),VLOOKUP($D236,素材!$1:$1016,COLUMN($F$1),FALSE))),VLOOKUP($C236,武器!$1:$998,COLUMN($O$1),FALSE)*VLOOKUP($D236,素材!$1:$1016,COLUMN($E$1),FALSE)/(LEN(VLOOKUP($D236,素材!$1:$1016,COLUMN($F$1),FALSE))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G236">
        <f>IF(ISNUMBER(SEARCH(SUBSTITUTE(AG$1,RIGHT(AG$1,2),""),VLOOKUP($D236,素材!$1:$1016,COLUMN($F$1),FALSE))),VLOOKUP($C236,武器!$1:$998,COLUMN($O$1),FALSE)*VLOOKUP($D236,素材!$1:$1016,COLUMN($E$1),FALSE)/(LEN(VLOOKUP($D236,素材!$1:$1016,COLUMN($F$1),FALSE))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H236">
        <f>IF(ISNUMBER(SEARCH(SUBSTITUTE(AH$1,RIGHT(AH$1,2),""),VLOOKUP($D236,素材!$1:$1016,COLUMN($F$1),FALSE))),VLOOKUP($C236,武器!$1:$998,COLUMN($O$1),FALSE)*VLOOKUP($D236,素材!$1:$1016,COLUMN($E$1),FALSE)/(LEN(VLOOKUP($D236,素材!$1:$1016,COLUMN($F$1),FALSE))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I236">
        <f>IF(ISNUMBER(SEARCH(SUBSTITUTE(AI$1,RIGHT(AI$1,2),""),VLOOKUP($D236,素材!$1:$1016,COLUMN($F$1),FALSE))),VLOOKUP($C236,武器!$1:$998,COLUMN($O$1),FALSE)*VLOOKUP($D236,素材!$1:$1016,COLUMN($E$1),FALSE)/(LEN(VLOOKUP($D236,素材!$1:$1016,COLUMN($F$1),FALSE))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J236">
        <f>IF(ISNUMBER(SEARCH(SUBSTITUTE(AJ$1,RIGHT(AJ$1,2),""),VLOOKUP($D236,素材!$1:$1016,COLUMN($F$1),FALSE))),VLOOKUP($C236,武器!$1:$998,COLUMN($O$1),FALSE)*VLOOKUP($D236,素材!$1:$1016,COLUMN($E$1),FALSE)/(LEN(VLOOKUP($D236,素材!$1:$1016,COLUMN($F$1),FALSE))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K236">
        <f>IF(ISNUMBER(SEARCH(SUBSTITUTE(AK$1,RIGHT(AK$1,2),""),VLOOKUP($D236,素材!$1:$1016,COLUMN($F$1),FALSE))),VLOOKUP($C236,武器!$1:$998,COLUMN($O$1),FALSE)*VLOOKUP($D236,素材!$1:$1016,COLUMN($E$1),FALSE)/(LEN(VLOOKUP($D236,素材!$1:$1016,COLUMN($F$1),FALSE))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L236">
        <f>IF(ISNUMBER(SEARCH(SUBSTITUTE(AL$1,RIGHT(AL$1,2),""),VLOOKUP($D236,素材!$1:$1016,COLUMN($F$1),FALSE))),VLOOKUP($C236,武器!$1:$998,COLUMN($O$1),FALSE)*VLOOKUP($D236,素材!$1:$1016,COLUMN($E$1),FALSE)/(LEN(VLOOKUP($D236,素材!$1:$1016,COLUMN($F$1),FALSE))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M236">
        <f>IF(ISNUMBER(SEARCH(SUBSTITUTE(AM$1,RIGHT(AM$1,2),""),VLOOKUP($D236,素材!$1:$1016,COLUMN($F$1),FALSE))),VLOOKUP($C236,武器!$1:$998,COLUMN($O$1),FALSE)*VLOOKUP($D236,素材!$1:$1016,COLUMN($E$1),FALSE)/(LEN(VLOOKUP($D236,素材!$1:$1016,COLUMN($F$1),FALSE))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N236">
        <f>IF(ISNUMBER(SEARCH(SUBSTITUTE(AN$1,RIGHT(AN$1,2),""),VLOOKUP($D236,素材!$1:$1016,COLUMN($F$1),FALSE))),VLOOKUP($C236,武器!$1:$998,COLUMN($O$1),FALSE)*VLOOKUP($D236,素材!$1:$1016,COLUMN($E$1),FALSE)/(LEN(VLOOKUP($D236,素材!$1:$1016,COLUMN($F$1),FALSE))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O236">
        <f>IF(ISNUMBER(SEARCH(SUBSTITUTE(AO$1,RIGHT(AO$1,2),""),VLOOKUP($D236,素材!$1:$1016,COLUMN($F$1),FALSE))),VLOOKUP($C236,武器!$1:$998,COLUMN($O$1),FALSE)*VLOOKUP($D236,素材!$1:$1016,COLUMN($E$1),FALSE)/(LEN(VLOOKUP($D236,素材!$1:$1016,COLUMN($F$1),FALSE))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P236">
        <f>IF(ISNUMBER(SEARCH(SUBSTITUTE(AP$1,RIGHT(AP$1,2),""),VLOOKUP($D236,素材!$1:$1016,COLUMN($F$1),FALSE))),VLOOKUP($C236,武器!$1:$998,COLUMN($O$1),FALSE)*VLOOKUP($D236,素材!$1:$1016,COLUMN($E$1),FALSE)/(LEN(VLOOKUP($D236,素材!$1:$1016,COLUMN($F$1),FALSE))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Q236">
        <f>IF(ISNUMBER(SEARCH(SUBSTITUTE(AQ$1,RIGHT(AQ$1,2),""),VLOOKUP($D236,素材!$1:$1016,COLUMN($F$1),FALSE))),VLOOKUP($C236,武器!$1:$998,COLUMN($O$1),FALSE)*VLOOKUP($D236,素材!$1:$1016,COLUMN($E$1),FALSE)/(LEN(VLOOKUP($D236,素材!$1:$1016,COLUMN($F$1),FALSE))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R236">
        <f>IF(ISNUMBER(SEARCH(SUBSTITUTE(AR$1,RIGHT(AR$1,2),""),VLOOKUP($D236,素材!$1:$1016,COLUMN($F$1),FALSE))),VLOOKUP($C236,武器!$1:$998,COLUMN($O$1),FALSE)*VLOOKUP($D236,素材!$1:$1016,COLUMN($E$1),FALSE)/(LEN(VLOOKUP($D236,素材!$1:$1016,COLUMN($F$1),FALSE))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S236">
        <f>IF(ISNUMBER(SEARCH(SUBSTITUTE(AS$1,RIGHT(AS$1,2),""),VLOOKUP($D236,素材!$1:$1016,COLUMN($F$1),FALSE))),VLOOKUP($C236,武器!$1:$998,COLUMN($O$1),FALSE)*VLOOKUP($D236,素材!$1:$1016,COLUMN($E$1),FALSE)/(LEN(VLOOKUP($D236,素材!$1:$1016,COLUMN($F$1),FALSE))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T236">
        <f>IF(ISNUMBER(SEARCH(SUBSTITUTE(AT$1,RIGHT(AT$1,2),""),VLOOKUP($D236,素材!$1:$1016,COLUMN($F$1),FALSE))),VLOOKUP($C236,武器!$1:$998,COLUMN($O$1),FALSE)*VLOOKUP($D236,素材!$1:$1016,COLUMN($E$1),FALSE)/(LEN(VLOOKUP($D236,素材!$1:$1016,COLUMN($F$1),FALSE))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U236">
        <f>IF(ISNUMBER(SEARCH(SUBSTITUTE(AU$1,RIGHT(AU$1,2),""),VLOOKUP($D236,素材!$1:$1016,COLUMN($F$1),FALSE))),VLOOKUP($C236,武器!$1:$998,COLUMN($O$1),FALSE)*VLOOKUP($D236,素材!$1:$1016,COLUMN($E$1),FALSE)/(LEN(VLOOKUP($D236,素材!$1:$1016,COLUMN($F$1),FALSE))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V236">
        <f>IF(ISNUMBER(SEARCH(SUBSTITUTE(AV$1,RIGHT(AV$1,2),""),VLOOKUP($D236,素材!$1:$1016,COLUMN($F$1),FALSE))),VLOOKUP($C236,武器!$1:$998,COLUMN($O$1),FALSE)*VLOOKUP($D236,素材!$1:$1016,COLUMN($E$1),FALSE)/(LEN(VLOOKUP($D236,素材!$1:$1016,COLUMN($F$1),FALSE))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W236">
        <f>IF(ISNUMBER(SEARCH(SUBSTITUTE(AW$1,RIGHT(AW$1,2),""),VLOOKUP($D236,素材!$1:$1016,COLUMN($F$1),FALSE))),VLOOKUP($C236,武器!$1:$998,COLUMN($O$1),FALSE)*VLOOKUP($D236,素材!$1:$1016,COLUMN($E$1),FALSE)/(LEN(VLOOKUP($D236,素材!$1:$1016,COLUMN($F$1),FALSE))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X236">
        <f>IF(ISNUMBER(SEARCH(SUBSTITUTE(AX$1,RIGHT(AX$1,2),""),VLOOKUP($D236,素材!$1:$1016,COLUMN($F$1),FALSE))),VLOOKUP($C236,武器!$1:$998,COLUMN($O$1),FALSE)*VLOOKUP($D236,素材!$1:$1016,COLUMN($E$1),FALSE)/(LEN(VLOOKUP($D236,素材!$1:$1016,COLUMN($F$1),FALSE))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Y236">
        <f>IF(ISNUMBER(SEARCH(SUBSTITUTE(AY$1,RIGHT(AY$1,2),""),VLOOKUP($D236,素材!$1:$1016,COLUMN($F$1),FALSE))),VLOOKUP($C236,武器!$1:$998,COLUMN($O$1),FALSE)*VLOOKUP($D236,素材!$1:$1016,COLUMN($E$1),FALSE)/(LEN(VLOOKUP($D236,素材!$1:$1016,COLUMN($F$1),FALSE))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AZ236">
        <f>IF(ISNUMBER(SEARCH(SUBSTITUTE(AZ$1,RIGHT(AZ$1,2),""),VLOOKUP($D236,素材!$1:$1016,COLUMN($F$1),FALSE))),VLOOKUP($C236,武器!$1:$998,COLUMN($O$1),FALSE)*VLOOKUP($D236,素材!$1:$1016,COLUMN($E$1),FALSE)/(LEN(VLOOKUP($D236,素材!$1:$1016,COLUMN($F$1),FALSE))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BA236">
        <f>IF(ISNUMBER(SEARCH(SUBSTITUTE(BA$1,RIGHT(BA$1,2),""),VLOOKUP($D236,素材!$1:$1016,COLUMN($F$1),FALSE))),VLOOKUP($C236,武器!$1:$998,COLUMN($O$1),FALSE)*VLOOKUP($D236,素材!$1:$1016,COLUMN($E$1),FALSE)/(LEN(VLOOKUP($D236,素材!$1:$1016,COLUMN($F$1),FALSE))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BB236">
        <f>IF(ISNUMBER(SEARCH(SUBSTITUTE(BB$1,RIGHT(BB$1,2),""),VLOOKUP($D236,素材!$1:$1016,COLUMN($F$1),FALSE))),VLOOKUP($C236,武器!$1:$998,COLUMN($O$1),FALSE)*VLOOKUP($D236,素材!$1:$1016,COLUMN($E$1),FALSE)/(LEN(VLOOKUP($D236,素材!$1:$1016,COLUMN($F$1),FALSE))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BC236">
        <f>IF(ISNUMBER(SEARCH(SUBSTITUTE(BC$1,RIGHT(BC$1,2),""),VLOOKUP($D236,素材!$1:$1016,COLUMN($F$1),FALSE))),VLOOKUP($C236,武器!$1:$998,COLUMN($O$1),FALSE)*VLOOKUP($D236,素材!$1:$1016,COLUMN($E$1),FALSE)/(LEN(VLOOKUP($D236,素材!$1:$1016,COLUMN($F$1),FALSE))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BD236">
        <f>IF(ISNUMBER(SEARCH(SUBSTITUTE(BD$1,RIGHT(BD$1,2),""),VLOOKUP($D236,素材!$1:$1016,COLUMN($F$1),FALSE))),VLOOKUP($C236,武器!$1:$998,COLUMN($O$1),FALSE)*VLOOKUP($D236,素材!$1:$1016,COLUMN($E$1),FALSE)/(LEN(VLOOKUP($D236,素材!$1:$1016,COLUMN($F$1),FALSE))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BE236">
        <f>IF(ISNUMBER(SEARCH(SUBSTITUTE(BE$1,RIGHT(BE$1,2),""),VLOOKUP($D236,素材!$1:$1016,COLUMN($F$1),FALSE))),VLOOKUP($C236,武器!$1:$998,COLUMN($O$1),FALSE)*VLOOKUP($D236,素材!$1:$1016,COLUMN($E$1),FALSE)/(LEN(VLOOKUP($D236,素材!$1:$1016,COLUMN($F$1),FALSE))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BF236">
        <f>IF(ISNUMBER(SEARCH(SUBSTITUTE(BF$1,RIGHT(BF$1,2),""),VLOOKUP($D236,素材!$1:$1016,COLUMN($F$1),FALSE))),VLOOKUP($C236,武器!$1:$998,COLUMN($O$1),FALSE)*VLOOKUP($D236,素材!$1:$1016,COLUMN($E$1),FALSE)/(LEN(VLOOKUP($D236,素材!$1:$1016,COLUMN($F$1),FALSE)) - LEN(SUBSTITUTE(VLOOKUP($D236,素材!$1:$1016,COLUMN($F$1),FALSE), "・", 0)) + 1), 0)</f>
        <v>0</v>
      </c>
      <c r="CM236">
        <f t="shared" si="31"/>
        <v>25</v>
      </c>
      <c r="CN236" s="22" t="str">
        <f>IF(E236="武器",IF(J236-1&gt;SUM(G236:I236),"盾",IF(MAX(G236:I236)=G236,"切断",IF(MAX(G236:I236)=H236,"貫通",IF(MAX(G236:I236)=I236,"打撃","射撃")))),E236)&amp;".webp"</f>
        <v>貫通.webp</v>
      </c>
      <c r="CO236">
        <f>IFERROR(VLOOKUP($C236,武器!$1:$998,COLUMN(V$1),FALSE)*VLOOKUP($D236,素材!$1:$1016,COLUMN(N$1),FALSE)+IF(CJ236="",0,VLOOKUP($CJ236,装強!$1:$1008,COLUMN($CL$1),FALSE)),"")</f>
        <v>2250</v>
      </c>
      <c r="CP236">
        <f>VLOOKUP(D236,素材!$A:$O,COLUMN(素材!O$1),FALSE)</f>
        <v>0</v>
      </c>
      <c r="CQ236" t="str">
        <f>VLOOKUP(C236,武器!$A:$W,COLUMN(武器!W$1),FALSE)</f>
        <v>短槍。短く扱いやすい槍で、投擲にも対応。</v>
      </c>
      <c r="CS236" t="str">
        <f t="shared" si="32"/>
        <v>e_236</v>
      </c>
      <c r="CT236">
        <f t="shared" si="33"/>
        <v>225000</v>
      </c>
    </row>
    <row r="237" spans="1:98" outlineLevel="1" x14ac:dyDescent="0.4">
      <c r="A237" t="str">
        <f t="shared" si="34"/>
        <v>熱鉄の槍</v>
      </c>
      <c r="B237" t="str">
        <f>IFERROR(VLOOKUP($D237,素材!$1:$1016,COLUMN($B$1),FALSE)&amp;"・"&amp;VLOOKUP($C237,武器!$1:$998,COLUMN(B$1),FALSE),"")</f>
        <v>ヒートスティール・スピア</v>
      </c>
      <c r="C237" s="24" t="s">
        <v>233</v>
      </c>
      <c r="D237" s="24" t="s">
        <v>205</v>
      </c>
      <c r="E237" t="str">
        <f>IFERROR(VLOOKUP(C237,武器!$1:$998,COLUMN(C$1),FALSE),"")</f>
        <v>武器</v>
      </c>
      <c r="F237">
        <f>IFERROR(ROUNDDOWN((VLOOKUP($C237,武器!$1:$998,COLUMN(D$1),FALSE)+IFERROR(VLOOKUP($CJ237,装強!$1:$999,COLUMN(F$1),FALSE),0))*VLOOKUP($D237,素材!$1:$1016,COLUMN(D$1),FALSE),0),"")</f>
        <v>115</v>
      </c>
      <c r="G237">
        <f>IFERROR(ROUNDDOWN((VLOOKUP($C237,武器!$1:$998,COLUMN(E$1),FALSE)+IFERROR(VLOOKUP($CJ237,装強!$1:$999,COLUMN(G$1),FALSE),0))*VLOOKUP($D237,素材!$1:$1016,COLUMN($E$1),FALSE),0),"")</f>
        <v>8</v>
      </c>
      <c r="H237">
        <f>IFERROR(ROUNDDOWN((VLOOKUP($C237,武器!$1:$998,COLUMN(F$1),FALSE)+IFERROR(VLOOKUP($CJ237,装強!$1:$999,COLUMN(H$1),FALSE),0))*VLOOKUP($D237,素材!$1:$1016,COLUMN($E$1),FALSE),0),"")</f>
        <v>16</v>
      </c>
      <c r="I237">
        <f>IFERROR(ROUNDDOWN((VLOOKUP($C237,武器!$1:$998,COLUMN(G$1),FALSE)+IFERROR(VLOOKUP($CJ237,装強!$1:$999,COLUMN(I$1),FALSE),0))*VLOOKUP($D237,素材!$1:$1016,COLUMN($E$1),FALSE),0),"")</f>
        <v>3</v>
      </c>
      <c r="J237">
        <f>IFERROR(ROUNDDOWN((VLOOKUP($C237,武器!$1:$998,COLUMN(H$1),FALSE)+IFERROR(VLOOKUP($CJ237,装強!$1:$999,COLUMN(J$1),FALSE),0))*VLOOKUP($D237,素材!$1:$1016,COLUMN($E$1),FALSE),0),"")</f>
        <v>17</v>
      </c>
      <c r="K237">
        <f>IFERROR(ROUNDDOWN((VLOOKUP($C237,武器!$1:$998,COLUMN(I$1),FALSE)+IFERROR(VLOOKUP($CJ237,装強!$1:$999,COLUMN(K$1),FALSE),0))*VLOOKUP($D237,素材!$1:$1016,COLUMN($E$1),FALSE),0),"")</f>
        <v>0</v>
      </c>
      <c r="L237" t="str">
        <f>IFERROR(VLOOKUP($D237,素材!$1:$1016,COLUMN($F$1),FALSE),"")</f>
        <v>炎</v>
      </c>
      <c r="M237">
        <f>IFERROR(VLOOKUP($C237,武器!$1:$998,COLUMN(AA$1),FALSE)*VLOOKUP($D237,素材!$1:$1016,COLUMN($G$1),FALSE),"")</f>
        <v>47.25</v>
      </c>
      <c r="N237">
        <f>IFERROR(VLOOKUP($C237,武器!$1:$998,COLUMN(I$1),FALSE),"")</f>
        <v>0</v>
      </c>
      <c r="O237" s="23">
        <f>IFERROR((VLOOKUP($C237,武器!$1:$998,COLUMN(K$1),FALSE)+VLOOKUP($D237,素材!$1:$1016,COLUMN(H$1),FALSE))*100+IFERROR(VLOOKUP($CJ237,装強!$1:$999,COLUMN(O$1),FALSE),0),"")</f>
        <v>10</v>
      </c>
      <c r="P237" s="23">
        <f>IFERROR((VLOOKUP($C237,武器!$1:$998,COLUMN(L$1),FALSE)+VLOOKUP($D237,素材!$1:$1016,COLUMN(I$1),FALSE))*100+IFERROR(VLOOKUP($CJ237,装強!$1:$999,COLUMN(P$1),FALSE),0),"")</f>
        <v>150</v>
      </c>
      <c r="Q237">
        <f>IFERROR(ROUNDUP(VLOOKUP($C237,武器!$1:$998,COLUMN(M$1),FALSE)*(VLOOKUP($D237,素材!$1:$1002,COLUMN(D$1),FALSE)/100),1),"")</f>
        <v>0</v>
      </c>
      <c r="R237">
        <f>IFERROR(ROUNDUP(VLOOKUP($C237,武器!$1:$998,COLUMN(N$1),FALSE)*(VLOOKUP($D237,素材!$1:$1002,COLUMN(D$1),FALSE)/100),1),"")</f>
        <v>-5</v>
      </c>
      <c r="S237">
        <f>IFERROR(VLOOKUP($C237,武器!$1:$998,COLUMN(P$1),FALSE),"")</f>
        <v>0</v>
      </c>
      <c r="T237">
        <f>IFERROR(VLOOKUP($C237,武器!$1:$998,COLUMN(Q$1),FALSE),"")</f>
        <v>0</v>
      </c>
      <c r="U237">
        <f>IFERROR(VLOOKUP($C237,武器!$1:$998,COLUMN(R$1),FALSE),"")</f>
        <v>0</v>
      </c>
      <c r="V237">
        <f>IFERROR(VLOOKUP($C237,武器!$1:$998,COLUMN(Q$1),FALSE),"")</f>
        <v>0</v>
      </c>
      <c r="W237" t="str">
        <f>IFERROR(VLOOKUP($C237,武器!$1:$998,COLUMN(T$1),FALSE),"")</f>
        <v>A</v>
      </c>
      <c r="Y237" t="str">
        <f>IFERROR(VLOOKUP($C237,武器!$1:$998,COLUMN(U$1),FALSE),"")</f>
        <v>投擲強化</v>
      </c>
      <c r="Z237">
        <f>IFERROR(ROUNDUP(VLOOKUP($C237,武器!$1:$998,COLUMN(O$1),FALSE)*VLOOKUP($D237,素材!$1:$1016,COLUMN(E$1),FALSE),1),"")</f>
        <v>0</v>
      </c>
      <c r="AA237">
        <f>IF(ISNUMBER(SEARCH(SUBSTITUTE(AA$1,RIGHT(AA$1,2),""),VLOOKUP($D237,素材!$1:$1016,COLUMN($F$1),FALSE))),VLOOKUP($C237,武器!$1:$998,COLUMN($O$1),FALSE)*VLOOKUP($D237,素材!$1:$1016,COLUMN($E$1),FALSE)/(LEN(VLOOKUP($D237,素材!$1:$1016,COLUMN($F$1),FALSE))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B237">
        <f>IF(ISNUMBER(SEARCH(SUBSTITUTE(AB$1,RIGHT(AB$1,2),""),VLOOKUP($D237,素材!$1:$1016,COLUMN($F$1),FALSE))),VLOOKUP($C237,武器!$1:$998,COLUMN($O$1),FALSE)*VLOOKUP($D237,素材!$1:$1016,COLUMN($E$1),FALSE)/(LEN(VLOOKUP($D237,素材!$1:$1016,COLUMN($F$1),FALSE))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C237">
        <f>IF(ISNUMBER(SEARCH(SUBSTITUTE(AC$1,RIGHT(AC$1,2),""),VLOOKUP($D237,素材!$1:$1016,COLUMN($F$1),FALSE))),VLOOKUP($C237,武器!$1:$998,COLUMN($O$1),FALSE)*VLOOKUP($D237,素材!$1:$1016,COLUMN($E$1),FALSE)/(LEN(VLOOKUP($D237,素材!$1:$1016,COLUMN($F$1),FALSE))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D237">
        <f>IF(ISNUMBER(SEARCH(SUBSTITUTE(AD$1,RIGHT(AD$1,2),""),VLOOKUP($D237,素材!$1:$1016,COLUMN($F$1),FALSE))),VLOOKUP($C237,武器!$1:$998,COLUMN($O$1),FALSE)*VLOOKUP($D237,素材!$1:$1016,COLUMN($E$1),FALSE)/(LEN(VLOOKUP($D237,素材!$1:$1016,COLUMN($F$1),FALSE))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E237">
        <f>IF(ISNUMBER(SEARCH(SUBSTITUTE(AE$1,RIGHT(AE$1,2),""),VLOOKUP($D237,素材!$1:$1016,COLUMN($F$1),FALSE))),VLOOKUP($C237,武器!$1:$998,COLUMN($O$1),FALSE)*VLOOKUP($D237,素材!$1:$1016,COLUMN($E$1),FALSE)/(LEN(VLOOKUP($D237,素材!$1:$1016,COLUMN($F$1),FALSE))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F237">
        <f>IF(ISNUMBER(SEARCH(SUBSTITUTE(AF$1,RIGHT(AF$1,2),""),VLOOKUP($D237,素材!$1:$1016,COLUMN($F$1),FALSE))),VLOOKUP($C237,武器!$1:$998,COLUMN($O$1),FALSE)*VLOOKUP($D237,素材!$1:$1016,COLUMN($E$1),FALSE)/(LEN(VLOOKUP($D237,素材!$1:$1016,COLUMN($F$1),FALSE))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G237">
        <f>IF(ISNUMBER(SEARCH(SUBSTITUTE(AG$1,RIGHT(AG$1,2),""),VLOOKUP($D237,素材!$1:$1016,COLUMN($F$1),FALSE))),VLOOKUP($C237,武器!$1:$998,COLUMN($O$1),FALSE)*VLOOKUP($D237,素材!$1:$1016,COLUMN($E$1),FALSE)/(LEN(VLOOKUP($D237,素材!$1:$1016,COLUMN($F$1),FALSE))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H237">
        <f>IF(ISNUMBER(SEARCH(SUBSTITUTE(AH$1,RIGHT(AH$1,2),""),VLOOKUP($D237,素材!$1:$1016,COLUMN($F$1),FALSE))),VLOOKUP($C237,武器!$1:$998,COLUMN($O$1),FALSE)*VLOOKUP($D237,素材!$1:$1016,COLUMN($E$1),FALSE)/(LEN(VLOOKUP($D237,素材!$1:$1016,COLUMN($F$1),FALSE))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I237">
        <f>IF(ISNUMBER(SEARCH(SUBSTITUTE(AI$1,RIGHT(AI$1,2),""),VLOOKUP($D237,素材!$1:$1016,COLUMN($F$1),FALSE))),VLOOKUP($C237,武器!$1:$998,COLUMN($O$1),FALSE)*VLOOKUP($D237,素材!$1:$1016,COLUMN($E$1),FALSE)/(LEN(VLOOKUP($D237,素材!$1:$1016,COLUMN($F$1),FALSE))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J237">
        <f>IF(ISNUMBER(SEARCH(SUBSTITUTE(AJ$1,RIGHT(AJ$1,2),""),VLOOKUP($D237,素材!$1:$1016,COLUMN($F$1),FALSE))),VLOOKUP($C237,武器!$1:$998,COLUMN($O$1),FALSE)*VLOOKUP($D237,素材!$1:$1016,COLUMN($E$1),FALSE)/(LEN(VLOOKUP($D237,素材!$1:$1016,COLUMN($F$1),FALSE))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K237">
        <f>IF(ISNUMBER(SEARCH(SUBSTITUTE(AK$1,RIGHT(AK$1,2),""),VLOOKUP($D237,素材!$1:$1016,COLUMN($F$1),FALSE))),VLOOKUP($C237,武器!$1:$998,COLUMN($O$1),FALSE)*VLOOKUP($D237,素材!$1:$1016,COLUMN($E$1),FALSE)/(LEN(VLOOKUP($D237,素材!$1:$1016,COLUMN($F$1),FALSE))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L237">
        <f>IF(ISNUMBER(SEARCH(SUBSTITUTE(AL$1,RIGHT(AL$1,2),""),VLOOKUP($D237,素材!$1:$1016,COLUMN($F$1),FALSE))),VLOOKUP($C237,武器!$1:$998,COLUMN($O$1),FALSE)*VLOOKUP($D237,素材!$1:$1016,COLUMN($E$1),FALSE)/(LEN(VLOOKUP($D237,素材!$1:$1016,COLUMN($F$1),FALSE))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M237">
        <f>IF(ISNUMBER(SEARCH(SUBSTITUTE(AM$1,RIGHT(AM$1,2),""),VLOOKUP($D237,素材!$1:$1016,COLUMN($F$1),FALSE))),VLOOKUP($C237,武器!$1:$998,COLUMN($O$1),FALSE)*VLOOKUP($D237,素材!$1:$1016,COLUMN($E$1),FALSE)/(LEN(VLOOKUP($D237,素材!$1:$1016,COLUMN($F$1),FALSE))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N237">
        <f>IF(ISNUMBER(SEARCH(SUBSTITUTE(AN$1,RIGHT(AN$1,2),""),VLOOKUP($D237,素材!$1:$1016,COLUMN($F$1),FALSE))),VLOOKUP($C237,武器!$1:$998,COLUMN($O$1),FALSE)*VLOOKUP($D237,素材!$1:$1016,COLUMN($E$1),FALSE)/(LEN(VLOOKUP($D237,素材!$1:$1016,COLUMN($F$1),FALSE))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O237">
        <f>IF(ISNUMBER(SEARCH(SUBSTITUTE(AO$1,RIGHT(AO$1,2),""),VLOOKUP($D237,素材!$1:$1016,COLUMN($F$1),FALSE))),VLOOKUP($C237,武器!$1:$998,COLUMN($O$1),FALSE)*VLOOKUP($D237,素材!$1:$1016,COLUMN($E$1),FALSE)/(LEN(VLOOKUP($D237,素材!$1:$1016,COLUMN($F$1),FALSE))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P237">
        <f>IF(ISNUMBER(SEARCH(SUBSTITUTE(AP$1,RIGHT(AP$1,2),""),VLOOKUP($D237,素材!$1:$1016,COLUMN($F$1),FALSE))),VLOOKUP($C237,武器!$1:$998,COLUMN($O$1),FALSE)*VLOOKUP($D237,素材!$1:$1016,COLUMN($E$1),FALSE)/(LEN(VLOOKUP($D237,素材!$1:$1016,COLUMN($F$1),FALSE))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Q237">
        <f>IF(ISNUMBER(SEARCH(SUBSTITUTE(AQ$1,RIGHT(AQ$1,2),""),VLOOKUP($D237,素材!$1:$1016,COLUMN($F$1),FALSE))),VLOOKUP($C237,武器!$1:$998,COLUMN($O$1),FALSE)*VLOOKUP($D237,素材!$1:$1016,COLUMN($E$1),FALSE)/(LEN(VLOOKUP($D237,素材!$1:$1016,COLUMN($F$1),FALSE))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R237">
        <f>IF(ISNUMBER(SEARCH(SUBSTITUTE(AR$1,RIGHT(AR$1,2),""),VLOOKUP($D237,素材!$1:$1016,COLUMN($F$1),FALSE))),VLOOKUP($C237,武器!$1:$998,COLUMN($O$1),FALSE)*VLOOKUP($D237,素材!$1:$1016,COLUMN($E$1),FALSE)/(LEN(VLOOKUP($D237,素材!$1:$1016,COLUMN($F$1),FALSE))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S237">
        <f>IF(ISNUMBER(SEARCH(SUBSTITUTE(AS$1,RIGHT(AS$1,2),""),VLOOKUP($D237,素材!$1:$1016,COLUMN($F$1),FALSE))),VLOOKUP($C237,武器!$1:$998,COLUMN($O$1),FALSE)*VLOOKUP($D237,素材!$1:$1016,COLUMN($E$1),FALSE)/(LEN(VLOOKUP($D237,素材!$1:$1016,COLUMN($F$1),FALSE))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T237">
        <f>IF(ISNUMBER(SEARCH(SUBSTITUTE(AT$1,RIGHT(AT$1,2),""),VLOOKUP($D237,素材!$1:$1016,COLUMN($F$1),FALSE))),VLOOKUP($C237,武器!$1:$998,COLUMN($O$1),FALSE)*VLOOKUP($D237,素材!$1:$1016,COLUMN($E$1),FALSE)/(LEN(VLOOKUP($D237,素材!$1:$1016,COLUMN($F$1),FALSE))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U237">
        <f>IF(ISNUMBER(SEARCH(SUBSTITUTE(AU$1,RIGHT(AU$1,2),""),VLOOKUP($D237,素材!$1:$1016,COLUMN($F$1),FALSE))),VLOOKUP($C237,武器!$1:$998,COLUMN($O$1),FALSE)*VLOOKUP($D237,素材!$1:$1016,COLUMN($E$1),FALSE)/(LEN(VLOOKUP($D237,素材!$1:$1016,COLUMN($F$1),FALSE))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V237">
        <f>IF(ISNUMBER(SEARCH(SUBSTITUTE(AV$1,RIGHT(AV$1,2),""),VLOOKUP($D237,素材!$1:$1016,COLUMN($F$1),FALSE))),VLOOKUP($C237,武器!$1:$998,COLUMN($O$1),FALSE)*VLOOKUP($D237,素材!$1:$1016,COLUMN($E$1),FALSE)/(LEN(VLOOKUP($D237,素材!$1:$1016,COLUMN($F$1),FALSE))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W237">
        <f>IF(ISNUMBER(SEARCH(SUBSTITUTE(AW$1,RIGHT(AW$1,2),""),VLOOKUP($D237,素材!$1:$1016,COLUMN($F$1),FALSE))),VLOOKUP($C237,武器!$1:$998,COLUMN($O$1),FALSE)*VLOOKUP($D237,素材!$1:$1016,COLUMN($E$1),FALSE)/(LEN(VLOOKUP($D237,素材!$1:$1016,COLUMN($F$1),FALSE))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X237">
        <f>IF(ISNUMBER(SEARCH(SUBSTITUTE(AX$1,RIGHT(AX$1,2),""),VLOOKUP($D237,素材!$1:$1016,COLUMN($F$1),FALSE))),VLOOKUP($C237,武器!$1:$998,COLUMN($O$1),FALSE)*VLOOKUP($D237,素材!$1:$1016,COLUMN($E$1),FALSE)/(LEN(VLOOKUP($D237,素材!$1:$1016,COLUMN($F$1),FALSE))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Y237">
        <f>IF(ISNUMBER(SEARCH(SUBSTITUTE(AY$1,RIGHT(AY$1,2),""),VLOOKUP($D237,素材!$1:$1016,COLUMN($F$1),FALSE))),VLOOKUP($C237,武器!$1:$998,COLUMN($O$1),FALSE)*VLOOKUP($D237,素材!$1:$1016,COLUMN($E$1),FALSE)/(LEN(VLOOKUP($D237,素材!$1:$1016,COLUMN($F$1),FALSE))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AZ237">
        <f>IF(ISNUMBER(SEARCH(SUBSTITUTE(AZ$1,RIGHT(AZ$1,2),""),VLOOKUP($D237,素材!$1:$1016,COLUMN($F$1),FALSE))),VLOOKUP($C237,武器!$1:$998,COLUMN($O$1),FALSE)*VLOOKUP($D237,素材!$1:$1016,COLUMN($E$1),FALSE)/(LEN(VLOOKUP($D237,素材!$1:$1016,COLUMN($F$1),FALSE))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BA237">
        <f>IF(ISNUMBER(SEARCH(SUBSTITUTE(BA$1,RIGHT(BA$1,2),""),VLOOKUP($D237,素材!$1:$1016,COLUMN($F$1),FALSE))),VLOOKUP($C237,武器!$1:$998,COLUMN($O$1),FALSE)*VLOOKUP($D237,素材!$1:$1016,COLUMN($E$1),FALSE)/(LEN(VLOOKUP($D237,素材!$1:$1016,COLUMN($F$1),FALSE))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BB237">
        <f>IF(ISNUMBER(SEARCH(SUBSTITUTE(BB$1,RIGHT(BB$1,2),""),VLOOKUP($D237,素材!$1:$1016,COLUMN($F$1),FALSE))),VLOOKUP($C237,武器!$1:$998,COLUMN($O$1),FALSE)*VLOOKUP($D237,素材!$1:$1016,COLUMN($E$1),FALSE)/(LEN(VLOOKUP($D237,素材!$1:$1016,COLUMN($F$1),FALSE))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BC237">
        <f>IF(ISNUMBER(SEARCH(SUBSTITUTE(BC$1,RIGHT(BC$1,2),""),VLOOKUP($D237,素材!$1:$1016,COLUMN($F$1),FALSE))),VLOOKUP($C237,武器!$1:$998,COLUMN($O$1),FALSE)*VLOOKUP($D237,素材!$1:$1016,COLUMN($E$1),FALSE)/(LEN(VLOOKUP($D237,素材!$1:$1016,COLUMN($F$1),FALSE))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BD237">
        <f>IF(ISNUMBER(SEARCH(SUBSTITUTE(BD$1,RIGHT(BD$1,2),""),VLOOKUP($D237,素材!$1:$1016,COLUMN($F$1),FALSE))),VLOOKUP($C237,武器!$1:$998,COLUMN($O$1),FALSE)*VLOOKUP($D237,素材!$1:$1016,COLUMN($E$1),FALSE)/(LEN(VLOOKUP($D237,素材!$1:$1016,COLUMN($F$1),FALSE))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BE237">
        <f>IF(ISNUMBER(SEARCH(SUBSTITUTE(BE$1,RIGHT(BE$1,2),""),VLOOKUP($D237,素材!$1:$1016,COLUMN($F$1),FALSE))),VLOOKUP($C237,武器!$1:$998,COLUMN($O$1),FALSE)*VLOOKUP($D237,素材!$1:$1016,COLUMN($E$1),FALSE)/(LEN(VLOOKUP($D237,素材!$1:$1016,COLUMN($F$1),FALSE))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BF237">
        <f>IF(ISNUMBER(SEARCH(SUBSTITUTE(BF$1,RIGHT(BF$1,2),""),VLOOKUP($D237,素材!$1:$1016,COLUMN($F$1),FALSE))),VLOOKUP($C237,武器!$1:$998,COLUMN($O$1),FALSE)*VLOOKUP($D237,素材!$1:$1016,COLUMN($E$1),FALSE)/(LEN(VLOOKUP($D237,素材!$1:$1016,COLUMN($F$1),FALSE)) - LEN(SUBSTITUTE(VLOOKUP($D237,素材!$1:$1016,COLUMN($F$1),FALSE), "・", 0)) + 1), 0)</f>
        <v>0</v>
      </c>
      <c r="CM237">
        <f t="shared" si="31"/>
        <v>27</v>
      </c>
      <c r="CN237" s="22" t="str">
        <f>IF(E237="武器",IF(J237-1&gt;SUM(G237:I237),"盾",IF(MAX(G237:I237)=G237,"切断",IF(MAX(G237:I237)=H237,"貫通",IF(MAX(G237:I237)=I237,"打撃","射撃")))),E237)&amp;".webp"</f>
        <v>貫通.webp</v>
      </c>
      <c r="CO237">
        <f>IFERROR(VLOOKUP($C237,武器!$1:$998,COLUMN(V$1),FALSE)*VLOOKUP($D237,素材!$1:$1016,COLUMN(N$1),FALSE)+IF(CJ237="",0,VLOOKUP($CJ237,装強!$1:$1008,COLUMN($CL$1),FALSE)),"")</f>
        <v>3000</v>
      </c>
      <c r="CP237">
        <f>VLOOKUP(D237,素材!$A:$O,COLUMN(素材!O$1),FALSE)</f>
        <v>0</v>
      </c>
      <c r="CQ237" t="str">
        <f>VLOOKUP(C237,武器!$A:$W,COLUMN(武器!W$1),FALSE)</f>
        <v>槍。リーチが長く、刺突に優れる武器。</v>
      </c>
      <c r="CS237" t="str">
        <f t="shared" si="32"/>
        <v>e_237</v>
      </c>
      <c r="CT237">
        <f t="shared" si="33"/>
        <v>300000</v>
      </c>
    </row>
    <row r="238" spans="1:98" outlineLevel="1" x14ac:dyDescent="0.4">
      <c r="A238" t="str">
        <f t="shared" si="34"/>
        <v>熱鉄の騎士槍</v>
      </c>
      <c r="B238" t="str">
        <f>IFERROR(VLOOKUP($D238,素材!$1:$1016,COLUMN($B$1),FALSE)&amp;"・"&amp;VLOOKUP($C238,武器!$1:$998,COLUMN(B$1),FALSE),"")</f>
        <v>ヒートスティール・ランス</v>
      </c>
      <c r="C238" s="24" t="s">
        <v>232</v>
      </c>
      <c r="D238" s="24" t="s">
        <v>205</v>
      </c>
      <c r="E238" t="str">
        <f>IFERROR(VLOOKUP(C238,武器!$1:$998,COLUMN(C$1),FALSE),"")</f>
        <v>武器</v>
      </c>
      <c r="F238">
        <f>IFERROR(ROUNDDOWN((VLOOKUP($C238,武器!$1:$998,COLUMN(D$1),FALSE)+IFERROR(VLOOKUP($CJ238,装強!$1:$999,COLUMN(F$1),FALSE),0))*VLOOKUP($D238,素材!$1:$1016,COLUMN(D$1),FALSE),0),"")</f>
        <v>115</v>
      </c>
      <c r="G238">
        <f>IFERROR(ROUNDDOWN((VLOOKUP($C238,武器!$1:$998,COLUMN(E$1),FALSE)+IFERROR(VLOOKUP($CJ238,装強!$1:$999,COLUMN(G$1),FALSE),0))*VLOOKUP($D238,素材!$1:$1016,COLUMN($E$1),FALSE),0),"")</f>
        <v>0</v>
      </c>
      <c r="H238">
        <f>IFERROR(ROUNDDOWN((VLOOKUP($C238,武器!$1:$998,COLUMN(F$1),FALSE)+IFERROR(VLOOKUP($CJ238,装強!$1:$999,COLUMN(H$1),FALSE),0))*VLOOKUP($D238,素材!$1:$1016,COLUMN($E$1),FALSE),0),"")</f>
        <v>19</v>
      </c>
      <c r="I238">
        <f>IFERROR(ROUNDDOWN((VLOOKUP($C238,武器!$1:$998,COLUMN(G$1),FALSE)+IFERROR(VLOOKUP($CJ238,装強!$1:$999,COLUMN(I$1),FALSE),0))*VLOOKUP($D238,素材!$1:$1016,COLUMN($E$1),FALSE),0),"")</f>
        <v>9</v>
      </c>
      <c r="J238">
        <f>IFERROR(ROUNDDOWN((VLOOKUP($C238,武器!$1:$998,COLUMN(H$1),FALSE)+IFERROR(VLOOKUP($CJ238,装強!$1:$999,COLUMN(J$1),FALSE),0))*VLOOKUP($D238,素材!$1:$1016,COLUMN($E$1),FALSE),0),"")</f>
        <v>20</v>
      </c>
      <c r="K238">
        <f>IFERROR(ROUNDDOWN((VLOOKUP($C238,武器!$1:$998,COLUMN(I$1),FALSE)+IFERROR(VLOOKUP($CJ238,装強!$1:$999,COLUMN(K$1),FALSE),0))*VLOOKUP($D238,素材!$1:$1016,COLUMN($E$1),FALSE),0),"")</f>
        <v>0</v>
      </c>
      <c r="L238" t="str">
        <f>IFERROR(VLOOKUP($D238,素材!$1:$1016,COLUMN($F$1),FALSE),"")</f>
        <v>炎</v>
      </c>
      <c r="M238">
        <f>IFERROR(VLOOKUP($C238,武器!$1:$998,COLUMN(AA$1),FALSE)*VLOOKUP($D238,素材!$1:$1016,COLUMN($G$1),FALSE),"")</f>
        <v>49</v>
      </c>
      <c r="N238">
        <f>IFERROR(VLOOKUP($C238,武器!$1:$998,COLUMN(I$1),FALSE),"")</f>
        <v>0</v>
      </c>
      <c r="O238" s="23">
        <f>IFERROR((VLOOKUP($C238,武器!$1:$998,COLUMN(K$1),FALSE)+VLOOKUP($D238,素材!$1:$1016,COLUMN(H$1),FALSE))*100+IFERROR(VLOOKUP($CJ238,装強!$1:$999,COLUMN(O$1),FALSE),0),"")</f>
        <v>5</v>
      </c>
      <c r="P238" s="23">
        <f>IFERROR((VLOOKUP($C238,武器!$1:$998,COLUMN(L$1),FALSE)+VLOOKUP($D238,素材!$1:$1016,COLUMN(I$1),FALSE))*100+IFERROR(VLOOKUP($CJ238,装強!$1:$999,COLUMN(P$1),FALSE),0),"")</f>
        <v>175</v>
      </c>
      <c r="Q238">
        <f>IFERROR(ROUNDUP(VLOOKUP($C238,武器!$1:$998,COLUMN(M$1),FALSE)*(VLOOKUP($D238,素材!$1:$1002,COLUMN(D$1),FALSE)/100),1),"")</f>
        <v>-5</v>
      </c>
      <c r="R238">
        <f>IFERROR(ROUNDUP(VLOOKUP($C238,武器!$1:$998,COLUMN(N$1),FALSE)*(VLOOKUP($D238,素材!$1:$1002,COLUMN(D$1),FALSE)/100),1),"")</f>
        <v>-5</v>
      </c>
      <c r="S238">
        <f>IFERROR(VLOOKUP($C238,武器!$1:$998,COLUMN(P$1),FALSE),"")</f>
        <v>0</v>
      </c>
      <c r="T238">
        <f>IFERROR(VLOOKUP($C238,武器!$1:$998,COLUMN(Q$1),FALSE),"")</f>
        <v>0</v>
      </c>
      <c r="U238">
        <f>IFERROR(VLOOKUP($C238,武器!$1:$998,COLUMN(R$1),FALSE),"")</f>
        <v>0</v>
      </c>
      <c r="V238">
        <f>IFERROR(VLOOKUP($C238,武器!$1:$998,COLUMN(Q$1),FALSE),"")</f>
        <v>0</v>
      </c>
      <c r="W238" t="str">
        <f>IFERROR(VLOOKUP($C238,武器!$1:$998,COLUMN(T$1),FALSE),"")</f>
        <v>A</v>
      </c>
      <c r="Y238" t="str">
        <f>IFERROR(VLOOKUP($C238,武器!$1:$998,COLUMN(U$1),FALSE),"")</f>
        <v>突撃強化</v>
      </c>
      <c r="Z238">
        <f>IFERROR(ROUNDUP(VLOOKUP($C238,武器!$1:$998,COLUMN(O$1),FALSE)*VLOOKUP($D238,素材!$1:$1016,COLUMN(E$1),FALSE),1),"")</f>
        <v>0</v>
      </c>
      <c r="AA238">
        <f>IF(ISNUMBER(SEARCH(SUBSTITUTE(AA$1,RIGHT(AA$1,2),""),VLOOKUP($D238,素材!$1:$1016,COLUMN($F$1),FALSE))),VLOOKUP($C238,武器!$1:$998,COLUMN($O$1),FALSE)*VLOOKUP($D238,素材!$1:$1016,COLUMN($E$1),FALSE)/(LEN(VLOOKUP($D238,素材!$1:$1016,COLUMN($F$1),FALSE))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B238">
        <f>IF(ISNUMBER(SEARCH(SUBSTITUTE(AB$1,RIGHT(AB$1,2),""),VLOOKUP($D238,素材!$1:$1016,COLUMN($F$1),FALSE))),VLOOKUP($C238,武器!$1:$998,COLUMN($O$1),FALSE)*VLOOKUP($D238,素材!$1:$1016,COLUMN($E$1),FALSE)/(LEN(VLOOKUP($D238,素材!$1:$1016,COLUMN($F$1),FALSE))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C238">
        <f>IF(ISNUMBER(SEARCH(SUBSTITUTE(AC$1,RIGHT(AC$1,2),""),VLOOKUP($D238,素材!$1:$1016,COLUMN($F$1),FALSE))),VLOOKUP($C238,武器!$1:$998,COLUMN($O$1),FALSE)*VLOOKUP($D238,素材!$1:$1016,COLUMN($E$1),FALSE)/(LEN(VLOOKUP($D238,素材!$1:$1016,COLUMN($F$1),FALSE))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D238">
        <f>IF(ISNUMBER(SEARCH(SUBSTITUTE(AD$1,RIGHT(AD$1,2),""),VLOOKUP($D238,素材!$1:$1016,COLUMN($F$1),FALSE))),VLOOKUP($C238,武器!$1:$998,COLUMN($O$1),FALSE)*VLOOKUP($D238,素材!$1:$1016,COLUMN($E$1),FALSE)/(LEN(VLOOKUP($D238,素材!$1:$1016,COLUMN($F$1),FALSE))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E238">
        <f>IF(ISNUMBER(SEARCH(SUBSTITUTE(AE$1,RIGHT(AE$1,2),""),VLOOKUP($D238,素材!$1:$1016,COLUMN($F$1),FALSE))),VLOOKUP($C238,武器!$1:$998,COLUMN($O$1),FALSE)*VLOOKUP($D238,素材!$1:$1016,COLUMN($E$1),FALSE)/(LEN(VLOOKUP($D238,素材!$1:$1016,COLUMN($F$1),FALSE))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F238">
        <f>IF(ISNUMBER(SEARCH(SUBSTITUTE(AF$1,RIGHT(AF$1,2),""),VLOOKUP($D238,素材!$1:$1016,COLUMN($F$1),FALSE))),VLOOKUP($C238,武器!$1:$998,COLUMN($O$1),FALSE)*VLOOKUP($D238,素材!$1:$1016,COLUMN($E$1),FALSE)/(LEN(VLOOKUP($D238,素材!$1:$1016,COLUMN($F$1),FALSE))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G238">
        <f>IF(ISNUMBER(SEARCH(SUBSTITUTE(AG$1,RIGHT(AG$1,2),""),VLOOKUP($D238,素材!$1:$1016,COLUMN($F$1),FALSE))),VLOOKUP($C238,武器!$1:$998,COLUMN($O$1),FALSE)*VLOOKUP($D238,素材!$1:$1016,COLUMN($E$1),FALSE)/(LEN(VLOOKUP($D238,素材!$1:$1016,COLUMN($F$1),FALSE))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H238">
        <f>IF(ISNUMBER(SEARCH(SUBSTITUTE(AH$1,RIGHT(AH$1,2),""),VLOOKUP($D238,素材!$1:$1016,COLUMN($F$1),FALSE))),VLOOKUP($C238,武器!$1:$998,COLUMN($O$1),FALSE)*VLOOKUP($D238,素材!$1:$1016,COLUMN($E$1),FALSE)/(LEN(VLOOKUP($D238,素材!$1:$1016,COLUMN($F$1),FALSE))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I238">
        <f>IF(ISNUMBER(SEARCH(SUBSTITUTE(AI$1,RIGHT(AI$1,2),""),VLOOKUP($D238,素材!$1:$1016,COLUMN($F$1),FALSE))),VLOOKUP($C238,武器!$1:$998,COLUMN($O$1),FALSE)*VLOOKUP($D238,素材!$1:$1016,COLUMN($E$1),FALSE)/(LEN(VLOOKUP($D238,素材!$1:$1016,COLUMN($F$1),FALSE))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J238">
        <f>IF(ISNUMBER(SEARCH(SUBSTITUTE(AJ$1,RIGHT(AJ$1,2),""),VLOOKUP($D238,素材!$1:$1016,COLUMN($F$1),FALSE))),VLOOKUP($C238,武器!$1:$998,COLUMN($O$1),FALSE)*VLOOKUP($D238,素材!$1:$1016,COLUMN($E$1),FALSE)/(LEN(VLOOKUP($D238,素材!$1:$1016,COLUMN($F$1),FALSE))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K238">
        <f>IF(ISNUMBER(SEARCH(SUBSTITUTE(AK$1,RIGHT(AK$1,2),""),VLOOKUP($D238,素材!$1:$1016,COLUMN($F$1),FALSE))),VLOOKUP($C238,武器!$1:$998,COLUMN($O$1),FALSE)*VLOOKUP($D238,素材!$1:$1016,COLUMN($E$1),FALSE)/(LEN(VLOOKUP($D238,素材!$1:$1016,COLUMN($F$1),FALSE))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L238">
        <f>IF(ISNUMBER(SEARCH(SUBSTITUTE(AL$1,RIGHT(AL$1,2),""),VLOOKUP($D238,素材!$1:$1016,COLUMN($F$1),FALSE))),VLOOKUP($C238,武器!$1:$998,COLUMN($O$1),FALSE)*VLOOKUP($D238,素材!$1:$1016,COLUMN($E$1),FALSE)/(LEN(VLOOKUP($D238,素材!$1:$1016,COLUMN($F$1),FALSE))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M238">
        <f>IF(ISNUMBER(SEARCH(SUBSTITUTE(AM$1,RIGHT(AM$1,2),""),VLOOKUP($D238,素材!$1:$1016,COLUMN($F$1),FALSE))),VLOOKUP($C238,武器!$1:$998,COLUMN($O$1),FALSE)*VLOOKUP($D238,素材!$1:$1016,COLUMN($E$1),FALSE)/(LEN(VLOOKUP($D238,素材!$1:$1016,COLUMN($F$1),FALSE))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N238">
        <f>IF(ISNUMBER(SEARCH(SUBSTITUTE(AN$1,RIGHT(AN$1,2),""),VLOOKUP($D238,素材!$1:$1016,COLUMN($F$1),FALSE))),VLOOKUP($C238,武器!$1:$998,COLUMN($O$1),FALSE)*VLOOKUP($D238,素材!$1:$1016,COLUMN($E$1),FALSE)/(LEN(VLOOKUP($D238,素材!$1:$1016,COLUMN($F$1),FALSE))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O238">
        <f>IF(ISNUMBER(SEARCH(SUBSTITUTE(AO$1,RIGHT(AO$1,2),""),VLOOKUP($D238,素材!$1:$1016,COLUMN($F$1),FALSE))),VLOOKUP($C238,武器!$1:$998,COLUMN($O$1),FALSE)*VLOOKUP($D238,素材!$1:$1016,COLUMN($E$1),FALSE)/(LEN(VLOOKUP($D238,素材!$1:$1016,COLUMN($F$1),FALSE))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P238">
        <f>IF(ISNUMBER(SEARCH(SUBSTITUTE(AP$1,RIGHT(AP$1,2),""),VLOOKUP($D238,素材!$1:$1016,COLUMN($F$1),FALSE))),VLOOKUP($C238,武器!$1:$998,COLUMN($O$1),FALSE)*VLOOKUP($D238,素材!$1:$1016,COLUMN($E$1),FALSE)/(LEN(VLOOKUP($D238,素材!$1:$1016,COLUMN($F$1),FALSE))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Q238">
        <f>IF(ISNUMBER(SEARCH(SUBSTITUTE(AQ$1,RIGHT(AQ$1,2),""),VLOOKUP($D238,素材!$1:$1016,COLUMN($F$1),FALSE))),VLOOKUP($C238,武器!$1:$998,COLUMN($O$1),FALSE)*VLOOKUP($D238,素材!$1:$1016,COLUMN($E$1),FALSE)/(LEN(VLOOKUP($D238,素材!$1:$1016,COLUMN($F$1),FALSE))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R238">
        <f>IF(ISNUMBER(SEARCH(SUBSTITUTE(AR$1,RIGHT(AR$1,2),""),VLOOKUP($D238,素材!$1:$1016,COLUMN($F$1),FALSE))),VLOOKUP($C238,武器!$1:$998,COLUMN($O$1),FALSE)*VLOOKUP($D238,素材!$1:$1016,COLUMN($E$1),FALSE)/(LEN(VLOOKUP($D238,素材!$1:$1016,COLUMN($F$1),FALSE))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S238">
        <f>IF(ISNUMBER(SEARCH(SUBSTITUTE(AS$1,RIGHT(AS$1,2),""),VLOOKUP($D238,素材!$1:$1016,COLUMN($F$1),FALSE))),VLOOKUP($C238,武器!$1:$998,COLUMN($O$1),FALSE)*VLOOKUP($D238,素材!$1:$1016,COLUMN($E$1),FALSE)/(LEN(VLOOKUP($D238,素材!$1:$1016,COLUMN($F$1),FALSE))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T238">
        <f>IF(ISNUMBER(SEARCH(SUBSTITUTE(AT$1,RIGHT(AT$1,2),""),VLOOKUP($D238,素材!$1:$1016,COLUMN($F$1),FALSE))),VLOOKUP($C238,武器!$1:$998,COLUMN($O$1),FALSE)*VLOOKUP($D238,素材!$1:$1016,COLUMN($E$1),FALSE)/(LEN(VLOOKUP($D238,素材!$1:$1016,COLUMN($F$1),FALSE))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U238">
        <f>IF(ISNUMBER(SEARCH(SUBSTITUTE(AU$1,RIGHT(AU$1,2),""),VLOOKUP($D238,素材!$1:$1016,COLUMN($F$1),FALSE))),VLOOKUP($C238,武器!$1:$998,COLUMN($O$1),FALSE)*VLOOKUP($D238,素材!$1:$1016,COLUMN($E$1),FALSE)/(LEN(VLOOKUP($D238,素材!$1:$1016,COLUMN($F$1),FALSE))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V238">
        <f>IF(ISNUMBER(SEARCH(SUBSTITUTE(AV$1,RIGHT(AV$1,2),""),VLOOKUP($D238,素材!$1:$1016,COLUMN($F$1),FALSE))),VLOOKUP($C238,武器!$1:$998,COLUMN($O$1),FALSE)*VLOOKUP($D238,素材!$1:$1016,COLUMN($E$1),FALSE)/(LEN(VLOOKUP($D238,素材!$1:$1016,COLUMN($F$1),FALSE))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W238">
        <f>IF(ISNUMBER(SEARCH(SUBSTITUTE(AW$1,RIGHT(AW$1,2),""),VLOOKUP($D238,素材!$1:$1016,COLUMN($F$1),FALSE))),VLOOKUP($C238,武器!$1:$998,COLUMN($O$1),FALSE)*VLOOKUP($D238,素材!$1:$1016,COLUMN($E$1),FALSE)/(LEN(VLOOKUP($D238,素材!$1:$1016,COLUMN($F$1),FALSE))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X238">
        <f>IF(ISNUMBER(SEARCH(SUBSTITUTE(AX$1,RIGHT(AX$1,2),""),VLOOKUP($D238,素材!$1:$1016,COLUMN($F$1),FALSE))),VLOOKUP($C238,武器!$1:$998,COLUMN($O$1),FALSE)*VLOOKUP($D238,素材!$1:$1016,COLUMN($E$1),FALSE)/(LEN(VLOOKUP($D238,素材!$1:$1016,COLUMN($F$1),FALSE))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Y238">
        <f>IF(ISNUMBER(SEARCH(SUBSTITUTE(AY$1,RIGHT(AY$1,2),""),VLOOKUP($D238,素材!$1:$1016,COLUMN($F$1),FALSE))),VLOOKUP($C238,武器!$1:$998,COLUMN($O$1),FALSE)*VLOOKUP($D238,素材!$1:$1016,COLUMN($E$1),FALSE)/(LEN(VLOOKUP($D238,素材!$1:$1016,COLUMN($F$1),FALSE))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AZ238">
        <f>IF(ISNUMBER(SEARCH(SUBSTITUTE(AZ$1,RIGHT(AZ$1,2),""),VLOOKUP($D238,素材!$1:$1016,COLUMN($F$1),FALSE))),VLOOKUP($C238,武器!$1:$998,COLUMN($O$1),FALSE)*VLOOKUP($D238,素材!$1:$1016,COLUMN($E$1),FALSE)/(LEN(VLOOKUP($D238,素材!$1:$1016,COLUMN($F$1),FALSE))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BA238">
        <f>IF(ISNUMBER(SEARCH(SUBSTITUTE(BA$1,RIGHT(BA$1,2),""),VLOOKUP($D238,素材!$1:$1016,COLUMN($F$1),FALSE))),VLOOKUP($C238,武器!$1:$998,COLUMN($O$1),FALSE)*VLOOKUP($D238,素材!$1:$1016,COLUMN($E$1),FALSE)/(LEN(VLOOKUP($D238,素材!$1:$1016,COLUMN($F$1),FALSE))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BB238">
        <f>IF(ISNUMBER(SEARCH(SUBSTITUTE(BB$1,RIGHT(BB$1,2),""),VLOOKUP($D238,素材!$1:$1016,COLUMN($F$1),FALSE))),VLOOKUP($C238,武器!$1:$998,COLUMN($O$1),FALSE)*VLOOKUP($D238,素材!$1:$1016,COLUMN($E$1),FALSE)/(LEN(VLOOKUP($D238,素材!$1:$1016,COLUMN($F$1),FALSE))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BC238">
        <f>IF(ISNUMBER(SEARCH(SUBSTITUTE(BC$1,RIGHT(BC$1,2),""),VLOOKUP($D238,素材!$1:$1016,COLUMN($F$1),FALSE))),VLOOKUP($C238,武器!$1:$998,COLUMN($O$1),FALSE)*VLOOKUP($D238,素材!$1:$1016,COLUMN($E$1),FALSE)/(LEN(VLOOKUP($D238,素材!$1:$1016,COLUMN($F$1),FALSE))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BD238">
        <f>IF(ISNUMBER(SEARCH(SUBSTITUTE(BD$1,RIGHT(BD$1,2),""),VLOOKUP($D238,素材!$1:$1016,COLUMN($F$1),FALSE))),VLOOKUP($C238,武器!$1:$998,COLUMN($O$1),FALSE)*VLOOKUP($D238,素材!$1:$1016,COLUMN($E$1),FALSE)/(LEN(VLOOKUP($D238,素材!$1:$1016,COLUMN($F$1),FALSE))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BE238">
        <f>IF(ISNUMBER(SEARCH(SUBSTITUTE(BE$1,RIGHT(BE$1,2),""),VLOOKUP($D238,素材!$1:$1016,COLUMN($F$1),FALSE))),VLOOKUP($C238,武器!$1:$998,COLUMN($O$1),FALSE)*VLOOKUP($D238,素材!$1:$1016,COLUMN($E$1),FALSE)/(LEN(VLOOKUP($D238,素材!$1:$1016,COLUMN($F$1),FALSE))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BF238">
        <f>IF(ISNUMBER(SEARCH(SUBSTITUTE(BF$1,RIGHT(BF$1,2),""),VLOOKUP($D238,素材!$1:$1016,COLUMN($F$1),FALSE))),VLOOKUP($C238,武器!$1:$998,COLUMN($O$1),FALSE)*VLOOKUP($D238,素材!$1:$1016,COLUMN($E$1),FALSE)/(LEN(VLOOKUP($D238,素材!$1:$1016,COLUMN($F$1),FALSE)) - LEN(SUBSTITUTE(VLOOKUP($D238,素材!$1:$1016,COLUMN($F$1),FALSE), "・", 0)) + 1), 0)</f>
        <v>0</v>
      </c>
      <c r="CM238">
        <f t="shared" si="31"/>
        <v>28</v>
      </c>
      <c r="CN238" s="22" t="str">
        <f>IF(E238="武器",IF(J238-1&gt;SUM(G238:I238),"盾",IF(MAX(G238:I238)=G238,"切断",IF(MAX(G238:I238)=H238,"貫通",IF(MAX(G238:I238)=I238,"打撃","射撃")))),E238)&amp;".webp"</f>
        <v>貫通.webp</v>
      </c>
      <c r="CO238">
        <f>IFERROR(VLOOKUP($C238,武器!$1:$998,COLUMN(V$1),FALSE)*VLOOKUP($D238,素材!$1:$1016,COLUMN(N$1),FALSE)+IF(CJ238="",0,VLOOKUP($CJ238,装強!$1:$1008,COLUMN($CL$1),FALSE)),"")</f>
        <v>4500</v>
      </c>
      <c r="CP238">
        <f>VLOOKUP(D238,素材!$A:$O,COLUMN(素材!O$1),FALSE)</f>
        <v>0</v>
      </c>
      <c r="CQ238" t="str">
        <f>VLOOKUP(C238,武器!$A:$W,COLUMN(武器!W$1),FALSE)</f>
        <v>騎士槍。突撃に特化した武器で、高い攻撃力を誇る。</v>
      </c>
      <c r="CS238" t="str">
        <f t="shared" si="32"/>
        <v>e_238</v>
      </c>
      <c r="CT238">
        <f t="shared" si="33"/>
        <v>450000</v>
      </c>
    </row>
    <row r="239" spans="1:98" outlineLevel="1" x14ac:dyDescent="0.4">
      <c r="A239" t="str">
        <f t="shared" si="34"/>
        <v>熱鉄の斧槍</v>
      </c>
      <c r="B239" t="str">
        <f>IFERROR(VLOOKUP($D239,素材!$1:$1016,COLUMN($B$1),FALSE)&amp;"・"&amp;VLOOKUP($C239,武器!$1:$998,COLUMN(B$1),FALSE),"")</f>
        <v>ヒートスティール・ハルバート</v>
      </c>
      <c r="C239" s="24" t="s">
        <v>231</v>
      </c>
      <c r="D239" s="24" t="s">
        <v>205</v>
      </c>
      <c r="E239" t="str">
        <f>IFERROR(VLOOKUP(C239,武器!$1:$998,COLUMN(C$1),FALSE),"")</f>
        <v>武器</v>
      </c>
      <c r="F239">
        <f>IFERROR(ROUNDDOWN((VLOOKUP($C239,武器!$1:$998,COLUMN(D$1),FALSE)+IFERROR(VLOOKUP($CJ239,装強!$1:$999,COLUMN(F$1),FALSE),0))*VLOOKUP($D239,素材!$1:$1016,COLUMN(D$1),FALSE),0),"")</f>
        <v>110</v>
      </c>
      <c r="G239">
        <f>IFERROR(ROUNDDOWN((VLOOKUP($C239,武器!$1:$998,COLUMN(E$1),FALSE)+IFERROR(VLOOKUP($CJ239,装強!$1:$999,COLUMN(G$1),FALSE),0))*VLOOKUP($D239,素材!$1:$1016,COLUMN($E$1),FALSE),0),"")</f>
        <v>8</v>
      </c>
      <c r="H239">
        <f>IFERROR(ROUNDDOWN((VLOOKUP($C239,武器!$1:$998,COLUMN(F$1),FALSE)+IFERROR(VLOOKUP($CJ239,装強!$1:$999,COLUMN(H$1),FALSE),0))*VLOOKUP($D239,素材!$1:$1016,COLUMN($E$1),FALSE),0),"")</f>
        <v>10</v>
      </c>
      <c r="I239">
        <f>IFERROR(ROUNDDOWN((VLOOKUP($C239,武器!$1:$998,COLUMN(G$1),FALSE)+IFERROR(VLOOKUP($CJ239,装強!$1:$999,COLUMN(I$1),FALSE),0))*VLOOKUP($D239,素材!$1:$1016,COLUMN($E$1),FALSE),0),"")</f>
        <v>6</v>
      </c>
      <c r="J239">
        <f>IFERROR(ROUNDDOWN((VLOOKUP($C239,武器!$1:$998,COLUMN(H$1),FALSE)+IFERROR(VLOOKUP($CJ239,装強!$1:$999,COLUMN(J$1),FALSE),0))*VLOOKUP($D239,素材!$1:$1016,COLUMN($E$1),FALSE),0),"")</f>
        <v>19</v>
      </c>
      <c r="K239">
        <f>IFERROR(ROUNDDOWN((VLOOKUP($C239,武器!$1:$998,COLUMN(I$1),FALSE)+IFERROR(VLOOKUP($CJ239,装強!$1:$999,COLUMN(K$1),FALSE),0))*VLOOKUP($D239,素材!$1:$1016,COLUMN($E$1),FALSE),0),"")</f>
        <v>0</v>
      </c>
      <c r="L239" t="str">
        <f>IFERROR(VLOOKUP($D239,素材!$1:$1016,COLUMN($F$1),FALSE),"")</f>
        <v>炎</v>
      </c>
      <c r="M239">
        <f>IFERROR(VLOOKUP($C239,武器!$1:$998,COLUMN(AA$1),FALSE)*VLOOKUP($D239,素材!$1:$1016,COLUMN($G$1),FALSE),"")</f>
        <v>42</v>
      </c>
      <c r="N239">
        <f>IFERROR(VLOOKUP($C239,武器!$1:$998,COLUMN(I$1),FALSE),"")</f>
        <v>0</v>
      </c>
      <c r="O239" s="23">
        <f>IFERROR((VLOOKUP($C239,武器!$1:$998,COLUMN(K$1),FALSE)+VLOOKUP($D239,素材!$1:$1016,COLUMN(H$1),FALSE))*100+IFERROR(VLOOKUP($CJ239,装強!$1:$999,COLUMN(O$1),FALSE),0),"")</f>
        <v>10</v>
      </c>
      <c r="P239" s="23">
        <f>IFERROR((VLOOKUP($C239,武器!$1:$998,COLUMN(L$1),FALSE)+VLOOKUP($D239,素材!$1:$1016,COLUMN(I$1),FALSE))*100+IFERROR(VLOOKUP($CJ239,装強!$1:$999,COLUMN(P$1),FALSE),0),"")</f>
        <v>150</v>
      </c>
      <c r="Q239">
        <f>IFERROR(ROUNDUP(VLOOKUP($C239,武器!$1:$998,COLUMN(M$1),FALSE)*(VLOOKUP($D239,素材!$1:$1002,COLUMN(D$1),FALSE)/100),1),"")</f>
        <v>-5</v>
      </c>
      <c r="R239">
        <f>IFERROR(ROUNDUP(VLOOKUP($C239,武器!$1:$998,COLUMN(N$1),FALSE)*(VLOOKUP($D239,素材!$1:$1002,COLUMN(D$1),FALSE)/100),1),"")</f>
        <v>-5</v>
      </c>
      <c r="S239">
        <f>IFERROR(VLOOKUP($C239,武器!$1:$998,COLUMN(P$1),FALSE),"")</f>
        <v>0</v>
      </c>
      <c r="T239">
        <f>IFERROR(VLOOKUP($C239,武器!$1:$998,COLUMN(Q$1),FALSE),"")</f>
        <v>0</v>
      </c>
      <c r="U239">
        <f>IFERROR(VLOOKUP($C239,武器!$1:$998,COLUMN(R$1),FALSE),"")</f>
        <v>0</v>
      </c>
      <c r="V239">
        <f>IFERROR(VLOOKUP($C239,武器!$1:$998,COLUMN(Q$1),FALSE),"")</f>
        <v>0</v>
      </c>
      <c r="W239" t="str">
        <f>IFERROR(VLOOKUP($C239,武器!$1:$998,COLUMN(T$1),FALSE),"")</f>
        <v>A</v>
      </c>
      <c r="Y239">
        <f>IFERROR(VLOOKUP($C239,武器!$1:$998,COLUMN(U$1),FALSE),"")</f>
        <v>0</v>
      </c>
      <c r="Z239">
        <f>IFERROR(ROUNDUP(VLOOKUP($C239,武器!$1:$998,COLUMN(O$1),FALSE)*VLOOKUP($D239,素材!$1:$1016,COLUMN(E$1),FALSE),1),"")</f>
        <v>0</v>
      </c>
      <c r="AA239">
        <f>IF(ISNUMBER(SEARCH(SUBSTITUTE(AA$1,RIGHT(AA$1,2),""),VLOOKUP($D239,素材!$1:$1016,COLUMN($F$1),FALSE))),VLOOKUP($C239,武器!$1:$998,COLUMN($O$1),FALSE)*VLOOKUP($D239,素材!$1:$1016,COLUMN($E$1),FALSE)/(LEN(VLOOKUP($D239,素材!$1:$1016,COLUMN($F$1),FALSE))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B239">
        <f>IF(ISNUMBER(SEARCH(SUBSTITUTE(AB$1,RIGHT(AB$1,2),""),VLOOKUP($D239,素材!$1:$1016,COLUMN($F$1),FALSE))),VLOOKUP($C239,武器!$1:$998,COLUMN($O$1),FALSE)*VLOOKUP($D239,素材!$1:$1016,COLUMN($E$1),FALSE)/(LEN(VLOOKUP($D239,素材!$1:$1016,COLUMN($F$1),FALSE))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C239">
        <f>IF(ISNUMBER(SEARCH(SUBSTITUTE(AC$1,RIGHT(AC$1,2),""),VLOOKUP($D239,素材!$1:$1016,COLUMN($F$1),FALSE))),VLOOKUP($C239,武器!$1:$998,COLUMN($O$1),FALSE)*VLOOKUP($D239,素材!$1:$1016,COLUMN($E$1),FALSE)/(LEN(VLOOKUP($D239,素材!$1:$1016,COLUMN($F$1),FALSE))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D239">
        <f>IF(ISNUMBER(SEARCH(SUBSTITUTE(AD$1,RIGHT(AD$1,2),""),VLOOKUP($D239,素材!$1:$1016,COLUMN($F$1),FALSE))),VLOOKUP($C239,武器!$1:$998,COLUMN($O$1),FALSE)*VLOOKUP($D239,素材!$1:$1016,COLUMN($E$1),FALSE)/(LEN(VLOOKUP($D239,素材!$1:$1016,COLUMN($F$1),FALSE))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E239">
        <f>IF(ISNUMBER(SEARCH(SUBSTITUTE(AE$1,RIGHT(AE$1,2),""),VLOOKUP($D239,素材!$1:$1016,COLUMN($F$1),FALSE))),VLOOKUP($C239,武器!$1:$998,COLUMN($O$1),FALSE)*VLOOKUP($D239,素材!$1:$1016,COLUMN($E$1),FALSE)/(LEN(VLOOKUP($D239,素材!$1:$1016,COLUMN($F$1),FALSE))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F239">
        <f>IF(ISNUMBER(SEARCH(SUBSTITUTE(AF$1,RIGHT(AF$1,2),""),VLOOKUP($D239,素材!$1:$1016,COLUMN($F$1),FALSE))),VLOOKUP($C239,武器!$1:$998,COLUMN($O$1),FALSE)*VLOOKUP($D239,素材!$1:$1016,COLUMN($E$1),FALSE)/(LEN(VLOOKUP($D239,素材!$1:$1016,COLUMN($F$1),FALSE))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G239">
        <f>IF(ISNUMBER(SEARCH(SUBSTITUTE(AG$1,RIGHT(AG$1,2),""),VLOOKUP($D239,素材!$1:$1016,COLUMN($F$1),FALSE))),VLOOKUP($C239,武器!$1:$998,COLUMN($O$1),FALSE)*VLOOKUP($D239,素材!$1:$1016,COLUMN($E$1),FALSE)/(LEN(VLOOKUP($D239,素材!$1:$1016,COLUMN($F$1),FALSE))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H239">
        <f>IF(ISNUMBER(SEARCH(SUBSTITUTE(AH$1,RIGHT(AH$1,2),""),VLOOKUP($D239,素材!$1:$1016,COLUMN($F$1),FALSE))),VLOOKUP($C239,武器!$1:$998,COLUMN($O$1),FALSE)*VLOOKUP($D239,素材!$1:$1016,COLUMN($E$1),FALSE)/(LEN(VLOOKUP($D239,素材!$1:$1016,COLUMN($F$1),FALSE))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I239">
        <f>IF(ISNUMBER(SEARCH(SUBSTITUTE(AI$1,RIGHT(AI$1,2),""),VLOOKUP($D239,素材!$1:$1016,COLUMN($F$1),FALSE))),VLOOKUP($C239,武器!$1:$998,COLUMN($O$1),FALSE)*VLOOKUP($D239,素材!$1:$1016,COLUMN($E$1),FALSE)/(LEN(VLOOKUP($D239,素材!$1:$1016,COLUMN($F$1),FALSE))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J239">
        <f>IF(ISNUMBER(SEARCH(SUBSTITUTE(AJ$1,RIGHT(AJ$1,2),""),VLOOKUP($D239,素材!$1:$1016,COLUMN($F$1),FALSE))),VLOOKUP($C239,武器!$1:$998,COLUMN($O$1),FALSE)*VLOOKUP($D239,素材!$1:$1016,COLUMN($E$1),FALSE)/(LEN(VLOOKUP($D239,素材!$1:$1016,COLUMN($F$1),FALSE))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K239">
        <f>IF(ISNUMBER(SEARCH(SUBSTITUTE(AK$1,RIGHT(AK$1,2),""),VLOOKUP($D239,素材!$1:$1016,COLUMN($F$1),FALSE))),VLOOKUP($C239,武器!$1:$998,COLUMN($O$1),FALSE)*VLOOKUP($D239,素材!$1:$1016,COLUMN($E$1),FALSE)/(LEN(VLOOKUP($D239,素材!$1:$1016,COLUMN($F$1),FALSE))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L239">
        <f>IF(ISNUMBER(SEARCH(SUBSTITUTE(AL$1,RIGHT(AL$1,2),""),VLOOKUP($D239,素材!$1:$1016,COLUMN($F$1),FALSE))),VLOOKUP($C239,武器!$1:$998,COLUMN($O$1),FALSE)*VLOOKUP($D239,素材!$1:$1016,COLUMN($E$1),FALSE)/(LEN(VLOOKUP($D239,素材!$1:$1016,COLUMN($F$1),FALSE))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M239">
        <f>IF(ISNUMBER(SEARCH(SUBSTITUTE(AM$1,RIGHT(AM$1,2),""),VLOOKUP($D239,素材!$1:$1016,COLUMN($F$1),FALSE))),VLOOKUP($C239,武器!$1:$998,COLUMN($O$1),FALSE)*VLOOKUP($D239,素材!$1:$1016,COLUMN($E$1),FALSE)/(LEN(VLOOKUP($D239,素材!$1:$1016,COLUMN($F$1),FALSE))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N239">
        <f>IF(ISNUMBER(SEARCH(SUBSTITUTE(AN$1,RIGHT(AN$1,2),""),VLOOKUP($D239,素材!$1:$1016,COLUMN($F$1),FALSE))),VLOOKUP($C239,武器!$1:$998,COLUMN($O$1),FALSE)*VLOOKUP($D239,素材!$1:$1016,COLUMN($E$1),FALSE)/(LEN(VLOOKUP($D239,素材!$1:$1016,COLUMN($F$1),FALSE))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O239">
        <f>IF(ISNUMBER(SEARCH(SUBSTITUTE(AO$1,RIGHT(AO$1,2),""),VLOOKUP($D239,素材!$1:$1016,COLUMN($F$1),FALSE))),VLOOKUP($C239,武器!$1:$998,COLUMN($O$1),FALSE)*VLOOKUP($D239,素材!$1:$1016,COLUMN($E$1),FALSE)/(LEN(VLOOKUP($D239,素材!$1:$1016,COLUMN($F$1),FALSE))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P239">
        <f>IF(ISNUMBER(SEARCH(SUBSTITUTE(AP$1,RIGHT(AP$1,2),""),VLOOKUP($D239,素材!$1:$1016,COLUMN($F$1),FALSE))),VLOOKUP($C239,武器!$1:$998,COLUMN($O$1),FALSE)*VLOOKUP($D239,素材!$1:$1016,COLUMN($E$1),FALSE)/(LEN(VLOOKUP($D239,素材!$1:$1016,COLUMN($F$1),FALSE))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Q239">
        <f>IF(ISNUMBER(SEARCH(SUBSTITUTE(AQ$1,RIGHT(AQ$1,2),""),VLOOKUP($D239,素材!$1:$1016,COLUMN($F$1),FALSE))),VLOOKUP($C239,武器!$1:$998,COLUMN($O$1),FALSE)*VLOOKUP($D239,素材!$1:$1016,COLUMN($E$1),FALSE)/(LEN(VLOOKUP($D239,素材!$1:$1016,COLUMN($F$1),FALSE))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R239">
        <f>IF(ISNUMBER(SEARCH(SUBSTITUTE(AR$1,RIGHT(AR$1,2),""),VLOOKUP($D239,素材!$1:$1016,COLUMN($F$1),FALSE))),VLOOKUP($C239,武器!$1:$998,COLUMN($O$1),FALSE)*VLOOKUP($D239,素材!$1:$1016,COLUMN($E$1),FALSE)/(LEN(VLOOKUP($D239,素材!$1:$1016,COLUMN($F$1),FALSE))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S239">
        <f>IF(ISNUMBER(SEARCH(SUBSTITUTE(AS$1,RIGHT(AS$1,2),""),VLOOKUP($D239,素材!$1:$1016,COLUMN($F$1),FALSE))),VLOOKUP($C239,武器!$1:$998,COLUMN($O$1),FALSE)*VLOOKUP($D239,素材!$1:$1016,COLUMN($E$1),FALSE)/(LEN(VLOOKUP($D239,素材!$1:$1016,COLUMN($F$1),FALSE))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T239">
        <f>IF(ISNUMBER(SEARCH(SUBSTITUTE(AT$1,RIGHT(AT$1,2),""),VLOOKUP($D239,素材!$1:$1016,COLUMN($F$1),FALSE))),VLOOKUP($C239,武器!$1:$998,COLUMN($O$1),FALSE)*VLOOKUP($D239,素材!$1:$1016,COLUMN($E$1),FALSE)/(LEN(VLOOKUP($D239,素材!$1:$1016,COLUMN($F$1),FALSE))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U239">
        <f>IF(ISNUMBER(SEARCH(SUBSTITUTE(AU$1,RIGHT(AU$1,2),""),VLOOKUP($D239,素材!$1:$1016,COLUMN($F$1),FALSE))),VLOOKUP($C239,武器!$1:$998,COLUMN($O$1),FALSE)*VLOOKUP($D239,素材!$1:$1016,COLUMN($E$1),FALSE)/(LEN(VLOOKUP($D239,素材!$1:$1016,COLUMN($F$1),FALSE))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V239">
        <f>IF(ISNUMBER(SEARCH(SUBSTITUTE(AV$1,RIGHT(AV$1,2),""),VLOOKUP($D239,素材!$1:$1016,COLUMN($F$1),FALSE))),VLOOKUP($C239,武器!$1:$998,COLUMN($O$1),FALSE)*VLOOKUP($D239,素材!$1:$1016,COLUMN($E$1),FALSE)/(LEN(VLOOKUP($D239,素材!$1:$1016,COLUMN($F$1),FALSE))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W239">
        <f>IF(ISNUMBER(SEARCH(SUBSTITUTE(AW$1,RIGHT(AW$1,2),""),VLOOKUP($D239,素材!$1:$1016,COLUMN($F$1),FALSE))),VLOOKUP($C239,武器!$1:$998,COLUMN($O$1),FALSE)*VLOOKUP($D239,素材!$1:$1016,COLUMN($E$1),FALSE)/(LEN(VLOOKUP($D239,素材!$1:$1016,COLUMN($F$1),FALSE))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X239">
        <f>IF(ISNUMBER(SEARCH(SUBSTITUTE(AX$1,RIGHT(AX$1,2),""),VLOOKUP($D239,素材!$1:$1016,COLUMN($F$1),FALSE))),VLOOKUP($C239,武器!$1:$998,COLUMN($O$1),FALSE)*VLOOKUP($D239,素材!$1:$1016,COLUMN($E$1),FALSE)/(LEN(VLOOKUP($D239,素材!$1:$1016,COLUMN($F$1),FALSE))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Y239">
        <f>IF(ISNUMBER(SEARCH(SUBSTITUTE(AY$1,RIGHT(AY$1,2),""),VLOOKUP($D239,素材!$1:$1016,COLUMN($F$1),FALSE))),VLOOKUP($C239,武器!$1:$998,COLUMN($O$1),FALSE)*VLOOKUP($D239,素材!$1:$1016,COLUMN($E$1),FALSE)/(LEN(VLOOKUP($D239,素材!$1:$1016,COLUMN($F$1),FALSE))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AZ239">
        <f>IF(ISNUMBER(SEARCH(SUBSTITUTE(AZ$1,RIGHT(AZ$1,2),""),VLOOKUP($D239,素材!$1:$1016,COLUMN($F$1),FALSE))),VLOOKUP($C239,武器!$1:$998,COLUMN($O$1),FALSE)*VLOOKUP($D239,素材!$1:$1016,COLUMN($E$1),FALSE)/(LEN(VLOOKUP($D239,素材!$1:$1016,COLUMN($F$1),FALSE))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BA239">
        <f>IF(ISNUMBER(SEARCH(SUBSTITUTE(BA$1,RIGHT(BA$1,2),""),VLOOKUP($D239,素材!$1:$1016,COLUMN($F$1),FALSE))),VLOOKUP($C239,武器!$1:$998,COLUMN($O$1),FALSE)*VLOOKUP($D239,素材!$1:$1016,COLUMN($E$1),FALSE)/(LEN(VLOOKUP($D239,素材!$1:$1016,COLUMN($F$1),FALSE))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BB239">
        <f>IF(ISNUMBER(SEARCH(SUBSTITUTE(BB$1,RIGHT(BB$1,2),""),VLOOKUP($D239,素材!$1:$1016,COLUMN($F$1),FALSE))),VLOOKUP($C239,武器!$1:$998,COLUMN($O$1),FALSE)*VLOOKUP($D239,素材!$1:$1016,COLUMN($E$1),FALSE)/(LEN(VLOOKUP($D239,素材!$1:$1016,COLUMN($F$1),FALSE))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BC239">
        <f>IF(ISNUMBER(SEARCH(SUBSTITUTE(BC$1,RIGHT(BC$1,2),""),VLOOKUP($D239,素材!$1:$1016,COLUMN($F$1),FALSE))),VLOOKUP($C239,武器!$1:$998,COLUMN($O$1),FALSE)*VLOOKUP($D239,素材!$1:$1016,COLUMN($E$1),FALSE)/(LEN(VLOOKUP($D239,素材!$1:$1016,COLUMN($F$1),FALSE))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BD239">
        <f>IF(ISNUMBER(SEARCH(SUBSTITUTE(BD$1,RIGHT(BD$1,2),""),VLOOKUP($D239,素材!$1:$1016,COLUMN($F$1),FALSE))),VLOOKUP($C239,武器!$1:$998,COLUMN($O$1),FALSE)*VLOOKUP($D239,素材!$1:$1016,COLUMN($E$1),FALSE)/(LEN(VLOOKUP($D239,素材!$1:$1016,COLUMN($F$1),FALSE))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BE239">
        <f>IF(ISNUMBER(SEARCH(SUBSTITUTE(BE$1,RIGHT(BE$1,2),""),VLOOKUP($D239,素材!$1:$1016,COLUMN($F$1),FALSE))),VLOOKUP($C239,武器!$1:$998,COLUMN($O$1),FALSE)*VLOOKUP($D239,素材!$1:$1016,COLUMN($E$1),FALSE)/(LEN(VLOOKUP($D239,素材!$1:$1016,COLUMN($F$1),FALSE))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BF239">
        <f>IF(ISNUMBER(SEARCH(SUBSTITUTE(BF$1,RIGHT(BF$1,2),""),VLOOKUP($D239,素材!$1:$1016,COLUMN($F$1),FALSE))),VLOOKUP($C239,武器!$1:$998,COLUMN($O$1),FALSE)*VLOOKUP($D239,素材!$1:$1016,COLUMN($E$1),FALSE)/(LEN(VLOOKUP($D239,素材!$1:$1016,COLUMN($F$1),FALSE)) - LEN(SUBSTITUTE(VLOOKUP($D239,素材!$1:$1016,COLUMN($F$1),FALSE), "・", 0)) + 1), 0)</f>
        <v>0</v>
      </c>
      <c r="CM239">
        <f t="shared" si="31"/>
        <v>24</v>
      </c>
      <c r="CN239" s="22" t="str">
        <f>IF(E239="武器",IF(J239-1&gt;SUM(G239:I239),"盾",IF(MAX(G239:I239)=G239,"切断",IF(MAX(G239:I239)=H239,"貫通",IF(MAX(G239:I239)=I239,"打撃","射撃")))),E239)&amp;".webp"</f>
        <v>貫通.webp</v>
      </c>
      <c r="CO239">
        <f>IFERROR(VLOOKUP($C239,武器!$1:$998,COLUMN(V$1),FALSE)*VLOOKUP($D239,素材!$1:$1016,COLUMN(N$1),FALSE)+IF(CJ239="",0,VLOOKUP($CJ239,装強!$1:$1008,COLUMN($CL$1),FALSE)),"")</f>
        <v>3750</v>
      </c>
      <c r="CP239">
        <f>VLOOKUP(D239,素材!$A:$O,COLUMN(素材!O$1),FALSE)</f>
        <v>0</v>
      </c>
      <c r="CQ239" t="str">
        <f>VLOOKUP(C239,武器!$A:$W,COLUMN(武器!W$1),FALSE)</f>
        <v>斧槍。全力時に威力が高く斬撃と突撃の両方に対応できる武器。</v>
      </c>
      <c r="CS239" t="str">
        <f t="shared" si="32"/>
        <v>e_239</v>
      </c>
      <c r="CT239">
        <f t="shared" si="33"/>
        <v>375000</v>
      </c>
    </row>
    <row r="240" spans="1:98" outlineLevel="1" x14ac:dyDescent="0.4">
      <c r="A240" t="str">
        <f t="shared" si="34"/>
        <v>熱鉄の棍棒</v>
      </c>
      <c r="B240" t="str">
        <f>IFERROR(VLOOKUP($D240,素材!$1:$1016,COLUMN($B$1),FALSE)&amp;"・"&amp;VLOOKUP($C240,武器!$1:$998,COLUMN(B$1),FALSE),"")</f>
        <v>ヒートスティール・クラブ</v>
      </c>
      <c r="C240" s="24" t="s">
        <v>230</v>
      </c>
      <c r="D240" s="24" t="s">
        <v>205</v>
      </c>
      <c r="E240" t="str">
        <f>IFERROR(VLOOKUP(C240,武器!$1:$998,COLUMN(C$1),FALSE),"")</f>
        <v>武器</v>
      </c>
      <c r="F240">
        <f>IFERROR(ROUNDDOWN((VLOOKUP($C240,武器!$1:$998,COLUMN(D$1),FALSE)+IFERROR(VLOOKUP($CJ240,装強!$1:$999,COLUMN(F$1),FALSE),0))*VLOOKUP($D240,素材!$1:$1016,COLUMN(D$1),FALSE),0),"")</f>
        <v>105</v>
      </c>
      <c r="G240">
        <f>IFERROR(ROUNDDOWN((VLOOKUP($C240,武器!$1:$998,COLUMN(E$1),FALSE)+IFERROR(VLOOKUP($CJ240,装強!$1:$999,COLUMN(G$1),FALSE),0))*VLOOKUP($D240,素材!$1:$1016,COLUMN($E$1),FALSE),0),"")</f>
        <v>0</v>
      </c>
      <c r="H240">
        <f>IFERROR(ROUNDDOWN((VLOOKUP($C240,武器!$1:$998,COLUMN(F$1),FALSE)+IFERROR(VLOOKUP($CJ240,装強!$1:$999,COLUMN(H$1),FALSE),0))*VLOOKUP($D240,素材!$1:$1016,COLUMN($E$1),FALSE),0),"")</f>
        <v>0</v>
      </c>
      <c r="I240">
        <f>IFERROR(ROUNDDOWN((VLOOKUP($C240,武器!$1:$998,COLUMN(G$1),FALSE)+IFERROR(VLOOKUP($CJ240,装強!$1:$999,COLUMN(I$1),FALSE),0))*VLOOKUP($D240,素材!$1:$1016,COLUMN($E$1),FALSE),0),"")</f>
        <v>22</v>
      </c>
      <c r="J240">
        <f>IFERROR(ROUNDDOWN((VLOOKUP($C240,武器!$1:$998,COLUMN(H$1),FALSE)+IFERROR(VLOOKUP($CJ240,装強!$1:$999,COLUMN(J$1),FALSE),0))*VLOOKUP($D240,素材!$1:$1016,COLUMN($E$1),FALSE),0),"")</f>
        <v>19</v>
      </c>
      <c r="K240">
        <f>IFERROR(ROUNDDOWN((VLOOKUP($C240,武器!$1:$998,COLUMN(I$1),FALSE)+IFERROR(VLOOKUP($CJ240,装強!$1:$999,COLUMN(K$1),FALSE),0))*VLOOKUP($D240,素材!$1:$1016,COLUMN($E$1),FALSE),0),"")</f>
        <v>0</v>
      </c>
      <c r="L240" t="str">
        <f>IFERROR(VLOOKUP($D240,素材!$1:$1016,COLUMN($F$1),FALSE),"")</f>
        <v>炎</v>
      </c>
      <c r="M240">
        <f>IFERROR(VLOOKUP($C240,武器!$1:$998,COLUMN(AA$1),FALSE)*VLOOKUP($D240,素材!$1:$1016,COLUMN($G$1),FALSE),"")</f>
        <v>38.5</v>
      </c>
      <c r="N240">
        <f>IFERROR(VLOOKUP($C240,武器!$1:$998,COLUMN(I$1),FALSE),"")</f>
        <v>0</v>
      </c>
      <c r="O240" s="23">
        <f>IFERROR((VLOOKUP($C240,武器!$1:$998,COLUMN(K$1),FALSE)+VLOOKUP($D240,素材!$1:$1016,COLUMN(H$1),FALSE))*100+IFERROR(VLOOKUP($CJ240,装強!$1:$999,COLUMN(O$1),FALSE),0),"")</f>
        <v>5</v>
      </c>
      <c r="P240" s="23">
        <f>IFERROR((VLOOKUP($C240,武器!$1:$998,COLUMN(L$1),FALSE)+VLOOKUP($D240,素材!$1:$1016,COLUMN(I$1),FALSE))*100+IFERROR(VLOOKUP($CJ240,装強!$1:$999,COLUMN(P$1),FALSE),0),"")</f>
        <v>150</v>
      </c>
      <c r="Q240">
        <f>IFERROR(ROUNDUP(VLOOKUP($C240,武器!$1:$998,COLUMN(M$1),FALSE)*(VLOOKUP($D240,素材!$1:$1002,COLUMN(D$1),FALSE)/100),1),"")</f>
        <v>0</v>
      </c>
      <c r="R240">
        <f>IFERROR(ROUNDUP(VLOOKUP($C240,武器!$1:$998,COLUMN(N$1),FALSE)*(VLOOKUP($D240,素材!$1:$1002,COLUMN(D$1),FALSE)/100),1),"")</f>
        <v>0</v>
      </c>
      <c r="S240">
        <f>IFERROR(VLOOKUP($C240,武器!$1:$998,COLUMN(P$1),FALSE),"")</f>
        <v>0</v>
      </c>
      <c r="T240">
        <f>IFERROR(VLOOKUP($C240,武器!$1:$998,COLUMN(Q$1),FALSE),"")</f>
        <v>0</v>
      </c>
      <c r="U240">
        <f>IFERROR(VLOOKUP($C240,武器!$1:$998,COLUMN(R$1),FALSE),"")</f>
        <v>0</v>
      </c>
      <c r="V240">
        <f>IFERROR(VLOOKUP($C240,武器!$1:$998,COLUMN(Q$1),FALSE),"")</f>
        <v>0</v>
      </c>
      <c r="W240" t="str">
        <f>IFERROR(VLOOKUP($C240,武器!$1:$998,COLUMN(T$1),FALSE),"")</f>
        <v>A</v>
      </c>
      <c r="Y240" t="str">
        <f>IFERROR(VLOOKUP($C240,武器!$1:$998,COLUMN(U$1),FALSE),"")</f>
        <v>片手適性Ⅰ</v>
      </c>
      <c r="Z240">
        <f>IFERROR(ROUNDUP(VLOOKUP($C240,武器!$1:$998,COLUMN(O$1),FALSE)*VLOOKUP($D240,素材!$1:$1016,COLUMN(E$1),FALSE),1),"")</f>
        <v>0</v>
      </c>
      <c r="AA240">
        <f>IF(ISNUMBER(SEARCH(SUBSTITUTE(AA$1,RIGHT(AA$1,2),""),VLOOKUP($D240,素材!$1:$1016,COLUMN($F$1),FALSE))),VLOOKUP($C240,武器!$1:$998,COLUMN($O$1),FALSE)*VLOOKUP($D240,素材!$1:$1016,COLUMN($E$1),FALSE)/(LEN(VLOOKUP($D240,素材!$1:$1016,COLUMN($F$1),FALSE))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B240">
        <f>IF(ISNUMBER(SEARCH(SUBSTITUTE(AB$1,RIGHT(AB$1,2),""),VLOOKUP($D240,素材!$1:$1016,COLUMN($F$1),FALSE))),VLOOKUP($C240,武器!$1:$998,COLUMN($O$1),FALSE)*VLOOKUP($D240,素材!$1:$1016,COLUMN($E$1),FALSE)/(LEN(VLOOKUP($D240,素材!$1:$1016,COLUMN($F$1),FALSE))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C240">
        <f>IF(ISNUMBER(SEARCH(SUBSTITUTE(AC$1,RIGHT(AC$1,2),""),VLOOKUP($D240,素材!$1:$1016,COLUMN($F$1),FALSE))),VLOOKUP($C240,武器!$1:$998,COLUMN($O$1),FALSE)*VLOOKUP($D240,素材!$1:$1016,COLUMN($E$1),FALSE)/(LEN(VLOOKUP($D240,素材!$1:$1016,COLUMN($F$1),FALSE))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D240">
        <f>IF(ISNUMBER(SEARCH(SUBSTITUTE(AD$1,RIGHT(AD$1,2),""),VLOOKUP($D240,素材!$1:$1016,COLUMN($F$1),FALSE))),VLOOKUP($C240,武器!$1:$998,COLUMN($O$1),FALSE)*VLOOKUP($D240,素材!$1:$1016,COLUMN($E$1),FALSE)/(LEN(VLOOKUP($D240,素材!$1:$1016,COLUMN($F$1),FALSE))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E240">
        <f>IF(ISNUMBER(SEARCH(SUBSTITUTE(AE$1,RIGHT(AE$1,2),""),VLOOKUP($D240,素材!$1:$1016,COLUMN($F$1),FALSE))),VLOOKUP($C240,武器!$1:$998,COLUMN($O$1),FALSE)*VLOOKUP($D240,素材!$1:$1016,COLUMN($E$1),FALSE)/(LEN(VLOOKUP($D240,素材!$1:$1016,COLUMN($F$1),FALSE))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F240">
        <f>IF(ISNUMBER(SEARCH(SUBSTITUTE(AF$1,RIGHT(AF$1,2),""),VLOOKUP($D240,素材!$1:$1016,COLUMN($F$1),FALSE))),VLOOKUP($C240,武器!$1:$998,COLUMN($O$1),FALSE)*VLOOKUP($D240,素材!$1:$1016,COLUMN($E$1),FALSE)/(LEN(VLOOKUP($D240,素材!$1:$1016,COLUMN($F$1),FALSE))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G240">
        <f>IF(ISNUMBER(SEARCH(SUBSTITUTE(AG$1,RIGHT(AG$1,2),""),VLOOKUP($D240,素材!$1:$1016,COLUMN($F$1),FALSE))),VLOOKUP($C240,武器!$1:$998,COLUMN($O$1),FALSE)*VLOOKUP($D240,素材!$1:$1016,COLUMN($E$1),FALSE)/(LEN(VLOOKUP($D240,素材!$1:$1016,COLUMN($F$1),FALSE))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H240">
        <f>IF(ISNUMBER(SEARCH(SUBSTITUTE(AH$1,RIGHT(AH$1,2),""),VLOOKUP($D240,素材!$1:$1016,COLUMN($F$1),FALSE))),VLOOKUP($C240,武器!$1:$998,COLUMN($O$1),FALSE)*VLOOKUP($D240,素材!$1:$1016,COLUMN($E$1),FALSE)/(LEN(VLOOKUP($D240,素材!$1:$1016,COLUMN($F$1),FALSE))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I240">
        <f>IF(ISNUMBER(SEARCH(SUBSTITUTE(AI$1,RIGHT(AI$1,2),""),VLOOKUP($D240,素材!$1:$1016,COLUMN($F$1),FALSE))),VLOOKUP($C240,武器!$1:$998,COLUMN($O$1),FALSE)*VLOOKUP($D240,素材!$1:$1016,COLUMN($E$1),FALSE)/(LEN(VLOOKUP($D240,素材!$1:$1016,COLUMN($F$1),FALSE))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J240">
        <f>IF(ISNUMBER(SEARCH(SUBSTITUTE(AJ$1,RIGHT(AJ$1,2),""),VLOOKUP($D240,素材!$1:$1016,COLUMN($F$1),FALSE))),VLOOKUP($C240,武器!$1:$998,COLUMN($O$1),FALSE)*VLOOKUP($D240,素材!$1:$1016,COLUMN($E$1),FALSE)/(LEN(VLOOKUP($D240,素材!$1:$1016,COLUMN($F$1),FALSE))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K240">
        <f>IF(ISNUMBER(SEARCH(SUBSTITUTE(AK$1,RIGHT(AK$1,2),""),VLOOKUP($D240,素材!$1:$1016,COLUMN($F$1),FALSE))),VLOOKUP($C240,武器!$1:$998,COLUMN($O$1),FALSE)*VLOOKUP($D240,素材!$1:$1016,COLUMN($E$1),FALSE)/(LEN(VLOOKUP($D240,素材!$1:$1016,COLUMN($F$1),FALSE))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L240">
        <f>IF(ISNUMBER(SEARCH(SUBSTITUTE(AL$1,RIGHT(AL$1,2),""),VLOOKUP($D240,素材!$1:$1016,COLUMN($F$1),FALSE))),VLOOKUP($C240,武器!$1:$998,COLUMN($O$1),FALSE)*VLOOKUP($D240,素材!$1:$1016,COLUMN($E$1),FALSE)/(LEN(VLOOKUP($D240,素材!$1:$1016,COLUMN($F$1),FALSE))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M240">
        <f>IF(ISNUMBER(SEARCH(SUBSTITUTE(AM$1,RIGHT(AM$1,2),""),VLOOKUP($D240,素材!$1:$1016,COLUMN($F$1),FALSE))),VLOOKUP($C240,武器!$1:$998,COLUMN($O$1),FALSE)*VLOOKUP($D240,素材!$1:$1016,COLUMN($E$1),FALSE)/(LEN(VLOOKUP($D240,素材!$1:$1016,COLUMN($F$1),FALSE))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N240">
        <f>IF(ISNUMBER(SEARCH(SUBSTITUTE(AN$1,RIGHT(AN$1,2),""),VLOOKUP($D240,素材!$1:$1016,COLUMN($F$1),FALSE))),VLOOKUP($C240,武器!$1:$998,COLUMN($O$1),FALSE)*VLOOKUP($D240,素材!$1:$1016,COLUMN($E$1),FALSE)/(LEN(VLOOKUP($D240,素材!$1:$1016,COLUMN($F$1),FALSE))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O240">
        <f>IF(ISNUMBER(SEARCH(SUBSTITUTE(AO$1,RIGHT(AO$1,2),""),VLOOKUP($D240,素材!$1:$1016,COLUMN($F$1),FALSE))),VLOOKUP($C240,武器!$1:$998,COLUMN($O$1),FALSE)*VLOOKUP($D240,素材!$1:$1016,COLUMN($E$1),FALSE)/(LEN(VLOOKUP($D240,素材!$1:$1016,COLUMN($F$1),FALSE))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P240">
        <f>IF(ISNUMBER(SEARCH(SUBSTITUTE(AP$1,RIGHT(AP$1,2),""),VLOOKUP($D240,素材!$1:$1016,COLUMN($F$1),FALSE))),VLOOKUP($C240,武器!$1:$998,COLUMN($O$1),FALSE)*VLOOKUP($D240,素材!$1:$1016,COLUMN($E$1),FALSE)/(LEN(VLOOKUP($D240,素材!$1:$1016,COLUMN($F$1),FALSE))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Q240">
        <f>IF(ISNUMBER(SEARCH(SUBSTITUTE(AQ$1,RIGHT(AQ$1,2),""),VLOOKUP($D240,素材!$1:$1016,COLUMN($F$1),FALSE))),VLOOKUP($C240,武器!$1:$998,COLUMN($O$1),FALSE)*VLOOKUP($D240,素材!$1:$1016,COLUMN($E$1),FALSE)/(LEN(VLOOKUP($D240,素材!$1:$1016,COLUMN($F$1),FALSE))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R240">
        <f>IF(ISNUMBER(SEARCH(SUBSTITUTE(AR$1,RIGHT(AR$1,2),""),VLOOKUP($D240,素材!$1:$1016,COLUMN($F$1),FALSE))),VLOOKUP($C240,武器!$1:$998,COLUMN($O$1),FALSE)*VLOOKUP($D240,素材!$1:$1016,COLUMN($E$1),FALSE)/(LEN(VLOOKUP($D240,素材!$1:$1016,COLUMN($F$1),FALSE))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S240">
        <f>IF(ISNUMBER(SEARCH(SUBSTITUTE(AS$1,RIGHT(AS$1,2),""),VLOOKUP($D240,素材!$1:$1016,COLUMN($F$1),FALSE))),VLOOKUP($C240,武器!$1:$998,COLUMN($O$1),FALSE)*VLOOKUP($D240,素材!$1:$1016,COLUMN($E$1),FALSE)/(LEN(VLOOKUP($D240,素材!$1:$1016,COLUMN($F$1),FALSE))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T240">
        <f>IF(ISNUMBER(SEARCH(SUBSTITUTE(AT$1,RIGHT(AT$1,2),""),VLOOKUP($D240,素材!$1:$1016,COLUMN($F$1),FALSE))),VLOOKUP($C240,武器!$1:$998,COLUMN($O$1),FALSE)*VLOOKUP($D240,素材!$1:$1016,COLUMN($E$1),FALSE)/(LEN(VLOOKUP($D240,素材!$1:$1016,COLUMN($F$1),FALSE))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U240">
        <f>IF(ISNUMBER(SEARCH(SUBSTITUTE(AU$1,RIGHT(AU$1,2),""),VLOOKUP($D240,素材!$1:$1016,COLUMN($F$1),FALSE))),VLOOKUP($C240,武器!$1:$998,COLUMN($O$1),FALSE)*VLOOKUP($D240,素材!$1:$1016,COLUMN($E$1),FALSE)/(LEN(VLOOKUP($D240,素材!$1:$1016,COLUMN($F$1),FALSE))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V240">
        <f>IF(ISNUMBER(SEARCH(SUBSTITUTE(AV$1,RIGHT(AV$1,2),""),VLOOKUP($D240,素材!$1:$1016,COLUMN($F$1),FALSE))),VLOOKUP($C240,武器!$1:$998,COLUMN($O$1),FALSE)*VLOOKUP($D240,素材!$1:$1016,COLUMN($E$1),FALSE)/(LEN(VLOOKUP($D240,素材!$1:$1016,COLUMN($F$1),FALSE))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W240">
        <f>IF(ISNUMBER(SEARCH(SUBSTITUTE(AW$1,RIGHT(AW$1,2),""),VLOOKUP($D240,素材!$1:$1016,COLUMN($F$1),FALSE))),VLOOKUP($C240,武器!$1:$998,COLUMN($O$1),FALSE)*VLOOKUP($D240,素材!$1:$1016,COLUMN($E$1),FALSE)/(LEN(VLOOKUP($D240,素材!$1:$1016,COLUMN($F$1),FALSE))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X240">
        <f>IF(ISNUMBER(SEARCH(SUBSTITUTE(AX$1,RIGHT(AX$1,2),""),VLOOKUP($D240,素材!$1:$1016,COLUMN($F$1),FALSE))),VLOOKUP($C240,武器!$1:$998,COLUMN($O$1),FALSE)*VLOOKUP($D240,素材!$1:$1016,COLUMN($E$1),FALSE)/(LEN(VLOOKUP($D240,素材!$1:$1016,COLUMN($F$1),FALSE))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Y240">
        <f>IF(ISNUMBER(SEARCH(SUBSTITUTE(AY$1,RIGHT(AY$1,2),""),VLOOKUP($D240,素材!$1:$1016,COLUMN($F$1),FALSE))),VLOOKUP($C240,武器!$1:$998,COLUMN($O$1),FALSE)*VLOOKUP($D240,素材!$1:$1016,COLUMN($E$1),FALSE)/(LEN(VLOOKUP($D240,素材!$1:$1016,COLUMN($F$1),FALSE))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AZ240">
        <f>IF(ISNUMBER(SEARCH(SUBSTITUTE(AZ$1,RIGHT(AZ$1,2),""),VLOOKUP($D240,素材!$1:$1016,COLUMN($F$1),FALSE))),VLOOKUP($C240,武器!$1:$998,COLUMN($O$1),FALSE)*VLOOKUP($D240,素材!$1:$1016,COLUMN($E$1),FALSE)/(LEN(VLOOKUP($D240,素材!$1:$1016,COLUMN($F$1),FALSE))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BA240">
        <f>IF(ISNUMBER(SEARCH(SUBSTITUTE(BA$1,RIGHT(BA$1,2),""),VLOOKUP($D240,素材!$1:$1016,COLUMN($F$1),FALSE))),VLOOKUP($C240,武器!$1:$998,COLUMN($O$1),FALSE)*VLOOKUP($D240,素材!$1:$1016,COLUMN($E$1),FALSE)/(LEN(VLOOKUP($D240,素材!$1:$1016,COLUMN($F$1),FALSE))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BB240">
        <f>IF(ISNUMBER(SEARCH(SUBSTITUTE(BB$1,RIGHT(BB$1,2),""),VLOOKUP($D240,素材!$1:$1016,COLUMN($F$1),FALSE))),VLOOKUP($C240,武器!$1:$998,COLUMN($O$1),FALSE)*VLOOKUP($D240,素材!$1:$1016,COLUMN($E$1),FALSE)/(LEN(VLOOKUP($D240,素材!$1:$1016,COLUMN($F$1),FALSE))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BC240">
        <f>IF(ISNUMBER(SEARCH(SUBSTITUTE(BC$1,RIGHT(BC$1,2),""),VLOOKUP($D240,素材!$1:$1016,COLUMN($F$1),FALSE))),VLOOKUP($C240,武器!$1:$998,COLUMN($O$1),FALSE)*VLOOKUP($D240,素材!$1:$1016,COLUMN($E$1),FALSE)/(LEN(VLOOKUP($D240,素材!$1:$1016,COLUMN($F$1),FALSE))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BD240">
        <f>IF(ISNUMBER(SEARCH(SUBSTITUTE(BD$1,RIGHT(BD$1,2),""),VLOOKUP($D240,素材!$1:$1016,COLUMN($F$1),FALSE))),VLOOKUP($C240,武器!$1:$998,COLUMN($O$1),FALSE)*VLOOKUP($D240,素材!$1:$1016,COLUMN($E$1),FALSE)/(LEN(VLOOKUP($D240,素材!$1:$1016,COLUMN($F$1),FALSE))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BE240">
        <f>IF(ISNUMBER(SEARCH(SUBSTITUTE(BE$1,RIGHT(BE$1,2),""),VLOOKUP($D240,素材!$1:$1016,COLUMN($F$1),FALSE))),VLOOKUP($C240,武器!$1:$998,COLUMN($O$1),FALSE)*VLOOKUP($D240,素材!$1:$1016,COLUMN($E$1),FALSE)/(LEN(VLOOKUP($D240,素材!$1:$1016,COLUMN($F$1),FALSE))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BF240">
        <f>IF(ISNUMBER(SEARCH(SUBSTITUTE(BF$1,RIGHT(BF$1,2),""),VLOOKUP($D240,素材!$1:$1016,COLUMN($F$1),FALSE))),VLOOKUP($C240,武器!$1:$998,COLUMN($O$1),FALSE)*VLOOKUP($D240,素材!$1:$1016,COLUMN($E$1),FALSE)/(LEN(VLOOKUP($D240,素材!$1:$1016,COLUMN($F$1),FALSE)) - LEN(SUBSTITUTE(VLOOKUP($D240,素材!$1:$1016,COLUMN($F$1),FALSE), "・", 0)) + 1), 0)</f>
        <v>0</v>
      </c>
      <c r="CM240">
        <f t="shared" si="31"/>
        <v>22</v>
      </c>
      <c r="CN240" s="22" t="str">
        <f>IF(E240="武器",IF(J240-1&gt;SUM(G240:I240),"盾",IF(MAX(G240:I240)=G240,"切断",IF(MAX(G240:I240)=H240,"貫通",IF(MAX(G240:I240)=I240,"打撃","射撃")))),E240)&amp;".webp"</f>
        <v>打撃.webp</v>
      </c>
      <c r="CO240">
        <f>IFERROR(VLOOKUP($C240,武器!$1:$998,COLUMN(V$1),FALSE)*VLOOKUP($D240,素材!$1:$1016,COLUMN(N$1),FALSE)+IF(CJ240="",0,VLOOKUP($CJ240,装強!$1:$1008,COLUMN($CL$1),FALSE)),"")</f>
        <v>2250</v>
      </c>
      <c r="CP240">
        <f>VLOOKUP(D240,素材!$A:$O,COLUMN(素材!O$1),FALSE)</f>
        <v>0</v>
      </c>
      <c r="CQ240" t="str">
        <f>VLOOKUP(C240,武器!$A:$W,COLUMN(武器!W$1),FALSE)</f>
        <v>棍棒。打撃に特化したシンプルな武器。</v>
      </c>
      <c r="CS240" t="str">
        <f t="shared" si="32"/>
        <v>e_240</v>
      </c>
      <c r="CT240">
        <f t="shared" si="33"/>
        <v>225000</v>
      </c>
    </row>
    <row r="241" spans="1:98" outlineLevel="1" x14ac:dyDescent="0.4">
      <c r="A241" t="str">
        <f t="shared" si="34"/>
        <v>熱鉄の戦棍</v>
      </c>
      <c r="B241" t="str">
        <f>IFERROR(VLOOKUP($D241,素材!$1:$1016,COLUMN($B$1),FALSE)&amp;"・"&amp;VLOOKUP($C241,武器!$1:$998,COLUMN(B$1),FALSE),"")</f>
        <v>ヒートスティール・メイス</v>
      </c>
      <c r="C241" s="24" t="s">
        <v>229</v>
      </c>
      <c r="D241" s="24" t="s">
        <v>205</v>
      </c>
      <c r="E241" t="str">
        <f>IFERROR(VLOOKUP(C241,武器!$1:$998,COLUMN(C$1),FALSE),"")</f>
        <v>武器</v>
      </c>
      <c r="F241">
        <f>IFERROR(ROUNDDOWN((VLOOKUP($C241,武器!$1:$998,COLUMN(D$1),FALSE)+IFERROR(VLOOKUP($CJ241,装強!$1:$999,COLUMN(F$1),FALSE),0))*VLOOKUP($D241,素材!$1:$1016,COLUMN(D$1),FALSE),0),"")</f>
        <v>110</v>
      </c>
      <c r="G241">
        <f>IFERROR(ROUNDDOWN((VLOOKUP($C241,武器!$1:$998,COLUMN(E$1),FALSE)+IFERROR(VLOOKUP($CJ241,装強!$1:$999,COLUMN(G$1),FALSE),0))*VLOOKUP($D241,素材!$1:$1016,COLUMN($E$1),FALSE),0),"")</f>
        <v>0</v>
      </c>
      <c r="H241">
        <f>IFERROR(ROUNDDOWN((VLOOKUP($C241,武器!$1:$998,COLUMN(F$1),FALSE)+IFERROR(VLOOKUP($CJ241,装強!$1:$999,COLUMN(H$1),FALSE),0))*VLOOKUP($D241,素材!$1:$1016,COLUMN($E$1),FALSE),0),"")</f>
        <v>0</v>
      </c>
      <c r="I241">
        <f>IFERROR(ROUNDDOWN((VLOOKUP($C241,武器!$1:$998,COLUMN(G$1),FALSE)+IFERROR(VLOOKUP($CJ241,装強!$1:$999,COLUMN(I$1),FALSE),0))*VLOOKUP($D241,素材!$1:$1016,COLUMN($E$1),FALSE),0),"")</f>
        <v>23</v>
      </c>
      <c r="J241">
        <f>IFERROR(ROUNDDOWN((VLOOKUP($C241,武器!$1:$998,COLUMN(H$1),FALSE)+IFERROR(VLOOKUP($CJ241,装強!$1:$999,COLUMN(J$1),FALSE),0))*VLOOKUP($D241,素材!$1:$1016,COLUMN($E$1),FALSE),0),"")</f>
        <v>19</v>
      </c>
      <c r="K241">
        <f>IFERROR(ROUNDDOWN((VLOOKUP($C241,武器!$1:$998,COLUMN(I$1),FALSE)+IFERROR(VLOOKUP($CJ241,装強!$1:$999,COLUMN(K$1),FALSE),0))*VLOOKUP($D241,素材!$1:$1016,COLUMN($E$1),FALSE),0),"")</f>
        <v>0</v>
      </c>
      <c r="L241" t="str">
        <f>IFERROR(VLOOKUP($D241,素材!$1:$1016,COLUMN($F$1),FALSE),"")</f>
        <v>炎</v>
      </c>
      <c r="M241">
        <f>IFERROR(VLOOKUP($C241,武器!$1:$998,COLUMN(AA$1),FALSE)*VLOOKUP($D241,素材!$1:$1016,COLUMN($G$1),FALSE),"")</f>
        <v>40.25</v>
      </c>
      <c r="N241">
        <f>IFERROR(VLOOKUP($C241,武器!$1:$998,COLUMN(I$1),FALSE),"")</f>
        <v>0</v>
      </c>
      <c r="O241" s="23">
        <f>IFERROR((VLOOKUP($C241,武器!$1:$998,COLUMN(K$1),FALSE)+VLOOKUP($D241,素材!$1:$1016,COLUMN(H$1),FALSE))*100+IFERROR(VLOOKUP($CJ241,装強!$1:$999,COLUMN(O$1),FALSE),0),"")</f>
        <v>15</v>
      </c>
      <c r="P241" s="23">
        <f>IFERROR((VLOOKUP($C241,武器!$1:$998,COLUMN(L$1),FALSE)+VLOOKUP($D241,素材!$1:$1016,COLUMN(I$1),FALSE))*100+IFERROR(VLOOKUP($CJ241,装強!$1:$999,COLUMN(P$1),FALSE),0),"")</f>
        <v>125</v>
      </c>
      <c r="Q241">
        <f>IFERROR(ROUNDUP(VLOOKUP($C241,武器!$1:$998,COLUMN(M$1),FALSE)*(VLOOKUP($D241,素材!$1:$1002,COLUMN(D$1),FALSE)/100),1),"")</f>
        <v>0</v>
      </c>
      <c r="R241">
        <f>IFERROR(ROUNDUP(VLOOKUP($C241,武器!$1:$998,COLUMN(N$1),FALSE)*(VLOOKUP($D241,素材!$1:$1002,COLUMN(D$1),FALSE)/100),1),"")</f>
        <v>-2</v>
      </c>
      <c r="S241">
        <f>IFERROR(VLOOKUP($C241,武器!$1:$998,COLUMN(P$1),FALSE),"")</f>
        <v>0</v>
      </c>
      <c r="T241">
        <f>IFERROR(VLOOKUP($C241,武器!$1:$998,COLUMN(Q$1),FALSE),"")</f>
        <v>0</v>
      </c>
      <c r="U241">
        <f>IFERROR(VLOOKUP($C241,武器!$1:$998,COLUMN(R$1),FALSE),"")</f>
        <v>0</v>
      </c>
      <c r="V241">
        <f>IFERROR(VLOOKUP($C241,武器!$1:$998,COLUMN(Q$1),FALSE),"")</f>
        <v>0</v>
      </c>
      <c r="W241" t="str">
        <f>IFERROR(VLOOKUP($C241,武器!$1:$998,COLUMN(T$1),FALSE),"")</f>
        <v>A</v>
      </c>
      <c r="Y241">
        <f>IFERROR(VLOOKUP($C241,武器!$1:$998,COLUMN(U$1),FALSE),"")</f>
        <v>0</v>
      </c>
      <c r="Z241">
        <f>IFERROR(ROUNDUP(VLOOKUP($C241,武器!$1:$998,COLUMN(O$1),FALSE)*VLOOKUP($D241,素材!$1:$1016,COLUMN(E$1),FALSE),1),"")</f>
        <v>0</v>
      </c>
      <c r="AA241">
        <f>IF(ISNUMBER(SEARCH(SUBSTITUTE(AA$1,RIGHT(AA$1,2),""),VLOOKUP($D241,素材!$1:$1016,COLUMN($F$1),FALSE))),VLOOKUP($C241,武器!$1:$998,COLUMN($O$1),FALSE)*VLOOKUP($D241,素材!$1:$1016,COLUMN($E$1),FALSE)/(LEN(VLOOKUP($D241,素材!$1:$1016,COLUMN($F$1),FALSE))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B241">
        <f>IF(ISNUMBER(SEARCH(SUBSTITUTE(AB$1,RIGHT(AB$1,2),""),VLOOKUP($D241,素材!$1:$1016,COLUMN($F$1),FALSE))),VLOOKUP($C241,武器!$1:$998,COLUMN($O$1),FALSE)*VLOOKUP($D241,素材!$1:$1016,COLUMN($E$1),FALSE)/(LEN(VLOOKUP($D241,素材!$1:$1016,COLUMN($F$1),FALSE))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C241">
        <f>IF(ISNUMBER(SEARCH(SUBSTITUTE(AC$1,RIGHT(AC$1,2),""),VLOOKUP($D241,素材!$1:$1016,COLUMN($F$1),FALSE))),VLOOKUP($C241,武器!$1:$998,COLUMN($O$1),FALSE)*VLOOKUP($D241,素材!$1:$1016,COLUMN($E$1),FALSE)/(LEN(VLOOKUP($D241,素材!$1:$1016,COLUMN($F$1),FALSE))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D241">
        <f>IF(ISNUMBER(SEARCH(SUBSTITUTE(AD$1,RIGHT(AD$1,2),""),VLOOKUP($D241,素材!$1:$1016,COLUMN($F$1),FALSE))),VLOOKUP($C241,武器!$1:$998,COLUMN($O$1),FALSE)*VLOOKUP($D241,素材!$1:$1016,COLUMN($E$1),FALSE)/(LEN(VLOOKUP($D241,素材!$1:$1016,COLUMN($F$1),FALSE))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E241">
        <f>IF(ISNUMBER(SEARCH(SUBSTITUTE(AE$1,RIGHT(AE$1,2),""),VLOOKUP($D241,素材!$1:$1016,COLUMN($F$1),FALSE))),VLOOKUP($C241,武器!$1:$998,COLUMN($O$1),FALSE)*VLOOKUP($D241,素材!$1:$1016,COLUMN($E$1),FALSE)/(LEN(VLOOKUP($D241,素材!$1:$1016,COLUMN($F$1),FALSE))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F241">
        <f>IF(ISNUMBER(SEARCH(SUBSTITUTE(AF$1,RIGHT(AF$1,2),""),VLOOKUP($D241,素材!$1:$1016,COLUMN($F$1),FALSE))),VLOOKUP($C241,武器!$1:$998,COLUMN($O$1),FALSE)*VLOOKUP($D241,素材!$1:$1016,COLUMN($E$1),FALSE)/(LEN(VLOOKUP($D241,素材!$1:$1016,COLUMN($F$1),FALSE))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G241">
        <f>IF(ISNUMBER(SEARCH(SUBSTITUTE(AG$1,RIGHT(AG$1,2),""),VLOOKUP($D241,素材!$1:$1016,COLUMN($F$1),FALSE))),VLOOKUP($C241,武器!$1:$998,COLUMN($O$1),FALSE)*VLOOKUP($D241,素材!$1:$1016,COLUMN($E$1),FALSE)/(LEN(VLOOKUP($D241,素材!$1:$1016,COLUMN($F$1),FALSE))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H241">
        <f>IF(ISNUMBER(SEARCH(SUBSTITUTE(AH$1,RIGHT(AH$1,2),""),VLOOKUP($D241,素材!$1:$1016,COLUMN($F$1),FALSE))),VLOOKUP($C241,武器!$1:$998,COLUMN($O$1),FALSE)*VLOOKUP($D241,素材!$1:$1016,COLUMN($E$1),FALSE)/(LEN(VLOOKUP($D241,素材!$1:$1016,COLUMN($F$1),FALSE))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I241">
        <f>IF(ISNUMBER(SEARCH(SUBSTITUTE(AI$1,RIGHT(AI$1,2),""),VLOOKUP($D241,素材!$1:$1016,COLUMN($F$1),FALSE))),VLOOKUP($C241,武器!$1:$998,COLUMN($O$1),FALSE)*VLOOKUP($D241,素材!$1:$1016,COLUMN($E$1),FALSE)/(LEN(VLOOKUP($D241,素材!$1:$1016,COLUMN($F$1),FALSE))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J241">
        <f>IF(ISNUMBER(SEARCH(SUBSTITUTE(AJ$1,RIGHT(AJ$1,2),""),VLOOKUP($D241,素材!$1:$1016,COLUMN($F$1),FALSE))),VLOOKUP($C241,武器!$1:$998,COLUMN($O$1),FALSE)*VLOOKUP($D241,素材!$1:$1016,COLUMN($E$1),FALSE)/(LEN(VLOOKUP($D241,素材!$1:$1016,COLUMN($F$1),FALSE))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K241">
        <f>IF(ISNUMBER(SEARCH(SUBSTITUTE(AK$1,RIGHT(AK$1,2),""),VLOOKUP($D241,素材!$1:$1016,COLUMN($F$1),FALSE))),VLOOKUP($C241,武器!$1:$998,COLUMN($O$1),FALSE)*VLOOKUP($D241,素材!$1:$1016,COLUMN($E$1),FALSE)/(LEN(VLOOKUP($D241,素材!$1:$1016,COLUMN($F$1),FALSE))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L241">
        <f>IF(ISNUMBER(SEARCH(SUBSTITUTE(AL$1,RIGHT(AL$1,2),""),VLOOKUP($D241,素材!$1:$1016,COLUMN($F$1),FALSE))),VLOOKUP($C241,武器!$1:$998,COLUMN($O$1),FALSE)*VLOOKUP($D241,素材!$1:$1016,COLUMN($E$1),FALSE)/(LEN(VLOOKUP($D241,素材!$1:$1016,COLUMN($F$1),FALSE))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M241">
        <f>IF(ISNUMBER(SEARCH(SUBSTITUTE(AM$1,RIGHT(AM$1,2),""),VLOOKUP($D241,素材!$1:$1016,COLUMN($F$1),FALSE))),VLOOKUP($C241,武器!$1:$998,COLUMN($O$1),FALSE)*VLOOKUP($D241,素材!$1:$1016,COLUMN($E$1),FALSE)/(LEN(VLOOKUP($D241,素材!$1:$1016,COLUMN($F$1),FALSE))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N241">
        <f>IF(ISNUMBER(SEARCH(SUBSTITUTE(AN$1,RIGHT(AN$1,2),""),VLOOKUP($D241,素材!$1:$1016,COLUMN($F$1),FALSE))),VLOOKUP($C241,武器!$1:$998,COLUMN($O$1),FALSE)*VLOOKUP($D241,素材!$1:$1016,COLUMN($E$1),FALSE)/(LEN(VLOOKUP($D241,素材!$1:$1016,COLUMN($F$1),FALSE))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O241">
        <f>IF(ISNUMBER(SEARCH(SUBSTITUTE(AO$1,RIGHT(AO$1,2),""),VLOOKUP($D241,素材!$1:$1016,COLUMN($F$1),FALSE))),VLOOKUP($C241,武器!$1:$998,COLUMN($O$1),FALSE)*VLOOKUP($D241,素材!$1:$1016,COLUMN($E$1),FALSE)/(LEN(VLOOKUP($D241,素材!$1:$1016,COLUMN($F$1),FALSE))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P241">
        <f>IF(ISNUMBER(SEARCH(SUBSTITUTE(AP$1,RIGHT(AP$1,2),""),VLOOKUP($D241,素材!$1:$1016,COLUMN($F$1),FALSE))),VLOOKUP($C241,武器!$1:$998,COLUMN($O$1),FALSE)*VLOOKUP($D241,素材!$1:$1016,COLUMN($E$1),FALSE)/(LEN(VLOOKUP($D241,素材!$1:$1016,COLUMN($F$1),FALSE))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Q241">
        <f>IF(ISNUMBER(SEARCH(SUBSTITUTE(AQ$1,RIGHT(AQ$1,2),""),VLOOKUP($D241,素材!$1:$1016,COLUMN($F$1),FALSE))),VLOOKUP($C241,武器!$1:$998,COLUMN($O$1),FALSE)*VLOOKUP($D241,素材!$1:$1016,COLUMN($E$1),FALSE)/(LEN(VLOOKUP($D241,素材!$1:$1016,COLUMN($F$1),FALSE))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R241">
        <f>IF(ISNUMBER(SEARCH(SUBSTITUTE(AR$1,RIGHT(AR$1,2),""),VLOOKUP($D241,素材!$1:$1016,COLUMN($F$1),FALSE))),VLOOKUP($C241,武器!$1:$998,COLUMN($O$1),FALSE)*VLOOKUP($D241,素材!$1:$1016,COLUMN($E$1),FALSE)/(LEN(VLOOKUP($D241,素材!$1:$1016,COLUMN($F$1),FALSE))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S241">
        <f>IF(ISNUMBER(SEARCH(SUBSTITUTE(AS$1,RIGHT(AS$1,2),""),VLOOKUP($D241,素材!$1:$1016,COLUMN($F$1),FALSE))),VLOOKUP($C241,武器!$1:$998,COLUMN($O$1),FALSE)*VLOOKUP($D241,素材!$1:$1016,COLUMN($E$1),FALSE)/(LEN(VLOOKUP($D241,素材!$1:$1016,COLUMN($F$1),FALSE))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T241">
        <f>IF(ISNUMBER(SEARCH(SUBSTITUTE(AT$1,RIGHT(AT$1,2),""),VLOOKUP($D241,素材!$1:$1016,COLUMN($F$1),FALSE))),VLOOKUP($C241,武器!$1:$998,COLUMN($O$1),FALSE)*VLOOKUP($D241,素材!$1:$1016,COLUMN($E$1),FALSE)/(LEN(VLOOKUP($D241,素材!$1:$1016,COLUMN($F$1),FALSE))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U241">
        <f>IF(ISNUMBER(SEARCH(SUBSTITUTE(AU$1,RIGHT(AU$1,2),""),VLOOKUP($D241,素材!$1:$1016,COLUMN($F$1),FALSE))),VLOOKUP($C241,武器!$1:$998,COLUMN($O$1),FALSE)*VLOOKUP($D241,素材!$1:$1016,COLUMN($E$1),FALSE)/(LEN(VLOOKUP($D241,素材!$1:$1016,COLUMN($F$1),FALSE))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V241">
        <f>IF(ISNUMBER(SEARCH(SUBSTITUTE(AV$1,RIGHT(AV$1,2),""),VLOOKUP($D241,素材!$1:$1016,COLUMN($F$1),FALSE))),VLOOKUP($C241,武器!$1:$998,COLUMN($O$1),FALSE)*VLOOKUP($D241,素材!$1:$1016,COLUMN($E$1),FALSE)/(LEN(VLOOKUP($D241,素材!$1:$1016,COLUMN($F$1),FALSE))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W241">
        <f>IF(ISNUMBER(SEARCH(SUBSTITUTE(AW$1,RIGHT(AW$1,2),""),VLOOKUP($D241,素材!$1:$1016,COLUMN($F$1),FALSE))),VLOOKUP($C241,武器!$1:$998,COLUMN($O$1),FALSE)*VLOOKUP($D241,素材!$1:$1016,COLUMN($E$1),FALSE)/(LEN(VLOOKUP($D241,素材!$1:$1016,COLUMN($F$1),FALSE))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X241">
        <f>IF(ISNUMBER(SEARCH(SUBSTITUTE(AX$1,RIGHT(AX$1,2),""),VLOOKUP($D241,素材!$1:$1016,COLUMN($F$1),FALSE))),VLOOKUP($C241,武器!$1:$998,COLUMN($O$1),FALSE)*VLOOKUP($D241,素材!$1:$1016,COLUMN($E$1),FALSE)/(LEN(VLOOKUP($D241,素材!$1:$1016,COLUMN($F$1),FALSE))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Y241">
        <f>IF(ISNUMBER(SEARCH(SUBSTITUTE(AY$1,RIGHT(AY$1,2),""),VLOOKUP($D241,素材!$1:$1016,COLUMN($F$1),FALSE))),VLOOKUP($C241,武器!$1:$998,COLUMN($O$1),FALSE)*VLOOKUP($D241,素材!$1:$1016,COLUMN($E$1),FALSE)/(LEN(VLOOKUP($D241,素材!$1:$1016,COLUMN($F$1),FALSE))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AZ241">
        <f>IF(ISNUMBER(SEARCH(SUBSTITUTE(AZ$1,RIGHT(AZ$1,2),""),VLOOKUP($D241,素材!$1:$1016,COLUMN($F$1),FALSE))),VLOOKUP($C241,武器!$1:$998,COLUMN($O$1),FALSE)*VLOOKUP($D241,素材!$1:$1016,COLUMN($E$1),FALSE)/(LEN(VLOOKUP($D241,素材!$1:$1016,COLUMN($F$1),FALSE))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BA241">
        <f>IF(ISNUMBER(SEARCH(SUBSTITUTE(BA$1,RIGHT(BA$1,2),""),VLOOKUP($D241,素材!$1:$1016,COLUMN($F$1),FALSE))),VLOOKUP($C241,武器!$1:$998,COLUMN($O$1),FALSE)*VLOOKUP($D241,素材!$1:$1016,COLUMN($E$1),FALSE)/(LEN(VLOOKUP($D241,素材!$1:$1016,COLUMN($F$1),FALSE))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BB241">
        <f>IF(ISNUMBER(SEARCH(SUBSTITUTE(BB$1,RIGHT(BB$1,2),""),VLOOKUP($D241,素材!$1:$1016,COLUMN($F$1),FALSE))),VLOOKUP($C241,武器!$1:$998,COLUMN($O$1),FALSE)*VLOOKUP($D241,素材!$1:$1016,COLUMN($E$1),FALSE)/(LEN(VLOOKUP($D241,素材!$1:$1016,COLUMN($F$1),FALSE))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BC241">
        <f>IF(ISNUMBER(SEARCH(SUBSTITUTE(BC$1,RIGHT(BC$1,2),""),VLOOKUP($D241,素材!$1:$1016,COLUMN($F$1),FALSE))),VLOOKUP($C241,武器!$1:$998,COLUMN($O$1),FALSE)*VLOOKUP($D241,素材!$1:$1016,COLUMN($E$1),FALSE)/(LEN(VLOOKUP($D241,素材!$1:$1016,COLUMN($F$1),FALSE))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BD241">
        <f>IF(ISNUMBER(SEARCH(SUBSTITUTE(BD$1,RIGHT(BD$1,2),""),VLOOKUP($D241,素材!$1:$1016,COLUMN($F$1),FALSE))),VLOOKUP($C241,武器!$1:$998,COLUMN($O$1),FALSE)*VLOOKUP($D241,素材!$1:$1016,COLUMN($E$1),FALSE)/(LEN(VLOOKUP($D241,素材!$1:$1016,COLUMN($F$1),FALSE))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BE241">
        <f>IF(ISNUMBER(SEARCH(SUBSTITUTE(BE$1,RIGHT(BE$1,2),""),VLOOKUP($D241,素材!$1:$1016,COLUMN($F$1),FALSE))),VLOOKUP($C241,武器!$1:$998,COLUMN($O$1),FALSE)*VLOOKUP($D241,素材!$1:$1016,COLUMN($E$1),FALSE)/(LEN(VLOOKUP($D241,素材!$1:$1016,COLUMN($F$1),FALSE))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BF241">
        <f>IF(ISNUMBER(SEARCH(SUBSTITUTE(BF$1,RIGHT(BF$1,2),""),VLOOKUP($D241,素材!$1:$1016,COLUMN($F$1),FALSE))),VLOOKUP($C241,武器!$1:$998,COLUMN($O$1),FALSE)*VLOOKUP($D241,素材!$1:$1016,COLUMN($E$1),FALSE)/(LEN(VLOOKUP($D241,素材!$1:$1016,COLUMN($F$1),FALSE)) - LEN(SUBSTITUTE(VLOOKUP($D241,素材!$1:$1016,COLUMN($F$1),FALSE), "・", 0)) + 1), 0)</f>
        <v>0</v>
      </c>
      <c r="CM241">
        <f t="shared" si="31"/>
        <v>23</v>
      </c>
      <c r="CN241" s="22" t="str">
        <f>IF(E241="武器",IF(J241-1&gt;SUM(G241:I241),"盾",IF(MAX(G241:I241)=G241,"切断",IF(MAX(G241:I241)=H241,"貫通",IF(MAX(G241:I241)=I241,"打撃","射撃")))),E241)&amp;".webp"</f>
        <v>打撃.webp</v>
      </c>
      <c r="CO241">
        <f>IFERROR(VLOOKUP($C241,武器!$1:$998,COLUMN(V$1),FALSE)*VLOOKUP($D241,素材!$1:$1016,COLUMN(N$1),FALSE)+IF(CJ241="",0,VLOOKUP($CJ241,装強!$1:$1008,COLUMN($CL$1),FALSE)),"")</f>
        <v>3000</v>
      </c>
      <c r="CP241">
        <f>VLOOKUP(D241,素材!$A:$O,COLUMN(素材!O$1),FALSE)</f>
        <v>0</v>
      </c>
      <c r="CQ241" t="str">
        <f>VLOOKUP(C241,武器!$A:$W,COLUMN(武器!W$1),FALSE)</f>
        <v>戦棍。打撃に優れた武器。Cr率が高い</v>
      </c>
      <c r="CS241" t="str">
        <f t="shared" si="32"/>
        <v>e_241</v>
      </c>
      <c r="CT241">
        <f t="shared" si="33"/>
        <v>300000</v>
      </c>
    </row>
    <row r="242" spans="1:98" outlineLevel="1" x14ac:dyDescent="0.4">
      <c r="A242" t="str">
        <f t="shared" si="34"/>
        <v>熱鉄の棘棍</v>
      </c>
      <c r="B242" t="str">
        <f>IFERROR(VLOOKUP($D242,素材!$1:$1016,COLUMN($B$1),FALSE)&amp;"・"&amp;VLOOKUP($C242,武器!$1:$998,COLUMN(B$1),FALSE),"")</f>
        <v>ヒートスティール・モーニングスター</v>
      </c>
      <c r="C242" t="s">
        <v>228</v>
      </c>
      <c r="D242" s="24" t="s">
        <v>205</v>
      </c>
      <c r="E242" t="str">
        <f>IFERROR(VLOOKUP(C242,武器!$1:$998,COLUMN(C$1),FALSE),"")</f>
        <v>武器</v>
      </c>
      <c r="F242">
        <f>IFERROR(ROUNDDOWN((VLOOKUP($C242,武器!$1:$998,COLUMN(D$1),FALSE)+IFERROR(VLOOKUP($CJ242,装強!$1:$999,COLUMN(F$1),FALSE),0))*VLOOKUP($D242,素材!$1:$1016,COLUMN(D$1),FALSE),0),"")</f>
        <v>105</v>
      </c>
      <c r="G242">
        <f>IFERROR(ROUNDDOWN((VLOOKUP($C242,武器!$1:$998,COLUMN(E$1),FALSE)+IFERROR(VLOOKUP($CJ242,装強!$1:$999,COLUMN(G$1),FALSE),0))*VLOOKUP($D242,素材!$1:$1016,COLUMN($E$1),FALSE),0),"")</f>
        <v>0</v>
      </c>
      <c r="H242">
        <f>IFERROR(ROUNDDOWN((VLOOKUP($C242,武器!$1:$998,COLUMN(F$1),FALSE)+IFERROR(VLOOKUP($CJ242,装強!$1:$999,COLUMN(H$1),FALSE),0))*VLOOKUP($D242,素材!$1:$1016,COLUMN($E$1),FALSE),0),"")</f>
        <v>12</v>
      </c>
      <c r="I242">
        <f>IFERROR(ROUNDDOWN((VLOOKUP($C242,武器!$1:$998,COLUMN(G$1),FALSE)+IFERROR(VLOOKUP($CJ242,装強!$1:$999,COLUMN(I$1),FALSE),0))*VLOOKUP($D242,素材!$1:$1016,COLUMN($E$1),FALSE),0),"")</f>
        <v>12</v>
      </c>
      <c r="J242">
        <f>IFERROR(ROUNDDOWN((VLOOKUP($C242,武器!$1:$998,COLUMN(H$1),FALSE)+IFERROR(VLOOKUP($CJ242,装強!$1:$999,COLUMN(J$1),FALSE),0))*VLOOKUP($D242,素材!$1:$1016,COLUMN($E$1),FALSE),0),"")</f>
        <v>19</v>
      </c>
      <c r="K242">
        <f>IFERROR(ROUNDDOWN((VLOOKUP($C242,武器!$1:$998,COLUMN(I$1),FALSE)+IFERROR(VLOOKUP($CJ242,装強!$1:$999,COLUMN(K$1),FALSE),0))*VLOOKUP($D242,素材!$1:$1016,COLUMN($E$1),FALSE),0),"")</f>
        <v>0</v>
      </c>
      <c r="L242" t="str">
        <f>IFERROR(VLOOKUP($D242,素材!$1:$1016,COLUMN($F$1),FALSE),"")</f>
        <v>炎</v>
      </c>
      <c r="M242">
        <f>IFERROR(VLOOKUP($C242,武器!$1:$998,COLUMN(AA$1),FALSE)*VLOOKUP($D242,素材!$1:$1016,COLUMN($G$1),FALSE),"")</f>
        <v>42</v>
      </c>
      <c r="N242">
        <f>IFERROR(VLOOKUP($C242,武器!$1:$998,COLUMN(I$1),FALSE),"")</f>
        <v>0</v>
      </c>
      <c r="O242" s="23">
        <f>IFERROR((VLOOKUP($C242,武器!$1:$998,COLUMN(K$1),FALSE)+VLOOKUP($D242,素材!$1:$1016,COLUMN(H$1),FALSE))*100+IFERROR(VLOOKUP($CJ242,装強!$1:$999,COLUMN(O$1),FALSE),0),"")</f>
        <v>10</v>
      </c>
      <c r="P242" s="23">
        <f>IFERROR((VLOOKUP($C242,武器!$1:$998,COLUMN(L$1),FALSE)+VLOOKUP($D242,素材!$1:$1016,COLUMN(I$1),FALSE))*100+IFERROR(VLOOKUP($CJ242,装強!$1:$999,COLUMN(P$1),FALSE),0),"")</f>
        <v>125</v>
      </c>
      <c r="Q242">
        <f>IFERROR(ROUNDUP(VLOOKUP($C242,武器!$1:$998,COLUMN(M$1),FALSE)*(VLOOKUP($D242,素材!$1:$1002,COLUMN(D$1),FALSE)/100),1),"")</f>
        <v>-2.5</v>
      </c>
      <c r="R242">
        <f>IFERROR(ROUNDUP(VLOOKUP($C242,武器!$1:$998,COLUMN(N$1),FALSE)*(VLOOKUP($D242,素材!$1:$1002,COLUMN(D$1),FALSE)/100),1),"")</f>
        <v>-2.5</v>
      </c>
      <c r="S242">
        <f>IFERROR(VLOOKUP($C242,武器!$1:$998,COLUMN(P$1),FALSE),"")</f>
        <v>0</v>
      </c>
      <c r="T242">
        <f>IFERROR(VLOOKUP($C242,武器!$1:$998,COLUMN(Q$1),FALSE),"")</f>
        <v>0</v>
      </c>
      <c r="U242">
        <f>IFERROR(VLOOKUP($C242,武器!$1:$998,COLUMN(R$1),FALSE),"")</f>
        <v>0</v>
      </c>
      <c r="V242">
        <f>IFERROR(VLOOKUP($C242,武器!$1:$998,COLUMN(Q$1),FALSE),"")</f>
        <v>0</v>
      </c>
      <c r="W242" t="str">
        <f>IFERROR(VLOOKUP($C242,武器!$1:$998,COLUMN(T$1),FALSE),"")</f>
        <v>A</v>
      </c>
      <c r="Y242">
        <f>IFERROR(VLOOKUP($C242,武器!$1:$998,COLUMN(U$1),FALSE),"")</f>
        <v>0</v>
      </c>
      <c r="Z242">
        <f>IFERROR(ROUNDUP(VLOOKUP($C242,武器!$1:$998,COLUMN(O$1),FALSE)*VLOOKUP($D242,素材!$1:$1016,COLUMN(E$1),FALSE),1),"")</f>
        <v>0</v>
      </c>
      <c r="AA242">
        <f>IF(ISNUMBER(SEARCH(SUBSTITUTE(AA$1,RIGHT(AA$1,2),""),VLOOKUP($D242,素材!$1:$1016,COLUMN($F$1),FALSE))),VLOOKUP($C242,武器!$1:$998,COLUMN($O$1),FALSE)*VLOOKUP($D242,素材!$1:$1016,COLUMN($E$1),FALSE)/(LEN(VLOOKUP($D242,素材!$1:$1016,COLUMN($F$1),FALSE))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B242">
        <f>IF(ISNUMBER(SEARCH(SUBSTITUTE(AB$1,RIGHT(AB$1,2),""),VLOOKUP($D242,素材!$1:$1016,COLUMN($F$1),FALSE))),VLOOKUP($C242,武器!$1:$998,COLUMN($O$1),FALSE)*VLOOKUP($D242,素材!$1:$1016,COLUMN($E$1),FALSE)/(LEN(VLOOKUP($D242,素材!$1:$1016,COLUMN($F$1),FALSE))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C242">
        <f>IF(ISNUMBER(SEARCH(SUBSTITUTE(AC$1,RIGHT(AC$1,2),""),VLOOKUP($D242,素材!$1:$1016,COLUMN($F$1),FALSE))),VLOOKUP($C242,武器!$1:$998,COLUMN($O$1),FALSE)*VLOOKUP($D242,素材!$1:$1016,COLUMN($E$1),FALSE)/(LEN(VLOOKUP($D242,素材!$1:$1016,COLUMN($F$1),FALSE))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D242">
        <f>IF(ISNUMBER(SEARCH(SUBSTITUTE(AD$1,RIGHT(AD$1,2),""),VLOOKUP($D242,素材!$1:$1016,COLUMN($F$1),FALSE))),VLOOKUP($C242,武器!$1:$998,COLUMN($O$1),FALSE)*VLOOKUP($D242,素材!$1:$1016,COLUMN($E$1),FALSE)/(LEN(VLOOKUP($D242,素材!$1:$1016,COLUMN($F$1),FALSE))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E242">
        <f>IF(ISNUMBER(SEARCH(SUBSTITUTE(AE$1,RIGHT(AE$1,2),""),VLOOKUP($D242,素材!$1:$1016,COLUMN($F$1),FALSE))),VLOOKUP($C242,武器!$1:$998,COLUMN($O$1),FALSE)*VLOOKUP($D242,素材!$1:$1016,COLUMN($E$1),FALSE)/(LEN(VLOOKUP($D242,素材!$1:$1016,COLUMN($F$1),FALSE))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F242">
        <f>IF(ISNUMBER(SEARCH(SUBSTITUTE(AF$1,RIGHT(AF$1,2),""),VLOOKUP($D242,素材!$1:$1016,COLUMN($F$1),FALSE))),VLOOKUP($C242,武器!$1:$998,COLUMN($O$1),FALSE)*VLOOKUP($D242,素材!$1:$1016,COLUMN($E$1),FALSE)/(LEN(VLOOKUP($D242,素材!$1:$1016,COLUMN($F$1),FALSE))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G242">
        <f>IF(ISNUMBER(SEARCH(SUBSTITUTE(AG$1,RIGHT(AG$1,2),""),VLOOKUP($D242,素材!$1:$1016,COLUMN($F$1),FALSE))),VLOOKUP($C242,武器!$1:$998,COLUMN($O$1),FALSE)*VLOOKUP($D242,素材!$1:$1016,COLUMN($E$1),FALSE)/(LEN(VLOOKUP($D242,素材!$1:$1016,COLUMN($F$1),FALSE))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H242">
        <f>IF(ISNUMBER(SEARCH(SUBSTITUTE(AH$1,RIGHT(AH$1,2),""),VLOOKUP($D242,素材!$1:$1016,COLUMN($F$1),FALSE))),VLOOKUP($C242,武器!$1:$998,COLUMN($O$1),FALSE)*VLOOKUP($D242,素材!$1:$1016,COLUMN($E$1),FALSE)/(LEN(VLOOKUP($D242,素材!$1:$1016,COLUMN($F$1),FALSE))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I242">
        <f>IF(ISNUMBER(SEARCH(SUBSTITUTE(AI$1,RIGHT(AI$1,2),""),VLOOKUP($D242,素材!$1:$1016,COLUMN($F$1),FALSE))),VLOOKUP($C242,武器!$1:$998,COLUMN($O$1),FALSE)*VLOOKUP($D242,素材!$1:$1016,COLUMN($E$1),FALSE)/(LEN(VLOOKUP($D242,素材!$1:$1016,COLUMN($F$1),FALSE))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J242">
        <f>IF(ISNUMBER(SEARCH(SUBSTITUTE(AJ$1,RIGHT(AJ$1,2),""),VLOOKUP($D242,素材!$1:$1016,COLUMN($F$1),FALSE))),VLOOKUP($C242,武器!$1:$998,COLUMN($O$1),FALSE)*VLOOKUP($D242,素材!$1:$1016,COLUMN($E$1),FALSE)/(LEN(VLOOKUP($D242,素材!$1:$1016,COLUMN($F$1),FALSE))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K242">
        <f>IF(ISNUMBER(SEARCH(SUBSTITUTE(AK$1,RIGHT(AK$1,2),""),VLOOKUP($D242,素材!$1:$1016,COLUMN($F$1),FALSE))),VLOOKUP($C242,武器!$1:$998,COLUMN($O$1),FALSE)*VLOOKUP($D242,素材!$1:$1016,COLUMN($E$1),FALSE)/(LEN(VLOOKUP($D242,素材!$1:$1016,COLUMN($F$1),FALSE))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L242">
        <f>IF(ISNUMBER(SEARCH(SUBSTITUTE(AL$1,RIGHT(AL$1,2),""),VLOOKUP($D242,素材!$1:$1016,COLUMN($F$1),FALSE))),VLOOKUP($C242,武器!$1:$998,COLUMN($O$1),FALSE)*VLOOKUP($D242,素材!$1:$1016,COLUMN($E$1),FALSE)/(LEN(VLOOKUP($D242,素材!$1:$1016,COLUMN($F$1),FALSE))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M242">
        <f>IF(ISNUMBER(SEARCH(SUBSTITUTE(AM$1,RIGHT(AM$1,2),""),VLOOKUP($D242,素材!$1:$1016,COLUMN($F$1),FALSE))),VLOOKUP($C242,武器!$1:$998,COLUMN($O$1),FALSE)*VLOOKUP($D242,素材!$1:$1016,COLUMN($E$1),FALSE)/(LEN(VLOOKUP($D242,素材!$1:$1016,COLUMN($F$1),FALSE))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N242">
        <f>IF(ISNUMBER(SEARCH(SUBSTITUTE(AN$1,RIGHT(AN$1,2),""),VLOOKUP($D242,素材!$1:$1016,COLUMN($F$1),FALSE))),VLOOKUP($C242,武器!$1:$998,COLUMN($O$1),FALSE)*VLOOKUP($D242,素材!$1:$1016,COLUMN($E$1),FALSE)/(LEN(VLOOKUP($D242,素材!$1:$1016,COLUMN($F$1),FALSE))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O242">
        <f>IF(ISNUMBER(SEARCH(SUBSTITUTE(AO$1,RIGHT(AO$1,2),""),VLOOKUP($D242,素材!$1:$1016,COLUMN($F$1),FALSE))),VLOOKUP($C242,武器!$1:$998,COLUMN($O$1),FALSE)*VLOOKUP($D242,素材!$1:$1016,COLUMN($E$1),FALSE)/(LEN(VLOOKUP($D242,素材!$1:$1016,COLUMN($F$1),FALSE))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P242">
        <f>IF(ISNUMBER(SEARCH(SUBSTITUTE(AP$1,RIGHT(AP$1,2),""),VLOOKUP($D242,素材!$1:$1016,COLUMN($F$1),FALSE))),VLOOKUP($C242,武器!$1:$998,COLUMN($O$1),FALSE)*VLOOKUP($D242,素材!$1:$1016,COLUMN($E$1),FALSE)/(LEN(VLOOKUP($D242,素材!$1:$1016,COLUMN($F$1),FALSE))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Q242">
        <f>IF(ISNUMBER(SEARCH(SUBSTITUTE(AQ$1,RIGHT(AQ$1,2),""),VLOOKUP($D242,素材!$1:$1016,COLUMN($F$1),FALSE))),VLOOKUP($C242,武器!$1:$998,COLUMN($O$1),FALSE)*VLOOKUP($D242,素材!$1:$1016,COLUMN($E$1),FALSE)/(LEN(VLOOKUP($D242,素材!$1:$1016,COLUMN($F$1),FALSE))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R242">
        <f>IF(ISNUMBER(SEARCH(SUBSTITUTE(AR$1,RIGHT(AR$1,2),""),VLOOKUP($D242,素材!$1:$1016,COLUMN($F$1),FALSE))),VLOOKUP($C242,武器!$1:$998,COLUMN($O$1),FALSE)*VLOOKUP($D242,素材!$1:$1016,COLUMN($E$1),FALSE)/(LEN(VLOOKUP($D242,素材!$1:$1016,COLUMN($F$1),FALSE))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S242">
        <f>IF(ISNUMBER(SEARCH(SUBSTITUTE(AS$1,RIGHT(AS$1,2),""),VLOOKUP($D242,素材!$1:$1016,COLUMN($F$1),FALSE))),VLOOKUP($C242,武器!$1:$998,COLUMN($O$1),FALSE)*VLOOKUP($D242,素材!$1:$1016,COLUMN($E$1),FALSE)/(LEN(VLOOKUP($D242,素材!$1:$1016,COLUMN($F$1),FALSE))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T242">
        <f>IF(ISNUMBER(SEARCH(SUBSTITUTE(AT$1,RIGHT(AT$1,2),""),VLOOKUP($D242,素材!$1:$1016,COLUMN($F$1),FALSE))),VLOOKUP($C242,武器!$1:$998,COLUMN($O$1),FALSE)*VLOOKUP($D242,素材!$1:$1016,COLUMN($E$1),FALSE)/(LEN(VLOOKUP($D242,素材!$1:$1016,COLUMN($F$1),FALSE))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U242">
        <f>IF(ISNUMBER(SEARCH(SUBSTITUTE(AU$1,RIGHT(AU$1,2),""),VLOOKUP($D242,素材!$1:$1016,COLUMN($F$1),FALSE))),VLOOKUP($C242,武器!$1:$998,COLUMN($O$1),FALSE)*VLOOKUP($D242,素材!$1:$1016,COLUMN($E$1),FALSE)/(LEN(VLOOKUP($D242,素材!$1:$1016,COLUMN($F$1),FALSE))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V242">
        <f>IF(ISNUMBER(SEARCH(SUBSTITUTE(AV$1,RIGHT(AV$1,2),""),VLOOKUP($D242,素材!$1:$1016,COLUMN($F$1),FALSE))),VLOOKUP($C242,武器!$1:$998,COLUMN($O$1),FALSE)*VLOOKUP($D242,素材!$1:$1016,COLUMN($E$1),FALSE)/(LEN(VLOOKUP($D242,素材!$1:$1016,COLUMN($F$1),FALSE))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W242">
        <f>IF(ISNUMBER(SEARCH(SUBSTITUTE(AW$1,RIGHT(AW$1,2),""),VLOOKUP($D242,素材!$1:$1016,COLUMN($F$1),FALSE))),VLOOKUP($C242,武器!$1:$998,COLUMN($O$1),FALSE)*VLOOKUP($D242,素材!$1:$1016,COLUMN($E$1),FALSE)/(LEN(VLOOKUP($D242,素材!$1:$1016,COLUMN($F$1),FALSE))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X242">
        <f>IF(ISNUMBER(SEARCH(SUBSTITUTE(AX$1,RIGHT(AX$1,2),""),VLOOKUP($D242,素材!$1:$1016,COLUMN($F$1),FALSE))),VLOOKUP($C242,武器!$1:$998,COLUMN($O$1),FALSE)*VLOOKUP($D242,素材!$1:$1016,COLUMN($E$1),FALSE)/(LEN(VLOOKUP($D242,素材!$1:$1016,COLUMN($F$1),FALSE))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Y242">
        <f>IF(ISNUMBER(SEARCH(SUBSTITUTE(AY$1,RIGHT(AY$1,2),""),VLOOKUP($D242,素材!$1:$1016,COLUMN($F$1),FALSE))),VLOOKUP($C242,武器!$1:$998,COLUMN($O$1),FALSE)*VLOOKUP($D242,素材!$1:$1016,COLUMN($E$1),FALSE)/(LEN(VLOOKUP($D242,素材!$1:$1016,COLUMN($F$1),FALSE))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AZ242">
        <f>IF(ISNUMBER(SEARCH(SUBSTITUTE(AZ$1,RIGHT(AZ$1,2),""),VLOOKUP($D242,素材!$1:$1016,COLUMN($F$1),FALSE))),VLOOKUP($C242,武器!$1:$998,COLUMN($O$1),FALSE)*VLOOKUP($D242,素材!$1:$1016,COLUMN($E$1),FALSE)/(LEN(VLOOKUP($D242,素材!$1:$1016,COLUMN($F$1),FALSE))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BA242">
        <f>IF(ISNUMBER(SEARCH(SUBSTITUTE(BA$1,RIGHT(BA$1,2),""),VLOOKUP($D242,素材!$1:$1016,COLUMN($F$1),FALSE))),VLOOKUP($C242,武器!$1:$998,COLUMN($O$1),FALSE)*VLOOKUP($D242,素材!$1:$1016,COLUMN($E$1),FALSE)/(LEN(VLOOKUP($D242,素材!$1:$1016,COLUMN($F$1),FALSE))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BB242">
        <f>IF(ISNUMBER(SEARCH(SUBSTITUTE(BB$1,RIGHT(BB$1,2),""),VLOOKUP($D242,素材!$1:$1016,COLUMN($F$1),FALSE))),VLOOKUP($C242,武器!$1:$998,COLUMN($O$1),FALSE)*VLOOKUP($D242,素材!$1:$1016,COLUMN($E$1),FALSE)/(LEN(VLOOKUP($D242,素材!$1:$1016,COLUMN($F$1),FALSE))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BC242">
        <f>IF(ISNUMBER(SEARCH(SUBSTITUTE(BC$1,RIGHT(BC$1,2),""),VLOOKUP($D242,素材!$1:$1016,COLUMN($F$1),FALSE))),VLOOKUP($C242,武器!$1:$998,COLUMN($O$1),FALSE)*VLOOKUP($D242,素材!$1:$1016,COLUMN($E$1),FALSE)/(LEN(VLOOKUP($D242,素材!$1:$1016,COLUMN($F$1),FALSE))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BD242">
        <f>IF(ISNUMBER(SEARCH(SUBSTITUTE(BD$1,RIGHT(BD$1,2),""),VLOOKUP($D242,素材!$1:$1016,COLUMN($F$1),FALSE))),VLOOKUP($C242,武器!$1:$998,COLUMN($O$1),FALSE)*VLOOKUP($D242,素材!$1:$1016,COLUMN($E$1),FALSE)/(LEN(VLOOKUP($D242,素材!$1:$1016,COLUMN($F$1),FALSE))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BE242">
        <f>IF(ISNUMBER(SEARCH(SUBSTITUTE(BE$1,RIGHT(BE$1,2),""),VLOOKUP($D242,素材!$1:$1016,COLUMN($F$1),FALSE))),VLOOKUP($C242,武器!$1:$998,COLUMN($O$1),FALSE)*VLOOKUP($D242,素材!$1:$1016,COLUMN($E$1),FALSE)/(LEN(VLOOKUP($D242,素材!$1:$1016,COLUMN($F$1),FALSE))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BF242">
        <f>IF(ISNUMBER(SEARCH(SUBSTITUTE(BF$1,RIGHT(BF$1,2),""),VLOOKUP($D242,素材!$1:$1016,COLUMN($F$1),FALSE))),VLOOKUP($C242,武器!$1:$998,COLUMN($O$1),FALSE)*VLOOKUP($D242,素材!$1:$1016,COLUMN($E$1),FALSE)/(LEN(VLOOKUP($D242,素材!$1:$1016,COLUMN($F$1),FALSE)) - LEN(SUBSTITUTE(VLOOKUP($D242,素材!$1:$1016,COLUMN($F$1),FALSE), "・", 0)) + 1), 0)</f>
        <v>0</v>
      </c>
      <c r="CM242">
        <f t="shared" si="31"/>
        <v>24</v>
      </c>
      <c r="CN242" s="22" t="str">
        <f>IF(E242="武器",IF(J242-1&gt;SUM(G242:I242),"盾",IF(MAX(G242:I242)=G242,"切断",IF(MAX(G242:I242)=H242,"貫通",IF(MAX(G242:I242)=I242,"打撃","射撃")))),E242)&amp;".webp"</f>
        <v>貫通.webp</v>
      </c>
      <c r="CO242">
        <f>IFERROR(VLOOKUP($C242,武器!$1:$998,COLUMN(V$1),FALSE)*VLOOKUP($D242,素材!$1:$1016,COLUMN(N$1),FALSE)+IF(CJ242="",0,VLOOKUP($CJ242,装強!$1:$1008,COLUMN($CL$1),FALSE)),"")</f>
        <v>3000</v>
      </c>
      <c r="CP242">
        <f>VLOOKUP(D242,素材!$A:$O,COLUMN(素材!O$1),FALSE)</f>
        <v>0</v>
      </c>
      <c r="CQ242" t="str">
        <f>VLOOKUP(C242,武器!$A:$W,COLUMN(武器!W$1),FALSE)</f>
        <v>棘棍。打撃と刺突を兼ね備えた武器。</v>
      </c>
      <c r="CS242" t="str">
        <f t="shared" si="32"/>
        <v>e_242</v>
      </c>
      <c r="CT242">
        <f t="shared" si="33"/>
        <v>300000</v>
      </c>
    </row>
    <row r="243" spans="1:98" outlineLevel="1" x14ac:dyDescent="0.4">
      <c r="A243" t="str">
        <f t="shared" si="34"/>
        <v>熱鉄の鎚</v>
      </c>
      <c r="B243" t="str">
        <f>IFERROR(VLOOKUP($D243,素材!$1:$1016,COLUMN($B$1),FALSE)&amp;"・"&amp;VLOOKUP($C243,武器!$1:$998,COLUMN(B$1),FALSE),"")</f>
        <v>ヒートスティール・ハンマー</v>
      </c>
      <c r="C243" t="s">
        <v>227</v>
      </c>
      <c r="D243" s="24" t="s">
        <v>205</v>
      </c>
      <c r="E243" t="str">
        <f>IFERROR(VLOOKUP(C243,武器!$1:$998,COLUMN(C$1),FALSE),"")</f>
        <v>武器</v>
      </c>
      <c r="F243">
        <f>IFERROR(ROUNDDOWN((VLOOKUP($C243,武器!$1:$998,COLUMN(D$1),FALSE)+IFERROR(VLOOKUP($CJ243,装強!$1:$999,COLUMN(F$1),FALSE),0))*VLOOKUP($D243,素材!$1:$1016,COLUMN(D$1),FALSE),0),"")</f>
        <v>110</v>
      </c>
      <c r="G243">
        <f>IFERROR(ROUNDDOWN((VLOOKUP($C243,武器!$1:$998,COLUMN(E$1),FALSE)+IFERROR(VLOOKUP($CJ243,装強!$1:$999,COLUMN(G$1),FALSE),0))*VLOOKUP($D243,素材!$1:$1016,COLUMN($E$1),FALSE),0),"")</f>
        <v>0</v>
      </c>
      <c r="H243">
        <f>IFERROR(ROUNDDOWN((VLOOKUP($C243,武器!$1:$998,COLUMN(F$1),FALSE)+IFERROR(VLOOKUP($CJ243,装強!$1:$999,COLUMN(H$1),FALSE),0))*VLOOKUP($D243,素材!$1:$1016,COLUMN($E$1),FALSE),0),"")</f>
        <v>0</v>
      </c>
      <c r="I243">
        <f>IFERROR(ROUNDDOWN((VLOOKUP($C243,武器!$1:$998,COLUMN(G$1),FALSE)+IFERROR(VLOOKUP($CJ243,装強!$1:$999,COLUMN(I$1),FALSE),0))*VLOOKUP($D243,素材!$1:$1016,COLUMN($E$1),FALSE),0),"")</f>
        <v>22</v>
      </c>
      <c r="J243">
        <f>IFERROR(ROUNDDOWN((VLOOKUP($C243,武器!$1:$998,COLUMN(H$1),FALSE)+IFERROR(VLOOKUP($CJ243,装強!$1:$999,COLUMN(J$1),FALSE),0))*VLOOKUP($D243,素材!$1:$1016,COLUMN($E$1),FALSE),0),"")</f>
        <v>19</v>
      </c>
      <c r="K243">
        <f>IFERROR(ROUNDDOWN((VLOOKUP($C243,武器!$1:$998,COLUMN(I$1),FALSE)+IFERROR(VLOOKUP($CJ243,装強!$1:$999,COLUMN(K$1),FALSE),0))*VLOOKUP($D243,素材!$1:$1016,COLUMN($E$1),FALSE),0),"")</f>
        <v>0</v>
      </c>
      <c r="L243" t="str">
        <f>IFERROR(VLOOKUP($D243,素材!$1:$1016,COLUMN($F$1),FALSE),"")</f>
        <v>炎</v>
      </c>
      <c r="M243">
        <f>IFERROR(VLOOKUP($C243,武器!$1:$998,COLUMN(AA$1),FALSE)*VLOOKUP($D243,素材!$1:$1016,COLUMN($G$1),FALSE),"")</f>
        <v>38.5</v>
      </c>
      <c r="N243">
        <f>IFERROR(VLOOKUP($C243,武器!$1:$998,COLUMN(I$1),FALSE),"")</f>
        <v>0</v>
      </c>
      <c r="O243" s="23">
        <f>IFERROR((VLOOKUP($C243,武器!$1:$998,COLUMN(K$1),FALSE)+VLOOKUP($D243,素材!$1:$1016,COLUMN(H$1),FALSE))*100+IFERROR(VLOOKUP($CJ243,装強!$1:$999,COLUMN(O$1),FALSE),0),"")</f>
        <v>10</v>
      </c>
      <c r="P243" s="23">
        <f>IFERROR((VLOOKUP($C243,武器!$1:$998,COLUMN(L$1),FALSE)+VLOOKUP($D243,素材!$1:$1016,COLUMN(I$1),FALSE))*100+IFERROR(VLOOKUP($CJ243,装強!$1:$999,COLUMN(P$1),FALSE),0),"")</f>
        <v>150</v>
      </c>
      <c r="Q243">
        <f>IFERROR(ROUNDUP(VLOOKUP($C243,武器!$1:$998,COLUMN(M$1),FALSE)*(VLOOKUP($D243,素材!$1:$1002,COLUMN(D$1),FALSE)/100),1),"")</f>
        <v>-2.5</v>
      </c>
      <c r="R243">
        <f>IFERROR(ROUNDUP(VLOOKUP($C243,武器!$1:$998,COLUMN(N$1),FALSE)*(VLOOKUP($D243,素材!$1:$1002,COLUMN(D$1),FALSE)/100),1),"")</f>
        <v>0</v>
      </c>
      <c r="S243">
        <f>IFERROR(VLOOKUP($C243,武器!$1:$998,COLUMN(P$1),FALSE),"")</f>
        <v>0</v>
      </c>
      <c r="T243">
        <f>IFERROR(VLOOKUP($C243,武器!$1:$998,COLUMN(Q$1),FALSE),"")</f>
        <v>0</v>
      </c>
      <c r="U243">
        <f>IFERROR(VLOOKUP($C243,武器!$1:$998,COLUMN(R$1),FALSE),"")</f>
        <v>0</v>
      </c>
      <c r="V243">
        <f>IFERROR(VLOOKUP($C243,武器!$1:$998,COLUMN(Q$1),FALSE),"")</f>
        <v>0</v>
      </c>
      <c r="W243" t="str">
        <f>IFERROR(VLOOKUP($C243,武器!$1:$998,COLUMN(T$1),FALSE),"")</f>
        <v>A</v>
      </c>
      <c r="Y243" t="str">
        <f>IFERROR(VLOOKUP($C243,武器!$1:$998,COLUMN(U$1),FALSE),"")</f>
        <v>投擲強化</v>
      </c>
      <c r="Z243">
        <f>IFERROR(ROUNDUP(VLOOKUP($C243,武器!$1:$998,COLUMN(O$1),FALSE)*VLOOKUP($D243,素材!$1:$1016,COLUMN(E$1),FALSE),1),"")</f>
        <v>0</v>
      </c>
      <c r="AA243">
        <f>IF(ISNUMBER(SEARCH(SUBSTITUTE(AA$1,RIGHT(AA$1,2),""),VLOOKUP($D243,素材!$1:$1016,COLUMN($F$1),FALSE))),VLOOKUP($C243,武器!$1:$998,COLUMN($O$1),FALSE)*VLOOKUP($D243,素材!$1:$1016,COLUMN($E$1),FALSE)/(LEN(VLOOKUP($D243,素材!$1:$1016,COLUMN($F$1),FALSE))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B243">
        <f>IF(ISNUMBER(SEARCH(SUBSTITUTE(AB$1,RIGHT(AB$1,2),""),VLOOKUP($D243,素材!$1:$1016,COLUMN($F$1),FALSE))),VLOOKUP($C243,武器!$1:$998,COLUMN($O$1),FALSE)*VLOOKUP($D243,素材!$1:$1016,COLUMN($E$1),FALSE)/(LEN(VLOOKUP($D243,素材!$1:$1016,COLUMN($F$1),FALSE))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C243">
        <f>IF(ISNUMBER(SEARCH(SUBSTITUTE(AC$1,RIGHT(AC$1,2),""),VLOOKUP($D243,素材!$1:$1016,COLUMN($F$1),FALSE))),VLOOKUP($C243,武器!$1:$998,COLUMN($O$1),FALSE)*VLOOKUP($D243,素材!$1:$1016,COLUMN($E$1),FALSE)/(LEN(VLOOKUP($D243,素材!$1:$1016,COLUMN($F$1),FALSE))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D243">
        <f>IF(ISNUMBER(SEARCH(SUBSTITUTE(AD$1,RIGHT(AD$1,2),""),VLOOKUP($D243,素材!$1:$1016,COLUMN($F$1),FALSE))),VLOOKUP($C243,武器!$1:$998,COLUMN($O$1),FALSE)*VLOOKUP($D243,素材!$1:$1016,COLUMN($E$1),FALSE)/(LEN(VLOOKUP($D243,素材!$1:$1016,COLUMN($F$1),FALSE))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E243">
        <f>IF(ISNUMBER(SEARCH(SUBSTITUTE(AE$1,RIGHT(AE$1,2),""),VLOOKUP($D243,素材!$1:$1016,COLUMN($F$1),FALSE))),VLOOKUP($C243,武器!$1:$998,COLUMN($O$1),FALSE)*VLOOKUP($D243,素材!$1:$1016,COLUMN($E$1),FALSE)/(LEN(VLOOKUP($D243,素材!$1:$1016,COLUMN($F$1),FALSE))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F243">
        <f>IF(ISNUMBER(SEARCH(SUBSTITUTE(AF$1,RIGHT(AF$1,2),""),VLOOKUP($D243,素材!$1:$1016,COLUMN($F$1),FALSE))),VLOOKUP($C243,武器!$1:$998,COLUMN($O$1),FALSE)*VLOOKUP($D243,素材!$1:$1016,COLUMN($E$1),FALSE)/(LEN(VLOOKUP($D243,素材!$1:$1016,COLUMN($F$1),FALSE))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G243">
        <f>IF(ISNUMBER(SEARCH(SUBSTITUTE(AG$1,RIGHT(AG$1,2),""),VLOOKUP($D243,素材!$1:$1016,COLUMN($F$1),FALSE))),VLOOKUP($C243,武器!$1:$998,COLUMN($O$1),FALSE)*VLOOKUP($D243,素材!$1:$1016,COLUMN($E$1),FALSE)/(LEN(VLOOKUP($D243,素材!$1:$1016,COLUMN($F$1),FALSE))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H243">
        <f>IF(ISNUMBER(SEARCH(SUBSTITUTE(AH$1,RIGHT(AH$1,2),""),VLOOKUP($D243,素材!$1:$1016,COLUMN($F$1),FALSE))),VLOOKUP($C243,武器!$1:$998,COLUMN($O$1),FALSE)*VLOOKUP($D243,素材!$1:$1016,COLUMN($E$1),FALSE)/(LEN(VLOOKUP($D243,素材!$1:$1016,COLUMN($F$1),FALSE))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I243">
        <f>IF(ISNUMBER(SEARCH(SUBSTITUTE(AI$1,RIGHT(AI$1,2),""),VLOOKUP($D243,素材!$1:$1016,COLUMN($F$1),FALSE))),VLOOKUP($C243,武器!$1:$998,COLUMN($O$1),FALSE)*VLOOKUP($D243,素材!$1:$1016,COLUMN($E$1),FALSE)/(LEN(VLOOKUP($D243,素材!$1:$1016,COLUMN($F$1),FALSE))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J243">
        <f>IF(ISNUMBER(SEARCH(SUBSTITUTE(AJ$1,RIGHT(AJ$1,2),""),VLOOKUP($D243,素材!$1:$1016,COLUMN($F$1),FALSE))),VLOOKUP($C243,武器!$1:$998,COLUMN($O$1),FALSE)*VLOOKUP($D243,素材!$1:$1016,COLUMN($E$1),FALSE)/(LEN(VLOOKUP($D243,素材!$1:$1016,COLUMN($F$1),FALSE))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K243">
        <f>IF(ISNUMBER(SEARCH(SUBSTITUTE(AK$1,RIGHT(AK$1,2),""),VLOOKUP($D243,素材!$1:$1016,COLUMN($F$1),FALSE))),VLOOKUP($C243,武器!$1:$998,COLUMN($O$1),FALSE)*VLOOKUP($D243,素材!$1:$1016,COLUMN($E$1),FALSE)/(LEN(VLOOKUP($D243,素材!$1:$1016,COLUMN($F$1),FALSE))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L243">
        <f>IF(ISNUMBER(SEARCH(SUBSTITUTE(AL$1,RIGHT(AL$1,2),""),VLOOKUP($D243,素材!$1:$1016,COLUMN($F$1),FALSE))),VLOOKUP($C243,武器!$1:$998,COLUMN($O$1),FALSE)*VLOOKUP($D243,素材!$1:$1016,COLUMN($E$1),FALSE)/(LEN(VLOOKUP($D243,素材!$1:$1016,COLUMN($F$1),FALSE))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M243">
        <f>IF(ISNUMBER(SEARCH(SUBSTITUTE(AM$1,RIGHT(AM$1,2),""),VLOOKUP($D243,素材!$1:$1016,COLUMN($F$1),FALSE))),VLOOKUP($C243,武器!$1:$998,COLUMN($O$1),FALSE)*VLOOKUP($D243,素材!$1:$1016,COLUMN($E$1),FALSE)/(LEN(VLOOKUP($D243,素材!$1:$1016,COLUMN($F$1),FALSE))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N243">
        <f>IF(ISNUMBER(SEARCH(SUBSTITUTE(AN$1,RIGHT(AN$1,2),""),VLOOKUP($D243,素材!$1:$1016,COLUMN($F$1),FALSE))),VLOOKUP($C243,武器!$1:$998,COLUMN($O$1),FALSE)*VLOOKUP($D243,素材!$1:$1016,COLUMN($E$1),FALSE)/(LEN(VLOOKUP($D243,素材!$1:$1016,COLUMN($F$1),FALSE))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O243">
        <f>IF(ISNUMBER(SEARCH(SUBSTITUTE(AO$1,RIGHT(AO$1,2),""),VLOOKUP($D243,素材!$1:$1016,COLUMN($F$1),FALSE))),VLOOKUP($C243,武器!$1:$998,COLUMN($O$1),FALSE)*VLOOKUP($D243,素材!$1:$1016,COLUMN($E$1),FALSE)/(LEN(VLOOKUP($D243,素材!$1:$1016,COLUMN($F$1),FALSE))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P243">
        <f>IF(ISNUMBER(SEARCH(SUBSTITUTE(AP$1,RIGHT(AP$1,2),""),VLOOKUP($D243,素材!$1:$1016,COLUMN($F$1),FALSE))),VLOOKUP($C243,武器!$1:$998,COLUMN($O$1),FALSE)*VLOOKUP($D243,素材!$1:$1016,COLUMN($E$1),FALSE)/(LEN(VLOOKUP($D243,素材!$1:$1016,COLUMN($F$1),FALSE))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Q243">
        <f>IF(ISNUMBER(SEARCH(SUBSTITUTE(AQ$1,RIGHT(AQ$1,2),""),VLOOKUP($D243,素材!$1:$1016,COLUMN($F$1),FALSE))),VLOOKUP($C243,武器!$1:$998,COLUMN($O$1),FALSE)*VLOOKUP($D243,素材!$1:$1016,COLUMN($E$1),FALSE)/(LEN(VLOOKUP($D243,素材!$1:$1016,COLUMN($F$1),FALSE))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R243">
        <f>IF(ISNUMBER(SEARCH(SUBSTITUTE(AR$1,RIGHT(AR$1,2),""),VLOOKUP($D243,素材!$1:$1016,COLUMN($F$1),FALSE))),VLOOKUP($C243,武器!$1:$998,COLUMN($O$1),FALSE)*VLOOKUP($D243,素材!$1:$1016,COLUMN($E$1),FALSE)/(LEN(VLOOKUP($D243,素材!$1:$1016,COLUMN($F$1),FALSE))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S243">
        <f>IF(ISNUMBER(SEARCH(SUBSTITUTE(AS$1,RIGHT(AS$1,2),""),VLOOKUP($D243,素材!$1:$1016,COLUMN($F$1),FALSE))),VLOOKUP($C243,武器!$1:$998,COLUMN($O$1),FALSE)*VLOOKUP($D243,素材!$1:$1016,COLUMN($E$1),FALSE)/(LEN(VLOOKUP($D243,素材!$1:$1016,COLUMN($F$1),FALSE))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T243">
        <f>IF(ISNUMBER(SEARCH(SUBSTITUTE(AT$1,RIGHT(AT$1,2),""),VLOOKUP($D243,素材!$1:$1016,COLUMN($F$1),FALSE))),VLOOKUP($C243,武器!$1:$998,COLUMN($O$1),FALSE)*VLOOKUP($D243,素材!$1:$1016,COLUMN($E$1),FALSE)/(LEN(VLOOKUP($D243,素材!$1:$1016,COLUMN($F$1),FALSE))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U243">
        <f>IF(ISNUMBER(SEARCH(SUBSTITUTE(AU$1,RIGHT(AU$1,2),""),VLOOKUP($D243,素材!$1:$1016,COLUMN($F$1),FALSE))),VLOOKUP($C243,武器!$1:$998,COLUMN($O$1),FALSE)*VLOOKUP($D243,素材!$1:$1016,COLUMN($E$1),FALSE)/(LEN(VLOOKUP($D243,素材!$1:$1016,COLUMN($F$1),FALSE))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V243">
        <f>IF(ISNUMBER(SEARCH(SUBSTITUTE(AV$1,RIGHT(AV$1,2),""),VLOOKUP($D243,素材!$1:$1016,COLUMN($F$1),FALSE))),VLOOKUP($C243,武器!$1:$998,COLUMN($O$1),FALSE)*VLOOKUP($D243,素材!$1:$1016,COLUMN($E$1),FALSE)/(LEN(VLOOKUP($D243,素材!$1:$1016,COLUMN($F$1),FALSE))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W243">
        <f>IF(ISNUMBER(SEARCH(SUBSTITUTE(AW$1,RIGHT(AW$1,2),""),VLOOKUP($D243,素材!$1:$1016,COLUMN($F$1),FALSE))),VLOOKUP($C243,武器!$1:$998,COLUMN($O$1),FALSE)*VLOOKUP($D243,素材!$1:$1016,COLUMN($E$1),FALSE)/(LEN(VLOOKUP($D243,素材!$1:$1016,COLUMN($F$1),FALSE))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X243">
        <f>IF(ISNUMBER(SEARCH(SUBSTITUTE(AX$1,RIGHT(AX$1,2),""),VLOOKUP($D243,素材!$1:$1016,COLUMN($F$1),FALSE))),VLOOKUP($C243,武器!$1:$998,COLUMN($O$1),FALSE)*VLOOKUP($D243,素材!$1:$1016,COLUMN($E$1),FALSE)/(LEN(VLOOKUP($D243,素材!$1:$1016,COLUMN($F$1),FALSE))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Y243">
        <f>IF(ISNUMBER(SEARCH(SUBSTITUTE(AY$1,RIGHT(AY$1,2),""),VLOOKUP($D243,素材!$1:$1016,COLUMN($F$1),FALSE))),VLOOKUP($C243,武器!$1:$998,COLUMN($O$1),FALSE)*VLOOKUP($D243,素材!$1:$1016,COLUMN($E$1),FALSE)/(LEN(VLOOKUP($D243,素材!$1:$1016,COLUMN($F$1),FALSE))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AZ243">
        <f>IF(ISNUMBER(SEARCH(SUBSTITUTE(AZ$1,RIGHT(AZ$1,2),""),VLOOKUP($D243,素材!$1:$1016,COLUMN($F$1),FALSE))),VLOOKUP($C243,武器!$1:$998,COLUMN($O$1),FALSE)*VLOOKUP($D243,素材!$1:$1016,COLUMN($E$1),FALSE)/(LEN(VLOOKUP($D243,素材!$1:$1016,COLUMN($F$1),FALSE))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BA243">
        <f>IF(ISNUMBER(SEARCH(SUBSTITUTE(BA$1,RIGHT(BA$1,2),""),VLOOKUP($D243,素材!$1:$1016,COLUMN($F$1),FALSE))),VLOOKUP($C243,武器!$1:$998,COLUMN($O$1),FALSE)*VLOOKUP($D243,素材!$1:$1016,COLUMN($E$1),FALSE)/(LEN(VLOOKUP($D243,素材!$1:$1016,COLUMN($F$1),FALSE))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BB243">
        <f>IF(ISNUMBER(SEARCH(SUBSTITUTE(BB$1,RIGHT(BB$1,2),""),VLOOKUP($D243,素材!$1:$1016,COLUMN($F$1),FALSE))),VLOOKUP($C243,武器!$1:$998,COLUMN($O$1),FALSE)*VLOOKUP($D243,素材!$1:$1016,COLUMN($E$1),FALSE)/(LEN(VLOOKUP($D243,素材!$1:$1016,COLUMN($F$1),FALSE))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BC243">
        <f>IF(ISNUMBER(SEARCH(SUBSTITUTE(BC$1,RIGHT(BC$1,2),""),VLOOKUP($D243,素材!$1:$1016,COLUMN($F$1),FALSE))),VLOOKUP($C243,武器!$1:$998,COLUMN($O$1),FALSE)*VLOOKUP($D243,素材!$1:$1016,COLUMN($E$1),FALSE)/(LEN(VLOOKUP($D243,素材!$1:$1016,COLUMN($F$1),FALSE))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BD243">
        <f>IF(ISNUMBER(SEARCH(SUBSTITUTE(BD$1,RIGHT(BD$1,2),""),VLOOKUP($D243,素材!$1:$1016,COLUMN($F$1),FALSE))),VLOOKUP($C243,武器!$1:$998,COLUMN($O$1),FALSE)*VLOOKUP($D243,素材!$1:$1016,COLUMN($E$1),FALSE)/(LEN(VLOOKUP($D243,素材!$1:$1016,COLUMN($F$1),FALSE))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BE243">
        <f>IF(ISNUMBER(SEARCH(SUBSTITUTE(BE$1,RIGHT(BE$1,2),""),VLOOKUP($D243,素材!$1:$1016,COLUMN($F$1),FALSE))),VLOOKUP($C243,武器!$1:$998,COLUMN($O$1),FALSE)*VLOOKUP($D243,素材!$1:$1016,COLUMN($E$1),FALSE)/(LEN(VLOOKUP($D243,素材!$1:$1016,COLUMN($F$1),FALSE))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BF243">
        <f>IF(ISNUMBER(SEARCH(SUBSTITUTE(BF$1,RIGHT(BF$1,2),""),VLOOKUP($D243,素材!$1:$1016,COLUMN($F$1),FALSE))),VLOOKUP($C243,武器!$1:$998,COLUMN($O$1),FALSE)*VLOOKUP($D243,素材!$1:$1016,COLUMN($E$1),FALSE)/(LEN(VLOOKUP($D243,素材!$1:$1016,COLUMN($F$1),FALSE)) - LEN(SUBSTITUTE(VLOOKUP($D243,素材!$1:$1016,COLUMN($F$1),FALSE), "・", 0)) + 1), 0)</f>
        <v>0</v>
      </c>
      <c r="CM243">
        <f t="shared" si="31"/>
        <v>22</v>
      </c>
      <c r="CN243" s="22" t="str">
        <f>IF(E243="武器",IF(J243-1&gt;SUM(G243:I243),"盾",IF(MAX(G243:I243)=G243,"切断",IF(MAX(G243:I243)=H243,"貫通",IF(MAX(G243:I243)=I243,"打撃","射撃")))),E243)&amp;".webp"</f>
        <v>打撃.webp</v>
      </c>
      <c r="CO243">
        <f>IFERROR(VLOOKUP($C243,武器!$1:$998,COLUMN(V$1),FALSE)*VLOOKUP($D243,素材!$1:$1016,COLUMN(N$1),FALSE)+IF(CJ243="",0,VLOOKUP($CJ243,装強!$1:$1008,COLUMN($CL$1),FALSE)),"")</f>
        <v>3000</v>
      </c>
      <c r="CP243">
        <f>VLOOKUP(D243,素材!$A:$O,COLUMN(素材!O$1),FALSE)</f>
        <v>0</v>
      </c>
      <c r="CQ243" t="str">
        <f>VLOOKUP(C243,武器!$A:$W,COLUMN(武器!W$1),FALSE)</f>
        <v>鎚。打撃力に優れ、投擲にも対応。</v>
      </c>
      <c r="CS243" t="str">
        <f t="shared" si="32"/>
        <v>e_243</v>
      </c>
      <c r="CT243">
        <f t="shared" si="33"/>
        <v>300000</v>
      </c>
    </row>
    <row r="244" spans="1:98" outlineLevel="1" x14ac:dyDescent="0.4">
      <c r="A244" t="str">
        <f t="shared" si="34"/>
        <v>熱鉄の戦鎚</v>
      </c>
      <c r="B244" t="str">
        <f>IFERROR(VLOOKUP($D244,素材!$1:$1016,COLUMN($B$1),FALSE)&amp;"・"&amp;VLOOKUP($C244,武器!$1:$998,COLUMN(B$1),FALSE),"")</f>
        <v>ヒートスティール・ウォーハンマー</v>
      </c>
      <c r="C244" t="s">
        <v>226</v>
      </c>
      <c r="D244" s="24" t="s">
        <v>205</v>
      </c>
      <c r="E244" t="str">
        <f>IFERROR(VLOOKUP(C244,武器!$1:$998,COLUMN(C$1),FALSE),"")</f>
        <v>武器</v>
      </c>
      <c r="F244">
        <f>IFERROR(ROUNDDOWN((VLOOKUP($C244,武器!$1:$998,COLUMN(D$1),FALSE)+IFERROR(VLOOKUP($CJ244,装強!$1:$999,COLUMN(F$1),FALSE),0))*VLOOKUP($D244,素材!$1:$1016,COLUMN(D$1),FALSE),0),"")</f>
        <v>125</v>
      </c>
      <c r="G244">
        <f>IFERROR(ROUNDDOWN((VLOOKUP($C244,武器!$1:$998,COLUMN(E$1),FALSE)+IFERROR(VLOOKUP($CJ244,装強!$1:$999,COLUMN(G$1),FALSE),0))*VLOOKUP($D244,素材!$1:$1016,COLUMN($E$1),FALSE),0),"")</f>
        <v>0</v>
      </c>
      <c r="H244">
        <f>IFERROR(ROUNDDOWN((VLOOKUP($C244,武器!$1:$998,COLUMN(F$1),FALSE)+IFERROR(VLOOKUP($CJ244,装強!$1:$999,COLUMN(H$1),FALSE),0))*VLOOKUP($D244,素材!$1:$1016,COLUMN($E$1),FALSE),0),"")</f>
        <v>0</v>
      </c>
      <c r="I244">
        <f>IFERROR(ROUNDDOWN((VLOOKUP($C244,武器!$1:$998,COLUMN(G$1),FALSE)+IFERROR(VLOOKUP($CJ244,装強!$1:$999,COLUMN(I$1),FALSE),0))*VLOOKUP($D244,素材!$1:$1016,COLUMN($E$1),FALSE),0),"")</f>
        <v>24</v>
      </c>
      <c r="J244">
        <f>IFERROR(ROUNDDOWN((VLOOKUP($C244,武器!$1:$998,COLUMN(H$1),FALSE)+IFERROR(VLOOKUP($CJ244,装強!$1:$999,COLUMN(J$1),FALSE),0))*VLOOKUP($D244,素材!$1:$1016,COLUMN($E$1),FALSE),0),"")</f>
        <v>21</v>
      </c>
      <c r="K244">
        <f>IFERROR(ROUNDDOWN((VLOOKUP($C244,武器!$1:$998,COLUMN(I$1),FALSE)+IFERROR(VLOOKUP($CJ244,装強!$1:$999,COLUMN(K$1),FALSE),0))*VLOOKUP($D244,素材!$1:$1016,COLUMN($E$1),FALSE),0),"")</f>
        <v>0</v>
      </c>
      <c r="L244" t="str">
        <f>IFERROR(VLOOKUP($D244,素材!$1:$1016,COLUMN($F$1),FALSE),"")</f>
        <v>炎</v>
      </c>
      <c r="M244">
        <f>IFERROR(VLOOKUP($C244,武器!$1:$998,COLUMN(AA$1),FALSE)*VLOOKUP($D244,素材!$1:$1016,COLUMN($G$1),FALSE),"")</f>
        <v>42</v>
      </c>
      <c r="N244">
        <f>IFERROR(VLOOKUP($C244,武器!$1:$998,COLUMN(I$1),FALSE),"")</f>
        <v>0</v>
      </c>
      <c r="O244" s="23">
        <f>IFERROR((VLOOKUP($C244,武器!$1:$998,COLUMN(K$1),FALSE)+VLOOKUP($D244,素材!$1:$1016,COLUMN(H$1),FALSE))*100+IFERROR(VLOOKUP($CJ244,装強!$1:$999,COLUMN(O$1),FALSE),0),"")</f>
        <v>10</v>
      </c>
      <c r="P244" s="23">
        <f>IFERROR((VLOOKUP($C244,武器!$1:$998,COLUMN(L$1),FALSE)+VLOOKUP($D244,素材!$1:$1016,COLUMN(I$1),FALSE))*100+IFERROR(VLOOKUP($CJ244,装強!$1:$999,COLUMN(P$1),FALSE),0),"")</f>
        <v>150</v>
      </c>
      <c r="Q244">
        <f>IFERROR(ROUNDUP(VLOOKUP($C244,武器!$1:$998,COLUMN(M$1),FALSE)*(VLOOKUP($D244,素材!$1:$1002,COLUMN(D$1),FALSE)/100),1),"")</f>
        <v>-5</v>
      </c>
      <c r="R244">
        <f>IFERROR(ROUNDUP(VLOOKUP($C244,武器!$1:$998,COLUMN(N$1),FALSE)*(VLOOKUP($D244,素材!$1:$1002,COLUMN(D$1),FALSE)/100),1),"")</f>
        <v>-5</v>
      </c>
      <c r="S244">
        <f>IFERROR(VLOOKUP($C244,武器!$1:$998,COLUMN(P$1),FALSE),"")</f>
        <v>0</v>
      </c>
      <c r="T244">
        <f>IFERROR(VLOOKUP($C244,武器!$1:$998,COLUMN(Q$1),FALSE),"")</f>
        <v>0</v>
      </c>
      <c r="U244">
        <f>IFERROR(VLOOKUP($C244,武器!$1:$998,COLUMN(R$1),FALSE),"")</f>
        <v>0</v>
      </c>
      <c r="V244">
        <f>IFERROR(VLOOKUP($C244,武器!$1:$998,COLUMN(Q$1),FALSE),"")</f>
        <v>0</v>
      </c>
      <c r="W244" t="str">
        <f>IFERROR(VLOOKUP($C244,武器!$1:$998,COLUMN(T$1),FALSE),"")</f>
        <v>A</v>
      </c>
      <c r="Y244">
        <f>IFERROR(VLOOKUP($C244,武器!$1:$998,COLUMN(U$1),FALSE),"")</f>
        <v>0</v>
      </c>
      <c r="Z244">
        <f>IFERROR(ROUNDUP(VLOOKUP($C244,武器!$1:$998,COLUMN(O$1),FALSE)*VLOOKUP($D244,素材!$1:$1016,COLUMN(E$1),FALSE),1),"")</f>
        <v>0</v>
      </c>
      <c r="AA244">
        <f>IF(ISNUMBER(SEARCH(SUBSTITUTE(AA$1,RIGHT(AA$1,2),""),VLOOKUP($D244,素材!$1:$1016,COLUMN($F$1),FALSE))),VLOOKUP($C244,武器!$1:$998,COLUMN($O$1),FALSE)*VLOOKUP($D244,素材!$1:$1016,COLUMN($E$1),FALSE)/(LEN(VLOOKUP($D244,素材!$1:$1016,COLUMN($F$1),FALSE))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B244">
        <f>IF(ISNUMBER(SEARCH(SUBSTITUTE(AB$1,RIGHT(AB$1,2),""),VLOOKUP($D244,素材!$1:$1016,COLUMN($F$1),FALSE))),VLOOKUP($C244,武器!$1:$998,COLUMN($O$1),FALSE)*VLOOKUP($D244,素材!$1:$1016,COLUMN($E$1),FALSE)/(LEN(VLOOKUP($D244,素材!$1:$1016,COLUMN($F$1),FALSE))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C244">
        <f>IF(ISNUMBER(SEARCH(SUBSTITUTE(AC$1,RIGHT(AC$1,2),""),VLOOKUP($D244,素材!$1:$1016,COLUMN($F$1),FALSE))),VLOOKUP($C244,武器!$1:$998,COLUMN($O$1),FALSE)*VLOOKUP($D244,素材!$1:$1016,COLUMN($E$1),FALSE)/(LEN(VLOOKUP($D244,素材!$1:$1016,COLUMN($F$1),FALSE))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D244">
        <f>IF(ISNUMBER(SEARCH(SUBSTITUTE(AD$1,RIGHT(AD$1,2),""),VLOOKUP($D244,素材!$1:$1016,COLUMN($F$1),FALSE))),VLOOKUP($C244,武器!$1:$998,COLUMN($O$1),FALSE)*VLOOKUP($D244,素材!$1:$1016,COLUMN($E$1),FALSE)/(LEN(VLOOKUP($D244,素材!$1:$1016,COLUMN($F$1),FALSE))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E244">
        <f>IF(ISNUMBER(SEARCH(SUBSTITUTE(AE$1,RIGHT(AE$1,2),""),VLOOKUP($D244,素材!$1:$1016,COLUMN($F$1),FALSE))),VLOOKUP($C244,武器!$1:$998,COLUMN($O$1),FALSE)*VLOOKUP($D244,素材!$1:$1016,COLUMN($E$1),FALSE)/(LEN(VLOOKUP($D244,素材!$1:$1016,COLUMN($F$1),FALSE))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F244">
        <f>IF(ISNUMBER(SEARCH(SUBSTITUTE(AF$1,RIGHT(AF$1,2),""),VLOOKUP($D244,素材!$1:$1016,COLUMN($F$1),FALSE))),VLOOKUP($C244,武器!$1:$998,COLUMN($O$1),FALSE)*VLOOKUP($D244,素材!$1:$1016,COLUMN($E$1),FALSE)/(LEN(VLOOKUP($D244,素材!$1:$1016,COLUMN($F$1),FALSE))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G244">
        <f>IF(ISNUMBER(SEARCH(SUBSTITUTE(AG$1,RIGHT(AG$1,2),""),VLOOKUP($D244,素材!$1:$1016,COLUMN($F$1),FALSE))),VLOOKUP($C244,武器!$1:$998,COLUMN($O$1),FALSE)*VLOOKUP($D244,素材!$1:$1016,COLUMN($E$1),FALSE)/(LEN(VLOOKUP($D244,素材!$1:$1016,COLUMN($F$1),FALSE))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H244">
        <f>IF(ISNUMBER(SEARCH(SUBSTITUTE(AH$1,RIGHT(AH$1,2),""),VLOOKUP($D244,素材!$1:$1016,COLUMN($F$1),FALSE))),VLOOKUP($C244,武器!$1:$998,COLUMN($O$1),FALSE)*VLOOKUP($D244,素材!$1:$1016,COLUMN($E$1),FALSE)/(LEN(VLOOKUP($D244,素材!$1:$1016,COLUMN($F$1),FALSE))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I244">
        <f>IF(ISNUMBER(SEARCH(SUBSTITUTE(AI$1,RIGHT(AI$1,2),""),VLOOKUP($D244,素材!$1:$1016,COLUMN($F$1),FALSE))),VLOOKUP($C244,武器!$1:$998,COLUMN($O$1),FALSE)*VLOOKUP($D244,素材!$1:$1016,COLUMN($E$1),FALSE)/(LEN(VLOOKUP($D244,素材!$1:$1016,COLUMN($F$1),FALSE))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J244">
        <f>IF(ISNUMBER(SEARCH(SUBSTITUTE(AJ$1,RIGHT(AJ$1,2),""),VLOOKUP($D244,素材!$1:$1016,COLUMN($F$1),FALSE))),VLOOKUP($C244,武器!$1:$998,COLUMN($O$1),FALSE)*VLOOKUP($D244,素材!$1:$1016,COLUMN($E$1),FALSE)/(LEN(VLOOKUP($D244,素材!$1:$1016,COLUMN($F$1),FALSE))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K244">
        <f>IF(ISNUMBER(SEARCH(SUBSTITUTE(AK$1,RIGHT(AK$1,2),""),VLOOKUP($D244,素材!$1:$1016,COLUMN($F$1),FALSE))),VLOOKUP($C244,武器!$1:$998,COLUMN($O$1),FALSE)*VLOOKUP($D244,素材!$1:$1016,COLUMN($E$1),FALSE)/(LEN(VLOOKUP($D244,素材!$1:$1016,COLUMN($F$1),FALSE))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L244">
        <f>IF(ISNUMBER(SEARCH(SUBSTITUTE(AL$1,RIGHT(AL$1,2),""),VLOOKUP($D244,素材!$1:$1016,COLUMN($F$1),FALSE))),VLOOKUP($C244,武器!$1:$998,COLUMN($O$1),FALSE)*VLOOKUP($D244,素材!$1:$1016,COLUMN($E$1),FALSE)/(LEN(VLOOKUP($D244,素材!$1:$1016,COLUMN($F$1),FALSE))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M244">
        <f>IF(ISNUMBER(SEARCH(SUBSTITUTE(AM$1,RIGHT(AM$1,2),""),VLOOKUP($D244,素材!$1:$1016,COLUMN($F$1),FALSE))),VLOOKUP($C244,武器!$1:$998,COLUMN($O$1),FALSE)*VLOOKUP($D244,素材!$1:$1016,COLUMN($E$1),FALSE)/(LEN(VLOOKUP($D244,素材!$1:$1016,COLUMN($F$1),FALSE))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N244">
        <f>IF(ISNUMBER(SEARCH(SUBSTITUTE(AN$1,RIGHT(AN$1,2),""),VLOOKUP($D244,素材!$1:$1016,COLUMN($F$1),FALSE))),VLOOKUP($C244,武器!$1:$998,COLUMN($O$1),FALSE)*VLOOKUP($D244,素材!$1:$1016,COLUMN($E$1),FALSE)/(LEN(VLOOKUP($D244,素材!$1:$1016,COLUMN($F$1),FALSE))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O244">
        <f>IF(ISNUMBER(SEARCH(SUBSTITUTE(AO$1,RIGHT(AO$1,2),""),VLOOKUP($D244,素材!$1:$1016,COLUMN($F$1),FALSE))),VLOOKUP($C244,武器!$1:$998,COLUMN($O$1),FALSE)*VLOOKUP($D244,素材!$1:$1016,COLUMN($E$1),FALSE)/(LEN(VLOOKUP($D244,素材!$1:$1016,COLUMN($F$1),FALSE))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P244">
        <f>IF(ISNUMBER(SEARCH(SUBSTITUTE(AP$1,RIGHT(AP$1,2),""),VLOOKUP($D244,素材!$1:$1016,COLUMN($F$1),FALSE))),VLOOKUP($C244,武器!$1:$998,COLUMN($O$1),FALSE)*VLOOKUP($D244,素材!$1:$1016,COLUMN($E$1),FALSE)/(LEN(VLOOKUP($D244,素材!$1:$1016,COLUMN($F$1),FALSE))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Q244">
        <f>IF(ISNUMBER(SEARCH(SUBSTITUTE(AQ$1,RIGHT(AQ$1,2),""),VLOOKUP($D244,素材!$1:$1016,COLUMN($F$1),FALSE))),VLOOKUP($C244,武器!$1:$998,COLUMN($O$1),FALSE)*VLOOKUP($D244,素材!$1:$1016,COLUMN($E$1),FALSE)/(LEN(VLOOKUP($D244,素材!$1:$1016,COLUMN($F$1),FALSE))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R244">
        <f>IF(ISNUMBER(SEARCH(SUBSTITUTE(AR$1,RIGHT(AR$1,2),""),VLOOKUP($D244,素材!$1:$1016,COLUMN($F$1),FALSE))),VLOOKUP($C244,武器!$1:$998,COLUMN($O$1),FALSE)*VLOOKUP($D244,素材!$1:$1016,COLUMN($E$1),FALSE)/(LEN(VLOOKUP($D244,素材!$1:$1016,COLUMN($F$1),FALSE))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S244">
        <f>IF(ISNUMBER(SEARCH(SUBSTITUTE(AS$1,RIGHT(AS$1,2),""),VLOOKUP($D244,素材!$1:$1016,COLUMN($F$1),FALSE))),VLOOKUP($C244,武器!$1:$998,COLUMN($O$1),FALSE)*VLOOKUP($D244,素材!$1:$1016,COLUMN($E$1),FALSE)/(LEN(VLOOKUP($D244,素材!$1:$1016,COLUMN($F$1),FALSE))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T244">
        <f>IF(ISNUMBER(SEARCH(SUBSTITUTE(AT$1,RIGHT(AT$1,2),""),VLOOKUP($D244,素材!$1:$1016,COLUMN($F$1),FALSE))),VLOOKUP($C244,武器!$1:$998,COLUMN($O$1),FALSE)*VLOOKUP($D244,素材!$1:$1016,COLUMN($E$1),FALSE)/(LEN(VLOOKUP($D244,素材!$1:$1016,COLUMN($F$1),FALSE))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U244">
        <f>IF(ISNUMBER(SEARCH(SUBSTITUTE(AU$1,RIGHT(AU$1,2),""),VLOOKUP($D244,素材!$1:$1016,COLUMN($F$1),FALSE))),VLOOKUP($C244,武器!$1:$998,COLUMN($O$1),FALSE)*VLOOKUP($D244,素材!$1:$1016,COLUMN($E$1),FALSE)/(LEN(VLOOKUP($D244,素材!$1:$1016,COLUMN($F$1),FALSE))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V244">
        <f>IF(ISNUMBER(SEARCH(SUBSTITUTE(AV$1,RIGHT(AV$1,2),""),VLOOKUP($D244,素材!$1:$1016,COLUMN($F$1),FALSE))),VLOOKUP($C244,武器!$1:$998,COLUMN($O$1),FALSE)*VLOOKUP($D244,素材!$1:$1016,COLUMN($E$1),FALSE)/(LEN(VLOOKUP($D244,素材!$1:$1016,COLUMN($F$1),FALSE))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W244">
        <f>IF(ISNUMBER(SEARCH(SUBSTITUTE(AW$1,RIGHT(AW$1,2),""),VLOOKUP($D244,素材!$1:$1016,COLUMN($F$1),FALSE))),VLOOKUP($C244,武器!$1:$998,COLUMN($O$1),FALSE)*VLOOKUP($D244,素材!$1:$1016,COLUMN($E$1),FALSE)/(LEN(VLOOKUP($D244,素材!$1:$1016,COLUMN($F$1),FALSE))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X244">
        <f>IF(ISNUMBER(SEARCH(SUBSTITUTE(AX$1,RIGHT(AX$1,2),""),VLOOKUP($D244,素材!$1:$1016,COLUMN($F$1),FALSE))),VLOOKUP($C244,武器!$1:$998,COLUMN($O$1),FALSE)*VLOOKUP($D244,素材!$1:$1016,COLUMN($E$1),FALSE)/(LEN(VLOOKUP($D244,素材!$1:$1016,COLUMN($F$1),FALSE))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Y244">
        <f>IF(ISNUMBER(SEARCH(SUBSTITUTE(AY$1,RIGHT(AY$1,2),""),VLOOKUP($D244,素材!$1:$1016,COLUMN($F$1),FALSE))),VLOOKUP($C244,武器!$1:$998,COLUMN($O$1),FALSE)*VLOOKUP($D244,素材!$1:$1016,COLUMN($E$1),FALSE)/(LEN(VLOOKUP($D244,素材!$1:$1016,COLUMN($F$1),FALSE))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AZ244">
        <f>IF(ISNUMBER(SEARCH(SUBSTITUTE(AZ$1,RIGHT(AZ$1,2),""),VLOOKUP($D244,素材!$1:$1016,COLUMN($F$1),FALSE))),VLOOKUP($C244,武器!$1:$998,COLUMN($O$1),FALSE)*VLOOKUP($D244,素材!$1:$1016,COLUMN($E$1),FALSE)/(LEN(VLOOKUP($D244,素材!$1:$1016,COLUMN($F$1),FALSE))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BA244">
        <f>IF(ISNUMBER(SEARCH(SUBSTITUTE(BA$1,RIGHT(BA$1,2),""),VLOOKUP($D244,素材!$1:$1016,COLUMN($F$1),FALSE))),VLOOKUP($C244,武器!$1:$998,COLUMN($O$1),FALSE)*VLOOKUP($D244,素材!$1:$1016,COLUMN($E$1),FALSE)/(LEN(VLOOKUP($D244,素材!$1:$1016,COLUMN($F$1),FALSE))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BB244">
        <f>IF(ISNUMBER(SEARCH(SUBSTITUTE(BB$1,RIGHT(BB$1,2),""),VLOOKUP($D244,素材!$1:$1016,COLUMN($F$1),FALSE))),VLOOKUP($C244,武器!$1:$998,COLUMN($O$1),FALSE)*VLOOKUP($D244,素材!$1:$1016,COLUMN($E$1),FALSE)/(LEN(VLOOKUP($D244,素材!$1:$1016,COLUMN($F$1),FALSE))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BC244">
        <f>IF(ISNUMBER(SEARCH(SUBSTITUTE(BC$1,RIGHT(BC$1,2),""),VLOOKUP($D244,素材!$1:$1016,COLUMN($F$1),FALSE))),VLOOKUP($C244,武器!$1:$998,COLUMN($O$1),FALSE)*VLOOKUP($D244,素材!$1:$1016,COLUMN($E$1),FALSE)/(LEN(VLOOKUP($D244,素材!$1:$1016,COLUMN($F$1),FALSE))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BD244">
        <f>IF(ISNUMBER(SEARCH(SUBSTITUTE(BD$1,RIGHT(BD$1,2),""),VLOOKUP($D244,素材!$1:$1016,COLUMN($F$1),FALSE))),VLOOKUP($C244,武器!$1:$998,COLUMN($O$1),FALSE)*VLOOKUP($D244,素材!$1:$1016,COLUMN($E$1),FALSE)/(LEN(VLOOKUP($D244,素材!$1:$1016,COLUMN($F$1),FALSE))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BE244">
        <f>IF(ISNUMBER(SEARCH(SUBSTITUTE(BE$1,RIGHT(BE$1,2),""),VLOOKUP($D244,素材!$1:$1016,COLUMN($F$1),FALSE))),VLOOKUP($C244,武器!$1:$998,COLUMN($O$1),FALSE)*VLOOKUP($D244,素材!$1:$1016,COLUMN($E$1),FALSE)/(LEN(VLOOKUP($D244,素材!$1:$1016,COLUMN($F$1),FALSE))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BF244">
        <f>IF(ISNUMBER(SEARCH(SUBSTITUTE(BF$1,RIGHT(BF$1,2),""),VLOOKUP($D244,素材!$1:$1016,COLUMN($F$1),FALSE))),VLOOKUP($C244,武器!$1:$998,COLUMN($O$1),FALSE)*VLOOKUP($D244,素材!$1:$1016,COLUMN($E$1),FALSE)/(LEN(VLOOKUP($D244,素材!$1:$1016,COLUMN($F$1),FALSE)) - LEN(SUBSTITUTE(VLOOKUP($D244,素材!$1:$1016,COLUMN($F$1),FALSE), "・", 0)) + 1), 0)</f>
        <v>0</v>
      </c>
      <c r="CM244">
        <f t="shared" si="31"/>
        <v>24</v>
      </c>
      <c r="CN244" s="22" t="str">
        <f>IF(E244="武器",IF(J244-1&gt;SUM(G244:I244),"盾",IF(MAX(G244:I244)=G244,"切断",IF(MAX(G244:I244)=H244,"貫通",IF(MAX(G244:I244)=I244,"打撃","射撃")))),E244)&amp;".webp"</f>
        <v>打撃.webp</v>
      </c>
      <c r="CO244">
        <f>IFERROR(VLOOKUP($C244,武器!$1:$998,COLUMN(V$1),FALSE)*VLOOKUP($D244,素材!$1:$1016,COLUMN(N$1),FALSE)+IF(CJ244="",0,VLOOKUP($CJ244,装強!$1:$1008,COLUMN($CL$1),FALSE)),"")</f>
        <v>3750</v>
      </c>
      <c r="CP244">
        <f>VLOOKUP(D244,素材!$A:$O,COLUMN(素材!O$1),FALSE)</f>
        <v>0</v>
      </c>
      <c r="CQ244" t="str">
        <f>VLOOKUP(C244,武器!$A:$W,COLUMN(武器!W$1),FALSE)</f>
        <v>戦鎚。重い打撃を与える強力な武器。</v>
      </c>
      <c r="CS244" t="str">
        <f t="shared" si="32"/>
        <v>e_244</v>
      </c>
      <c r="CT244">
        <f t="shared" si="33"/>
        <v>375000</v>
      </c>
    </row>
    <row r="245" spans="1:98" outlineLevel="1" x14ac:dyDescent="0.4">
      <c r="A245" t="str">
        <f t="shared" si="34"/>
        <v>熱鉄の鎌</v>
      </c>
      <c r="B245" t="str">
        <f>IFERROR(VLOOKUP($D245,素材!$1:$1016,COLUMN($B$1),FALSE)&amp;"・"&amp;VLOOKUP($C245,武器!$1:$998,COLUMN(B$1),FALSE),"")</f>
        <v>ヒートスティール・シックル</v>
      </c>
      <c r="C245" t="s">
        <v>225</v>
      </c>
      <c r="D245" s="24" t="s">
        <v>205</v>
      </c>
      <c r="E245" t="str">
        <f>IFERROR(VLOOKUP(C245,武器!$1:$998,COLUMN(C$1),FALSE),"")</f>
        <v>武器</v>
      </c>
      <c r="F245">
        <f>IFERROR(ROUNDDOWN((VLOOKUP($C245,武器!$1:$998,COLUMN(D$1),FALSE)+IFERROR(VLOOKUP($CJ245,装強!$1:$999,COLUMN(F$1),FALSE),0))*VLOOKUP($D245,素材!$1:$1016,COLUMN(D$1),FALSE),0),"")</f>
        <v>125</v>
      </c>
      <c r="G245">
        <f>IFERROR(ROUNDDOWN((VLOOKUP($C245,武器!$1:$998,COLUMN(E$1),FALSE)+IFERROR(VLOOKUP($CJ245,装強!$1:$999,COLUMN(G$1),FALSE),0))*VLOOKUP($D245,素材!$1:$1016,COLUMN($E$1),FALSE),0),"")</f>
        <v>9</v>
      </c>
      <c r="H245">
        <f>IFERROR(ROUNDDOWN((VLOOKUP($C245,武器!$1:$998,COLUMN(F$1),FALSE)+IFERROR(VLOOKUP($CJ245,装強!$1:$999,COLUMN(H$1),FALSE),0))*VLOOKUP($D245,素材!$1:$1016,COLUMN($E$1),FALSE),0),"")</f>
        <v>11</v>
      </c>
      <c r="I245">
        <f>IFERROR(ROUNDDOWN((VLOOKUP($C245,武器!$1:$998,COLUMN(G$1),FALSE)+IFERROR(VLOOKUP($CJ245,装強!$1:$999,COLUMN(I$1),FALSE),0))*VLOOKUP($D245,素材!$1:$1016,COLUMN($E$1),FALSE),0),"")</f>
        <v>1</v>
      </c>
      <c r="J245">
        <f>IFERROR(ROUNDDOWN((VLOOKUP($C245,武器!$1:$998,COLUMN(H$1),FALSE)+IFERROR(VLOOKUP($CJ245,装強!$1:$999,COLUMN(J$1),FALSE),0))*VLOOKUP($D245,素材!$1:$1016,COLUMN($E$1),FALSE),0),"")</f>
        <v>17</v>
      </c>
      <c r="K245">
        <f>IFERROR(ROUNDDOWN((VLOOKUP($C245,武器!$1:$998,COLUMN(I$1),FALSE)+IFERROR(VLOOKUP($CJ245,装強!$1:$999,COLUMN(K$1),FALSE),0))*VLOOKUP($D245,素材!$1:$1016,COLUMN($E$1),FALSE),0),"")</f>
        <v>0</v>
      </c>
      <c r="L245" t="str">
        <f>IFERROR(VLOOKUP($D245,素材!$1:$1016,COLUMN($F$1),FALSE),"")</f>
        <v>炎</v>
      </c>
      <c r="M245">
        <f>IFERROR(VLOOKUP($C245,武器!$1:$998,COLUMN(AA$1),FALSE)*VLOOKUP($D245,素材!$1:$1016,COLUMN($G$1),FALSE),"")</f>
        <v>36.75</v>
      </c>
      <c r="N245">
        <f>IFERROR(VLOOKUP($C245,武器!$1:$998,COLUMN(I$1),FALSE),"")</f>
        <v>0</v>
      </c>
      <c r="O245" s="23">
        <f>IFERROR((VLOOKUP($C245,武器!$1:$998,COLUMN(K$1),FALSE)+VLOOKUP($D245,素材!$1:$1016,COLUMN(H$1),FALSE))*100+IFERROR(VLOOKUP($CJ245,装強!$1:$999,COLUMN(O$1),FALSE),0),"")</f>
        <v>5</v>
      </c>
      <c r="P245" s="23">
        <f>IFERROR((VLOOKUP($C245,武器!$1:$998,COLUMN(L$1),FALSE)+VLOOKUP($D245,素材!$1:$1016,COLUMN(I$1),FALSE))*100+IFERROR(VLOOKUP($CJ245,装強!$1:$999,COLUMN(P$1),FALSE),0),"")</f>
        <v>200</v>
      </c>
      <c r="Q245">
        <f>IFERROR(ROUNDUP(VLOOKUP($C245,武器!$1:$998,COLUMN(M$1),FALSE)*(VLOOKUP($D245,素材!$1:$1002,COLUMN(D$1),FALSE)/100),1),"")</f>
        <v>0</v>
      </c>
      <c r="R245">
        <f>IFERROR(ROUNDUP(VLOOKUP($C245,武器!$1:$998,COLUMN(N$1),FALSE)*(VLOOKUP($D245,素材!$1:$1002,COLUMN(D$1),FALSE)/100),1),"")</f>
        <v>0</v>
      </c>
      <c r="S245">
        <f>IFERROR(VLOOKUP($C245,武器!$1:$998,COLUMN(P$1),FALSE),"")</f>
        <v>0</v>
      </c>
      <c r="T245">
        <f>IFERROR(VLOOKUP($C245,武器!$1:$998,COLUMN(Q$1),FALSE),"")</f>
        <v>0</v>
      </c>
      <c r="U245">
        <f>IFERROR(VLOOKUP($C245,武器!$1:$998,COLUMN(R$1),FALSE),"")</f>
        <v>0</v>
      </c>
      <c r="V245">
        <f>IFERROR(VLOOKUP($C245,武器!$1:$998,COLUMN(Q$1),FALSE),"")</f>
        <v>0</v>
      </c>
      <c r="W245" t="str">
        <f>IFERROR(VLOOKUP($C245,武器!$1:$998,COLUMN(T$1),FALSE),"")</f>
        <v>A</v>
      </c>
      <c r="Y245" t="str">
        <f>IFERROR(VLOOKUP($C245,武器!$1:$998,COLUMN(U$1),FALSE),"")</f>
        <v>投擲強化、片手適性Ⅰ</v>
      </c>
      <c r="Z245">
        <f>IFERROR(ROUNDUP(VLOOKUP($C245,武器!$1:$998,COLUMN(O$1),FALSE)*VLOOKUP($D245,素材!$1:$1016,COLUMN(E$1),FALSE),1),"")</f>
        <v>0</v>
      </c>
      <c r="AA245">
        <f>IF(ISNUMBER(SEARCH(SUBSTITUTE(AA$1,RIGHT(AA$1,2),""),VLOOKUP($D245,素材!$1:$1016,COLUMN($F$1),FALSE))),VLOOKUP($C245,武器!$1:$998,COLUMN($O$1),FALSE)*VLOOKUP($D245,素材!$1:$1016,COLUMN($E$1),FALSE)/(LEN(VLOOKUP($D245,素材!$1:$1016,COLUMN($F$1),FALSE))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B245">
        <f>IF(ISNUMBER(SEARCH(SUBSTITUTE(AB$1,RIGHT(AB$1,2),""),VLOOKUP($D245,素材!$1:$1016,COLUMN($F$1),FALSE))),VLOOKUP($C245,武器!$1:$998,COLUMN($O$1),FALSE)*VLOOKUP($D245,素材!$1:$1016,COLUMN($E$1),FALSE)/(LEN(VLOOKUP($D245,素材!$1:$1016,COLUMN($F$1),FALSE))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C245">
        <f>IF(ISNUMBER(SEARCH(SUBSTITUTE(AC$1,RIGHT(AC$1,2),""),VLOOKUP($D245,素材!$1:$1016,COLUMN($F$1),FALSE))),VLOOKUP($C245,武器!$1:$998,COLUMN($O$1),FALSE)*VLOOKUP($D245,素材!$1:$1016,COLUMN($E$1),FALSE)/(LEN(VLOOKUP($D245,素材!$1:$1016,COLUMN($F$1),FALSE))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D245">
        <f>IF(ISNUMBER(SEARCH(SUBSTITUTE(AD$1,RIGHT(AD$1,2),""),VLOOKUP($D245,素材!$1:$1016,COLUMN($F$1),FALSE))),VLOOKUP($C245,武器!$1:$998,COLUMN($O$1),FALSE)*VLOOKUP($D245,素材!$1:$1016,COLUMN($E$1),FALSE)/(LEN(VLOOKUP($D245,素材!$1:$1016,COLUMN($F$1),FALSE))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E245">
        <f>IF(ISNUMBER(SEARCH(SUBSTITUTE(AE$1,RIGHT(AE$1,2),""),VLOOKUP($D245,素材!$1:$1016,COLUMN($F$1),FALSE))),VLOOKUP($C245,武器!$1:$998,COLUMN($O$1),FALSE)*VLOOKUP($D245,素材!$1:$1016,COLUMN($E$1),FALSE)/(LEN(VLOOKUP($D245,素材!$1:$1016,COLUMN($F$1),FALSE))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F245">
        <f>IF(ISNUMBER(SEARCH(SUBSTITUTE(AF$1,RIGHT(AF$1,2),""),VLOOKUP($D245,素材!$1:$1016,COLUMN($F$1),FALSE))),VLOOKUP($C245,武器!$1:$998,COLUMN($O$1),FALSE)*VLOOKUP($D245,素材!$1:$1016,COLUMN($E$1),FALSE)/(LEN(VLOOKUP($D245,素材!$1:$1016,COLUMN($F$1),FALSE))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G245">
        <f>IF(ISNUMBER(SEARCH(SUBSTITUTE(AG$1,RIGHT(AG$1,2),""),VLOOKUP($D245,素材!$1:$1016,COLUMN($F$1),FALSE))),VLOOKUP($C245,武器!$1:$998,COLUMN($O$1),FALSE)*VLOOKUP($D245,素材!$1:$1016,COLUMN($E$1),FALSE)/(LEN(VLOOKUP($D245,素材!$1:$1016,COLUMN($F$1),FALSE))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H245">
        <f>IF(ISNUMBER(SEARCH(SUBSTITUTE(AH$1,RIGHT(AH$1,2),""),VLOOKUP($D245,素材!$1:$1016,COLUMN($F$1),FALSE))),VLOOKUP($C245,武器!$1:$998,COLUMN($O$1),FALSE)*VLOOKUP($D245,素材!$1:$1016,COLUMN($E$1),FALSE)/(LEN(VLOOKUP($D245,素材!$1:$1016,COLUMN($F$1),FALSE))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I245">
        <f>IF(ISNUMBER(SEARCH(SUBSTITUTE(AI$1,RIGHT(AI$1,2),""),VLOOKUP($D245,素材!$1:$1016,COLUMN($F$1),FALSE))),VLOOKUP($C245,武器!$1:$998,COLUMN($O$1),FALSE)*VLOOKUP($D245,素材!$1:$1016,COLUMN($E$1),FALSE)/(LEN(VLOOKUP($D245,素材!$1:$1016,COLUMN($F$1),FALSE))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J245">
        <f>IF(ISNUMBER(SEARCH(SUBSTITUTE(AJ$1,RIGHT(AJ$1,2),""),VLOOKUP($D245,素材!$1:$1016,COLUMN($F$1),FALSE))),VLOOKUP($C245,武器!$1:$998,COLUMN($O$1),FALSE)*VLOOKUP($D245,素材!$1:$1016,COLUMN($E$1),FALSE)/(LEN(VLOOKUP($D245,素材!$1:$1016,COLUMN($F$1),FALSE))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K245">
        <f>IF(ISNUMBER(SEARCH(SUBSTITUTE(AK$1,RIGHT(AK$1,2),""),VLOOKUP($D245,素材!$1:$1016,COLUMN($F$1),FALSE))),VLOOKUP($C245,武器!$1:$998,COLUMN($O$1),FALSE)*VLOOKUP($D245,素材!$1:$1016,COLUMN($E$1),FALSE)/(LEN(VLOOKUP($D245,素材!$1:$1016,COLUMN($F$1),FALSE))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L245">
        <f>IF(ISNUMBER(SEARCH(SUBSTITUTE(AL$1,RIGHT(AL$1,2),""),VLOOKUP($D245,素材!$1:$1016,COLUMN($F$1),FALSE))),VLOOKUP($C245,武器!$1:$998,COLUMN($O$1),FALSE)*VLOOKUP($D245,素材!$1:$1016,COLUMN($E$1),FALSE)/(LEN(VLOOKUP($D245,素材!$1:$1016,COLUMN($F$1),FALSE))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M245">
        <f>IF(ISNUMBER(SEARCH(SUBSTITUTE(AM$1,RIGHT(AM$1,2),""),VLOOKUP($D245,素材!$1:$1016,COLUMN($F$1),FALSE))),VLOOKUP($C245,武器!$1:$998,COLUMN($O$1),FALSE)*VLOOKUP($D245,素材!$1:$1016,COLUMN($E$1),FALSE)/(LEN(VLOOKUP($D245,素材!$1:$1016,COLUMN($F$1),FALSE))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N245">
        <f>IF(ISNUMBER(SEARCH(SUBSTITUTE(AN$1,RIGHT(AN$1,2),""),VLOOKUP($D245,素材!$1:$1016,COLUMN($F$1),FALSE))),VLOOKUP($C245,武器!$1:$998,COLUMN($O$1),FALSE)*VLOOKUP($D245,素材!$1:$1016,COLUMN($E$1),FALSE)/(LEN(VLOOKUP($D245,素材!$1:$1016,COLUMN($F$1),FALSE))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O245">
        <f>IF(ISNUMBER(SEARCH(SUBSTITUTE(AO$1,RIGHT(AO$1,2),""),VLOOKUP($D245,素材!$1:$1016,COLUMN($F$1),FALSE))),VLOOKUP($C245,武器!$1:$998,COLUMN($O$1),FALSE)*VLOOKUP($D245,素材!$1:$1016,COLUMN($E$1),FALSE)/(LEN(VLOOKUP($D245,素材!$1:$1016,COLUMN($F$1),FALSE))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P245">
        <f>IF(ISNUMBER(SEARCH(SUBSTITUTE(AP$1,RIGHT(AP$1,2),""),VLOOKUP($D245,素材!$1:$1016,COLUMN($F$1),FALSE))),VLOOKUP($C245,武器!$1:$998,COLUMN($O$1),FALSE)*VLOOKUP($D245,素材!$1:$1016,COLUMN($E$1),FALSE)/(LEN(VLOOKUP($D245,素材!$1:$1016,COLUMN($F$1),FALSE))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Q245">
        <f>IF(ISNUMBER(SEARCH(SUBSTITUTE(AQ$1,RIGHT(AQ$1,2),""),VLOOKUP($D245,素材!$1:$1016,COLUMN($F$1),FALSE))),VLOOKUP($C245,武器!$1:$998,COLUMN($O$1),FALSE)*VLOOKUP($D245,素材!$1:$1016,COLUMN($E$1),FALSE)/(LEN(VLOOKUP($D245,素材!$1:$1016,COLUMN($F$1),FALSE))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R245">
        <f>IF(ISNUMBER(SEARCH(SUBSTITUTE(AR$1,RIGHT(AR$1,2),""),VLOOKUP($D245,素材!$1:$1016,COLUMN($F$1),FALSE))),VLOOKUP($C245,武器!$1:$998,COLUMN($O$1),FALSE)*VLOOKUP($D245,素材!$1:$1016,COLUMN($E$1),FALSE)/(LEN(VLOOKUP($D245,素材!$1:$1016,COLUMN($F$1),FALSE))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S245">
        <f>IF(ISNUMBER(SEARCH(SUBSTITUTE(AS$1,RIGHT(AS$1,2),""),VLOOKUP($D245,素材!$1:$1016,COLUMN($F$1),FALSE))),VLOOKUP($C245,武器!$1:$998,COLUMN($O$1),FALSE)*VLOOKUP($D245,素材!$1:$1016,COLUMN($E$1),FALSE)/(LEN(VLOOKUP($D245,素材!$1:$1016,COLUMN($F$1),FALSE))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T245">
        <f>IF(ISNUMBER(SEARCH(SUBSTITUTE(AT$1,RIGHT(AT$1,2),""),VLOOKUP($D245,素材!$1:$1016,COLUMN($F$1),FALSE))),VLOOKUP($C245,武器!$1:$998,COLUMN($O$1),FALSE)*VLOOKUP($D245,素材!$1:$1016,COLUMN($E$1),FALSE)/(LEN(VLOOKUP($D245,素材!$1:$1016,COLUMN($F$1),FALSE))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U245">
        <f>IF(ISNUMBER(SEARCH(SUBSTITUTE(AU$1,RIGHT(AU$1,2),""),VLOOKUP($D245,素材!$1:$1016,COLUMN($F$1),FALSE))),VLOOKUP($C245,武器!$1:$998,COLUMN($O$1),FALSE)*VLOOKUP($D245,素材!$1:$1016,COLUMN($E$1),FALSE)/(LEN(VLOOKUP($D245,素材!$1:$1016,COLUMN($F$1),FALSE))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V245">
        <f>IF(ISNUMBER(SEARCH(SUBSTITUTE(AV$1,RIGHT(AV$1,2),""),VLOOKUP($D245,素材!$1:$1016,COLUMN($F$1),FALSE))),VLOOKUP($C245,武器!$1:$998,COLUMN($O$1),FALSE)*VLOOKUP($D245,素材!$1:$1016,COLUMN($E$1),FALSE)/(LEN(VLOOKUP($D245,素材!$1:$1016,COLUMN($F$1),FALSE))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W245">
        <f>IF(ISNUMBER(SEARCH(SUBSTITUTE(AW$1,RIGHT(AW$1,2),""),VLOOKUP($D245,素材!$1:$1016,COLUMN($F$1),FALSE))),VLOOKUP($C245,武器!$1:$998,COLUMN($O$1),FALSE)*VLOOKUP($D245,素材!$1:$1016,COLUMN($E$1),FALSE)/(LEN(VLOOKUP($D245,素材!$1:$1016,COLUMN($F$1),FALSE))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X245">
        <f>IF(ISNUMBER(SEARCH(SUBSTITUTE(AX$1,RIGHT(AX$1,2),""),VLOOKUP($D245,素材!$1:$1016,COLUMN($F$1),FALSE))),VLOOKUP($C245,武器!$1:$998,COLUMN($O$1),FALSE)*VLOOKUP($D245,素材!$1:$1016,COLUMN($E$1),FALSE)/(LEN(VLOOKUP($D245,素材!$1:$1016,COLUMN($F$1),FALSE))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Y245">
        <f>IF(ISNUMBER(SEARCH(SUBSTITUTE(AY$1,RIGHT(AY$1,2),""),VLOOKUP($D245,素材!$1:$1016,COLUMN($F$1),FALSE))),VLOOKUP($C245,武器!$1:$998,COLUMN($O$1),FALSE)*VLOOKUP($D245,素材!$1:$1016,COLUMN($E$1),FALSE)/(LEN(VLOOKUP($D245,素材!$1:$1016,COLUMN($F$1),FALSE))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AZ245">
        <f>IF(ISNUMBER(SEARCH(SUBSTITUTE(AZ$1,RIGHT(AZ$1,2),""),VLOOKUP($D245,素材!$1:$1016,COLUMN($F$1),FALSE))),VLOOKUP($C245,武器!$1:$998,COLUMN($O$1),FALSE)*VLOOKUP($D245,素材!$1:$1016,COLUMN($E$1),FALSE)/(LEN(VLOOKUP($D245,素材!$1:$1016,COLUMN($F$1),FALSE))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BA245">
        <f>IF(ISNUMBER(SEARCH(SUBSTITUTE(BA$1,RIGHT(BA$1,2),""),VLOOKUP($D245,素材!$1:$1016,COLUMN($F$1),FALSE))),VLOOKUP($C245,武器!$1:$998,COLUMN($O$1),FALSE)*VLOOKUP($D245,素材!$1:$1016,COLUMN($E$1),FALSE)/(LEN(VLOOKUP($D245,素材!$1:$1016,COLUMN($F$1),FALSE))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BB245">
        <f>IF(ISNUMBER(SEARCH(SUBSTITUTE(BB$1,RIGHT(BB$1,2),""),VLOOKUP($D245,素材!$1:$1016,COLUMN($F$1),FALSE))),VLOOKUP($C245,武器!$1:$998,COLUMN($O$1),FALSE)*VLOOKUP($D245,素材!$1:$1016,COLUMN($E$1),FALSE)/(LEN(VLOOKUP($D245,素材!$1:$1016,COLUMN($F$1),FALSE))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BC245">
        <f>IF(ISNUMBER(SEARCH(SUBSTITUTE(BC$1,RIGHT(BC$1,2),""),VLOOKUP($D245,素材!$1:$1016,COLUMN($F$1),FALSE))),VLOOKUP($C245,武器!$1:$998,COLUMN($O$1),FALSE)*VLOOKUP($D245,素材!$1:$1016,COLUMN($E$1),FALSE)/(LEN(VLOOKUP($D245,素材!$1:$1016,COLUMN($F$1),FALSE))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BD245">
        <f>IF(ISNUMBER(SEARCH(SUBSTITUTE(BD$1,RIGHT(BD$1,2),""),VLOOKUP($D245,素材!$1:$1016,COLUMN($F$1),FALSE))),VLOOKUP($C245,武器!$1:$998,COLUMN($O$1),FALSE)*VLOOKUP($D245,素材!$1:$1016,COLUMN($E$1),FALSE)/(LEN(VLOOKUP($D245,素材!$1:$1016,COLUMN($F$1),FALSE))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BE245">
        <f>IF(ISNUMBER(SEARCH(SUBSTITUTE(BE$1,RIGHT(BE$1,2),""),VLOOKUP($D245,素材!$1:$1016,COLUMN($F$1),FALSE))),VLOOKUP($C245,武器!$1:$998,COLUMN($O$1),FALSE)*VLOOKUP($D245,素材!$1:$1016,COLUMN($E$1),FALSE)/(LEN(VLOOKUP($D245,素材!$1:$1016,COLUMN($F$1),FALSE))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BF245">
        <f>IF(ISNUMBER(SEARCH(SUBSTITUTE(BF$1,RIGHT(BF$1,2),""),VLOOKUP($D245,素材!$1:$1016,COLUMN($F$1),FALSE))),VLOOKUP($C245,武器!$1:$998,COLUMN($O$1),FALSE)*VLOOKUP($D245,素材!$1:$1016,COLUMN($E$1),FALSE)/(LEN(VLOOKUP($D245,素材!$1:$1016,COLUMN($F$1),FALSE)) - LEN(SUBSTITUTE(VLOOKUP($D245,素材!$1:$1016,COLUMN($F$1),FALSE), "・", 0)) + 1), 0)</f>
        <v>0</v>
      </c>
      <c r="CM245">
        <f t="shared" si="31"/>
        <v>21</v>
      </c>
      <c r="CN245" s="22" t="str">
        <f>IF(E245="武器",IF(J245-1&gt;SUM(G245:I245),"盾",IF(MAX(G245:I245)=G245,"切断",IF(MAX(G245:I245)=H245,"貫通",IF(MAX(G245:I245)=I245,"打撃","射撃")))),E245)&amp;".webp"</f>
        <v>貫通.webp</v>
      </c>
      <c r="CO245">
        <f>IFERROR(VLOOKUP($C245,武器!$1:$998,COLUMN(V$1),FALSE)*VLOOKUP($D245,素材!$1:$1016,COLUMN(N$1),FALSE)+IF(CJ245="",0,VLOOKUP($CJ245,装強!$1:$1008,COLUMN($CL$1),FALSE)),"")</f>
        <v>3000</v>
      </c>
      <c r="CP245">
        <f>VLOOKUP(D245,素材!$A:$O,COLUMN(素材!O$1),FALSE)</f>
        <v>0</v>
      </c>
      <c r="CQ245" t="str">
        <f>VLOOKUP(C245,武器!$A:$W,COLUMN(武器!W$1),FALSE)</f>
        <v>鎌。農具を転用した武器で、鋭い斬撃を与える。</v>
      </c>
      <c r="CS245" t="str">
        <f t="shared" si="32"/>
        <v>e_245</v>
      </c>
      <c r="CT245">
        <f t="shared" si="33"/>
        <v>300000</v>
      </c>
    </row>
    <row r="246" spans="1:98" outlineLevel="1" x14ac:dyDescent="0.4">
      <c r="A246" t="str">
        <f t="shared" si="34"/>
        <v>熱鉄の戦斧</v>
      </c>
      <c r="B246" t="str">
        <f>IFERROR(VLOOKUP($D246,素材!$1:$1016,COLUMN($B$1),FALSE)&amp;"・"&amp;VLOOKUP($C246,武器!$1:$998,COLUMN(B$1),FALSE),"")</f>
        <v>ヒートスティール・バトルアックス</v>
      </c>
      <c r="C246" t="s">
        <v>224</v>
      </c>
      <c r="D246" s="24" t="s">
        <v>205</v>
      </c>
      <c r="E246" t="str">
        <f>IFERROR(VLOOKUP(C246,武器!$1:$998,COLUMN(C$1),FALSE),"")</f>
        <v>武器</v>
      </c>
      <c r="F246">
        <f>IFERROR(ROUNDDOWN((VLOOKUP($C246,武器!$1:$998,COLUMN(D$1),FALSE)+IFERROR(VLOOKUP($CJ246,装強!$1:$999,COLUMN(F$1),FALSE),0))*VLOOKUP($D246,素材!$1:$1016,COLUMN(D$1),FALSE),0),"")</f>
        <v>115</v>
      </c>
      <c r="G246">
        <f>IFERROR(ROUNDDOWN((VLOOKUP($C246,武器!$1:$998,COLUMN(E$1),FALSE)+IFERROR(VLOOKUP($CJ246,装強!$1:$999,COLUMN(G$1),FALSE),0))*VLOOKUP($D246,素材!$1:$1016,COLUMN($E$1),FALSE),0),"")</f>
        <v>19</v>
      </c>
      <c r="H246">
        <f>IFERROR(ROUNDDOWN((VLOOKUP($C246,武器!$1:$998,COLUMN(F$1),FALSE)+IFERROR(VLOOKUP($CJ246,装強!$1:$999,COLUMN(H$1),FALSE),0))*VLOOKUP($D246,素材!$1:$1016,COLUMN($E$1),FALSE),0),"")</f>
        <v>0</v>
      </c>
      <c r="I246">
        <f>IFERROR(ROUNDDOWN((VLOOKUP($C246,武器!$1:$998,COLUMN(G$1),FALSE)+IFERROR(VLOOKUP($CJ246,装強!$1:$999,COLUMN(I$1),FALSE),0))*VLOOKUP($D246,素材!$1:$1016,COLUMN($E$1),FALSE),0),"")</f>
        <v>6</v>
      </c>
      <c r="J246">
        <f>IFERROR(ROUNDDOWN((VLOOKUP($C246,武器!$1:$998,COLUMN(H$1),FALSE)+IFERROR(VLOOKUP($CJ246,装強!$1:$999,COLUMN(J$1),FALSE),0))*VLOOKUP($D246,素材!$1:$1016,COLUMN($E$1),FALSE),0),"")</f>
        <v>20</v>
      </c>
      <c r="K246">
        <f>IFERROR(ROUNDDOWN((VLOOKUP($C246,武器!$1:$998,COLUMN(I$1),FALSE)+IFERROR(VLOOKUP($CJ246,装強!$1:$999,COLUMN(K$1),FALSE),0))*VLOOKUP($D246,素材!$1:$1016,COLUMN($E$1),FALSE),0),"")</f>
        <v>0</v>
      </c>
      <c r="L246" t="str">
        <f>IFERROR(VLOOKUP($D246,素材!$1:$1016,COLUMN($F$1),FALSE),"")</f>
        <v>炎</v>
      </c>
      <c r="M246">
        <f>IFERROR(VLOOKUP($C246,武器!$1:$998,COLUMN(AA$1),FALSE)*VLOOKUP($D246,素材!$1:$1016,COLUMN($G$1),FALSE),"")</f>
        <v>43.75</v>
      </c>
      <c r="N246">
        <f>IFERROR(VLOOKUP($C246,武器!$1:$998,COLUMN(I$1),FALSE),"")</f>
        <v>0</v>
      </c>
      <c r="O246" s="23">
        <f>IFERROR((VLOOKUP($C246,武器!$1:$998,COLUMN(K$1),FALSE)+VLOOKUP($D246,素材!$1:$1016,COLUMN(H$1),FALSE))*100+IFERROR(VLOOKUP($CJ246,装強!$1:$999,COLUMN(O$1),FALSE),0),"")</f>
        <v>5</v>
      </c>
      <c r="P246" s="23">
        <f>IFERROR((VLOOKUP($C246,武器!$1:$998,COLUMN(L$1),FALSE)+VLOOKUP($D246,素材!$1:$1016,COLUMN(I$1),FALSE))*100+IFERROR(VLOOKUP($CJ246,装強!$1:$999,COLUMN(P$1),FALSE),0),"")</f>
        <v>175</v>
      </c>
      <c r="Q246">
        <f>IFERROR(ROUNDUP(VLOOKUP($C246,武器!$1:$998,COLUMN(M$1),FALSE)*(VLOOKUP($D246,素材!$1:$1002,COLUMN(D$1),FALSE)/100),1),"")</f>
        <v>-2.5</v>
      </c>
      <c r="R246">
        <f>IFERROR(ROUNDUP(VLOOKUP($C246,武器!$1:$998,COLUMN(N$1),FALSE)*(VLOOKUP($D246,素材!$1:$1002,COLUMN(D$1),FALSE)/100),1),"")</f>
        <v>0</v>
      </c>
      <c r="S246">
        <f>IFERROR(VLOOKUP($C246,武器!$1:$998,COLUMN(P$1),FALSE),"")</f>
        <v>0</v>
      </c>
      <c r="T246">
        <f>IFERROR(VLOOKUP($C246,武器!$1:$998,COLUMN(Q$1),FALSE),"")</f>
        <v>0</v>
      </c>
      <c r="U246">
        <f>IFERROR(VLOOKUP($C246,武器!$1:$998,COLUMN(R$1),FALSE),"")</f>
        <v>0</v>
      </c>
      <c r="V246">
        <f>IFERROR(VLOOKUP($C246,武器!$1:$998,COLUMN(Q$1),FALSE),"")</f>
        <v>0</v>
      </c>
      <c r="W246" t="str">
        <f>IFERROR(VLOOKUP($C246,武器!$1:$998,COLUMN(T$1),FALSE),"")</f>
        <v>A</v>
      </c>
      <c r="Y246">
        <f>IFERROR(VLOOKUP($C246,武器!$1:$998,COLUMN(U$1),FALSE),"")</f>
        <v>0</v>
      </c>
      <c r="Z246">
        <f>IFERROR(ROUNDUP(VLOOKUP($C246,武器!$1:$998,COLUMN(O$1),FALSE)*VLOOKUP($D246,素材!$1:$1016,COLUMN(E$1),FALSE),1),"")</f>
        <v>0</v>
      </c>
      <c r="AA246">
        <f>IF(ISNUMBER(SEARCH(SUBSTITUTE(AA$1,RIGHT(AA$1,2),""),VLOOKUP($D246,素材!$1:$1016,COLUMN($F$1),FALSE))),VLOOKUP($C246,武器!$1:$998,COLUMN($O$1),FALSE)*VLOOKUP($D246,素材!$1:$1016,COLUMN($E$1),FALSE)/(LEN(VLOOKUP($D246,素材!$1:$1016,COLUMN($F$1),FALSE))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B246">
        <f>IF(ISNUMBER(SEARCH(SUBSTITUTE(AB$1,RIGHT(AB$1,2),""),VLOOKUP($D246,素材!$1:$1016,COLUMN($F$1),FALSE))),VLOOKUP($C246,武器!$1:$998,COLUMN($O$1),FALSE)*VLOOKUP($D246,素材!$1:$1016,COLUMN($E$1),FALSE)/(LEN(VLOOKUP($D246,素材!$1:$1016,COLUMN($F$1),FALSE))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C246">
        <f>IF(ISNUMBER(SEARCH(SUBSTITUTE(AC$1,RIGHT(AC$1,2),""),VLOOKUP($D246,素材!$1:$1016,COLUMN($F$1),FALSE))),VLOOKUP($C246,武器!$1:$998,COLUMN($O$1),FALSE)*VLOOKUP($D246,素材!$1:$1016,COLUMN($E$1),FALSE)/(LEN(VLOOKUP($D246,素材!$1:$1016,COLUMN($F$1),FALSE))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D246">
        <f>IF(ISNUMBER(SEARCH(SUBSTITUTE(AD$1,RIGHT(AD$1,2),""),VLOOKUP($D246,素材!$1:$1016,COLUMN($F$1),FALSE))),VLOOKUP($C246,武器!$1:$998,COLUMN($O$1),FALSE)*VLOOKUP($D246,素材!$1:$1016,COLUMN($E$1),FALSE)/(LEN(VLOOKUP($D246,素材!$1:$1016,COLUMN($F$1),FALSE))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E246">
        <f>IF(ISNUMBER(SEARCH(SUBSTITUTE(AE$1,RIGHT(AE$1,2),""),VLOOKUP($D246,素材!$1:$1016,COLUMN($F$1),FALSE))),VLOOKUP($C246,武器!$1:$998,COLUMN($O$1),FALSE)*VLOOKUP($D246,素材!$1:$1016,COLUMN($E$1),FALSE)/(LEN(VLOOKUP($D246,素材!$1:$1016,COLUMN($F$1),FALSE))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F246">
        <f>IF(ISNUMBER(SEARCH(SUBSTITUTE(AF$1,RIGHT(AF$1,2),""),VLOOKUP($D246,素材!$1:$1016,COLUMN($F$1),FALSE))),VLOOKUP($C246,武器!$1:$998,COLUMN($O$1),FALSE)*VLOOKUP($D246,素材!$1:$1016,COLUMN($E$1),FALSE)/(LEN(VLOOKUP($D246,素材!$1:$1016,COLUMN($F$1),FALSE))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G246">
        <f>IF(ISNUMBER(SEARCH(SUBSTITUTE(AG$1,RIGHT(AG$1,2),""),VLOOKUP($D246,素材!$1:$1016,COLUMN($F$1),FALSE))),VLOOKUP($C246,武器!$1:$998,COLUMN($O$1),FALSE)*VLOOKUP($D246,素材!$1:$1016,COLUMN($E$1),FALSE)/(LEN(VLOOKUP($D246,素材!$1:$1016,COLUMN($F$1),FALSE))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H246">
        <f>IF(ISNUMBER(SEARCH(SUBSTITUTE(AH$1,RIGHT(AH$1,2),""),VLOOKUP($D246,素材!$1:$1016,COLUMN($F$1),FALSE))),VLOOKUP($C246,武器!$1:$998,COLUMN($O$1),FALSE)*VLOOKUP($D246,素材!$1:$1016,COLUMN($E$1),FALSE)/(LEN(VLOOKUP($D246,素材!$1:$1016,COLUMN($F$1),FALSE))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I246">
        <f>IF(ISNUMBER(SEARCH(SUBSTITUTE(AI$1,RIGHT(AI$1,2),""),VLOOKUP($D246,素材!$1:$1016,COLUMN($F$1),FALSE))),VLOOKUP($C246,武器!$1:$998,COLUMN($O$1),FALSE)*VLOOKUP($D246,素材!$1:$1016,COLUMN($E$1),FALSE)/(LEN(VLOOKUP($D246,素材!$1:$1016,COLUMN($F$1),FALSE))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J246">
        <f>IF(ISNUMBER(SEARCH(SUBSTITUTE(AJ$1,RIGHT(AJ$1,2),""),VLOOKUP($D246,素材!$1:$1016,COLUMN($F$1),FALSE))),VLOOKUP($C246,武器!$1:$998,COLUMN($O$1),FALSE)*VLOOKUP($D246,素材!$1:$1016,COLUMN($E$1),FALSE)/(LEN(VLOOKUP($D246,素材!$1:$1016,COLUMN($F$1),FALSE))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K246">
        <f>IF(ISNUMBER(SEARCH(SUBSTITUTE(AK$1,RIGHT(AK$1,2),""),VLOOKUP($D246,素材!$1:$1016,COLUMN($F$1),FALSE))),VLOOKUP($C246,武器!$1:$998,COLUMN($O$1),FALSE)*VLOOKUP($D246,素材!$1:$1016,COLUMN($E$1),FALSE)/(LEN(VLOOKUP($D246,素材!$1:$1016,COLUMN($F$1),FALSE))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L246">
        <f>IF(ISNUMBER(SEARCH(SUBSTITUTE(AL$1,RIGHT(AL$1,2),""),VLOOKUP($D246,素材!$1:$1016,COLUMN($F$1),FALSE))),VLOOKUP($C246,武器!$1:$998,COLUMN($O$1),FALSE)*VLOOKUP($D246,素材!$1:$1016,COLUMN($E$1),FALSE)/(LEN(VLOOKUP($D246,素材!$1:$1016,COLUMN($F$1),FALSE))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M246">
        <f>IF(ISNUMBER(SEARCH(SUBSTITUTE(AM$1,RIGHT(AM$1,2),""),VLOOKUP($D246,素材!$1:$1016,COLUMN($F$1),FALSE))),VLOOKUP($C246,武器!$1:$998,COLUMN($O$1),FALSE)*VLOOKUP($D246,素材!$1:$1016,COLUMN($E$1),FALSE)/(LEN(VLOOKUP($D246,素材!$1:$1016,COLUMN($F$1),FALSE))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N246">
        <f>IF(ISNUMBER(SEARCH(SUBSTITUTE(AN$1,RIGHT(AN$1,2),""),VLOOKUP($D246,素材!$1:$1016,COLUMN($F$1),FALSE))),VLOOKUP($C246,武器!$1:$998,COLUMN($O$1),FALSE)*VLOOKUP($D246,素材!$1:$1016,COLUMN($E$1),FALSE)/(LEN(VLOOKUP($D246,素材!$1:$1016,COLUMN($F$1),FALSE))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O246">
        <f>IF(ISNUMBER(SEARCH(SUBSTITUTE(AO$1,RIGHT(AO$1,2),""),VLOOKUP($D246,素材!$1:$1016,COLUMN($F$1),FALSE))),VLOOKUP($C246,武器!$1:$998,COLUMN($O$1),FALSE)*VLOOKUP($D246,素材!$1:$1016,COLUMN($E$1),FALSE)/(LEN(VLOOKUP($D246,素材!$1:$1016,COLUMN($F$1),FALSE))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P246">
        <f>IF(ISNUMBER(SEARCH(SUBSTITUTE(AP$1,RIGHT(AP$1,2),""),VLOOKUP($D246,素材!$1:$1016,COLUMN($F$1),FALSE))),VLOOKUP($C246,武器!$1:$998,COLUMN($O$1),FALSE)*VLOOKUP($D246,素材!$1:$1016,COLUMN($E$1),FALSE)/(LEN(VLOOKUP($D246,素材!$1:$1016,COLUMN($F$1),FALSE))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Q246">
        <f>IF(ISNUMBER(SEARCH(SUBSTITUTE(AQ$1,RIGHT(AQ$1,2),""),VLOOKUP($D246,素材!$1:$1016,COLUMN($F$1),FALSE))),VLOOKUP($C246,武器!$1:$998,COLUMN($O$1),FALSE)*VLOOKUP($D246,素材!$1:$1016,COLUMN($E$1),FALSE)/(LEN(VLOOKUP($D246,素材!$1:$1016,COLUMN($F$1),FALSE))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R246">
        <f>IF(ISNUMBER(SEARCH(SUBSTITUTE(AR$1,RIGHT(AR$1,2),""),VLOOKUP($D246,素材!$1:$1016,COLUMN($F$1),FALSE))),VLOOKUP($C246,武器!$1:$998,COLUMN($O$1),FALSE)*VLOOKUP($D246,素材!$1:$1016,COLUMN($E$1),FALSE)/(LEN(VLOOKUP($D246,素材!$1:$1016,COLUMN($F$1),FALSE))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S246">
        <f>IF(ISNUMBER(SEARCH(SUBSTITUTE(AS$1,RIGHT(AS$1,2),""),VLOOKUP($D246,素材!$1:$1016,COLUMN($F$1),FALSE))),VLOOKUP($C246,武器!$1:$998,COLUMN($O$1),FALSE)*VLOOKUP($D246,素材!$1:$1016,COLUMN($E$1),FALSE)/(LEN(VLOOKUP($D246,素材!$1:$1016,COLUMN($F$1),FALSE))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T246">
        <f>IF(ISNUMBER(SEARCH(SUBSTITUTE(AT$1,RIGHT(AT$1,2),""),VLOOKUP($D246,素材!$1:$1016,COLUMN($F$1),FALSE))),VLOOKUP($C246,武器!$1:$998,COLUMN($O$1),FALSE)*VLOOKUP($D246,素材!$1:$1016,COLUMN($E$1),FALSE)/(LEN(VLOOKUP($D246,素材!$1:$1016,COLUMN($F$1),FALSE))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U246">
        <f>IF(ISNUMBER(SEARCH(SUBSTITUTE(AU$1,RIGHT(AU$1,2),""),VLOOKUP($D246,素材!$1:$1016,COLUMN($F$1),FALSE))),VLOOKUP($C246,武器!$1:$998,COLUMN($O$1),FALSE)*VLOOKUP($D246,素材!$1:$1016,COLUMN($E$1),FALSE)/(LEN(VLOOKUP($D246,素材!$1:$1016,COLUMN($F$1),FALSE))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V246">
        <f>IF(ISNUMBER(SEARCH(SUBSTITUTE(AV$1,RIGHT(AV$1,2),""),VLOOKUP($D246,素材!$1:$1016,COLUMN($F$1),FALSE))),VLOOKUP($C246,武器!$1:$998,COLUMN($O$1),FALSE)*VLOOKUP($D246,素材!$1:$1016,COLUMN($E$1),FALSE)/(LEN(VLOOKUP($D246,素材!$1:$1016,COLUMN($F$1),FALSE))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W246">
        <f>IF(ISNUMBER(SEARCH(SUBSTITUTE(AW$1,RIGHT(AW$1,2),""),VLOOKUP($D246,素材!$1:$1016,COLUMN($F$1),FALSE))),VLOOKUP($C246,武器!$1:$998,COLUMN($O$1),FALSE)*VLOOKUP($D246,素材!$1:$1016,COLUMN($E$1),FALSE)/(LEN(VLOOKUP($D246,素材!$1:$1016,COLUMN($F$1),FALSE))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X246">
        <f>IF(ISNUMBER(SEARCH(SUBSTITUTE(AX$1,RIGHT(AX$1,2),""),VLOOKUP($D246,素材!$1:$1016,COLUMN($F$1),FALSE))),VLOOKUP($C246,武器!$1:$998,COLUMN($O$1),FALSE)*VLOOKUP($D246,素材!$1:$1016,COLUMN($E$1),FALSE)/(LEN(VLOOKUP($D246,素材!$1:$1016,COLUMN($F$1),FALSE))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Y246">
        <f>IF(ISNUMBER(SEARCH(SUBSTITUTE(AY$1,RIGHT(AY$1,2),""),VLOOKUP($D246,素材!$1:$1016,COLUMN($F$1),FALSE))),VLOOKUP($C246,武器!$1:$998,COLUMN($O$1),FALSE)*VLOOKUP($D246,素材!$1:$1016,COLUMN($E$1),FALSE)/(LEN(VLOOKUP($D246,素材!$1:$1016,COLUMN($F$1),FALSE))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AZ246">
        <f>IF(ISNUMBER(SEARCH(SUBSTITUTE(AZ$1,RIGHT(AZ$1,2),""),VLOOKUP($D246,素材!$1:$1016,COLUMN($F$1),FALSE))),VLOOKUP($C246,武器!$1:$998,COLUMN($O$1),FALSE)*VLOOKUP($D246,素材!$1:$1016,COLUMN($E$1),FALSE)/(LEN(VLOOKUP($D246,素材!$1:$1016,COLUMN($F$1),FALSE))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BA246">
        <f>IF(ISNUMBER(SEARCH(SUBSTITUTE(BA$1,RIGHT(BA$1,2),""),VLOOKUP($D246,素材!$1:$1016,COLUMN($F$1),FALSE))),VLOOKUP($C246,武器!$1:$998,COLUMN($O$1),FALSE)*VLOOKUP($D246,素材!$1:$1016,COLUMN($E$1),FALSE)/(LEN(VLOOKUP($D246,素材!$1:$1016,COLUMN($F$1),FALSE))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BB246">
        <f>IF(ISNUMBER(SEARCH(SUBSTITUTE(BB$1,RIGHT(BB$1,2),""),VLOOKUP($D246,素材!$1:$1016,COLUMN($F$1),FALSE))),VLOOKUP($C246,武器!$1:$998,COLUMN($O$1),FALSE)*VLOOKUP($D246,素材!$1:$1016,COLUMN($E$1),FALSE)/(LEN(VLOOKUP($D246,素材!$1:$1016,COLUMN($F$1),FALSE))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BC246">
        <f>IF(ISNUMBER(SEARCH(SUBSTITUTE(BC$1,RIGHT(BC$1,2),""),VLOOKUP($D246,素材!$1:$1016,COLUMN($F$1),FALSE))),VLOOKUP($C246,武器!$1:$998,COLUMN($O$1),FALSE)*VLOOKUP($D246,素材!$1:$1016,COLUMN($E$1),FALSE)/(LEN(VLOOKUP($D246,素材!$1:$1016,COLUMN($F$1),FALSE))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BD246">
        <f>IF(ISNUMBER(SEARCH(SUBSTITUTE(BD$1,RIGHT(BD$1,2),""),VLOOKUP($D246,素材!$1:$1016,COLUMN($F$1),FALSE))),VLOOKUP($C246,武器!$1:$998,COLUMN($O$1),FALSE)*VLOOKUP($D246,素材!$1:$1016,COLUMN($E$1),FALSE)/(LEN(VLOOKUP($D246,素材!$1:$1016,COLUMN($F$1),FALSE))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BE246">
        <f>IF(ISNUMBER(SEARCH(SUBSTITUTE(BE$1,RIGHT(BE$1,2),""),VLOOKUP($D246,素材!$1:$1016,COLUMN($F$1),FALSE))),VLOOKUP($C246,武器!$1:$998,COLUMN($O$1),FALSE)*VLOOKUP($D246,素材!$1:$1016,COLUMN($E$1),FALSE)/(LEN(VLOOKUP($D246,素材!$1:$1016,COLUMN($F$1),FALSE))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BF246">
        <f>IF(ISNUMBER(SEARCH(SUBSTITUTE(BF$1,RIGHT(BF$1,2),""),VLOOKUP($D246,素材!$1:$1016,COLUMN($F$1),FALSE))),VLOOKUP($C246,武器!$1:$998,COLUMN($O$1),FALSE)*VLOOKUP($D246,素材!$1:$1016,COLUMN($E$1),FALSE)/(LEN(VLOOKUP($D246,素材!$1:$1016,COLUMN($F$1),FALSE)) - LEN(SUBSTITUTE(VLOOKUP($D246,素材!$1:$1016,COLUMN($F$1),FALSE), "・", 0)) + 1), 0)</f>
        <v>0</v>
      </c>
      <c r="CM246">
        <f t="shared" si="31"/>
        <v>25</v>
      </c>
      <c r="CN246" s="22" t="str">
        <f>IF(E246="武器",IF(J246-1&gt;SUM(G246:I246),"盾",IF(MAX(G246:I246)=G246,"切断",IF(MAX(G246:I246)=H246,"貫通",IF(MAX(G246:I246)=I246,"打撃","射撃")))),E246)&amp;".webp"</f>
        <v>切断.webp</v>
      </c>
      <c r="CO246">
        <f>IFERROR(VLOOKUP($C246,武器!$1:$998,COLUMN(V$1),FALSE)*VLOOKUP($D246,素材!$1:$1016,COLUMN(N$1),FALSE)+IF(CJ246="",0,VLOOKUP($CJ246,装強!$1:$1008,COLUMN($CL$1),FALSE)),"")</f>
        <v>3000</v>
      </c>
      <c r="CP246">
        <f>VLOOKUP(D246,素材!$A:$O,COLUMN(素材!O$1),FALSE)</f>
        <v>0</v>
      </c>
      <c r="CQ246" t="str">
        <f>VLOOKUP(C246,武器!$A:$W,COLUMN(武器!W$1),FALSE)</f>
        <v>戦斧。攻撃力が高く、重いが信頼性がある武器。</v>
      </c>
      <c r="CS246" t="str">
        <f t="shared" si="32"/>
        <v>e_246</v>
      </c>
      <c r="CT246">
        <f t="shared" si="33"/>
        <v>300000</v>
      </c>
    </row>
    <row r="247" spans="1:98" outlineLevel="1" x14ac:dyDescent="0.4">
      <c r="A247" t="str">
        <f t="shared" si="34"/>
        <v>熱鉄の鞭</v>
      </c>
      <c r="B247" t="str">
        <f>IFERROR(VLOOKUP($D247,素材!$1:$1016,COLUMN($B$1),FALSE)&amp;"・"&amp;VLOOKUP($C247,武器!$1:$998,COLUMN(B$1),FALSE),"")</f>
        <v>ヒートスティール・ウィップ</v>
      </c>
      <c r="C247" t="s">
        <v>223</v>
      </c>
      <c r="D247" s="24" t="s">
        <v>205</v>
      </c>
      <c r="E247" t="str">
        <f>IFERROR(VLOOKUP(C247,武器!$1:$998,COLUMN(C$1),FALSE),"")</f>
        <v>武器</v>
      </c>
      <c r="F247">
        <f>IFERROR(ROUNDDOWN((VLOOKUP($C247,武器!$1:$998,COLUMN(D$1),FALSE)+IFERROR(VLOOKUP($CJ247,装強!$1:$999,COLUMN(F$1),FALSE),0))*VLOOKUP($D247,素材!$1:$1016,COLUMN(D$1),FALSE),0),"")</f>
        <v>105</v>
      </c>
      <c r="G247">
        <f>IFERROR(ROUNDDOWN((VLOOKUP($C247,武器!$1:$998,COLUMN(E$1),FALSE)+IFERROR(VLOOKUP($CJ247,装強!$1:$999,COLUMN(G$1),FALSE),0))*VLOOKUP($D247,素材!$1:$1016,COLUMN($E$1),FALSE),0),"")</f>
        <v>18</v>
      </c>
      <c r="H247">
        <f>IFERROR(ROUNDDOWN((VLOOKUP($C247,武器!$1:$998,COLUMN(F$1),FALSE)+IFERROR(VLOOKUP($CJ247,装強!$1:$999,COLUMN(H$1),FALSE),0))*VLOOKUP($D247,素材!$1:$1016,COLUMN($E$1),FALSE),0),"")</f>
        <v>0</v>
      </c>
      <c r="I247">
        <f>IFERROR(ROUNDDOWN((VLOOKUP($C247,武器!$1:$998,COLUMN(G$1),FALSE)+IFERROR(VLOOKUP($CJ247,装強!$1:$999,COLUMN(I$1),FALSE),0))*VLOOKUP($D247,素材!$1:$1016,COLUMN($E$1),FALSE),0),"")</f>
        <v>4</v>
      </c>
      <c r="J247">
        <f>IFERROR(ROUNDDOWN((VLOOKUP($C247,武器!$1:$998,COLUMN(H$1),FALSE)+IFERROR(VLOOKUP($CJ247,装強!$1:$999,COLUMN(J$1),FALSE),0))*VLOOKUP($D247,素材!$1:$1016,COLUMN($E$1),FALSE),0),"")</f>
        <v>11</v>
      </c>
      <c r="K247">
        <f>IFERROR(ROUNDDOWN((VLOOKUP($C247,武器!$1:$998,COLUMN(I$1),FALSE)+IFERROR(VLOOKUP($CJ247,装強!$1:$999,COLUMN(K$1),FALSE),0))*VLOOKUP($D247,素材!$1:$1016,COLUMN($E$1),FALSE),0),"")</f>
        <v>0</v>
      </c>
      <c r="L247" t="str">
        <f>IFERROR(VLOOKUP($D247,素材!$1:$1016,COLUMN($F$1),FALSE),"")</f>
        <v>炎</v>
      </c>
      <c r="M247">
        <f>IFERROR(VLOOKUP($C247,武器!$1:$998,COLUMN(AA$1),FALSE)*VLOOKUP($D247,素材!$1:$1016,COLUMN($G$1),FALSE),"")</f>
        <v>38.5</v>
      </c>
      <c r="N247">
        <f>IFERROR(VLOOKUP($C247,武器!$1:$998,COLUMN(I$1),FALSE),"")</f>
        <v>0</v>
      </c>
      <c r="O247" s="23">
        <f>IFERROR((VLOOKUP($C247,武器!$1:$998,COLUMN(K$1),FALSE)+VLOOKUP($D247,素材!$1:$1016,COLUMN(H$1),FALSE))*100+IFERROR(VLOOKUP($CJ247,装強!$1:$999,COLUMN(O$1),FALSE),0),"")</f>
        <v>10</v>
      </c>
      <c r="P247" s="23">
        <f>IFERROR((VLOOKUP($C247,武器!$1:$998,COLUMN(L$1),FALSE)+VLOOKUP($D247,素材!$1:$1016,COLUMN(I$1),FALSE))*100+IFERROR(VLOOKUP($CJ247,装強!$1:$999,COLUMN(P$1),FALSE),0),"")</f>
        <v>150</v>
      </c>
      <c r="Q247">
        <f>IFERROR(ROUNDUP(VLOOKUP($C247,武器!$1:$998,COLUMN(M$1),FALSE)*(VLOOKUP($D247,素材!$1:$1002,COLUMN(D$1),FALSE)/100),1),"")</f>
        <v>0</v>
      </c>
      <c r="R247">
        <f>IFERROR(ROUNDUP(VLOOKUP($C247,武器!$1:$998,COLUMN(N$1),FALSE)*(VLOOKUP($D247,素材!$1:$1002,COLUMN(D$1),FALSE)/100),1),"")</f>
        <v>0</v>
      </c>
      <c r="S247">
        <f>IFERROR(VLOOKUP($C247,武器!$1:$998,COLUMN(P$1),FALSE),"")</f>
        <v>1</v>
      </c>
      <c r="T247">
        <f>IFERROR(VLOOKUP($C247,武器!$1:$998,COLUMN(Q$1),FALSE),"")</f>
        <v>0</v>
      </c>
      <c r="U247">
        <f>IFERROR(VLOOKUP($C247,武器!$1:$998,COLUMN(R$1),FALSE),"")</f>
        <v>0</v>
      </c>
      <c r="V247">
        <f>IFERROR(VLOOKUP($C247,武器!$1:$998,COLUMN(Q$1),FALSE),"")</f>
        <v>0</v>
      </c>
      <c r="W247" t="str">
        <f>IFERROR(VLOOKUP($C247,武器!$1:$998,COLUMN(T$1),FALSE),"")</f>
        <v>A</v>
      </c>
      <c r="Y247">
        <f>IFERROR(VLOOKUP($C247,武器!$1:$998,COLUMN(U$1),FALSE),"")</f>
        <v>0</v>
      </c>
      <c r="Z247">
        <f>IFERROR(ROUNDUP(VLOOKUP($C247,武器!$1:$998,COLUMN(O$1),FALSE)*VLOOKUP($D247,素材!$1:$1016,COLUMN(E$1),FALSE),1),"")</f>
        <v>0</v>
      </c>
      <c r="AA247">
        <f>IF(ISNUMBER(SEARCH(SUBSTITUTE(AA$1,RIGHT(AA$1,2),""),VLOOKUP($D247,素材!$1:$1016,COLUMN($F$1),FALSE))),VLOOKUP($C247,武器!$1:$998,COLUMN($O$1),FALSE)*VLOOKUP($D247,素材!$1:$1016,COLUMN($E$1),FALSE)/(LEN(VLOOKUP($D247,素材!$1:$1016,COLUMN($F$1),FALSE))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B247">
        <f>IF(ISNUMBER(SEARCH(SUBSTITUTE(AB$1,RIGHT(AB$1,2),""),VLOOKUP($D247,素材!$1:$1016,COLUMN($F$1),FALSE))),VLOOKUP($C247,武器!$1:$998,COLUMN($O$1),FALSE)*VLOOKUP($D247,素材!$1:$1016,COLUMN($E$1),FALSE)/(LEN(VLOOKUP($D247,素材!$1:$1016,COLUMN($F$1),FALSE))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C247">
        <f>IF(ISNUMBER(SEARCH(SUBSTITUTE(AC$1,RIGHT(AC$1,2),""),VLOOKUP($D247,素材!$1:$1016,COLUMN($F$1),FALSE))),VLOOKUP($C247,武器!$1:$998,COLUMN($O$1),FALSE)*VLOOKUP($D247,素材!$1:$1016,COLUMN($E$1),FALSE)/(LEN(VLOOKUP($D247,素材!$1:$1016,COLUMN($F$1),FALSE))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D247">
        <f>IF(ISNUMBER(SEARCH(SUBSTITUTE(AD$1,RIGHT(AD$1,2),""),VLOOKUP($D247,素材!$1:$1016,COLUMN($F$1),FALSE))),VLOOKUP($C247,武器!$1:$998,COLUMN($O$1),FALSE)*VLOOKUP($D247,素材!$1:$1016,COLUMN($E$1),FALSE)/(LEN(VLOOKUP($D247,素材!$1:$1016,COLUMN($F$1),FALSE))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E247">
        <f>IF(ISNUMBER(SEARCH(SUBSTITUTE(AE$1,RIGHT(AE$1,2),""),VLOOKUP($D247,素材!$1:$1016,COLUMN($F$1),FALSE))),VLOOKUP($C247,武器!$1:$998,COLUMN($O$1),FALSE)*VLOOKUP($D247,素材!$1:$1016,COLUMN($E$1),FALSE)/(LEN(VLOOKUP($D247,素材!$1:$1016,COLUMN($F$1),FALSE))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F247">
        <f>IF(ISNUMBER(SEARCH(SUBSTITUTE(AF$1,RIGHT(AF$1,2),""),VLOOKUP($D247,素材!$1:$1016,COLUMN($F$1),FALSE))),VLOOKUP($C247,武器!$1:$998,COLUMN($O$1),FALSE)*VLOOKUP($D247,素材!$1:$1016,COLUMN($E$1),FALSE)/(LEN(VLOOKUP($D247,素材!$1:$1016,COLUMN($F$1),FALSE))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G247">
        <f>IF(ISNUMBER(SEARCH(SUBSTITUTE(AG$1,RIGHT(AG$1,2),""),VLOOKUP($D247,素材!$1:$1016,COLUMN($F$1),FALSE))),VLOOKUP($C247,武器!$1:$998,COLUMN($O$1),FALSE)*VLOOKUP($D247,素材!$1:$1016,COLUMN($E$1),FALSE)/(LEN(VLOOKUP($D247,素材!$1:$1016,COLUMN($F$1),FALSE))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H247">
        <f>IF(ISNUMBER(SEARCH(SUBSTITUTE(AH$1,RIGHT(AH$1,2),""),VLOOKUP($D247,素材!$1:$1016,COLUMN($F$1),FALSE))),VLOOKUP($C247,武器!$1:$998,COLUMN($O$1),FALSE)*VLOOKUP($D247,素材!$1:$1016,COLUMN($E$1),FALSE)/(LEN(VLOOKUP($D247,素材!$1:$1016,COLUMN($F$1),FALSE))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I247">
        <f>IF(ISNUMBER(SEARCH(SUBSTITUTE(AI$1,RIGHT(AI$1,2),""),VLOOKUP($D247,素材!$1:$1016,COLUMN($F$1),FALSE))),VLOOKUP($C247,武器!$1:$998,COLUMN($O$1),FALSE)*VLOOKUP($D247,素材!$1:$1016,COLUMN($E$1),FALSE)/(LEN(VLOOKUP($D247,素材!$1:$1016,COLUMN($F$1),FALSE))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J247">
        <f>IF(ISNUMBER(SEARCH(SUBSTITUTE(AJ$1,RIGHT(AJ$1,2),""),VLOOKUP($D247,素材!$1:$1016,COLUMN($F$1),FALSE))),VLOOKUP($C247,武器!$1:$998,COLUMN($O$1),FALSE)*VLOOKUP($D247,素材!$1:$1016,COLUMN($E$1),FALSE)/(LEN(VLOOKUP($D247,素材!$1:$1016,COLUMN($F$1),FALSE))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K247">
        <f>IF(ISNUMBER(SEARCH(SUBSTITUTE(AK$1,RIGHT(AK$1,2),""),VLOOKUP($D247,素材!$1:$1016,COLUMN($F$1),FALSE))),VLOOKUP($C247,武器!$1:$998,COLUMN($O$1),FALSE)*VLOOKUP($D247,素材!$1:$1016,COLUMN($E$1),FALSE)/(LEN(VLOOKUP($D247,素材!$1:$1016,COLUMN($F$1),FALSE))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L247">
        <f>IF(ISNUMBER(SEARCH(SUBSTITUTE(AL$1,RIGHT(AL$1,2),""),VLOOKUP($D247,素材!$1:$1016,COLUMN($F$1),FALSE))),VLOOKUP($C247,武器!$1:$998,COLUMN($O$1),FALSE)*VLOOKUP($D247,素材!$1:$1016,COLUMN($E$1),FALSE)/(LEN(VLOOKUP($D247,素材!$1:$1016,COLUMN($F$1),FALSE))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M247">
        <f>IF(ISNUMBER(SEARCH(SUBSTITUTE(AM$1,RIGHT(AM$1,2),""),VLOOKUP($D247,素材!$1:$1016,COLUMN($F$1),FALSE))),VLOOKUP($C247,武器!$1:$998,COLUMN($O$1),FALSE)*VLOOKUP($D247,素材!$1:$1016,COLUMN($E$1),FALSE)/(LEN(VLOOKUP($D247,素材!$1:$1016,COLUMN($F$1),FALSE))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N247">
        <f>IF(ISNUMBER(SEARCH(SUBSTITUTE(AN$1,RIGHT(AN$1,2),""),VLOOKUP($D247,素材!$1:$1016,COLUMN($F$1),FALSE))),VLOOKUP($C247,武器!$1:$998,COLUMN($O$1),FALSE)*VLOOKUP($D247,素材!$1:$1016,COLUMN($E$1),FALSE)/(LEN(VLOOKUP($D247,素材!$1:$1016,COLUMN($F$1),FALSE))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O247">
        <f>IF(ISNUMBER(SEARCH(SUBSTITUTE(AO$1,RIGHT(AO$1,2),""),VLOOKUP($D247,素材!$1:$1016,COLUMN($F$1),FALSE))),VLOOKUP($C247,武器!$1:$998,COLUMN($O$1),FALSE)*VLOOKUP($D247,素材!$1:$1016,COLUMN($E$1),FALSE)/(LEN(VLOOKUP($D247,素材!$1:$1016,COLUMN($F$1),FALSE))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P247">
        <f>IF(ISNUMBER(SEARCH(SUBSTITUTE(AP$1,RIGHT(AP$1,2),""),VLOOKUP($D247,素材!$1:$1016,COLUMN($F$1),FALSE))),VLOOKUP($C247,武器!$1:$998,COLUMN($O$1),FALSE)*VLOOKUP($D247,素材!$1:$1016,COLUMN($E$1),FALSE)/(LEN(VLOOKUP($D247,素材!$1:$1016,COLUMN($F$1),FALSE))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Q247">
        <f>IF(ISNUMBER(SEARCH(SUBSTITUTE(AQ$1,RIGHT(AQ$1,2),""),VLOOKUP($D247,素材!$1:$1016,COLUMN($F$1),FALSE))),VLOOKUP($C247,武器!$1:$998,COLUMN($O$1),FALSE)*VLOOKUP($D247,素材!$1:$1016,COLUMN($E$1),FALSE)/(LEN(VLOOKUP($D247,素材!$1:$1016,COLUMN($F$1),FALSE))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R247">
        <f>IF(ISNUMBER(SEARCH(SUBSTITUTE(AR$1,RIGHT(AR$1,2),""),VLOOKUP($D247,素材!$1:$1016,COLUMN($F$1),FALSE))),VLOOKUP($C247,武器!$1:$998,COLUMN($O$1),FALSE)*VLOOKUP($D247,素材!$1:$1016,COLUMN($E$1),FALSE)/(LEN(VLOOKUP($D247,素材!$1:$1016,COLUMN($F$1),FALSE))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S247">
        <f>IF(ISNUMBER(SEARCH(SUBSTITUTE(AS$1,RIGHT(AS$1,2),""),VLOOKUP($D247,素材!$1:$1016,COLUMN($F$1),FALSE))),VLOOKUP($C247,武器!$1:$998,COLUMN($O$1),FALSE)*VLOOKUP($D247,素材!$1:$1016,COLUMN($E$1),FALSE)/(LEN(VLOOKUP($D247,素材!$1:$1016,COLUMN($F$1),FALSE))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T247">
        <f>IF(ISNUMBER(SEARCH(SUBSTITUTE(AT$1,RIGHT(AT$1,2),""),VLOOKUP($D247,素材!$1:$1016,COLUMN($F$1),FALSE))),VLOOKUP($C247,武器!$1:$998,COLUMN($O$1),FALSE)*VLOOKUP($D247,素材!$1:$1016,COLUMN($E$1),FALSE)/(LEN(VLOOKUP($D247,素材!$1:$1016,COLUMN($F$1),FALSE))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U247">
        <f>IF(ISNUMBER(SEARCH(SUBSTITUTE(AU$1,RIGHT(AU$1,2),""),VLOOKUP($D247,素材!$1:$1016,COLUMN($F$1),FALSE))),VLOOKUP($C247,武器!$1:$998,COLUMN($O$1),FALSE)*VLOOKUP($D247,素材!$1:$1016,COLUMN($E$1),FALSE)/(LEN(VLOOKUP($D247,素材!$1:$1016,COLUMN($F$1),FALSE))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V247">
        <f>IF(ISNUMBER(SEARCH(SUBSTITUTE(AV$1,RIGHT(AV$1,2),""),VLOOKUP($D247,素材!$1:$1016,COLUMN($F$1),FALSE))),VLOOKUP($C247,武器!$1:$998,COLUMN($O$1),FALSE)*VLOOKUP($D247,素材!$1:$1016,COLUMN($E$1),FALSE)/(LEN(VLOOKUP($D247,素材!$1:$1016,COLUMN($F$1),FALSE))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W247">
        <f>IF(ISNUMBER(SEARCH(SUBSTITUTE(AW$1,RIGHT(AW$1,2),""),VLOOKUP($D247,素材!$1:$1016,COLUMN($F$1),FALSE))),VLOOKUP($C247,武器!$1:$998,COLUMN($O$1),FALSE)*VLOOKUP($D247,素材!$1:$1016,COLUMN($E$1),FALSE)/(LEN(VLOOKUP($D247,素材!$1:$1016,COLUMN($F$1),FALSE))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X247">
        <f>IF(ISNUMBER(SEARCH(SUBSTITUTE(AX$1,RIGHT(AX$1,2),""),VLOOKUP($D247,素材!$1:$1016,COLUMN($F$1),FALSE))),VLOOKUP($C247,武器!$1:$998,COLUMN($O$1),FALSE)*VLOOKUP($D247,素材!$1:$1016,COLUMN($E$1),FALSE)/(LEN(VLOOKUP($D247,素材!$1:$1016,COLUMN($F$1),FALSE))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Y247">
        <f>IF(ISNUMBER(SEARCH(SUBSTITUTE(AY$1,RIGHT(AY$1,2),""),VLOOKUP($D247,素材!$1:$1016,COLUMN($F$1),FALSE))),VLOOKUP($C247,武器!$1:$998,COLUMN($O$1),FALSE)*VLOOKUP($D247,素材!$1:$1016,COLUMN($E$1),FALSE)/(LEN(VLOOKUP($D247,素材!$1:$1016,COLUMN($F$1),FALSE))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AZ247">
        <f>IF(ISNUMBER(SEARCH(SUBSTITUTE(AZ$1,RIGHT(AZ$1,2),""),VLOOKUP($D247,素材!$1:$1016,COLUMN($F$1),FALSE))),VLOOKUP($C247,武器!$1:$998,COLUMN($O$1),FALSE)*VLOOKUP($D247,素材!$1:$1016,COLUMN($E$1),FALSE)/(LEN(VLOOKUP($D247,素材!$1:$1016,COLUMN($F$1),FALSE))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BA247">
        <f>IF(ISNUMBER(SEARCH(SUBSTITUTE(BA$1,RIGHT(BA$1,2),""),VLOOKUP($D247,素材!$1:$1016,COLUMN($F$1),FALSE))),VLOOKUP($C247,武器!$1:$998,COLUMN($O$1),FALSE)*VLOOKUP($D247,素材!$1:$1016,COLUMN($E$1),FALSE)/(LEN(VLOOKUP($D247,素材!$1:$1016,COLUMN($F$1),FALSE))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BB247">
        <f>IF(ISNUMBER(SEARCH(SUBSTITUTE(BB$1,RIGHT(BB$1,2),""),VLOOKUP($D247,素材!$1:$1016,COLUMN($F$1),FALSE))),VLOOKUP($C247,武器!$1:$998,COLUMN($O$1),FALSE)*VLOOKUP($D247,素材!$1:$1016,COLUMN($E$1),FALSE)/(LEN(VLOOKUP($D247,素材!$1:$1016,COLUMN($F$1),FALSE))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BC247">
        <f>IF(ISNUMBER(SEARCH(SUBSTITUTE(BC$1,RIGHT(BC$1,2),""),VLOOKUP($D247,素材!$1:$1016,COLUMN($F$1),FALSE))),VLOOKUP($C247,武器!$1:$998,COLUMN($O$1),FALSE)*VLOOKUP($D247,素材!$1:$1016,COLUMN($E$1),FALSE)/(LEN(VLOOKUP($D247,素材!$1:$1016,COLUMN($F$1),FALSE))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BD247">
        <f>IF(ISNUMBER(SEARCH(SUBSTITUTE(BD$1,RIGHT(BD$1,2),""),VLOOKUP($D247,素材!$1:$1016,COLUMN($F$1),FALSE))),VLOOKUP($C247,武器!$1:$998,COLUMN($O$1),FALSE)*VLOOKUP($D247,素材!$1:$1016,COLUMN($E$1),FALSE)/(LEN(VLOOKUP($D247,素材!$1:$1016,COLUMN($F$1),FALSE))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BE247">
        <f>IF(ISNUMBER(SEARCH(SUBSTITUTE(BE$1,RIGHT(BE$1,2),""),VLOOKUP($D247,素材!$1:$1016,COLUMN($F$1),FALSE))),VLOOKUP($C247,武器!$1:$998,COLUMN($O$1),FALSE)*VLOOKUP($D247,素材!$1:$1016,COLUMN($E$1),FALSE)/(LEN(VLOOKUP($D247,素材!$1:$1016,COLUMN($F$1),FALSE))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BF247">
        <f>IF(ISNUMBER(SEARCH(SUBSTITUTE(BF$1,RIGHT(BF$1,2),""),VLOOKUP($D247,素材!$1:$1016,COLUMN($F$1),FALSE))),VLOOKUP($C247,武器!$1:$998,COLUMN($O$1),FALSE)*VLOOKUP($D247,素材!$1:$1016,COLUMN($E$1),FALSE)/(LEN(VLOOKUP($D247,素材!$1:$1016,COLUMN($F$1),FALSE)) - LEN(SUBSTITUTE(VLOOKUP($D247,素材!$1:$1016,COLUMN($F$1),FALSE), "・", 0)) + 1), 0)</f>
        <v>0</v>
      </c>
      <c r="CM247">
        <f t="shared" si="31"/>
        <v>22</v>
      </c>
      <c r="CN247" s="22" t="str">
        <f>IF(E247="武器",IF(J247-1&gt;SUM(G247:I247),"盾",IF(MAX(G247:I247)=G247,"切断",IF(MAX(G247:I247)=H247,"貫通",IF(MAX(G247:I247)=I247,"打撃","射撃")))),E247)&amp;".webp"</f>
        <v>切断.webp</v>
      </c>
      <c r="CO247">
        <f>IFERROR(VLOOKUP($C247,武器!$1:$998,COLUMN(V$1),FALSE)*VLOOKUP($D247,素材!$1:$1016,COLUMN(N$1),FALSE)+IF(CJ247="",0,VLOOKUP($CJ247,装強!$1:$1008,COLUMN($CL$1),FALSE)),"")</f>
        <v>3750</v>
      </c>
      <c r="CP247">
        <f>VLOOKUP(D247,素材!$A:$O,COLUMN(素材!O$1),FALSE)</f>
        <v>0</v>
      </c>
      <c r="CQ247" t="str">
        <f>VLOOKUP(C247,武器!$A:$W,COLUMN(武器!W$1),FALSE)</f>
        <v>鞭。リーチが長く、敵を絡め取る戦闘に適する。</v>
      </c>
      <c r="CS247" t="str">
        <f t="shared" si="32"/>
        <v>e_247</v>
      </c>
      <c r="CT247">
        <f t="shared" si="33"/>
        <v>375000</v>
      </c>
    </row>
    <row r="248" spans="1:98" outlineLevel="1" x14ac:dyDescent="0.4">
      <c r="A248" t="str">
        <f t="shared" si="34"/>
        <v>熱鉄の丸盾</v>
      </c>
      <c r="B248" t="str">
        <f>IFERROR(VLOOKUP($D248,素材!$1:$1016,COLUMN($B$1),FALSE)&amp;"・"&amp;VLOOKUP($C248,武器!$1:$998,COLUMN(B$1),FALSE),"")</f>
        <v>ヒートスティール・バックラー</v>
      </c>
      <c r="C248" t="s">
        <v>222</v>
      </c>
      <c r="D248" s="24" t="s">
        <v>205</v>
      </c>
      <c r="E248" t="str">
        <f>IFERROR(VLOOKUP(C248,武器!$1:$998,COLUMN(C$1),FALSE),"")</f>
        <v>盾</v>
      </c>
      <c r="F248">
        <f>IFERROR(ROUNDDOWN((VLOOKUP($C248,武器!$1:$998,COLUMN(D$1),FALSE)+IFERROR(VLOOKUP($CJ248,装強!$1:$999,COLUMN(F$1),FALSE),0))*VLOOKUP($D248,素材!$1:$1016,COLUMN(D$1),FALSE),0),"")</f>
        <v>100</v>
      </c>
      <c r="G248">
        <f>IFERROR(ROUNDDOWN((VLOOKUP($C248,武器!$1:$998,COLUMN(E$1),FALSE)+IFERROR(VLOOKUP($CJ248,装強!$1:$999,COLUMN(G$1),FALSE),0))*VLOOKUP($D248,素材!$1:$1016,COLUMN($E$1),FALSE),0),"")</f>
        <v>8</v>
      </c>
      <c r="H248">
        <f>IFERROR(ROUNDDOWN((VLOOKUP($C248,武器!$1:$998,COLUMN(F$1),FALSE)+IFERROR(VLOOKUP($CJ248,装強!$1:$999,COLUMN(H$1),FALSE),0))*VLOOKUP($D248,素材!$1:$1016,COLUMN($E$1),FALSE),0),"")</f>
        <v>0</v>
      </c>
      <c r="I248">
        <f>IFERROR(ROUNDDOWN((VLOOKUP($C248,武器!$1:$998,COLUMN(G$1),FALSE)+IFERROR(VLOOKUP($CJ248,装強!$1:$999,COLUMN(I$1),FALSE),0))*VLOOKUP($D248,素材!$1:$1016,COLUMN($E$1),FALSE),0),"")</f>
        <v>8</v>
      </c>
      <c r="J248">
        <f>IFERROR(ROUNDDOWN((VLOOKUP($C248,武器!$1:$998,COLUMN(H$1),FALSE)+IFERROR(VLOOKUP($CJ248,装強!$1:$999,COLUMN(J$1),FALSE),0))*VLOOKUP($D248,素材!$1:$1016,COLUMN($E$1),FALSE),0),"")</f>
        <v>23</v>
      </c>
      <c r="K248">
        <f>IFERROR(ROUNDDOWN((VLOOKUP($C248,武器!$1:$998,COLUMN(I$1),FALSE)+IFERROR(VLOOKUP($CJ248,装強!$1:$999,COLUMN(K$1),FALSE),0))*VLOOKUP($D248,素材!$1:$1016,COLUMN($E$1),FALSE),0),"")</f>
        <v>0</v>
      </c>
      <c r="L248" t="str">
        <f>IFERROR(VLOOKUP($D248,素材!$1:$1016,COLUMN($F$1),FALSE),"")</f>
        <v>炎</v>
      </c>
      <c r="M248">
        <f>IFERROR(VLOOKUP($C248,武器!$1:$998,COLUMN(AA$1),FALSE)*VLOOKUP($D248,素材!$1:$1016,COLUMN($G$1),FALSE),"")</f>
        <v>28</v>
      </c>
      <c r="N248">
        <f>IFERROR(VLOOKUP($C248,武器!$1:$998,COLUMN(I$1),FALSE),"")</f>
        <v>0</v>
      </c>
      <c r="O248" s="23">
        <f>IFERROR((VLOOKUP($C248,武器!$1:$998,COLUMN(K$1),FALSE)+VLOOKUP($D248,素材!$1:$1016,COLUMN(H$1),FALSE))*100+IFERROR(VLOOKUP($CJ248,装強!$1:$999,COLUMN(O$1),FALSE),0),"")</f>
        <v>5</v>
      </c>
      <c r="P248" s="23">
        <f>IFERROR((VLOOKUP($C248,武器!$1:$998,COLUMN(L$1),FALSE)+VLOOKUP($D248,素材!$1:$1016,COLUMN(I$1),FALSE))*100+IFERROR(VLOOKUP($CJ248,装強!$1:$999,COLUMN(P$1),FALSE),0),"")</f>
        <v>125</v>
      </c>
      <c r="Q248">
        <f>IFERROR(ROUNDUP(VLOOKUP($C248,武器!$1:$998,COLUMN(M$1),FALSE)*(VLOOKUP($D248,素材!$1:$1002,COLUMN(D$1),FALSE)/100),1),"")</f>
        <v>0</v>
      </c>
      <c r="R248">
        <f>IFERROR(ROUNDUP(VLOOKUP($C248,武器!$1:$998,COLUMN(N$1),FALSE)*(VLOOKUP($D248,素材!$1:$1002,COLUMN(D$1),FALSE)/100),1),"")</f>
        <v>0</v>
      </c>
      <c r="S248">
        <f>IFERROR(VLOOKUP($C248,武器!$1:$998,COLUMN(P$1),FALSE),"")</f>
        <v>0</v>
      </c>
      <c r="T248">
        <f>IFERROR(VLOOKUP($C248,武器!$1:$998,COLUMN(Q$1),FALSE),"")</f>
        <v>0</v>
      </c>
      <c r="U248">
        <f>IFERROR(VLOOKUP($C248,武器!$1:$998,COLUMN(R$1),FALSE),"")</f>
        <v>0</v>
      </c>
      <c r="V248">
        <f>IFERROR(VLOOKUP($C248,武器!$1:$998,COLUMN(Q$1),FALSE),"")</f>
        <v>0</v>
      </c>
      <c r="W248" t="str">
        <f>IFERROR(VLOOKUP($C248,武器!$1:$998,COLUMN(T$1),FALSE),"")</f>
        <v>A</v>
      </c>
      <c r="Y248" t="str">
        <f>IFERROR(VLOOKUP($C248,武器!$1:$998,COLUMN(U$1),FALSE),"")</f>
        <v>投擲強化,片手適性Ⅱ</v>
      </c>
      <c r="Z248">
        <f>IFERROR(ROUNDUP(VLOOKUP($C248,武器!$1:$998,COLUMN(O$1),FALSE)*VLOOKUP($D248,素材!$1:$1016,COLUMN(E$1),FALSE),1),"")</f>
        <v>0</v>
      </c>
      <c r="AA248">
        <f>IF(ISNUMBER(SEARCH(SUBSTITUTE(AA$1,RIGHT(AA$1,2),""),VLOOKUP($D248,素材!$1:$1016,COLUMN($F$1),FALSE))),VLOOKUP($C248,武器!$1:$998,COLUMN($O$1),FALSE)*VLOOKUP($D248,素材!$1:$1016,COLUMN($E$1),FALSE)/(LEN(VLOOKUP($D248,素材!$1:$1016,COLUMN($F$1),FALSE))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B248">
        <f>IF(ISNUMBER(SEARCH(SUBSTITUTE(AB$1,RIGHT(AB$1,2),""),VLOOKUP($D248,素材!$1:$1016,COLUMN($F$1),FALSE))),VLOOKUP($C248,武器!$1:$998,COLUMN($O$1),FALSE)*VLOOKUP($D248,素材!$1:$1016,COLUMN($E$1),FALSE)/(LEN(VLOOKUP($D248,素材!$1:$1016,COLUMN($F$1),FALSE))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C248">
        <f>IF(ISNUMBER(SEARCH(SUBSTITUTE(AC$1,RIGHT(AC$1,2),""),VLOOKUP($D248,素材!$1:$1016,COLUMN($F$1),FALSE))),VLOOKUP($C248,武器!$1:$998,COLUMN($O$1),FALSE)*VLOOKUP($D248,素材!$1:$1016,COLUMN($E$1),FALSE)/(LEN(VLOOKUP($D248,素材!$1:$1016,COLUMN($F$1),FALSE))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D248">
        <f>IF(ISNUMBER(SEARCH(SUBSTITUTE(AD$1,RIGHT(AD$1,2),""),VLOOKUP($D248,素材!$1:$1016,COLUMN($F$1),FALSE))),VLOOKUP($C248,武器!$1:$998,COLUMN($O$1),FALSE)*VLOOKUP($D248,素材!$1:$1016,COLUMN($E$1),FALSE)/(LEN(VLOOKUP($D248,素材!$1:$1016,COLUMN($F$1),FALSE))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E248">
        <f>IF(ISNUMBER(SEARCH(SUBSTITUTE(AE$1,RIGHT(AE$1,2),""),VLOOKUP($D248,素材!$1:$1016,COLUMN($F$1),FALSE))),VLOOKUP($C248,武器!$1:$998,COLUMN($O$1),FALSE)*VLOOKUP($D248,素材!$1:$1016,COLUMN($E$1),FALSE)/(LEN(VLOOKUP($D248,素材!$1:$1016,COLUMN($F$1),FALSE))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F248">
        <f>IF(ISNUMBER(SEARCH(SUBSTITUTE(AF$1,RIGHT(AF$1,2),""),VLOOKUP($D248,素材!$1:$1016,COLUMN($F$1),FALSE))),VLOOKUP($C248,武器!$1:$998,COLUMN($O$1),FALSE)*VLOOKUP($D248,素材!$1:$1016,COLUMN($E$1),FALSE)/(LEN(VLOOKUP($D248,素材!$1:$1016,COLUMN($F$1),FALSE))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G248">
        <f>IF(ISNUMBER(SEARCH(SUBSTITUTE(AG$1,RIGHT(AG$1,2),""),VLOOKUP($D248,素材!$1:$1016,COLUMN($F$1),FALSE))),VLOOKUP($C248,武器!$1:$998,COLUMN($O$1),FALSE)*VLOOKUP($D248,素材!$1:$1016,COLUMN($E$1),FALSE)/(LEN(VLOOKUP($D248,素材!$1:$1016,COLUMN($F$1),FALSE))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H248">
        <f>IF(ISNUMBER(SEARCH(SUBSTITUTE(AH$1,RIGHT(AH$1,2),""),VLOOKUP($D248,素材!$1:$1016,COLUMN($F$1),FALSE))),VLOOKUP($C248,武器!$1:$998,COLUMN($O$1),FALSE)*VLOOKUP($D248,素材!$1:$1016,COLUMN($E$1),FALSE)/(LEN(VLOOKUP($D248,素材!$1:$1016,COLUMN($F$1),FALSE))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I248">
        <f>IF(ISNUMBER(SEARCH(SUBSTITUTE(AI$1,RIGHT(AI$1,2),""),VLOOKUP($D248,素材!$1:$1016,COLUMN($F$1),FALSE))),VLOOKUP($C248,武器!$1:$998,COLUMN($O$1),FALSE)*VLOOKUP($D248,素材!$1:$1016,COLUMN($E$1),FALSE)/(LEN(VLOOKUP($D248,素材!$1:$1016,COLUMN($F$1),FALSE))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J248">
        <f>IF(ISNUMBER(SEARCH(SUBSTITUTE(AJ$1,RIGHT(AJ$1,2),""),VLOOKUP($D248,素材!$1:$1016,COLUMN($F$1),FALSE))),VLOOKUP($C248,武器!$1:$998,COLUMN($O$1),FALSE)*VLOOKUP($D248,素材!$1:$1016,COLUMN($E$1),FALSE)/(LEN(VLOOKUP($D248,素材!$1:$1016,COLUMN($F$1),FALSE))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K248">
        <f>IF(ISNUMBER(SEARCH(SUBSTITUTE(AK$1,RIGHT(AK$1,2),""),VLOOKUP($D248,素材!$1:$1016,COLUMN($F$1),FALSE))),VLOOKUP($C248,武器!$1:$998,COLUMN($O$1),FALSE)*VLOOKUP($D248,素材!$1:$1016,COLUMN($E$1),FALSE)/(LEN(VLOOKUP($D248,素材!$1:$1016,COLUMN($F$1),FALSE))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L248">
        <f>IF(ISNUMBER(SEARCH(SUBSTITUTE(AL$1,RIGHT(AL$1,2),""),VLOOKUP($D248,素材!$1:$1016,COLUMN($F$1),FALSE))),VLOOKUP($C248,武器!$1:$998,COLUMN($O$1),FALSE)*VLOOKUP($D248,素材!$1:$1016,COLUMN($E$1),FALSE)/(LEN(VLOOKUP($D248,素材!$1:$1016,COLUMN($F$1),FALSE))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M248">
        <f>IF(ISNUMBER(SEARCH(SUBSTITUTE(AM$1,RIGHT(AM$1,2),""),VLOOKUP($D248,素材!$1:$1016,COLUMN($F$1),FALSE))),VLOOKUP($C248,武器!$1:$998,COLUMN($O$1),FALSE)*VLOOKUP($D248,素材!$1:$1016,COLUMN($E$1),FALSE)/(LEN(VLOOKUP($D248,素材!$1:$1016,COLUMN($F$1),FALSE))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N248">
        <f>IF(ISNUMBER(SEARCH(SUBSTITUTE(AN$1,RIGHT(AN$1,2),""),VLOOKUP($D248,素材!$1:$1016,COLUMN($F$1),FALSE))),VLOOKUP($C248,武器!$1:$998,COLUMN($O$1),FALSE)*VLOOKUP($D248,素材!$1:$1016,COLUMN($E$1),FALSE)/(LEN(VLOOKUP($D248,素材!$1:$1016,COLUMN($F$1),FALSE))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O248">
        <f>IF(ISNUMBER(SEARCH(SUBSTITUTE(AO$1,RIGHT(AO$1,2),""),VLOOKUP($D248,素材!$1:$1016,COLUMN($F$1),FALSE))),VLOOKUP($C248,武器!$1:$998,COLUMN($O$1),FALSE)*VLOOKUP($D248,素材!$1:$1016,COLUMN($E$1),FALSE)/(LEN(VLOOKUP($D248,素材!$1:$1016,COLUMN($F$1),FALSE))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P248">
        <f>IF(ISNUMBER(SEARCH(SUBSTITUTE(AP$1,RIGHT(AP$1,2),""),VLOOKUP($D248,素材!$1:$1016,COLUMN($F$1),FALSE))),VLOOKUP($C248,武器!$1:$998,COLUMN($O$1),FALSE)*VLOOKUP($D248,素材!$1:$1016,COLUMN($E$1),FALSE)/(LEN(VLOOKUP($D248,素材!$1:$1016,COLUMN($F$1),FALSE))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Q248">
        <f>IF(ISNUMBER(SEARCH(SUBSTITUTE(AQ$1,RIGHT(AQ$1,2),""),VLOOKUP($D248,素材!$1:$1016,COLUMN($F$1),FALSE))),VLOOKUP($C248,武器!$1:$998,COLUMN($O$1),FALSE)*VLOOKUP($D248,素材!$1:$1016,COLUMN($E$1),FALSE)/(LEN(VLOOKUP($D248,素材!$1:$1016,COLUMN($F$1),FALSE))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R248">
        <f>IF(ISNUMBER(SEARCH(SUBSTITUTE(AR$1,RIGHT(AR$1,2),""),VLOOKUP($D248,素材!$1:$1016,COLUMN($F$1),FALSE))),VLOOKUP($C248,武器!$1:$998,COLUMN($O$1),FALSE)*VLOOKUP($D248,素材!$1:$1016,COLUMN($E$1),FALSE)/(LEN(VLOOKUP($D248,素材!$1:$1016,COLUMN($F$1),FALSE))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S248">
        <f>IF(ISNUMBER(SEARCH(SUBSTITUTE(AS$1,RIGHT(AS$1,2),""),VLOOKUP($D248,素材!$1:$1016,COLUMN($F$1),FALSE))),VLOOKUP($C248,武器!$1:$998,COLUMN($O$1),FALSE)*VLOOKUP($D248,素材!$1:$1016,COLUMN($E$1),FALSE)/(LEN(VLOOKUP($D248,素材!$1:$1016,COLUMN($F$1),FALSE))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T248">
        <f>IF(ISNUMBER(SEARCH(SUBSTITUTE(AT$1,RIGHT(AT$1,2),""),VLOOKUP($D248,素材!$1:$1016,COLUMN($F$1),FALSE))),VLOOKUP($C248,武器!$1:$998,COLUMN($O$1),FALSE)*VLOOKUP($D248,素材!$1:$1016,COLUMN($E$1),FALSE)/(LEN(VLOOKUP($D248,素材!$1:$1016,COLUMN($F$1),FALSE))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U248">
        <f>IF(ISNUMBER(SEARCH(SUBSTITUTE(AU$1,RIGHT(AU$1,2),""),VLOOKUP($D248,素材!$1:$1016,COLUMN($F$1),FALSE))),VLOOKUP($C248,武器!$1:$998,COLUMN($O$1),FALSE)*VLOOKUP($D248,素材!$1:$1016,COLUMN($E$1),FALSE)/(LEN(VLOOKUP($D248,素材!$1:$1016,COLUMN($F$1),FALSE))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V248">
        <f>IF(ISNUMBER(SEARCH(SUBSTITUTE(AV$1,RIGHT(AV$1,2),""),VLOOKUP($D248,素材!$1:$1016,COLUMN($F$1),FALSE))),VLOOKUP($C248,武器!$1:$998,COLUMN($O$1),FALSE)*VLOOKUP($D248,素材!$1:$1016,COLUMN($E$1),FALSE)/(LEN(VLOOKUP($D248,素材!$1:$1016,COLUMN($F$1),FALSE))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W248">
        <f>IF(ISNUMBER(SEARCH(SUBSTITUTE(AW$1,RIGHT(AW$1,2),""),VLOOKUP($D248,素材!$1:$1016,COLUMN($F$1),FALSE))),VLOOKUP($C248,武器!$1:$998,COLUMN($O$1),FALSE)*VLOOKUP($D248,素材!$1:$1016,COLUMN($E$1),FALSE)/(LEN(VLOOKUP($D248,素材!$1:$1016,COLUMN($F$1),FALSE))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X248">
        <f>IF(ISNUMBER(SEARCH(SUBSTITUTE(AX$1,RIGHT(AX$1,2),""),VLOOKUP($D248,素材!$1:$1016,COLUMN($F$1),FALSE))),VLOOKUP($C248,武器!$1:$998,COLUMN($O$1),FALSE)*VLOOKUP($D248,素材!$1:$1016,COLUMN($E$1),FALSE)/(LEN(VLOOKUP($D248,素材!$1:$1016,COLUMN($F$1),FALSE))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Y248">
        <f>IF(ISNUMBER(SEARCH(SUBSTITUTE(AY$1,RIGHT(AY$1,2),""),VLOOKUP($D248,素材!$1:$1016,COLUMN($F$1),FALSE))),VLOOKUP($C248,武器!$1:$998,COLUMN($O$1),FALSE)*VLOOKUP($D248,素材!$1:$1016,COLUMN($E$1),FALSE)/(LEN(VLOOKUP($D248,素材!$1:$1016,COLUMN($F$1),FALSE))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AZ248">
        <f>IF(ISNUMBER(SEARCH(SUBSTITUTE(AZ$1,RIGHT(AZ$1,2),""),VLOOKUP($D248,素材!$1:$1016,COLUMN($F$1),FALSE))),VLOOKUP($C248,武器!$1:$998,COLUMN($O$1),FALSE)*VLOOKUP($D248,素材!$1:$1016,COLUMN($E$1),FALSE)/(LEN(VLOOKUP($D248,素材!$1:$1016,COLUMN($F$1),FALSE))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BA248">
        <f>IF(ISNUMBER(SEARCH(SUBSTITUTE(BA$1,RIGHT(BA$1,2),""),VLOOKUP($D248,素材!$1:$1016,COLUMN($F$1),FALSE))),VLOOKUP($C248,武器!$1:$998,COLUMN($O$1),FALSE)*VLOOKUP($D248,素材!$1:$1016,COLUMN($E$1),FALSE)/(LEN(VLOOKUP($D248,素材!$1:$1016,COLUMN($F$1),FALSE))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BB248">
        <f>IF(ISNUMBER(SEARCH(SUBSTITUTE(BB$1,RIGHT(BB$1,2),""),VLOOKUP($D248,素材!$1:$1016,COLUMN($F$1),FALSE))),VLOOKUP($C248,武器!$1:$998,COLUMN($O$1),FALSE)*VLOOKUP($D248,素材!$1:$1016,COLUMN($E$1),FALSE)/(LEN(VLOOKUP($D248,素材!$1:$1016,COLUMN($F$1),FALSE))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BC248">
        <f>IF(ISNUMBER(SEARCH(SUBSTITUTE(BC$1,RIGHT(BC$1,2),""),VLOOKUP($D248,素材!$1:$1016,COLUMN($F$1),FALSE))),VLOOKUP($C248,武器!$1:$998,COLUMN($O$1),FALSE)*VLOOKUP($D248,素材!$1:$1016,COLUMN($E$1),FALSE)/(LEN(VLOOKUP($D248,素材!$1:$1016,COLUMN($F$1),FALSE))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BD248">
        <f>IF(ISNUMBER(SEARCH(SUBSTITUTE(BD$1,RIGHT(BD$1,2),""),VLOOKUP($D248,素材!$1:$1016,COLUMN($F$1),FALSE))),VLOOKUP($C248,武器!$1:$998,COLUMN($O$1),FALSE)*VLOOKUP($D248,素材!$1:$1016,COLUMN($E$1),FALSE)/(LEN(VLOOKUP($D248,素材!$1:$1016,COLUMN($F$1),FALSE))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BE248">
        <f>IF(ISNUMBER(SEARCH(SUBSTITUTE(BE$1,RIGHT(BE$1,2),""),VLOOKUP($D248,素材!$1:$1016,COLUMN($F$1),FALSE))),VLOOKUP($C248,武器!$1:$998,COLUMN($O$1),FALSE)*VLOOKUP($D248,素材!$1:$1016,COLUMN($E$1),FALSE)/(LEN(VLOOKUP($D248,素材!$1:$1016,COLUMN($F$1),FALSE))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BF248">
        <f>IF(ISNUMBER(SEARCH(SUBSTITUTE(BF$1,RIGHT(BF$1,2),""),VLOOKUP($D248,素材!$1:$1016,COLUMN($F$1),FALSE))),VLOOKUP($C248,武器!$1:$998,COLUMN($O$1),FALSE)*VLOOKUP($D248,素材!$1:$1016,COLUMN($E$1),FALSE)/(LEN(VLOOKUP($D248,素材!$1:$1016,COLUMN($F$1),FALSE)) - LEN(SUBSTITUTE(VLOOKUP($D248,素材!$1:$1016,COLUMN($F$1),FALSE), "・", 0)) + 1), 0)</f>
        <v>0</v>
      </c>
      <c r="CM248">
        <f t="shared" si="31"/>
        <v>16</v>
      </c>
      <c r="CN248" s="22" t="str">
        <f>IF(E248="武器",IF(J248-1&gt;SUM(G248:I248),"盾",IF(MAX(G248:I248)=G248,"切断",IF(MAX(G248:I248)=H248,"貫通",IF(MAX(G248:I248)=I248,"打撃","射撃")))),E248)&amp;".webp"</f>
        <v>盾.webp</v>
      </c>
      <c r="CO248">
        <f>IFERROR(VLOOKUP($C248,武器!$1:$998,COLUMN(V$1),FALSE)*VLOOKUP($D248,素材!$1:$1016,COLUMN(N$1),FALSE)+IF(CJ248="",0,VLOOKUP($CJ248,装強!$1:$1008,COLUMN($CL$1),FALSE)),"")</f>
        <v>2250</v>
      </c>
      <c r="CP248">
        <f>VLOOKUP(D248,素材!$A:$O,COLUMN(素材!O$1),FALSE)</f>
        <v>0</v>
      </c>
      <c r="CQ248" t="str">
        <f>VLOOKUP(C248,武器!$A:$W,COLUMN(武器!W$1),FALSE)</f>
        <v>丸盾。軽量で投擲にも使える盾。</v>
      </c>
      <c r="CS248" t="str">
        <f t="shared" si="32"/>
        <v>e_248</v>
      </c>
      <c r="CT248">
        <f t="shared" si="33"/>
        <v>225000</v>
      </c>
    </row>
    <row r="249" spans="1:98" outlineLevel="1" x14ac:dyDescent="0.4">
      <c r="A249" t="str">
        <f t="shared" si="34"/>
        <v>熱鉄の盾</v>
      </c>
      <c r="B249" t="str">
        <f>IFERROR(VLOOKUP($D249,素材!$1:$1016,COLUMN($B$1),FALSE)&amp;"・"&amp;VLOOKUP($C249,武器!$1:$998,COLUMN(B$1),FALSE),"")</f>
        <v>ヒートスティール・シールド</v>
      </c>
      <c r="C249" t="s">
        <v>221</v>
      </c>
      <c r="D249" s="24" t="s">
        <v>205</v>
      </c>
      <c r="E249" t="str">
        <f>IFERROR(VLOOKUP(C249,武器!$1:$998,COLUMN(C$1),FALSE),"")</f>
        <v>盾</v>
      </c>
      <c r="F249">
        <f>IFERROR(ROUNDDOWN((VLOOKUP($C249,武器!$1:$998,COLUMN(D$1),FALSE)+IFERROR(VLOOKUP($CJ249,装強!$1:$999,COLUMN(F$1),FALSE),0))*VLOOKUP($D249,素材!$1:$1016,COLUMN(D$1),FALSE),0),"")</f>
        <v>100</v>
      </c>
      <c r="G249">
        <f>IFERROR(ROUNDDOWN((VLOOKUP($C249,武器!$1:$998,COLUMN(E$1),FALSE)+IFERROR(VLOOKUP($CJ249,装強!$1:$999,COLUMN(G$1),FALSE),0))*VLOOKUP($D249,素材!$1:$1016,COLUMN($E$1),FALSE),0),"")</f>
        <v>0</v>
      </c>
      <c r="H249">
        <f>IFERROR(ROUNDDOWN((VLOOKUP($C249,武器!$1:$998,COLUMN(F$1),FALSE)+IFERROR(VLOOKUP($CJ249,装強!$1:$999,COLUMN(H$1),FALSE),0))*VLOOKUP($D249,素材!$1:$1016,COLUMN($E$1),FALSE),0),"")</f>
        <v>0</v>
      </c>
      <c r="I249">
        <f>IFERROR(ROUNDDOWN((VLOOKUP($C249,武器!$1:$998,COLUMN(G$1),FALSE)+IFERROR(VLOOKUP($CJ249,装強!$1:$999,COLUMN(I$1),FALSE),0))*VLOOKUP($D249,素材!$1:$1016,COLUMN($E$1),FALSE),0),"")</f>
        <v>16</v>
      </c>
      <c r="J249">
        <f>IFERROR(ROUNDDOWN((VLOOKUP($C249,武器!$1:$998,COLUMN(H$1),FALSE)+IFERROR(VLOOKUP($CJ249,装強!$1:$999,COLUMN(J$1),FALSE),0))*VLOOKUP($D249,素材!$1:$1016,COLUMN($E$1),FALSE),0),"")</f>
        <v>25</v>
      </c>
      <c r="K249">
        <f>IFERROR(ROUNDDOWN((VLOOKUP($C249,武器!$1:$998,COLUMN(I$1),FALSE)+IFERROR(VLOOKUP($CJ249,装強!$1:$999,COLUMN(K$1),FALSE),0))*VLOOKUP($D249,素材!$1:$1016,COLUMN($E$1),FALSE),0),"")</f>
        <v>0</v>
      </c>
      <c r="L249" t="str">
        <f>IFERROR(VLOOKUP($D249,素材!$1:$1016,COLUMN($F$1),FALSE),"")</f>
        <v>炎</v>
      </c>
      <c r="M249">
        <f>IFERROR(VLOOKUP($C249,武器!$1:$998,COLUMN(AA$1),FALSE)*VLOOKUP($D249,素材!$1:$1016,COLUMN($G$1),FALSE),"")</f>
        <v>28</v>
      </c>
      <c r="N249">
        <f>IFERROR(VLOOKUP($C249,武器!$1:$998,COLUMN(I$1),FALSE),"")</f>
        <v>0</v>
      </c>
      <c r="O249" s="23">
        <f>IFERROR((VLOOKUP($C249,武器!$1:$998,COLUMN(K$1),FALSE)+VLOOKUP($D249,素材!$1:$1016,COLUMN(H$1),FALSE))*100+IFERROR(VLOOKUP($CJ249,装強!$1:$999,COLUMN(O$1),FALSE),0),"")</f>
        <v>5</v>
      </c>
      <c r="P249" s="23">
        <f>IFERROR((VLOOKUP($C249,武器!$1:$998,COLUMN(L$1),FALSE)+VLOOKUP($D249,素材!$1:$1016,COLUMN(I$1),FALSE))*100+IFERROR(VLOOKUP($CJ249,装強!$1:$999,COLUMN(P$1),FALSE),0),"")</f>
        <v>125</v>
      </c>
      <c r="Q249">
        <f>IFERROR(ROUNDUP(VLOOKUP($C249,武器!$1:$998,COLUMN(M$1),FALSE)*(VLOOKUP($D249,素材!$1:$1002,COLUMN(D$1),FALSE)/100),1),"")</f>
        <v>0</v>
      </c>
      <c r="R249">
        <f>IFERROR(ROUNDUP(VLOOKUP($C249,武器!$1:$998,COLUMN(N$1),FALSE)*(VLOOKUP($D249,素材!$1:$1002,COLUMN(D$1),FALSE)/100),1),"")</f>
        <v>0</v>
      </c>
      <c r="S249">
        <f>IFERROR(VLOOKUP($C249,武器!$1:$998,COLUMN(P$1),FALSE),"")</f>
        <v>0</v>
      </c>
      <c r="T249">
        <f>IFERROR(VLOOKUP($C249,武器!$1:$998,COLUMN(Q$1),FALSE),"")</f>
        <v>0</v>
      </c>
      <c r="U249">
        <f>IFERROR(VLOOKUP($C249,武器!$1:$998,COLUMN(R$1),FALSE),"")</f>
        <v>0</v>
      </c>
      <c r="V249">
        <f>IFERROR(VLOOKUP($C249,武器!$1:$998,COLUMN(Q$1),FALSE),"")</f>
        <v>0</v>
      </c>
      <c r="W249" t="str">
        <f>IFERROR(VLOOKUP($C249,武器!$1:$998,COLUMN(T$1),FALSE),"")</f>
        <v>A</v>
      </c>
      <c r="Y249" t="str">
        <f>IFERROR(VLOOKUP($C249,武器!$1:$998,COLUMN(U$1),FALSE),"")</f>
        <v>片手適性Ⅱ</v>
      </c>
      <c r="Z249">
        <f>IFERROR(ROUNDUP(VLOOKUP($C249,武器!$1:$998,COLUMN(O$1),FALSE)*VLOOKUP($D249,素材!$1:$1016,COLUMN(E$1),FALSE),1),"")</f>
        <v>0</v>
      </c>
      <c r="AA249">
        <f>IF(ISNUMBER(SEARCH(SUBSTITUTE(AA$1,RIGHT(AA$1,2),""),VLOOKUP($D249,素材!$1:$1016,COLUMN($F$1),FALSE))),VLOOKUP($C249,武器!$1:$998,COLUMN($O$1),FALSE)*VLOOKUP($D249,素材!$1:$1016,COLUMN($E$1),FALSE)/(LEN(VLOOKUP($D249,素材!$1:$1016,COLUMN($F$1),FALSE))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B249">
        <f>IF(ISNUMBER(SEARCH(SUBSTITUTE(AB$1,RIGHT(AB$1,2),""),VLOOKUP($D249,素材!$1:$1016,COLUMN($F$1),FALSE))),VLOOKUP($C249,武器!$1:$998,COLUMN($O$1),FALSE)*VLOOKUP($D249,素材!$1:$1016,COLUMN($E$1),FALSE)/(LEN(VLOOKUP($D249,素材!$1:$1016,COLUMN($F$1),FALSE))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C249">
        <f>IF(ISNUMBER(SEARCH(SUBSTITUTE(AC$1,RIGHT(AC$1,2),""),VLOOKUP($D249,素材!$1:$1016,COLUMN($F$1),FALSE))),VLOOKUP($C249,武器!$1:$998,COLUMN($O$1),FALSE)*VLOOKUP($D249,素材!$1:$1016,COLUMN($E$1),FALSE)/(LEN(VLOOKUP($D249,素材!$1:$1016,COLUMN($F$1),FALSE))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D249">
        <f>IF(ISNUMBER(SEARCH(SUBSTITUTE(AD$1,RIGHT(AD$1,2),""),VLOOKUP($D249,素材!$1:$1016,COLUMN($F$1),FALSE))),VLOOKUP($C249,武器!$1:$998,COLUMN($O$1),FALSE)*VLOOKUP($D249,素材!$1:$1016,COLUMN($E$1),FALSE)/(LEN(VLOOKUP($D249,素材!$1:$1016,COLUMN($F$1),FALSE))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E249">
        <f>IF(ISNUMBER(SEARCH(SUBSTITUTE(AE$1,RIGHT(AE$1,2),""),VLOOKUP($D249,素材!$1:$1016,COLUMN($F$1),FALSE))),VLOOKUP($C249,武器!$1:$998,COLUMN($O$1),FALSE)*VLOOKUP($D249,素材!$1:$1016,COLUMN($E$1),FALSE)/(LEN(VLOOKUP($D249,素材!$1:$1016,COLUMN($F$1),FALSE))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F249">
        <f>IF(ISNUMBER(SEARCH(SUBSTITUTE(AF$1,RIGHT(AF$1,2),""),VLOOKUP($D249,素材!$1:$1016,COLUMN($F$1),FALSE))),VLOOKUP($C249,武器!$1:$998,COLUMN($O$1),FALSE)*VLOOKUP($D249,素材!$1:$1016,COLUMN($E$1),FALSE)/(LEN(VLOOKUP($D249,素材!$1:$1016,COLUMN($F$1),FALSE))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G249">
        <f>IF(ISNUMBER(SEARCH(SUBSTITUTE(AG$1,RIGHT(AG$1,2),""),VLOOKUP($D249,素材!$1:$1016,COLUMN($F$1),FALSE))),VLOOKUP($C249,武器!$1:$998,COLUMN($O$1),FALSE)*VLOOKUP($D249,素材!$1:$1016,COLUMN($E$1),FALSE)/(LEN(VLOOKUP($D249,素材!$1:$1016,COLUMN($F$1),FALSE))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H249">
        <f>IF(ISNUMBER(SEARCH(SUBSTITUTE(AH$1,RIGHT(AH$1,2),""),VLOOKUP($D249,素材!$1:$1016,COLUMN($F$1),FALSE))),VLOOKUP($C249,武器!$1:$998,COLUMN($O$1),FALSE)*VLOOKUP($D249,素材!$1:$1016,COLUMN($E$1),FALSE)/(LEN(VLOOKUP($D249,素材!$1:$1016,COLUMN($F$1),FALSE))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I249">
        <f>IF(ISNUMBER(SEARCH(SUBSTITUTE(AI$1,RIGHT(AI$1,2),""),VLOOKUP($D249,素材!$1:$1016,COLUMN($F$1),FALSE))),VLOOKUP($C249,武器!$1:$998,COLUMN($O$1),FALSE)*VLOOKUP($D249,素材!$1:$1016,COLUMN($E$1),FALSE)/(LEN(VLOOKUP($D249,素材!$1:$1016,COLUMN($F$1),FALSE))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J249">
        <f>IF(ISNUMBER(SEARCH(SUBSTITUTE(AJ$1,RIGHT(AJ$1,2),""),VLOOKUP($D249,素材!$1:$1016,COLUMN($F$1),FALSE))),VLOOKUP($C249,武器!$1:$998,COLUMN($O$1),FALSE)*VLOOKUP($D249,素材!$1:$1016,COLUMN($E$1),FALSE)/(LEN(VLOOKUP($D249,素材!$1:$1016,COLUMN($F$1),FALSE))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K249">
        <f>IF(ISNUMBER(SEARCH(SUBSTITUTE(AK$1,RIGHT(AK$1,2),""),VLOOKUP($D249,素材!$1:$1016,COLUMN($F$1),FALSE))),VLOOKUP($C249,武器!$1:$998,COLUMN($O$1),FALSE)*VLOOKUP($D249,素材!$1:$1016,COLUMN($E$1),FALSE)/(LEN(VLOOKUP($D249,素材!$1:$1016,COLUMN($F$1),FALSE))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L249">
        <f>IF(ISNUMBER(SEARCH(SUBSTITUTE(AL$1,RIGHT(AL$1,2),""),VLOOKUP($D249,素材!$1:$1016,COLUMN($F$1),FALSE))),VLOOKUP($C249,武器!$1:$998,COLUMN($O$1),FALSE)*VLOOKUP($D249,素材!$1:$1016,COLUMN($E$1),FALSE)/(LEN(VLOOKUP($D249,素材!$1:$1016,COLUMN($F$1),FALSE))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M249">
        <f>IF(ISNUMBER(SEARCH(SUBSTITUTE(AM$1,RIGHT(AM$1,2),""),VLOOKUP($D249,素材!$1:$1016,COLUMN($F$1),FALSE))),VLOOKUP($C249,武器!$1:$998,COLUMN($O$1),FALSE)*VLOOKUP($D249,素材!$1:$1016,COLUMN($E$1),FALSE)/(LEN(VLOOKUP($D249,素材!$1:$1016,COLUMN($F$1),FALSE))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N249">
        <f>IF(ISNUMBER(SEARCH(SUBSTITUTE(AN$1,RIGHT(AN$1,2),""),VLOOKUP($D249,素材!$1:$1016,COLUMN($F$1),FALSE))),VLOOKUP($C249,武器!$1:$998,COLUMN($O$1),FALSE)*VLOOKUP($D249,素材!$1:$1016,COLUMN($E$1),FALSE)/(LEN(VLOOKUP($D249,素材!$1:$1016,COLUMN($F$1),FALSE))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O249">
        <f>IF(ISNUMBER(SEARCH(SUBSTITUTE(AO$1,RIGHT(AO$1,2),""),VLOOKUP($D249,素材!$1:$1016,COLUMN($F$1),FALSE))),VLOOKUP($C249,武器!$1:$998,COLUMN($O$1),FALSE)*VLOOKUP($D249,素材!$1:$1016,COLUMN($E$1),FALSE)/(LEN(VLOOKUP($D249,素材!$1:$1016,COLUMN($F$1),FALSE))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P249">
        <f>IF(ISNUMBER(SEARCH(SUBSTITUTE(AP$1,RIGHT(AP$1,2),""),VLOOKUP($D249,素材!$1:$1016,COLUMN($F$1),FALSE))),VLOOKUP($C249,武器!$1:$998,COLUMN($O$1),FALSE)*VLOOKUP($D249,素材!$1:$1016,COLUMN($E$1),FALSE)/(LEN(VLOOKUP($D249,素材!$1:$1016,COLUMN($F$1),FALSE))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Q249">
        <f>IF(ISNUMBER(SEARCH(SUBSTITUTE(AQ$1,RIGHT(AQ$1,2),""),VLOOKUP($D249,素材!$1:$1016,COLUMN($F$1),FALSE))),VLOOKUP($C249,武器!$1:$998,COLUMN($O$1),FALSE)*VLOOKUP($D249,素材!$1:$1016,COLUMN($E$1),FALSE)/(LEN(VLOOKUP($D249,素材!$1:$1016,COLUMN($F$1),FALSE))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R249">
        <f>IF(ISNUMBER(SEARCH(SUBSTITUTE(AR$1,RIGHT(AR$1,2),""),VLOOKUP($D249,素材!$1:$1016,COLUMN($F$1),FALSE))),VLOOKUP($C249,武器!$1:$998,COLUMN($O$1),FALSE)*VLOOKUP($D249,素材!$1:$1016,COLUMN($E$1),FALSE)/(LEN(VLOOKUP($D249,素材!$1:$1016,COLUMN($F$1),FALSE))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S249">
        <f>IF(ISNUMBER(SEARCH(SUBSTITUTE(AS$1,RIGHT(AS$1,2),""),VLOOKUP($D249,素材!$1:$1016,COLUMN($F$1),FALSE))),VLOOKUP($C249,武器!$1:$998,COLUMN($O$1),FALSE)*VLOOKUP($D249,素材!$1:$1016,COLUMN($E$1),FALSE)/(LEN(VLOOKUP($D249,素材!$1:$1016,COLUMN($F$1),FALSE))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T249">
        <f>IF(ISNUMBER(SEARCH(SUBSTITUTE(AT$1,RIGHT(AT$1,2),""),VLOOKUP($D249,素材!$1:$1016,COLUMN($F$1),FALSE))),VLOOKUP($C249,武器!$1:$998,COLUMN($O$1),FALSE)*VLOOKUP($D249,素材!$1:$1016,COLUMN($E$1),FALSE)/(LEN(VLOOKUP($D249,素材!$1:$1016,COLUMN($F$1),FALSE))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U249">
        <f>IF(ISNUMBER(SEARCH(SUBSTITUTE(AU$1,RIGHT(AU$1,2),""),VLOOKUP($D249,素材!$1:$1016,COLUMN($F$1),FALSE))),VLOOKUP($C249,武器!$1:$998,COLUMN($O$1),FALSE)*VLOOKUP($D249,素材!$1:$1016,COLUMN($E$1),FALSE)/(LEN(VLOOKUP($D249,素材!$1:$1016,COLUMN($F$1),FALSE))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V249">
        <f>IF(ISNUMBER(SEARCH(SUBSTITUTE(AV$1,RIGHT(AV$1,2),""),VLOOKUP($D249,素材!$1:$1016,COLUMN($F$1),FALSE))),VLOOKUP($C249,武器!$1:$998,COLUMN($O$1),FALSE)*VLOOKUP($D249,素材!$1:$1016,COLUMN($E$1),FALSE)/(LEN(VLOOKUP($D249,素材!$1:$1016,COLUMN($F$1),FALSE))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W249">
        <f>IF(ISNUMBER(SEARCH(SUBSTITUTE(AW$1,RIGHT(AW$1,2),""),VLOOKUP($D249,素材!$1:$1016,COLUMN($F$1),FALSE))),VLOOKUP($C249,武器!$1:$998,COLUMN($O$1),FALSE)*VLOOKUP($D249,素材!$1:$1016,COLUMN($E$1),FALSE)/(LEN(VLOOKUP($D249,素材!$1:$1016,COLUMN($F$1),FALSE))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X249">
        <f>IF(ISNUMBER(SEARCH(SUBSTITUTE(AX$1,RIGHT(AX$1,2),""),VLOOKUP($D249,素材!$1:$1016,COLUMN($F$1),FALSE))),VLOOKUP($C249,武器!$1:$998,COLUMN($O$1),FALSE)*VLOOKUP($D249,素材!$1:$1016,COLUMN($E$1),FALSE)/(LEN(VLOOKUP($D249,素材!$1:$1016,COLUMN($F$1),FALSE))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Y249">
        <f>IF(ISNUMBER(SEARCH(SUBSTITUTE(AY$1,RIGHT(AY$1,2),""),VLOOKUP($D249,素材!$1:$1016,COLUMN($F$1),FALSE))),VLOOKUP($C249,武器!$1:$998,COLUMN($O$1),FALSE)*VLOOKUP($D249,素材!$1:$1016,COLUMN($E$1),FALSE)/(LEN(VLOOKUP($D249,素材!$1:$1016,COLUMN($F$1),FALSE))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AZ249">
        <f>IF(ISNUMBER(SEARCH(SUBSTITUTE(AZ$1,RIGHT(AZ$1,2),""),VLOOKUP($D249,素材!$1:$1016,COLUMN($F$1),FALSE))),VLOOKUP($C249,武器!$1:$998,COLUMN($O$1),FALSE)*VLOOKUP($D249,素材!$1:$1016,COLUMN($E$1),FALSE)/(LEN(VLOOKUP($D249,素材!$1:$1016,COLUMN($F$1),FALSE))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BA249">
        <f>IF(ISNUMBER(SEARCH(SUBSTITUTE(BA$1,RIGHT(BA$1,2),""),VLOOKUP($D249,素材!$1:$1016,COLUMN($F$1),FALSE))),VLOOKUP($C249,武器!$1:$998,COLUMN($O$1),FALSE)*VLOOKUP($D249,素材!$1:$1016,COLUMN($E$1),FALSE)/(LEN(VLOOKUP($D249,素材!$1:$1016,COLUMN($F$1),FALSE))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BB249">
        <f>IF(ISNUMBER(SEARCH(SUBSTITUTE(BB$1,RIGHT(BB$1,2),""),VLOOKUP($D249,素材!$1:$1016,COLUMN($F$1),FALSE))),VLOOKUP($C249,武器!$1:$998,COLUMN($O$1),FALSE)*VLOOKUP($D249,素材!$1:$1016,COLUMN($E$1),FALSE)/(LEN(VLOOKUP($D249,素材!$1:$1016,COLUMN($F$1),FALSE))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BC249">
        <f>IF(ISNUMBER(SEARCH(SUBSTITUTE(BC$1,RIGHT(BC$1,2),""),VLOOKUP($D249,素材!$1:$1016,COLUMN($F$1),FALSE))),VLOOKUP($C249,武器!$1:$998,COLUMN($O$1),FALSE)*VLOOKUP($D249,素材!$1:$1016,COLUMN($E$1),FALSE)/(LEN(VLOOKUP($D249,素材!$1:$1016,COLUMN($F$1),FALSE))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BD249">
        <f>IF(ISNUMBER(SEARCH(SUBSTITUTE(BD$1,RIGHT(BD$1,2),""),VLOOKUP($D249,素材!$1:$1016,COLUMN($F$1),FALSE))),VLOOKUP($C249,武器!$1:$998,COLUMN($O$1),FALSE)*VLOOKUP($D249,素材!$1:$1016,COLUMN($E$1),FALSE)/(LEN(VLOOKUP($D249,素材!$1:$1016,COLUMN($F$1),FALSE))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BE249">
        <f>IF(ISNUMBER(SEARCH(SUBSTITUTE(BE$1,RIGHT(BE$1,2),""),VLOOKUP($D249,素材!$1:$1016,COLUMN($F$1),FALSE))),VLOOKUP($C249,武器!$1:$998,COLUMN($O$1),FALSE)*VLOOKUP($D249,素材!$1:$1016,COLUMN($E$1),FALSE)/(LEN(VLOOKUP($D249,素材!$1:$1016,COLUMN($F$1),FALSE))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BF249">
        <f>IF(ISNUMBER(SEARCH(SUBSTITUTE(BF$1,RIGHT(BF$1,2),""),VLOOKUP($D249,素材!$1:$1016,COLUMN($F$1),FALSE))),VLOOKUP($C249,武器!$1:$998,COLUMN($O$1),FALSE)*VLOOKUP($D249,素材!$1:$1016,COLUMN($E$1),FALSE)/(LEN(VLOOKUP($D249,素材!$1:$1016,COLUMN($F$1),FALSE)) - LEN(SUBSTITUTE(VLOOKUP($D249,素材!$1:$1016,COLUMN($F$1),FALSE), "・", 0)) + 1), 0)</f>
        <v>0</v>
      </c>
      <c r="CM249">
        <f t="shared" si="31"/>
        <v>16</v>
      </c>
      <c r="CN249" s="22" t="str">
        <f>IF(E249="武器",IF(J249-1&gt;SUM(G249:I249),"盾",IF(MAX(G249:I249)=G249,"切断",IF(MAX(G249:I249)=H249,"貫通",IF(MAX(G249:I249)=I249,"打撃","射撃")))),E249)&amp;".webp"</f>
        <v>盾.webp</v>
      </c>
      <c r="CO249">
        <f>IFERROR(VLOOKUP($C249,武器!$1:$998,COLUMN(V$1),FALSE)*VLOOKUP($D249,素材!$1:$1016,COLUMN(N$1),FALSE)+IF(CJ249="",0,VLOOKUP($CJ249,装強!$1:$1008,COLUMN($CL$1),FALSE)),"")</f>
        <v>2250</v>
      </c>
      <c r="CP249">
        <f>VLOOKUP(D249,素材!$A:$O,COLUMN(素材!O$1),FALSE)</f>
        <v>0</v>
      </c>
      <c r="CQ249" t="str">
        <f>VLOOKUP(C249,武器!$A:$W,COLUMN(武器!W$1),FALSE)</f>
        <v>盾。防御力が高く、汎用性がある防具。</v>
      </c>
      <c r="CS249" t="str">
        <f t="shared" si="32"/>
        <v>e_249</v>
      </c>
      <c r="CT249">
        <f t="shared" si="33"/>
        <v>225000</v>
      </c>
    </row>
    <row r="250" spans="1:98" outlineLevel="1" x14ac:dyDescent="0.4">
      <c r="A250" t="str">
        <f t="shared" ref="A250:A264" si="35">D250&amp;"の"&amp;C250</f>
        <v>熱鉄の丸大盾</v>
      </c>
      <c r="B250" t="str">
        <f>IFERROR(VLOOKUP($D250,素材!$1:$1016,COLUMN($B$1),FALSE)&amp;"・"&amp;VLOOKUP($C250,武器!$1:$998,COLUMN(B$1),FALSE),"")</f>
        <v>ヒートスティール・ラウンドシールド</v>
      </c>
      <c r="C250" t="s">
        <v>220</v>
      </c>
      <c r="D250" s="24" t="s">
        <v>205</v>
      </c>
      <c r="E250" t="str">
        <f>IFERROR(VLOOKUP(C250,武器!$1:$998,COLUMN(C$1),FALSE),"")</f>
        <v>盾</v>
      </c>
      <c r="F250">
        <f>IFERROR(ROUNDDOWN((VLOOKUP($C250,武器!$1:$998,COLUMN(D$1),FALSE)+IFERROR(VLOOKUP($CJ250,装強!$1:$999,COLUMN(F$1),FALSE),0))*VLOOKUP($D250,素材!$1:$1016,COLUMN(D$1),FALSE),0),"")</f>
        <v>110</v>
      </c>
      <c r="G250">
        <f>IFERROR(ROUNDDOWN((VLOOKUP($C250,武器!$1:$998,COLUMN(E$1),FALSE)+IFERROR(VLOOKUP($CJ250,装強!$1:$999,COLUMN(G$1),FALSE),0))*VLOOKUP($D250,素材!$1:$1016,COLUMN($E$1),FALSE),0),"")</f>
        <v>9</v>
      </c>
      <c r="H250">
        <f>IFERROR(ROUNDDOWN((VLOOKUP($C250,武器!$1:$998,COLUMN(F$1),FALSE)+IFERROR(VLOOKUP($CJ250,装強!$1:$999,COLUMN(H$1),FALSE),0))*VLOOKUP($D250,素材!$1:$1016,COLUMN($E$1),FALSE),0),"")</f>
        <v>0</v>
      </c>
      <c r="I250">
        <f>IFERROR(ROUNDDOWN((VLOOKUP($C250,武器!$1:$998,COLUMN(G$1),FALSE)+IFERROR(VLOOKUP($CJ250,装強!$1:$999,COLUMN(I$1),FALSE),0))*VLOOKUP($D250,素材!$1:$1016,COLUMN($E$1),FALSE),0),"")</f>
        <v>9</v>
      </c>
      <c r="J250">
        <f>IFERROR(ROUNDDOWN((VLOOKUP($C250,武器!$1:$998,COLUMN(H$1),FALSE)+IFERROR(VLOOKUP($CJ250,装強!$1:$999,COLUMN(J$1),FALSE),0))*VLOOKUP($D250,素材!$1:$1016,COLUMN($E$1),FALSE),0),"")</f>
        <v>25</v>
      </c>
      <c r="K250">
        <f>IFERROR(ROUNDDOWN((VLOOKUP($C250,武器!$1:$998,COLUMN(I$1),FALSE)+IFERROR(VLOOKUP($CJ250,装強!$1:$999,COLUMN(K$1),FALSE),0))*VLOOKUP($D250,素材!$1:$1016,COLUMN($E$1),FALSE),0),"")</f>
        <v>0</v>
      </c>
      <c r="L250" t="str">
        <f>IFERROR(VLOOKUP($D250,素材!$1:$1016,COLUMN($F$1),FALSE),"")</f>
        <v>炎</v>
      </c>
      <c r="M250">
        <f>IFERROR(VLOOKUP($C250,武器!$1:$998,COLUMN(AA$1),FALSE)*VLOOKUP($D250,素材!$1:$1016,COLUMN($G$1),FALSE),"")</f>
        <v>31.5</v>
      </c>
      <c r="N250">
        <f>IFERROR(VLOOKUP($C250,武器!$1:$998,COLUMN(I$1),FALSE),"")</f>
        <v>0</v>
      </c>
      <c r="O250" s="23">
        <f>IFERROR((VLOOKUP($C250,武器!$1:$998,COLUMN(K$1),FALSE)+VLOOKUP($D250,素材!$1:$1016,COLUMN(H$1),FALSE))*100+IFERROR(VLOOKUP($CJ250,装強!$1:$999,COLUMN(O$1),FALSE),0),"")</f>
        <v>5</v>
      </c>
      <c r="P250" s="23">
        <f>IFERROR((VLOOKUP($C250,武器!$1:$998,COLUMN(L$1),FALSE)+VLOOKUP($D250,素材!$1:$1016,COLUMN(I$1),FALSE))*100+IFERROR(VLOOKUP($CJ250,装強!$1:$999,COLUMN(P$1),FALSE),0),"")</f>
        <v>125</v>
      </c>
      <c r="Q250">
        <f>IFERROR(ROUNDUP(VLOOKUP($C250,武器!$1:$998,COLUMN(M$1),FALSE)*(VLOOKUP($D250,素材!$1:$1002,COLUMN(D$1),FALSE)/100),1),"")</f>
        <v>-5</v>
      </c>
      <c r="R250">
        <f>IFERROR(ROUNDUP(VLOOKUP($C250,武器!$1:$998,COLUMN(N$1),FALSE)*(VLOOKUP($D250,素材!$1:$1002,COLUMN(D$1),FALSE)/100),1),"")</f>
        <v>0</v>
      </c>
      <c r="S250">
        <f>IFERROR(VLOOKUP($C250,武器!$1:$998,COLUMN(P$1),FALSE),"")</f>
        <v>0</v>
      </c>
      <c r="T250">
        <f>IFERROR(VLOOKUP($C250,武器!$1:$998,COLUMN(Q$1),FALSE),"")</f>
        <v>0</v>
      </c>
      <c r="U250">
        <f>IFERROR(VLOOKUP($C250,武器!$1:$998,COLUMN(R$1),FALSE),"")</f>
        <v>0</v>
      </c>
      <c r="V250">
        <f>IFERROR(VLOOKUP($C250,武器!$1:$998,COLUMN(Q$1),FALSE),"")</f>
        <v>0</v>
      </c>
      <c r="W250" t="str">
        <f>IFERROR(VLOOKUP($C250,武器!$1:$998,COLUMN(T$1),FALSE),"")</f>
        <v>A</v>
      </c>
      <c r="Y250" t="str">
        <f>IFERROR(VLOOKUP($C250,武器!$1:$998,COLUMN(U$1),FALSE),"")</f>
        <v>投擲強化,片手適正Ⅰ</v>
      </c>
      <c r="Z250">
        <f>IFERROR(ROUNDUP(VLOOKUP($C250,武器!$1:$998,COLUMN(O$1),FALSE)*VLOOKUP($D250,素材!$1:$1016,COLUMN(E$1),FALSE),1),"")</f>
        <v>0</v>
      </c>
      <c r="AA250">
        <f>IF(ISNUMBER(SEARCH(SUBSTITUTE(AA$1,RIGHT(AA$1,2),""),VLOOKUP($D250,素材!$1:$1016,COLUMN($F$1),FALSE))),VLOOKUP($C250,武器!$1:$998,COLUMN($O$1),FALSE)*VLOOKUP($D250,素材!$1:$1016,COLUMN($E$1),FALSE)/(LEN(VLOOKUP($D250,素材!$1:$1016,COLUMN($F$1),FALSE))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B250">
        <f>IF(ISNUMBER(SEARCH(SUBSTITUTE(AB$1,RIGHT(AB$1,2),""),VLOOKUP($D250,素材!$1:$1016,COLUMN($F$1),FALSE))),VLOOKUP($C250,武器!$1:$998,COLUMN($O$1),FALSE)*VLOOKUP($D250,素材!$1:$1016,COLUMN($E$1),FALSE)/(LEN(VLOOKUP($D250,素材!$1:$1016,COLUMN($F$1),FALSE))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C250">
        <f>IF(ISNUMBER(SEARCH(SUBSTITUTE(AC$1,RIGHT(AC$1,2),""),VLOOKUP($D250,素材!$1:$1016,COLUMN($F$1),FALSE))),VLOOKUP($C250,武器!$1:$998,COLUMN($O$1),FALSE)*VLOOKUP($D250,素材!$1:$1016,COLUMN($E$1),FALSE)/(LEN(VLOOKUP($D250,素材!$1:$1016,COLUMN($F$1),FALSE))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D250">
        <f>IF(ISNUMBER(SEARCH(SUBSTITUTE(AD$1,RIGHT(AD$1,2),""),VLOOKUP($D250,素材!$1:$1016,COLUMN($F$1),FALSE))),VLOOKUP($C250,武器!$1:$998,COLUMN($O$1),FALSE)*VLOOKUP($D250,素材!$1:$1016,COLUMN($E$1),FALSE)/(LEN(VLOOKUP($D250,素材!$1:$1016,COLUMN($F$1),FALSE))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E250">
        <f>IF(ISNUMBER(SEARCH(SUBSTITUTE(AE$1,RIGHT(AE$1,2),""),VLOOKUP($D250,素材!$1:$1016,COLUMN($F$1),FALSE))),VLOOKUP($C250,武器!$1:$998,COLUMN($O$1),FALSE)*VLOOKUP($D250,素材!$1:$1016,COLUMN($E$1),FALSE)/(LEN(VLOOKUP($D250,素材!$1:$1016,COLUMN($F$1),FALSE))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F250">
        <f>IF(ISNUMBER(SEARCH(SUBSTITUTE(AF$1,RIGHT(AF$1,2),""),VLOOKUP($D250,素材!$1:$1016,COLUMN($F$1),FALSE))),VLOOKUP($C250,武器!$1:$998,COLUMN($O$1),FALSE)*VLOOKUP($D250,素材!$1:$1016,COLUMN($E$1),FALSE)/(LEN(VLOOKUP($D250,素材!$1:$1016,COLUMN($F$1),FALSE))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G250">
        <f>IF(ISNUMBER(SEARCH(SUBSTITUTE(AG$1,RIGHT(AG$1,2),""),VLOOKUP($D250,素材!$1:$1016,COLUMN($F$1),FALSE))),VLOOKUP($C250,武器!$1:$998,COLUMN($O$1),FALSE)*VLOOKUP($D250,素材!$1:$1016,COLUMN($E$1),FALSE)/(LEN(VLOOKUP($D250,素材!$1:$1016,COLUMN($F$1),FALSE))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H250">
        <f>IF(ISNUMBER(SEARCH(SUBSTITUTE(AH$1,RIGHT(AH$1,2),""),VLOOKUP($D250,素材!$1:$1016,COLUMN($F$1),FALSE))),VLOOKUP($C250,武器!$1:$998,COLUMN($O$1),FALSE)*VLOOKUP($D250,素材!$1:$1016,COLUMN($E$1),FALSE)/(LEN(VLOOKUP($D250,素材!$1:$1016,COLUMN($F$1),FALSE))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I250">
        <f>IF(ISNUMBER(SEARCH(SUBSTITUTE(AI$1,RIGHT(AI$1,2),""),VLOOKUP($D250,素材!$1:$1016,COLUMN($F$1),FALSE))),VLOOKUP($C250,武器!$1:$998,COLUMN($O$1),FALSE)*VLOOKUP($D250,素材!$1:$1016,COLUMN($E$1),FALSE)/(LEN(VLOOKUP($D250,素材!$1:$1016,COLUMN($F$1),FALSE))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J250">
        <f>IF(ISNUMBER(SEARCH(SUBSTITUTE(AJ$1,RIGHT(AJ$1,2),""),VLOOKUP($D250,素材!$1:$1016,COLUMN($F$1),FALSE))),VLOOKUP($C250,武器!$1:$998,COLUMN($O$1),FALSE)*VLOOKUP($D250,素材!$1:$1016,COLUMN($E$1),FALSE)/(LEN(VLOOKUP($D250,素材!$1:$1016,COLUMN($F$1),FALSE))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K250">
        <f>IF(ISNUMBER(SEARCH(SUBSTITUTE(AK$1,RIGHT(AK$1,2),""),VLOOKUP($D250,素材!$1:$1016,COLUMN($F$1),FALSE))),VLOOKUP($C250,武器!$1:$998,COLUMN($O$1),FALSE)*VLOOKUP($D250,素材!$1:$1016,COLUMN($E$1),FALSE)/(LEN(VLOOKUP($D250,素材!$1:$1016,COLUMN($F$1),FALSE))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L250">
        <f>IF(ISNUMBER(SEARCH(SUBSTITUTE(AL$1,RIGHT(AL$1,2),""),VLOOKUP($D250,素材!$1:$1016,COLUMN($F$1),FALSE))),VLOOKUP($C250,武器!$1:$998,COLUMN($O$1),FALSE)*VLOOKUP($D250,素材!$1:$1016,COLUMN($E$1),FALSE)/(LEN(VLOOKUP($D250,素材!$1:$1016,COLUMN($F$1),FALSE))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M250">
        <f>IF(ISNUMBER(SEARCH(SUBSTITUTE(AM$1,RIGHT(AM$1,2),""),VLOOKUP($D250,素材!$1:$1016,COLUMN($F$1),FALSE))),VLOOKUP($C250,武器!$1:$998,COLUMN($O$1),FALSE)*VLOOKUP($D250,素材!$1:$1016,COLUMN($E$1),FALSE)/(LEN(VLOOKUP($D250,素材!$1:$1016,COLUMN($F$1),FALSE))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N250">
        <f>IF(ISNUMBER(SEARCH(SUBSTITUTE(AN$1,RIGHT(AN$1,2),""),VLOOKUP($D250,素材!$1:$1016,COLUMN($F$1),FALSE))),VLOOKUP($C250,武器!$1:$998,COLUMN($O$1),FALSE)*VLOOKUP($D250,素材!$1:$1016,COLUMN($E$1),FALSE)/(LEN(VLOOKUP($D250,素材!$1:$1016,COLUMN($F$1),FALSE))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O250">
        <f>IF(ISNUMBER(SEARCH(SUBSTITUTE(AO$1,RIGHT(AO$1,2),""),VLOOKUP($D250,素材!$1:$1016,COLUMN($F$1),FALSE))),VLOOKUP($C250,武器!$1:$998,COLUMN($O$1),FALSE)*VLOOKUP($D250,素材!$1:$1016,COLUMN($E$1),FALSE)/(LEN(VLOOKUP($D250,素材!$1:$1016,COLUMN($F$1),FALSE))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P250">
        <f>IF(ISNUMBER(SEARCH(SUBSTITUTE(AP$1,RIGHT(AP$1,2),""),VLOOKUP($D250,素材!$1:$1016,COLUMN($F$1),FALSE))),VLOOKUP($C250,武器!$1:$998,COLUMN($O$1),FALSE)*VLOOKUP($D250,素材!$1:$1016,COLUMN($E$1),FALSE)/(LEN(VLOOKUP($D250,素材!$1:$1016,COLUMN($F$1),FALSE))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Q250">
        <f>IF(ISNUMBER(SEARCH(SUBSTITUTE(AQ$1,RIGHT(AQ$1,2),""),VLOOKUP($D250,素材!$1:$1016,COLUMN($F$1),FALSE))),VLOOKUP($C250,武器!$1:$998,COLUMN($O$1),FALSE)*VLOOKUP($D250,素材!$1:$1016,COLUMN($E$1),FALSE)/(LEN(VLOOKUP($D250,素材!$1:$1016,COLUMN($F$1),FALSE))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R250">
        <f>IF(ISNUMBER(SEARCH(SUBSTITUTE(AR$1,RIGHT(AR$1,2),""),VLOOKUP($D250,素材!$1:$1016,COLUMN($F$1),FALSE))),VLOOKUP($C250,武器!$1:$998,COLUMN($O$1),FALSE)*VLOOKUP($D250,素材!$1:$1016,COLUMN($E$1),FALSE)/(LEN(VLOOKUP($D250,素材!$1:$1016,COLUMN($F$1),FALSE))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S250">
        <f>IF(ISNUMBER(SEARCH(SUBSTITUTE(AS$1,RIGHT(AS$1,2),""),VLOOKUP($D250,素材!$1:$1016,COLUMN($F$1),FALSE))),VLOOKUP($C250,武器!$1:$998,COLUMN($O$1),FALSE)*VLOOKUP($D250,素材!$1:$1016,COLUMN($E$1),FALSE)/(LEN(VLOOKUP($D250,素材!$1:$1016,COLUMN($F$1),FALSE))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T250">
        <f>IF(ISNUMBER(SEARCH(SUBSTITUTE(AT$1,RIGHT(AT$1,2),""),VLOOKUP($D250,素材!$1:$1016,COLUMN($F$1),FALSE))),VLOOKUP($C250,武器!$1:$998,COLUMN($O$1),FALSE)*VLOOKUP($D250,素材!$1:$1016,COLUMN($E$1),FALSE)/(LEN(VLOOKUP($D250,素材!$1:$1016,COLUMN($F$1),FALSE))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U250">
        <f>IF(ISNUMBER(SEARCH(SUBSTITUTE(AU$1,RIGHT(AU$1,2),""),VLOOKUP($D250,素材!$1:$1016,COLUMN($F$1),FALSE))),VLOOKUP($C250,武器!$1:$998,COLUMN($O$1),FALSE)*VLOOKUP($D250,素材!$1:$1016,COLUMN($E$1),FALSE)/(LEN(VLOOKUP($D250,素材!$1:$1016,COLUMN($F$1),FALSE))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V250">
        <f>IF(ISNUMBER(SEARCH(SUBSTITUTE(AV$1,RIGHT(AV$1,2),""),VLOOKUP($D250,素材!$1:$1016,COLUMN($F$1),FALSE))),VLOOKUP($C250,武器!$1:$998,COLUMN($O$1),FALSE)*VLOOKUP($D250,素材!$1:$1016,COLUMN($E$1),FALSE)/(LEN(VLOOKUP($D250,素材!$1:$1016,COLUMN($F$1),FALSE))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W250">
        <f>IF(ISNUMBER(SEARCH(SUBSTITUTE(AW$1,RIGHT(AW$1,2),""),VLOOKUP($D250,素材!$1:$1016,COLUMN($F$1),FALSE))),VLOOKUP($C250,武器!$1:$998,COLUMN($O$1),FALSE)*VLOOKUP($D250,素材!$1:$1016,COLUMN($E$1),FALSE)/(LEN(VLOOKUP($D250,素材!$1:$1016,COLUMN($F$1),FALSE))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X250">
        <f>IF(ISNUMBER(SEARCH(SUBSTITUTE(AX$1,RIGHT(AX$1,2),""),VLOOKUP($D250,素材!$1:$1016,COLUMN($F$1),FALSE))),VLOOKUP($C250,武器!$1:$998,COLUMN($O$1),FALSE)*VLOOKUP($D250,素材!$1:$1016,COLUMN($E$1),FALSE)/(LEN(VLOOKUP($D250,素材!$1:$1016,COLUMN($F$1),FALSE))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Y250">
        <f>IF(ISNUMBER(SEARCH(SUBSTITUTE(AY$1,RIGHT(AY$1,2),""),VLOOKUP($D250,素材!$1:$1016,COLUMN($F$1),FALSE))),VLOOKUP($C250,武器!$1:$998,COLUMN($O$1),FALSE)*VLOOKUP($D250,素材!$1:$1016,COLUMN($E$1),FALSE)/(LEN(VLOOKUP($D250,素材!$1:$1016,COLUMN($F$1),FALSE))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AZ250">
        <f>IF(ISNUMBER(SEARCH(SUBSTITUTE(AZ$1,RIGHT(AZ$1,2),""),VLOOKUP($D250,素材!$1:$1016,COLUMN($F$1),FALSE))),VLOOKUP($C250,武器!$1:$998,COLUMN($O$1),FALSE)*VLOOKUP($D250,素材!$1:$1016,COLUMN($E$1),FALSE)/(LEN(VLOOKUP($D250,素材!$1:$1016,COLUMN($F$1),FALSE))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BA250">
        <f>IF(ISNUMBER(SEARCH(SUBSTITUTE(BA$1,RIGHT(BA$1,2),""),VLOOKUP($D250,素材!$1:$1016,COLUMN($F$1),FALSE))),VLOOKUP($C250,武器!$1:$998,COLUMN($O$1),FALSE)*VLOOKUP($D250,素材!$1:$1016,COLUMN($E$1),FALSE)/(LEN(VLOOKUP($D250,素材!$1:$1016,COLUMN($F$1),FALSE))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BB250">
        <f>IF(ISNUMBER(SEARCH(SUBSTITUTE(BB$1,RIGHT(BB$1,2),""),VLOOKUP($D250,素材!$1:$1016,COLUMN($F$1),FALSE))),VLOOKUP($C250,武器!$1:$998,COLUMN($O$1),FALSE)*VLOOKUP($D250,素材!$1:$1016,COLUMN($E$1),FALSE)/(LEN(VLOOKUP($D250,素材!$1:$1016,COLUMN($F$1),FALSE))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BC250">
        <f>IF(ISNUMBER(SEARCH(SUBSTITUTE(BC$1,RIGHT(BC$1,2),""),VLOOKUP($D250,素材!$1:$1016,COLUMN($F$1),FALSE))),VLOOKUP($C250,武器!$1:$998,COLUMN($O$1),FALSE)*VLOOKUP($D250,素材!$1:$1016,COLUMN($E$1),FALSE)/(LEN(VLOOKUP($D250,素材!$1:$1016,COLUMN($F$1),FALSE))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BD250">
        <f>IF(ISNUMBER(SEARCH(SUBSTITUTE(BD$1,RIGHT(BD$1,2),""),VLOOKUP($D250,素材!$1:$1016,COLUMN($F$1),FALSE))),VLOOKUP($C250,武器!$1:$998,COLUMN($O$1),FALSE)*VLOOKUP($D250,素材!$1:$1016,COLUMN($E$1),FALSE)/(LEN(VLOOKUP($D250,素材!$1:$1016,COLUMN($F$1),FALSE))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BE250">
        <f>IF(ISNUMBER(SEARCH(SUBSTITUTE(BE$1,RIGHT(BE$1,2),""),VLOOKUP($D250,素材!$1:$1016,COLUMN($F$1),FALSE))),VLOOKUP($C250,武器!$1:$998,COLUMN($O$1),FALSE)*VLOOKUP($D250,素材!$1:$1016,COLUMN($E$1),FALSE)/(LEN(VLOOKUP($D250,素材!$1:$1016,COLUMN($F$1),FALSE))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BF250">
        <f>IF(ISNUMBER(SEARCH(SUBSTITUTE(BF$1,RIGHT(BF$1,2),""),VLOOKUP($D250,素材!$1:$1016,COLUMN($F$1),FALSE))),VLOOKUP($C250,武器!$1:$998,COLUMN($O$1),FALSE)*VLOOKUP($D250,素材!$1:$1016,COLUMN($E$1),FALSE)/(LEN(VLOOKUP($D250,素材!$1:$1016,COLUMN($F$1),FALSE)) - LEN(SUBSTITUTE(VLOOKUP($D250,素材!$1:$1016,COLUMN($F$1),FALSE), "・", 0)) + 1), 0)</f>
        <v>0</v>
      </c>
      <c r="CM250">
        <f t="shared" si="31"/>
        <v>18</v>
      </c>
      <c r="CN250" s="22" t="str">
        <f>IF(E250="武器",IF(J250-1&gt;SUM(G250:I250),"盾",IF(MAX(G250:I250)=G250,"切断",IF(MAX(G250:I250)=H250,"貫通",IF(MAX(G250:I250)=I250,"打撃","射撃")))),E250)&amp;".webp"</f>
        <v>盾.webp</v>
      </c>
      <c r="CO250">
        <f>IFERROR(VLOOKUP($C250,武器!$1:$998,COLUMN(V$1),FALSE)*VLOOKUP($D250,素材!$1:$1016,COLUMN(N$1),FALSE)+IF(CJ250="",0,VLOOKUP($CJ250,装強!$1:$1008,COLUMN($CL$1),FALSE)),"")</f>
        <v>3000</v>
      </c>
      <c r="CP250">
        <f>VLOOKUP(D250,素材!$A:$O,COLUMN(素材!O$1),FALSE)</f>
        <v>0</v>
      </c>
      <c r="CQ250" t="str">
        <f>VLOOKUP(C250,武器!$A:$W,COLUMN(武器!W$1),FALSE)</f>
        <v>丸大盾。防御範囲が広く、投擲も可能。</v>
      </c>
      <c r="CS250" t="str">
        <f t="shared" si="32"/>
        <v>e_250</v>
      </c>
      <c r="CT250">
        <f t="shared" si="33"/>
        <v>300000</v>
      </c>
    </row>
    <row r="251" spans="1:98" outlineLevel="1" x14ac:dyDescent="0.4">
      <c r="A251" t="str">
        <f t="shared" si="35"/>
        <v>熱鉄の大盾</v>
      </c>
      <c r="B251" t="str">
        <f>IFERROR(VLOOKUP($D251,素材!$1:$1016,COLUMN($B$1),FALSE)&amp;"・"&amp;VLOOKUP($C251,武器!$1:$998,COLUMN(B$1),FALSE),"")</f>
        <v>ヒートスティール・ラージシールド</v>
      </c>
      <c r="C251" t="s">
        <v>219</v>
      </c>
      <c r="D251" s="24" t="s">
        <v>205</v>
      </c>
      <c r="E251" t="str">
        <f>IFERROR(VLOOKUP(C251,武器!$1:$998,COLUMN(C$1),FALSE),"")</f>
        <v>盾</v>
      </c>
      <c r="F251">
        <f>IFERROR(ROUNDDOWN((VLOOKUP($C251,武器!$1:$998,COLUMN(D$1),FALSE)+IFERROR(VLOOKUP($CJ251,装強!$1:$999,COLUMN(F$1),FALSE),0))*VLOOKUP($D251,素材!$1:$1016,COLUMN(D$1),FALSE),0),"")</f>
        <v>115</v>
      </c>
      <c r="G251">
        <f>IFERROR(ROUNDDOWN((VLOOKUP($C251,武器!$1:$998,COLUMN(E$1),FALSE)+IFERROR(VLOOKUP($CJ251,装強!$1:$999,COLUMN(G$1),FALSE),0))*VLOOKUP($D251,素材!$1:$1016,COLUMN($E$1),FALSE),0),"")</f>
        <v>0</v>
      </c>
      <c r="H251">
        <f>IFERROR(ROUNDDOWN((VLOOKUP($C251,武器!$1:$998,COLUMN(F$1),FALSE)+IFERROR(VLOOKUP($CJ251,装強!$1:$999,COLUMN(H$1),FALSE),0))*VLOOKUP($D251,素材!$1:$1016,COLUMN($E$1),FALSE),0),"")</f>
        <v>0</v>
      </c>
      <c r="I251">
        <f>IFERROR(ROUNDDOWN((VLOOKUP($C251,武器!$1:$998,COLUMN(G$1),FALSE)+IFERROR(VLOOKUP($CJ251,装強!$1:$999,COLUMN(I$1),FALSE),0))*VLOOKUP($D251,素材!$1:$1016,COLUMN($E$1),FALSE),0),"")</f>
        <v>17</v>
      </c>
      <c r="J251">
        <f>IFERROR(ROUNDDOWN((VLOOKUP($C251,武器!$1:$998,COLUMN(H$1),FALSE)+IFERROR(VLOOKUP($CJ251,装強!$1:$999,COLUMN(J$1),FALSE),0))*VLOOKUP($D251,素材!$1:$1016,COLUMN($E$1),FALSE),0),"")</f>
        <v>27</v>
      </c>
      <c r="K251">
        <f>IFERROR(ROUNDDOWN((VLOOKUP($C251,武器!$1:$998,COLUMN(I$1),FALSE)+IFERROR(VLOOKUP($CJ251,装強!$1:$999,COLUMN(K$1),FALSE),0))*VLOOKUP($D251,素材!$1:$1016,COLUMN($E$1),FALSE),0),"")</f>
        <v>0</v>
      </c>
      <c r="L251" t="str">
        <f>IFERROR(VLOOKUP($D251,素材!$1:$1016,COLUMN($F$1),FALSE),"")</f>
        <v>炎</v>
      </c>
      <c r="M251">
        <f>IFERROR(VLOOKUP($C251,武器!$1:$998,COLUMN(AA$1),FALSE)*VLOOKUP($D251,素材!$1:$1016,COLUMN($G$1),FALSE),"")</f>
        <v>29.75</v>
      </c>
      <c r="N251">
        <f>IFERROR(VLOOKUP($C251,武器!$1:$998,COLUMN(I$1),FALSE),"")</f>
        <v>0</v>
      </c>
      <c r="O251" s="23">
        <f>IFERROR((VLOOKUP($C251,武器!$1:$998,COLUMN(K$1),FALSE)+VLOOKUP($D251,素材!$1:$1016,COLUMN(H$1),FALSE))*100+IFERROR(VLOOKUP($CJ251,装強!$1:$999,COLUMN(O$1),FALSE),0),"")</f>
        <v>5</v>
      </c>
      <c r="P251" s="23">
        <f>IFERROR((VLOOKUP($C251,武器!$1:$998,COLUMN(L$1),FALSE)+VLOOKUP($D251,素材!$1:$1016,COLUMN(I$1),FALSE))*100+IFERROR(VLOOKUP($CJ251,装強!$1:$999,COLUMN(P$1),FALSE),0),"")</f>
        <v>125</v>
      </c>
      <c r="Q251">
        <f>IFERROR(ROUNDUP(VLOOKUP($C251,武器!$1:$998,COLUMN(M$1),FALSE)*(VLOOKUP($D251,素材!$1:$1002,COLUMN(D$1),FALSE)/100),1),"")</f>
        <v>-5</v>
      </c>
      <c r="R251">
        <f>IFERROR(ROUNDUP(VLOOKUP($C251,武器!$1:$998,COLUMN(N$1),FALSE)*(VLOOKUP($D251,素材!$1:$1002,COLUMN(D$1),FALSE)/100),1),"")</f>
        <v>0</v>
      </c>
      <c r="S251">
        <f>IFERROR(VLOOKUP($C251,武器!$1:$998,COLUMN(P$1),FALSE),"")</f>
        <v>0</v>
      </c>
      <c r="T251">
        <f>IFERROR(VLOOKUP($C251,武器!$1:$998,COLUMN(Q$1),FALSE),"")</f>
        <v>0</v>
      </c>
      <c r="U251">
        <f>IFERROR(VLOOKUP($C251,武器!$1:$998,COLUMN(R$1),FALSE),"")</f>
        <v>0</v>
      </c>
      <c r="V251">
        <f>IFERROR(VLOOKUP($C251,武器!$1:$998,COLUMN(Q$1),FALSE),"")</f>
        <v>0</v>
      </c>
      <c r="W251" t="str">
        <f>IFERROR(VLOOKUP($C251,武器!$1:$998,COLUMN(T$1),FALSE),"")</f>
        <v>A</v>
      </c>
      <c r="Y251" t="str">
        <f>IFERROR(VLOOKUP($C251,武器!$1:$998,COLUMN(U$1),FALSE),"")</f>
        <v>片手適正Ⅰ</v>
      </c>
      <c r="Z251">
        <f>IFERROR(ROUNDUP(VLOOKUP($C251,武器!$1:$998,COLUMN(O$1),FALSE)*VLOOKUP($D251,素材!$1:$1016,COLUMN(E$1),FALSE),1),"")</f>
        <v>0</v>
      </c>
      <c r="AA251">
        <f>IF(ISNUMBER(SEARCH(SUBSTITUTE(AA$1,RIGHT(AA$1,2),""),VLOOKUP($D251,素材!$1:$1016,COLUMN($F$1),FALSE))),VLOOKUP($C251,武器!$1:$998,COLUMN($O$1),FALSE)*VLOOKUP($D251,素材!$1:$1016,COLUMN($E$1),FALSE)/(LEN(VLOOKUP($D251,素材!$1:$1016,COLUMN($F$1),FALSE))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B251">
        <f>IF(ISNUMBER(SEARCH(SUBSTITUTE(AB$1,RIGHT(AB$1,2),""),VLOOKUP($D251,素材!$1:$1016,COLUMN($F$1),FALSE))),VLOOKUP($C251,武器!$1:$998,COLUMN($O$1),FALSE)*VLOOKUP($D251,素材!$1:$1016,COLUMN($E$1),FALSE)/(LEN(VLOOKUP($D251,素材!$1:$1016,COLUMN($F$1),FALSE))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C251">
        <f>IF(ISNUMBER(SEARCH(SUBSTITUTE(AC$1,RIGHT(AC$1,2),""),VLOOKUP($D251,素材!$1:$1016,COLUMN($F$1),FALSE))),VLOOKUP($C251,武器!$1:$998,COLUMN($O$1),FALSE)*VLOOKUP($D251,素材!$1:$1016,COLUMN($E$1),FALSE)/(LEN(VLOOKUP($D251,素材!$1:$1016,COLUMN($F$1),FALSE))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D251">
        <f>IF(ISNUMBER(SEARCH(SUBSTITUTE(AD$1,RIGHT(AD$1,2),""),VLOOKUP($D251,素材!$1:$1016,COLUMN($F$1),FALSE))),VLOOKUP($C251,武器!$1:$998,COLUMN($O$1),FALSE)*VLOOKUP($D251,素材!$1:$1016,COLUMN($E$1),FALSE)/(LEN(VLOOKUP($D251,素材!$1:$1016,COLUMN($F$1),FALSE))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E251">
        <f>IF(ISNUMBER(SEARCH(SUBSTITUTE(AE$1,RIGHT(AE$1,2),""),VLOOKUP($D251,素材!$1:$1016,COLUMN($F$1),FALSE))),VLOOKUP($C251,武器!$1:$998,COLUMN($O$1),FALSE)*VLOOKUP($D251,素材!$1:$1016,COLUMN($E$1),FALSE)/(LEN(VLOOKUP($D251,素材!$1:$1016,COLUMN($F$1),FALSE))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F251">
        <f>IF(ISNUMBER(SEARCH(SUBSTITUTE(AF$1,RIGHT(AF$1,2),""),VLOOKUP($D251,素材!$1:$1016,COLUMN($F$1),FALSE))),VLOOKUP($C251,武器!$1:$998,COLUMN($O$1),FALSE)*VLOOKUP($D251,素材!$1:$1016,COLUMN($E$1),FALSE)/(LEN(VLOOKUP($D251,素材!$1:$1016,COLUMN($F$1),FALSE))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G251">
        <f>IF(ISNUMBER(SEARCH(SUBSTITUTE(AG$1,RIGHT(AG$1,2),""),VLOOKUP($D251,素材!$1:$1016,COLUMN($F$1),FALSE))),VLOOKUP($C251,武器!$1:$998,COLUMN($O$1),FALSE)*VLOOKUP($D251,素材!$1:$1016,COLUMN($E$1),FALSE)/(LEN(VLOOKUP($D251,素材!$1:$1016,COLUMN($F$1),FALSE))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H251">
        <f>IF(ISNUMBER(SEARCH(SUBSTITUTE(AH$1,RIGHT(AH$1,2),""),VLOOKUP($D251,素材!$1:$1016,COLUMN($F$1),FALSE))),VLOOKUP($C251,武器!$1:$998,COLUMN($O$1),FALSE)*VLOOKUP($D251,素材!$1:$1016,COLUMN($E$1),FALSE)/(LEN(VLOOKUP($D251,素材!$1:$1016,COLUMN($F$1),FALSE))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I251">
        <f>IF(ISNUMBER(SEARCH(SUBSTITUTE(AI$1,RIGHT(AI$1,2),""),VLOOKUP($D251,素材!$1:$1016,COLUMN($F$1),FALSE))),VLOOKUP($C251,武器!$1:$998,COLUMN($O$1),FALSE)*VLOOKUP($D251,素材!$1:$1016,COLUMN($E$1),FALSE)/(LEN(VLOOKUP($D251,素材!$1:$1016,COLUMN($F$1),FALSE))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J251">
        <f>IF(ISNUMBER(SEARCH(SUBSTITUTE(AJ$1,RIGHT(AJ$1,2),""),VLOOKUP($D251,素材!$1:$1016,COLUMN($F$1),FALSE))),VLOOKUP($C251,武器!$1:$998,COLUMN($O$1),FALSE)*VLOOKUP($D251,素材!$1:$1016,COLUMN($E$1),FALSE)/(LEN(VLOOKUP($D251,素材!$1:$1016,COLUMN($F$1),FALSE))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K251">
        <f>IF(ISNUMBER(SEARCH(SUBSTITUTE(AK$1,RIGHT(AK$1,2),""),VLOOKUP($D251,素材!$1:$1016,COLUMN($F$1),FALSE))),VLOOKUP($C251,武器!$1:$998,COLUMN($O$1),FALSE)*VLOOKUP($D251,素材!$1:$1016,COLUMN($E$1),FALSE)/(LEN(VLOOKUP($D251,素材!$1:$1016,COLUMN($F$1),FALSE))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L251">
        <f>IF(ISNUMBER(SEARCH(SUBSTITUTE(AL$1,RIGHT(AL$1,2),""),VLOOKUP($D251,素材!$1:$1016,COLUMN($F$1),FALSE))),VLOOKUP($C251,武器!$1:$998,COLUMN($O$1),FALSE)*VLOOKUP($D251,素材!$1:$1016,COLUMN($E$1),FALSE)/(LEN(VLOOKUP($D251,素材!$1:$1016,COLUMN($F$1),FALSE))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M251">
        <f>IF(ISNUMBER(SEARCH(SUBSTITUTE(AM$1,RIGHT(AM$1,2),""),VLOOKUP($D251,素材!$1:$1016,COLUMN($F$1),FALSE))),VLOOKUP($C251,武器!$1:$998,COLUMN($O$1),FALSE)*VLOOKUP($D251,素材!$1:$1016,COLUMN($E$1),FALSE)/(LEN(VLOOKUP($D251,素材!$1:$1016,COLUMN($F$1),FALSE))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N251">
        <f>IF(ISNUMBER(SEARCH(SUBSTITUTE(AN$1,RIGHT(AN$1,2),""),VLOOKUP($D251,素材!$1:$1016,COLUMN($F$1),FALSE))),VLOOKUP($C251,武器!$1:$998,COLUMN($O$1),FALSE)*VLOOKUP($D251,素材!$1:$1016,COLUMN($E$1),FALSE)/(LEN(VLOOKUP($D251,素材!$1:$1016,COLUMN($F$1),FALSE))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O251">
        <f>IF(ISNUMBER(SEARCH(SUBSTITUTE(AO$1,RIGHT(AO$1,2),""),VLOOKUP($D251,素材!$1:$1016,COLUMN($F$1),FALSE))),VLOOKUP($C251,武器!$1:$998,COLUMN($O$1),FALSE)*VLOOKUP($D251,素材!$1:$1016,COLUMN($E$1),FALSE)/(LEN(VLOOKUP($D251,素材!$1:$1016,COLUMN($F$1),FALSE))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P251">
        <f>IF(ISNUMBER(SEARCH(SUBSTITUTE(AP$1,RIGHT(AP$1,2),""),VLOOKUP($D251,素材!$1:$1016,COLUMN($F$1),FALSE))),VLOOKUP($C251,武器!$1:$998,COLUMN($O$1),FALSE)*VLOOKUP($D251,素材!$1:$1016,COLUMN($E$1),FALSE)/(LEN(VLOOKUP($D251,素材!$1:$1016,COLUMN($F$1),FALSE))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Q251">
        <f>IF(ISNUMBER(SEARCH(SUBSTITUTE(AQ$1,RIGHT(AQ$1,2),""),VLOOKUP($D251,素材!$1:$1016,COLUMN($F$1),FALSE))),VLOOKUP($C251,武器!$1:$998,COLUMN($O$1),FALSE)*VLOOKUP($D251,素材!$1:$1016,COLUMN($E$1),FALSE)/(LEN(VLOOKUP($D251,素材!$1:$1016,COLUMN($F$1),FALSE))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R251">
        <f>IF(ISNUMBER(SEARCH(SUBSTITUTE(AR$1,RIGHT(AR$1,2),""),VLOOKUP($D251,素材!$1:$1016,COLUMN($F$1),FALSE))),VLOOKUP($C251,武器!$1:$998,COLUMN($O$1),FALSE)*VLOOKUP($D251,素材!$1:$1016,COLUMN($E$1),FALSE)/(LEN(VLOOKUP($D251,素材!$1:$1016,COLUMN($F$1),FALSE))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S251">
        <f>IF(ISNUMBER(SEARCH(SUBSTITUTE(AS$1,RIGHT(AS$1,2),""),VLOOKUP($D251,素材!$1:$1016,COLUMN($F$1),FALSE))),VLOOKUP($C251,武器!$1:$998,COLUMN($O$1),FALSE)*VLOOKUP($D251,素材!$1:$1016,COLUMN($E$1),FALSE)/(LEN(VLOOKUP($D251,素材!$1:$1016,COLUMN($F$1),FALSE))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T251">
        <f>IF(ISNUMBER(SEARCH(SUBSTITUTE(AT$1,RIGHT(AT$1,2),""),VLOOKUP($D251,素材!$1:$1016,COLUMN($F$1),FALSE))),VLOOKUP($C251,武器!$1:$998,COLUMN($O$1),FALSE)*VLOOKUP($D251,素材!$1:$1016,COLUMN($E$1),FALSE)/(LEN(VLOOKUP($D251,素材!$1:$1016,COLUMN($F$1),FALSE))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U251">
        <f>IF(ISNUMBER(SEARCH(SUBSTITUTE(AU$1,RIGHT(AU$1,2),""),VLOOKUP($D251,素材!$1:$1016,COLUMN($F$1),FALSE))),VLOOKUP($C251,武器!$1:$998,COLUMN($O$1),FALSE)*VLOOKUP($D251,素材!$1:$1016,COLUMN($E$1),FALSE)/(LEN(VLOOKUP($D251,素材!$1:$1016,COLUMN($F$1),FALSE))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V251">
        <f>IF(ISNUMBER(SEARCH(SUBSTITUTE(AV$1,RIGHT(AV$1,2),""),VLOOKUP($D251,素材!$1:$1016,COLUMN($F$1),FALSE))),VLOOKUP($C251,武器!$1:$998,COLUMN($O$1),FALSE)*VLOOKUP($D251,素材!$1:$1016,COLUMN($E$1),FALSE)/(LEN(VLOOKUP($D251,素材!$1:$1016,COLUMN($F$1),FALSE))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W251">
        <f>IF(ISNUMBER(SEARCH(SUBSTITUTE(AW$1,RIGHT(AW$1,2),""),VLOOKUP($D251,素材!$1:$1016,COLUMN($F$1),FALSE))),VLOOKUP($C251,武器!$1:$998,COLUMN($O$1),FALSE)*VLOOKUP($D251,素材!$1:$1016,COLUMN($E$1),FALSE)/(LEN(VLOOKUP($D251,素材!$1:$1016,COLUMN($F$1),FALSE))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X251">
        <f>IF(ISNUMBER(SEARCH(SUBSTITUTE(AX$1,RIGHT(AX$1,2),""),VLOOKUP($D251,素材!$1:$1016,COLUMN($F$1),FALSE))),VLOOKUP($C251,武器!$1:$998,COLUMN($O$1),FALSE)*VLOOKUP($D251,素材!$1:$1016,COLUMN($E$1),FALSE)/(LEN(VLOOKUP($D251,素材!$1:$1016,COLUMN($F$1),FALSE))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Y251">
        <f>IF(ISNUMBER(SEARCH(SUBSTITUTE(AY$1,RIGHT(AY$1,2),""),VLOOKUP($D251,素材!$1:$1016,COLUMN($F$1),FALSE))),VLOOKUP($C251,武器!$1:$998,COLUMN($O$1),FALSE)*VLOOKUP($D251,素材!$1:$1016,COLUMN($E$1),FALSE)/(LEN(VLOOKUP($D251,素材!$1:$1016,COLUMN($F$1),FALSE))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AZ251">
        <f>IF(ISNUMBER(SEARCH(SUBSTITUTE(AZ$1,RIGHT(AZ$1,2),""),VLOOKUP($D251,素材!$1:$1016,COLUMN($F$1),FALSE))),VLOOKUP($C251,武器!$1:$998,COLUMN($O$1),FALSE)*VLOOKUP($D251,素材!$1:$1016,COLUMN($E$1),FALSE)/(LEN(VLOOKUP($D251,素材!$1:$1016,COLUMN($F$1),FALSE))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BA251">
        <f>IF(ISNUMBER(SEARCH(SUBSTITUTE(BA$1,RIGHT(BA$1,2),""),VLOOKUP($D251,素材!$1:$1016,COLUMN($F$1),FALSE))),VLOOKUP($C251,武器!$1:$998,COLUMN($O$1),FALSE)*VLOOKUP($D251,素材!$1:$1016,COLUMN($E$1),FALSE)/(LEN(VLOOKUP($D251,素材!$1:$1016,COLUMN($F$1),FALSE))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BB251">
        <f>IF(ISNUMBER(SEARCH(SUBSTITUTE(BB$1,RIGHT(BB$1,2),""),VLOOKUP($D251,素材!$1:$1016,COLUMN($F$1),FALSE))),VLOOKUP($C251,武器!$1:$998,COLUMN($O$1),FALSE)*VLOOKUP($D251,素材!$1:$1016,COLUMN($E$1),FALSE)/(LEN(VLOOKUP($D251,素材!$1:$1016,COLUMN($F$1),FALSE))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BC251">
        <f>IF(ISNUMBER(SEARCH(SUBSTITUTE(BC$1,RIGHT(BC$1,2),""),VLOOKUP($D251,素材!$1:$1016,COLUMN($F$1),FALSE))),VLOOKUP($C251,武器!$1:$998,COLUMN($O$1),FALSE)*VLOOKUP($D251,素材!$1:$1016,COLUMN($E$1),FALSE)/(LEN(VLOOKUP($D251,素材!$1:$1016,COLUMN($F$1),FALSE))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BD251">
        <f>IF(ISNUMBER(SEARCH(SUBSTITUTE(BD$1,RIGHT(BD$1,2),""),VLOOKUP($D251,素材!$1:$1016,COLUMN($F$1),FALSE))),VLOOKUP($C251,武器!$1:$998,COLUMN($O$1),FALSE)*VLOOKUP($D251,素材!$1:$1016,COLUMN($E$1),FALSE)/(LEN(VLOOKUP($D251,素材!$1:$1016,COLUMN($F$1),FALSE))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BE251">
        <f>IF(ISNUMBER(SEARCH(SUBSTITUTE(BE$1,RIGHT(BE$1,2),""),VLOOKUP($D251,素材!$1:$1016,COLUMN($F$1),FALSE))),VLOOKUP($C251,武器!$1:$998,COLUMN($O$1),FALSE)*VLOOKUP($D251,素材!$1:$1016,COLUMN($E$1),FALSE)/(LEN(VLOOKUP($D251,素材!$1:$1016,COLUMN($F$1),FALSE))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BF251">
        <f>IF(ISNUMBER(SEARCH(SUBSTITUTE(BF$1,RIGHT(BF$1,2),""),VLOOKUP($D251,素材!$1:$1016,COLUMN($F$1),FALSE))),VLOOKUP($C251,武器!$1:$998,COLUMN($O$1),FALSE)*VLOOKUP($D251,素材!$1:$1016,COLUMN($E$1),FALSE)/(LEN(VLOOKUP($D251,素材!$1:$1016,COLUMN($F$1),FALSE)) - LEN(SUBSTITUTE(VLOOKUP($D251,素材!$1:$1016,COLUMN($F$1),FALSE), "・", 0)) + 1), 0)</f>
        <v>0</v>
      </c>
      <c r="CM251">
        <f t="shared" si="31"/>
        <v>17</v>
      </c>
      <c r="CN251" s="22" t="str">
        <f>IF(E251="武器",IF(J251-1&gt;SUM(G251:I251),"盾",IF(MAX(G251:I251)=G251,"切断",IF(MAX(G251:I251)=H251,"貫通",IF(MAX(G251:I251)=I251,"打撃","射撃")))),E251)&amp;".webp"</f>
        <v>盾.webp</v>
      </c>
      <c r="CO251">
        <f>IFERROR(VLOOKUP($C251,武器!$1:$998,COLUMN(V$1),FALSE)*VLOOKUP($D251,素材!$1:$1016,COLUMN(N$1),FALSE)+IF(CJ251="",0,VLOOKUP($CJ251,装強!$1:$1008,COLUMN($CL$1),FALSE)),"")</f>
        <v>3000</v>
      </c>
      <c r="CP251">
        <f>VLOOKUP(D251,素材!$A:$O,COLUMN(素材!O$1),FALSE)</f>
        <v>0</v>
      </c>
      <c r="CQ251" t="str">
        <f>VLOOKUP(C251,武器!$A:$W,COLUMN(武器!W$1),FALSE)</f>
        <v>大盾。さらに大きな盾で、高い防御力を持つ。</v>
      </c>
      <c r="CS251" t="str">
        <f t="shared" si="32"/>
        <v>e_251</v>
      </c>
      <c r="CT251">
        <f t="shared" si="33"/>
        <v>300000</v>
      </c>
    </row>
    <row r="252" spans="1:98" outlineLevel="1" x14ac:dyDescent="0.4">
      <c r="A252" t="str">
        <f t="shared" si="35"/>
        <v>熱鉄の短弓</v>
      </c>
      <c r="B252" t="str">
        <f>IFERROR(VLOOKUP($D252,素材!$1:$1016,COLUMN($B$1),FALSE)&amp;"・"&amp;VLOOKUP($C252,武器!$1:$998,COLUMN(B$1),FALSE),"")</f>
        <v>ヒートスティール・ボウ</v>
      </c>
      <c r="C252" t="s">
        <v>218</v>
      </c>
      <c r="D252" s="24" t="s">
        <v>205</v>
      </c>
      <c r="E252" t="str">
        <f>IFERROR(VLOOKUP(C252,武器!$1:$998,COLUMN(C$1),FALSE),"")</f>
        <v>武器</v>
      </c>
      <c r="F252">
        <f>IFERROR(ROUNDDOWN((VLOOKUP($C252,武器!$1:$998,COLUMN(D$1),FALSE)+IFERROR(VLOOKUP($CJ252,装強!$1:$999,COLUMN(F$1),FALSE),0))*VLOOKUP($D252,素材!$1:$1016,COLUMN(D$1),FALSE),0),"")</f>
        <v>110</v>
      </c>
      <c r="G252">
        <f>IFERROR(ROUNDDOWN((VLOOKUP($C252,武器!$1:$998,COLUMN(E$1),FALSE)+IFERROR(VLOOKUP($CJ252,装強!$1:$999,COLUMN(G$1),FALSE),0))*VLOOKUP($D252,素材!$1:$1016,COLUMN($E$1),FALSE),0),"")</f>
        <v>5</v>
      </c>
      <c r="H252">
        <f>IFERROR(ROUNDDOWN((VLOOKUP($C252,武器!$1:$998,COLUMN(F$1),FALSE)+IFERROR(VLOOKUP($CJ252,装強!$1:$999,COLUMN(H$1),FALSE),0))*VLOOKUP($D252,素材!$1:$1016,COLUMN($E$1),FALSE),0),"")</f>
        <v>5</v>
      </c>
      <c r="I252">
        <f>IFERROR(ROUNDDOWN((VLOOKUP($C252,武器!$1:$998,COLUMN(G$1),FALSE)+IFERROR(VLOOKUP($CJ252,装強!$1:$999,COLUMN(I$1),FALSE),0))*VLOOKUP($D252,素材!$1:$1016,COLUMN($E$1),FALSE),0),"")</f>
        <v>0</v>
      </c>
      <c r="J252">
        <f>IFERROR(ROUNDDOWN((VLOOKUP($C252,武器!$1:$998,COLUMN(H$1),FALSE)+IFERROR(VLOOKUP($CJ252,装強!$1:$999,COLUMN(J$1),FALSE),0))*VLOOKUP($D252,素材!$1:$1016,COLUMN($E$1),FALSE),0),"")</f>
        <v>0</v>
      </c>
      <c r="K252">
        <f>IFERROR(ROUNDDOWN((VLOOKUP($C252,武器!$1:$998,COLUMN(I$1),FALSE)+IFERROR(VLOOKUP($CJ252,装強!$1:$999,COLUMN(K$1),FALSE),0))*VLOOKUP($D252,素材!$1:$1016,COLUMN($E$1),FALSE),0),"")</f>
        <v>20</v>
      </c>
      <c r="L252" t="str">
        <f>IFERROR(VLOOKUP($D252,素材!$1:$1016,COLUMN($F$1),FALSE),"")</f>
        <v>炎</v>
      </c>
      <c r="M252">
        <f>IFERROR(VLOOKUP($C252,武器!$1:$998,COLUMN(AA$1),FALSE)*VLOOKUP($D252,素材!$1:$1016,COLUMN($G$1),FALSE),"")</f>
        <v>35</v>
      </c>
      <c r="N252">
        <f>IFERROR(VLOOKUP($C252,武器!$1:$998,COLUMN(I$1),FALSE),"")</f>
        <v>1</v>
      </c>
      <c r="O252" s="23">
        <f>IFERROR((VLOOKUP($C252,武器!$1:$998,COLUMN(K$1),FALSE)+VLOOKUP($D252,素材!$1:$1016,COLUMN(H$1),FALSE))*100+IFERROR(VLOOKUP($CJ252,装強!$1:$999,COLUMN(O$1),FALSE),0),"")</f>
        <v>10</v>
      </c>
      <c r="P252" s="23">
        <f>IFERROR((VLOOKUP($C252,武器!$1:$998,COLUMN(L$1),FALSE)+VLOOKUP($D252,素材!$1:$1016,COLUMN(I$1),FALSE))*100+IFERROR(VLOOKUP($CJ252,装強!$1:$999,COLUMN(P$1),FALSE),0),"")</f>
        <v>130</v>
      </c>
      <c r="Q252">
        <f>IFERROR(ROUNDUP(VLOOKUP($C252,武器!$1:$998,COLUMN(M$1),FALSE)*(VLOOKUP($D252,素材!$1:$1002,COLUMN(D$1),FALSE)/100),1),"")</f>
        <v>-2.5</v>
      </c>
      <c r="R252">
        <f>IFERROR(ROUNDUP(VLOOKUP($C252,武器!$1:$998,COLUMN(N$1),FALSE)*(VLOOKUP($D252,素材!$1:$1002,COLUMN(D$1),FALSE)/100),1),"")</f>
        <v>0</v>
      </c>
      <c r="S252">
        <f>IFERROR(VLOOKUP($C252,武器!$1:$998,COLUMN(P$1),FALSE),"")</f>
        <v>2</v>
      </c>
      <c r="T252">
        <f>IFERROR(VLOOKUP($C252,武器!$1:$998,COLUMN(Q$1),FALSE),"")</f>
        <v>0</v>
      </c>
      <c r="U252">
        <f>IFERROR(VLOOKUP($C252,武器!$1:$998,COLUMN(R$1),FALSE),"")</f>
        <v>0</v>
      </c>
      <c r="V252">
        <f>IFERROR(VLOOKUP($C252,武器!$1:$998,COLUMN(Q$1),FALSE),"")</f>
        <v>0</v>
      </c>
      <c r="W252" t="str">
        <f>IFERROR(VLOOKUP($C252,武器!$1:$998,COLUMN(T$1),FALSE),"")</f>
        <v>A</v>
      </c>
      <c r="Y252">
        <f>IFERROR(VLOOKUP($C252,武器!$1:$998,COLUMN(U$1),FALSE),"")</f>
        <v>0</v>
      </c>
      <c r="Z252">
        <f>IFERROR(ROUNDUP(VLOOKUP($C252,武器!$1:$998,COLUMN(O$1),FALSE)*VLOOKUP($D252,素材!$1:$1016,COLUMN(E$1),FALSE),1),"")</f>
        <v>0</v>
      </c>
      <c r="AA252">
        <f>IF(ISNUMBER(SEARCH(SUBSTITUTE(AA$1,RIGHT(AA$1,2),""),VLOOKUP($D252,素材!$1:$1016,COLUMN($F$1),FALSE))),VLOOKUP($C252,武器!$1:$998,COLUMN($O$1),FALSE)*VLOOKUP($D252,素材!$1:$1016,COLUMN($E$1),FALSE)/(LEN(VLOOKUP($D252,素材!$1:$1016,COLUMN($F$1),FALSE))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B252">
        <f>IF(ISNUMBER(SEARCH(SUBSTITUTE(AB$1,RIGHT(AB$1,2),""),VLOOKUP($D252,素材!$1:$1016,COLUMN($F$1),FALSE))),VLOOKUP($C252,武器!$1:$998,COLUMN($O$1),FALSE)*VLOOKUP($D252,素材!$1:$1016,COLUMN($E$1),FALSE)/(LEN(VLOOKUP($D252,素材!$1:$1016,COLUMN($F$1),FALSE))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C252">
        <f>IF(ISNUMBER(SEARCH(SUBSTITUTE(AC$1,RIGHT(AC$1,2),""),VLOOKUP($D252,素材!$1:$1016,COLUMN($F$1),FALSE))),VLOOKUP($C252,武器!$1:$998,COLUMN($O$1),FALSE)*VLOOKUP($D252,素材!$1:$1016,COLUMN($E$1),FALSE)/(LEN(VLOOKUP($D252,素材!$1:$1016,COLUMN($F$1),FALSE))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D252">
        <f>IF(ISNUMBER(SEARCH(SUBSTITUTE(AD$1,RIGHT(AD$1,2),""),VLOOKUP($D252,素材!$1:$1016,COLUMN($F$1),FALSE))),VLOOKUP($C252,武器!$1:$998,COLUMN($O$1),FALSE)*VLOOKUP($D252,素材!$1:$1016,COLUMN($E$1),FALSE)/(LEN(VLOOKUP($D252,素材!$1:$1016,COLUMN($F$1),FALSE))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E252">
        <f>IF(ISNUMBER(SEARCH(SUBSTITUTE(AE$1,RIGHT(AE$1,2),""),VLOOKUP($D252,素材!$1:$1016,COLUMN($F$1),FALSE))),VLOOKUP($C252,武器!$1:$998,COLUMN($O$1),FALSE)*VLOOKUP($D252,素材!$1:$1016,COLUMN($E$1),FALSE)/(LEN(VLOOKUP($D252,素材!$1:$1016,COLUMN($F$1),FALSE))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F252">
        <f>IF(ISNUMBER(SEARCH(SUBSTITUTE(AF$1,RIGHT(AF$1,2),""),VLOOKUP($D252,素材!$1:$1016,COLUMN($F$1),FALSE))),VLOOKUP($C252,武器!$1:$998,COLUMN($O$1),FALSE)*VLOOKUP($D252,素材!$1:$1016,COLUMN($E$1),FALSE)/(LEN(VLOOKUP($D252,素材!$1:$1016,COLUMN($F$1),FALSE))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G252">
        <f>IF(ISNUMBER(SEARCH(SUBSTITUTE(AG$1,RIGHT(AG$1,2),""),VLOOKUP($D252,素材!$1:$1016,COLUMN($F$1),FALSE))),VLOOKUP($C252,武器!$1:$998,COLUMN($O$1),FALSE)*VLOOKUP($D252,素材!$1:$1016,COLUMN($E$1),FALSE)/(LEN(VLOOKUP($D252,素材!$1:$1016,COLUMN($F$1),FALSE))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H252">
        <f>IF(ISNUMBER(SEARCH(SUBSTITUTE(AH$1,RIGHT(AH$1,2),""),VLOOKUP($D252,素材!$1:$1016,COLUMN($F$1),FALSE))),VLOOKUP($C252,武器!$1:$998,COLUMN($O$1),FALSE)*VLOOKUP($D252,素材!$1:$1016,COLUMN($E$1),FALSE)/(LEN(VLOOKUP($D252,素材!$1:$1016,COLUMN($F$1),FALSE))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I252">
        <f>IF(ISNUMBER(SEARCH(SUBSTITUTE(AI$1,RIGHT(AI$1,2),""),VLOOKUP($D252,素材!$1:$1016,COLUMN($F$1),FALSE))),VLOOKUP($C252,武器!$1:$998,COLUMN($O$1),FALSE)*VLOOKUP($D252,素材!$1:$1016,COLUMN($E$1),FALSE)/(LEN(VLOOKUP($D252,素材!$1:$1016,COLUMN($F$1),FALSE))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J252">
        <f>IF(ISNUMBER(SEARCH(SUBSTITUTE(AJ$1,RIGHT(AJ$1,2),""),VLOOKUP($D252,素材!$1:$1016,COLUMN($F$1),FALSE))),VLOOKUP($C252,武器!$1:$998,COLUMN($O$1),FALSE)*VLOOKUP($D252,素材!$1:$1016,COLUMN($E$1),FALSE)/(LEN(VLOOKUP($D252,素材!$1:$1016,COLUMN($F$1),FALSE))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K252">
        <f>IF(ISNUMBER(SEARCH(SUBSTITUTE(AK$1,RIGHT(AK$1,2),""),VLOOKUP($D252,素材!$1:$1016,COLUMN($F$1),FALSE))),VLOOKUP($C252,武器!$1:$998,COLUMN($O$1),FALSE)*VLOOKUP($D252,素材!$1:$1016,COLUMN($E$1),FALSE)/(LEN(VLOOKUP($D252,素材!$1:$1016,COLUMN($F$1),FALSE))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L252">
        <f>IF(ISNUMBER(SEARCH(SUBSTITUTE(AL$1,RIGHT(AL$1,2),""),VLOOKUP($D252,素材!$1:$1016,COLUMN($F$1),FALSE))),VLOOKUP($C252,武器!$1:$998,COLUMN($O$1),FALSE)*VLOOKUP($D252,素材!$1:$1016,COLUMN($E$1),FALSE)/(LEN(VLOOKUP($D252,素材!$1:$1016,COLUMN($F$1),FALSE))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M252">
        <f>IF(ISNUMBER(SEARCH(SUBSTITUTE(AM$1,RIGHT(AM$1,2),""),VLOOKUP($D252,素材!$1:$1016,COLUMN($F$1),FALSE))),VLOOKUP($C252,武器!$1:$998,COLUMN($O$1),FALSE)*VLOOKUP($D252,素材!$1:$1016,COLUMN($E$1),FALSE)/(LEN(VLOOKUP($D252,素材!$1:$1016,COLUMN($F$1),FALSE))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N252">
        <f>IF(ISNUMBER(SEARCH(SUBSTITUTE(AN$1,RIGHT(AN$1,2),""),VLOOKUP($D252,素材!$1:$1016,COLUMN($F$1),FALSE))),VLOOKUP($C252,武器!$1:$998,COLUMN($O$1),FALSE)*VLOOKUP($D252,素材!$1:$1016,COLUMN($E$1),FALSE)/(LEN(VLOOKUP($D252,素材!$1:$1016,COLUMN($F$1),FALSE))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O252">
        <f>IF(ISNUMBER(SEARCH(SUBSTITUTE(AO$1,RIGHT(AO$1,2),""),VLOOKUP($D252,素材!$1:$1016,COLUMN($F$1),FALSE))),VLOOKUP($C252,武器!$1:$998,COLUMN($O$1),FALSE)*VLOOKUP($D252,素材!$1:$1016,COLUMN($E$1),FALSE)/(LEN(VLOOKUP($D252,素材!$1:$1016,COLUMN($F$1),FALSE))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P252">
        <f>IF(ISNUMBER(SEARCH(SUBSTITUTE(AP$1,RIGHT(AP$1,2),""),VLOOKUP($D252,素材!$1:$1016,COLUMN($F$1),FALSE))),VLOOKUP($C252,武器!$1:$998,COLUMN($O$1),FALSE)*VLOOKUP($D252,素材!$1:$1016,COLUMN($E$1),FALSE)/(LEN(VLOOKUP($D252,素材!$1:$1016,COLUMN($F$1),FALSE))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Q252">
        <f>IF(ISNUMBER(SEARCH(SUBSTITUTE(AQ$1,RIGHT(AQ$1,2),""),VLOOKUP($D252,素材!$1:$1016,COLUMN($F$1),FALSE))),VLOOKUP($C252,武器!$1:$998,COLUMN($O$1),FALSE)*VLOOKUP($D252,素材!$1:$1016,COLUMN($E$1),FALSE)/(LEN(VLOOKUP($D252,素材!$1:$1016,COLUMN($F$1),FALSE))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R252">
        <f>IF(ISNUMBER(SEARCH(SUBSTITUTE(AR$1,RIGHT(AR$1,2),""),VLOOKUP($D252,素材!$1:$1016,COLUMN($F$1),FALSE))),VLOOKUP($C252,武器!$1:$998,COLUMN($O$1),FALSE)*VLOOKUP($D252,素材!$1:$1016,COLUMN($E$1),FALSE)/(LEN(VLOOKUP($D252,素材!$1:$1016,COLUMN($F$1),FALSE))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S252">
        <f>IF(ISNUMBER(SEARCH(SUBSTITUTE(AS$1,RIGHT(AS$1,2),""),VLOOKUP($D252,素材!$1:$1016,COLUMN($F$1),FALSE))),VLOOKUP($C252,武器!$1:$998,COLUMN($O$1),FALSE)*VLOOKUP($D252,素材!$1:$1016,COLUMN($E$1),FALSE)/(LEN(VLOOKUP($D252,素材!$1:$1016,COLUMN($F$1),FALSE))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T252">
        <f>IF(ISNUMBER(SEARCH(SUBSTITUTE(AT$1,RIGHT(AT$1,2),""),VLOOKUP($D252,素材!$1:$1016,COLUMN($F$1),FALSE))),VLOOKUP($C252,武器!$1:$998,COLUMN($O$1),FALSE)*VLOOKUP($D252,素材!$1:$1016,COLUMN($E$1),FALSE)/(LEN(VLOOKUP($D252,素材!$1:$1016,COLUMN($F$1),FALSE))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U252">
        <f>IF(ISNUMBER(SEARCH(SUBSTITUTE(AU$1,RIGHT(AU$1,2),""),VLOOKUP($D252,素材!$1:$1016,COLUMN($F$1),FALSE))),VLOOKUP($C252,武器!$1:$998,COLUMN($O$1),FALSE)*VLOOKUP($D252,素材!$1:$1016,COLUMN($E$1),FALSE)/(LEN(VLOOKUP($D252,素材!$1:$1016,COLUMN($F$1),FALSE))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V252">
        <f>IF(ISNUMBER(SEARCH(SUBSTITUTE(AV$1,RIGHT(AV$1,2),""),VLOOKUP($D252,素材!$1:$1016,COLUMN($F$1),FALSE))),VLOOKUP($C252,武器!$1:$998,COLUMN($O$1),FALSE)*VLOOKUP($D252,素材!$1:$1016,COLUMN($E$1),FALSE)/(LEN(VLOOKUP($D252,素材!$1:$1016,COLUMN($F$1),FALSE))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W252">
        <f>IF(ISNUMBER(SEARCH(SUBSTITUTE(AW$1,RIGHT(AW$1,2),""),VLOOKUP($D252,素材!$1:$1016,COLUMN($F$1),FALSE))),VLOOKUP($C252,武器!$1:$998,COLUMN($O$1),FALSE)*VLOOKUP($D252,素材!$1:$1016,COLUMN($E$1),FALSE)/(LEN(VLOOKUP($D252,素材!$1:$1016,COLUMN($F$1),FALSE))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X252">
        <f>IF(ISNUMBER(SEARCH(SUBSTITUTE(AX$1,RIGHT(AX$1,2),""),VLOOKUP($D252,素材!$1:$1016,COLUMN($F$1),FALSE))),VLOOKUP($C252,武器!$1:$998,COLUMN($O$1),FALSE)*VLOOKUP($D252,素材!$1:$1016,COLUMN($E$1),FALSE)/(LEN(VLOOKUP($D252,素材!$1:$1016,COLUMN($F$1),FALSE))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Y252">
        <f>IF(ISNUMBER(SEARCH(SUBSTITUTE(AY$1,RIGHT(AY$1,2),""),VLOOKUP($D252,素材!$1:$1016,COLUMN($F$1),FALSE))),VLOOKUP($C252,武器!$1:$998,COLUMN($O$1),FALSE)*VLOOKUP($D252,素材!$1:$1016,COLUMN($E$1),FALSE)/(LEN(VLOOKUP($D252,素材!$1:$1016,COLUMN($F$1),FALSE))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AZ252">
        <f>IF(ISNUMBER(SEARCH(SUBSTITUTE(AZ$1,RIGHT(AZ$1,2),""),VLOOKUP($D252,素材!$1:$1016,COLUMN($F$1),FALSE))),VLOOKUP($C252,武器!$1:$998,COLUMN($O$1),FALSE)*VLOOKUP($D252,素材!$1:$1016,COLUMN($E$1),FALSE)/(LEN(VLOOKUP($D252,素材!$1:$1016,COLUMN($F$1),FALSE))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BA252">
        <f>IF(ISNUMBER(SEARCH(SUBSTITUTE(BA$1,RIGHT(BA$1,2),""),VLOOKUP($D252,素材!$1:$1016,COLUMN($F$1),FALSE))),VLOOKUP($C252,武器!$1:$998,COLUMN($O$1),FALSE)*VLOOKUP($D252,素材!$1:$1016,COLUMN($E$1),FALSE)/(LEN(VLOOKUP($D252,素材!$1:$1016,COLUMN($F$1),FALSE))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BB252">
        <f>IF(ISNUMBER(SEARCH(SUBSTITUTE(BB$1,RIGHT(BB$1,2),""),VLOOKUP($D252,素材!$1:$1016,COLUMN($F$1),FALSE))),VLOOKUP($C252,武器!$1:$998,COLUMN($O$1),FALSE)*VLOOKUP($D252,素材!$1:$1016,COLUMN($E$1),FALSE)/(LEN(VLOOKUP($D252,素材!$1:$1016,COLUMN($F$1),FALSE))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BC252">
        <f>IF(ISNUMBER(SEARCH(SUBSTITUTE(BC$1,RIGHT(BC$1,2),""),VLOOKUP($D252,素材!$1:$1016,COLUMN($F$1),FALSE))),VLOOKUP($C252,武器!$1:$998,COLUMN($O$1),FALSE)*VLOOKUP($D252,素材!$1:$1016,COLUMN($E$1),FALSE)/(LEN(VLOOKUP($D252,素材!$1:$1016,COLUMN($F$1),FALSE))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BD252">
        <f>IF(ISNUMBER(SEARCH(SUBSTITUTE(BD$1,RIGHT(BD$1,2),""),VLOOKUP($D252,素材!$1:$1016,COLUMN($F$1),FALSE))),VLOOKUP($C252,武器!$1:$998,COLUMN($O$1),FALSE)*VLOOKUP($D252,素材!$1:$1016,COLUMN($E$1),FALSE)/(LEN(VLOOKUP($D252,素材!$1:$1016,COLUMN($F$1),FALSE))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BE252">
        <f>IF(ISNUMBER(SEARCH(SUBSTITUTE(BE$1,RIGHT(BE$1,2),""),VLOOKUP($D252,素材!$1:$1016,COLUMN($F$1),FALSE))),VLOOKUP($C252,武器!$1:$998,COLUMN($O$1),FALSE)*VLOOKUP($D252,素材!$1:$1016,COLUMN($E$1),FALSE)/(LEN(VLOOKUP($D252,素材!$1:$1016,COLUMN($F$1),FALSE))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BF252">
        <f>IF(ISNUMBER(SEARCH(SUBSTITUTE(BF$1,RIGHT(BF$1,2),""),VLOOKUP($D252,素材!$1:$1016,COLUMN($F$1),FALSE))),VLOOKUP($C252,武器!$1:$998,COLUMN($O$1),FALSE)*VLOOKUP($D252,素材!$1:$1016,COLUMN($E$1),FALSE)/(LEN(VLOOKUP($D252,素材!$1:$1016,COLUMN($F$1),FALSE)) - LEN(SUBSTITUTE(VLOOKUP($D252,素材!$1:$1016,COLUMN($F$1),FALSE), "・", 0)) + 1), 0)</f>
        <v>0</v>
      </c>
      <c r="CM252">
        <f t="shared" si="31"/>
        <v>10</v>
      </c>
      <c r="CN252" s="22" t="str">
        <f>IF(E252="武器",IF(J252-1&gt;SUM(G252:I252),"盾",IF(MAX(G252:I252)=G252,"切断",IF(MAX(G252:I252)=H252,"貫通",IF(MAX(G252:I252)=I252,"打撃","射撃")))),E252)&amp;".webp"</f>
        <v>切断.webp</v>
      </c>
      <c r="CO252">
        <f>IFERROR(VLOOKUP($C252,武器!$1:$998,COLUMN(V$1),FALSE)*VLOOKUP($D252,素材!$1:$1016,COLUMN(N$1),FALSE)+IF(CJ252="",0,VLOOKUP($CJ252,装強!$1:$1008,COLUMN($CL$1),FALSE)),"")</f>
        <v>2250</v>
      </c>
      <c r="CP252">
        <f>VLOOKUP(D252,素材!$A:$O,COLUMN(素材!O$1),FALSE)</f>
        <v>0</v>
      </c>
      <c r="CQ252" t="str">
        <f>VLOOKUP(C252,武器!$A:$W,COLUMN(武器!W$1),FALSE)</f>
        <v>短弓。軽量で扱いやすい遠距離武器。</v>
      </c>
      <c r="CS252" t="str">
        <f t="shared" si="32"/>
        <v>e_252</v>
      </c>
      <c r="CT252">
        <f t="shared" si="33"/>
        <v>225000</v>
      </c>
    </row>
    <row r="253" spans="1:98" outlineLevel="1" x14ac:dyDescent="0.4">
      <c r="A253" t="str">
        <f t="shared" si="35"/>
        <v>熱鉄の長弓</v>
      </c>
      <c r="B253" t="str">
        <f>IFERROR(VLOOKUP($D253,素材!$1:$1016,COLUMN($B$1),FALSE)&amp;"・"&amp;VLOOKUP($C253,武器!$1:$998,COLUMN(B$1),FALSE),"")</f>
        <v>ヒートスティール・ロングボウ</v>
      </c>
      <c r="C253" t="s">
        <v>217</v>
      </c>
      <c r="D253" s="24" t="s">
        <v>205</v>
      </c>
      <c r="E253" t="str">
        <f>IFERROR(VLOOKUP(C253,武器!$1:$998,COLUMN(C$1),FALSE),"")</f>
        <v>武器</v>
      </c>
      <c r="F253">
        <f>IFERROR(ROUNDDOWN((VLOOKUP($C253,武器!$1:$998,COLUMN(D$1),FALSE)+IFERROR(VLOOKUP($CJ253,装強!$1:$999,COLUMN(F$1),FALSE),0))*VLOOKUP($D253,素材!$1:$1016,COLUMN(D$1),FALSE),0),"")</f>
        <v>120</v>
      </c>
      <c r="G253">
        <f>IFERROR(ROUNDDOWN((VLOOKUP($C253,武器!$1:$998,COLUMN(E$1),FALSE)+IFERROR(VLOOKUP($CJ253,装強!$1:$999,COLUMN(G$1),FALSE),0))*VLOOKUP($D253,素材!$1:$1016,COLUMN($E$1),FALSE),0),"")</f>
        <v>5</v>
      </c>
      <c r="H253">
        <f>IFERROR(ROUNDDOWN((VLOOKUP($C253,武器!$1:$998,COLUMN(F$1),FALSE)+IFERROR(VLOOKUP($CJ253,装強!$1:$999,COLUMN(H$1),FALSE),0))*VLOOKUP($D253,素材!$1:$1016,COLUMN($E$1),FALSE),0),"")</f>
        <v>5</v>
      </c>
      <c r="I253">
        <f>IFERROR(ROUNDDOWN((VLOOKUP($C253,武器!$1:$998,COLUMN(G$1),FALSE)+IFERROR(VLOOKUP($CJ253,装強!$1:$999,COLUMN(I$1),FALSE),0))*VLOOKUP($D253,素材!$1:$1016,COLUMN($E$1),FALSE),0),"")</f>
        <v>0</v>
      </c>
      <c r="J253">
        <f>IFERROR(ROUNDDOWN((VLOOKUP($C253,武器!$1:$998,COLUMN(H$1),FALSE)+IFERROR(VLOOKUP($CJ253,装強!$1:$999,COLUMN(J$1),FALSE),0))*VLOOKUP($D253,素材!$1:$1016,COLUMN($E$1),FALSE),0),"")</f>
        <v>0</v>
      </c>
      <c r="K253">
        <f>IFERROR(ROUNDDOWN((VLOOKUP($C253,武器!$1:$998,COLUMN(I$1),FALSE)+IFERROR(VLOOKUP($CJ253,装強!$1:$999,COLUMN(K$1),FALSE),0))*VLOOKUP($D253,素材!$1:$1016,COLUMN($E$1),FALSE),0),"")</f>
        <v>23</v>
      </c>
      <c r="L253" t="str">
        <f>IFERROR(VLOOKUP($D253,素材!$1:$1016,COLUMN($F$1),FALSE),"")</f>
        <v>炎</v>
      </c>
      <c r="M253">
        <f>IFERROR(VLOOKUP($C253,武器!$1:$998,COLUMN(AA$1),FALSE)*VLOOKUP($D253,素材!$1:$1016,COLUMN($G$1),FALSE),"")</f>
        <v>40.25</v>
      </c>
      <c r="N253">
        <f>IFERROR(VLOOKUP($C253,武器!$1:$998,COLUMN(I$1),FALSE),"")</f>
        <v>1.1499999999999999</v>
      </c>
      <c r="O253" s="23">
        <f>IFERROR((VLOOKUP($C253,武器!$1:$998,COLUMN(K$1),FALSE)+VLOOKUP($D253,素材!$1:$1016,COLUMN(H$1),FALSE))*100+IFERROR(VLOOKUP($CJ253,装強!$1:$999,COLUMN(O$1),FALSE),0),"")</f>
        <v>10</v>
      </c>
      <c r="P253" s="23">
        <f>IFERROR((VLOOKUP($C253,武器!$1:$998,COLUMN(L$1),FALSE)+VLOOKUP($D253,素材!$1:$1016,COLUMN(I$1),FALSE))*100+IFERROR(VLOOKUP($CJ253,装強!$1:$999,COLUMN(P$1),FALSE),0),"")</f>
        <v>130</v>
      </c>
      <c r="Q253">
        <f>IFERROR(ROUNDUP(VLOOKUP($C253,武器!$1:$998,COLUMN(M$1),FALSE)*(VLOOKUP($D253,素材!$1:$1002,COLUMN(D$1),FALSE)/100),1),"")</f>
        <v>-5</v>
      </c>
      <c r="R253">
        <f>IFERROR(ROUNDUP(VLOOKUP($C253,武器!$1:$998,COLUMN(N$1),FALSE)*(VLOOKUP($D253,素材!$1:$1002,COLUMN(D$1),FALSE)/100),1),"")</f>
        <v>-2.5</v>
      </c>
      <c r="S253">
        <f>IFERROR(VLOOKUP($C253,武器!$1:$998,COLUMN(P$1),FALSE),"")</f>
        <v>2</v>
      </c>
      <c r="T253">
        <f>IFERROR(VLOOKUP($C253,武器!$1:$998,COLUMN(Q$1),FALSE),"")</f>
        <v>0</v>
      </c>
      <c r="U253">
        <f>IFERROR(VLOOKUP($C253,武器!$1:$998,COLUMN(R$1),FALSE),"")</f>
        <v>0</v>
      </c>
      <c r="V253">
        <f>IFERROR(VLOOKUP($C253,武器!$1:$998,COLUMN(Q$1),FALSE),"")</f>
        <v>0</v>
      </c>
      <c r="W253" t="str">
        <f>IFERROR(VLOOKUP($C253,武器!$1:$998,COLUMN(T$1),FALSE),"")</f>
        <v>A</v>
      </c>
      <c r="Y253">
        <f>IFERROR(VLOOKUP($C253,武器!$1:$998,COLUMN(U$1),FALSE),"")</f>
        <v>0</v>
      </c>
      <c r="Z253">
        <f>IFERROR(ROUNDUP(VLOOKUP($C253,武器!$1:$998,COLUMN(O$1),FALSE)*VLOOKUP($D253,素材!$1:$1016,COLUMN(E$1),FALSE),1),"")</f>
        <v>0</v>
      </c>
      <c r="AA253">
        <f>IF(ISNUMBER(SEARCH(SUBSTITUTE(AA$1,RIGHT(AA$1,2),""),VLOOKUP($D253,素材!$1:$1016,COLUMN($F$1),FALSE))),VLOOKUP($C253,武器!$1:$998,COLUMN($O$1),FALSE)*VLOOKUP($D253,素材!$1:$1016,COLUMN($E$1),FALSE)/(LEN(VLOOKUP($D253,素材!$1:$1016,COLUMN($F$1),FALSE))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B253">
        <f>IF(ISNUMBER(SEARCH(SUBSTITUTE(AB$1,RIGHT(AB$1,2),""),VLOOKUP($D253,素材!$1:$1016,COLUMN($F$1),FALSE))),VLOOKUP($C253,武器!$1:$998,COLUMN($O$1),FALSE)*VLOOKUP($D253,素材!$1:$1016,COLUMN($E$1),FALSE)/(LEN(VLOOKUP($D253,素材!$1:$1016,COLUMN($F$1),FALSE))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C253">
        <f>IF(ISNUMBER(SEARCH(SUBSTITUTE(AC$1,RIGHT(AC$1,2),""),VLOOKUP($D253,素材!$1:$1016,COLUMN($F$1),FALSE))),VLOOKUP($C253,武器!$1:$998,COLUMN($O$1),FALSE)*VLOOKUP($D253,素材!$1:$1016,COLUMN($E$1),FALSE)/(LEN(VLOOKUP($D253,素材!$1:$1016,COLUMN($F$1),FALSE))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D253">
        <f>IF(ISNUMBER(SEARCH(SUBSTITUTE(AD$1,RIGHT(AD$1,2),""),VLOOKUP($D253,素材!$1:$1016,COLUMN($F$1),FALSE))),VLOOKUP($C253,武器!$1:$998,COLUMN($O$1),FALSE)*VLOOKUP($D253,素材!$1:$1016,COLUMN($E$1),FALSE)/(LEN(VLOOKUP($D253,素材!$1:$1016,COLUMN($F$1),FALSE))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E253">
        <f>IF(ISNUMBER(SEARCH(SUBSTITUTE(AE$1,RIGHT(AE$1,2),""),VLOOKUP($D253,素材!$1:$1016,COLUMN($F$1),FALSE))),VLOOKUP($C253,武器!$1:$998,COLUMN($O$1),FALSE)*VLOOKUP($D253,素材!$1:$1016,COLUMN($E$1),FALSE)/(LEN(VLOOKUP($D253,素材!$1:$1016,COLUMN($F$1),FALSE))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F253">
        <f>IF(ISNUMBER(SEARCH(SUBSTITUTE(AF$1,RIGHT(AF$1,2),""),VLOOKUP($D253,素材!$1:$1016,COLUMN($F$1),FALSE))),VLOOKUP($C253,武器!$1:$998,COLUMN($O$1),FALSE)*VLOOKUP($D253,素材!$1:$1016,COLUMN($E$1),FALSE)/(LEN(VLOOKUP($D253,素材!$1:$1016,COLUMN($F$1),FALSE))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G253">
        <f>IF(ISNUMBER(SEARCH(SUBSTITUTE(AG$1,RIGHT(AG$1,2),""),VLOOKUP($D253,素材!$1:$1016,COLUMN($F$1),FALSE))),VLOOKUP($C253,武器!$1:$998,COLUMN($O$1),FALSE)*VLOOKUP($D253,素材!$1:$1016,COLUMN($E$1),FALSE)/(LEN(VLOOKUP($D253,素材!$1:$1016,COLUMN($F$1),FALSE))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H253">
        <f>IF(ISNUMBER(SEARCH(SUBSTITUTE(AH$1,RIGHT(AH$1,2),""),VLOOKUP($D253,素材!$1:$1016,COLUMN($F$1),FALSE))),VLOOKUP($C253,武器!$1:$998,COLUMN($O$1),FALSE)*VLOOKUP($D253,素材!$1:$1016,COLUMN($E$1),FALSE)/(LEN(VLOOKUP($D253,素材!$1:$1016,COLUMN($F$1),FALSE))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I253">
        <f>IF(ISNUMBER(SEARCH(SUBSTITUTE(AI$1,RIGHT(AI$1,2),""),VLOOKUP($D253,素材!$1:$1016,COLUMN($F$1),FALSE))),VLOOKUP($C253,武器!$1:$998,COLUMN($O$1),FALSE)*VLOOKUP($D253,素材!$1:$1016,COLUMN($E$1),FALSE)/(LEN(VLOOKUP($D253,素材!$1:$1016,COLUMN($F$1),FALSE))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J253">
        <f>IF(ISNUMBER(SEARCH(SUBSTITUTE(AJ$1,RIGHT(AJ$1,2),""),VLOOKUP($D253,素材!$1:$1016,COLUMN($F$1),FALSE))),VLOOKUP($C253,武器!$1:$998,COLUMN($O$1),FALSE)*VLOOKUP($D253,素材!$1:$1016,COLUMN($E$1),FALSE)/(LEN(VLOOKUP($D253,素材!$1:$1016,COLUMN($F$1),FALSE))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K253">
        <f>IF(ISNUMBER(SEARCH(SUBSTITUTE(AK$1,RIGHT(AK$1,2),""),VLOOKUP($D253,素材!$1:$1016,COLUMN($F$1),FALSE))),VLOOKUP($C253,武器!$1:$998,COLUMN($O$1),FALSE)*VLOOKUP($D253,素材!$1:$1016,COLUMN($E$1),FALSE)/(LEN(VLOOKUP($D253,素材!$1:$1016,COLUMN($F$1),FALSE))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L253">
        <f>IF(ISNUMBER(SEARCH(SUBSTITUTE(AL$1,RIGHT(AL$1,2),""),VLOOKUP($D253,素材!$1:$1016,COLUMN($F$1),FALSE))),VLOOKUP($C253,武器!$1:$998,COLUMN($O$1),FALSE)*VLOOKUP($D253,素材!$1:$1016,COLUMN($E$1),FALSE)/(LEN(VLOOKUP($D253,素材!$1:$1016,COLUMN($F$1),FALSE))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M253">
        <f>IF(ISNUMBER(SEARCH(SUBSTITUTE(AM$1,RIGHT(AM$1,2),""),VLOOKUP($D253,素材!$1:$1016,COLUMN($F$1),FALSE))),VLOOKUP($C253,武器!$1:$998,COLUMN($O$1),FALSE)*VLOOKUP($D253,素材!$1:$1016,COLUMN($E$1),FALSE)/(LEN(VLOOKUP($D253,素材!$1:$1016,COLUMN($F$1),FALSE))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N253">
        <f>IF(ISNUMBER(SEARCH(SUBSTITUTE(AN$1,RIGHT(AN$1,2),""),VLOOKUP($D253,素材!$1:$1016,COLUMN($F$1),FALSE))),VLOOKUP($C253,武器!$1:$998,COLUMN($O$1),FALSE)*VLOOKUP($D253,素材!$1:$1016,COLUMN($E$1),FALSE)/(LEN(VLOOKUP($D253,素材!$1:$1016,COLUMN($F$1),FALSE))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O253">
        <f>IF(ISNUMBER(SEARCH(SUBSTITUTE(AO$1,RIGHT(AO$1,2),""),VLOOKUP($D253,素材!$1:$1016,COLUMN($F$1),FALSE))),VLOOKUP($C253,武器!$1:$998,COLUMN($O$1),FALSE)*VLOOKUP($D253,素材!$1:$1016,COLUMN($E$1),FALSE)/(LEN(VLOOKUP($D253,素材!$1:$1016,COLUMN($F$1),FALSE))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P253">
        <f>IF(ISNUMBER(SEARCH(SUBSTITUTE(AP$1,RIGHT(AP$1,2),""),VLOOKUP($D253,素材!$1:$1016,COLUMN($F$1),FALSE))),VLOOKUP($C253,武器!$1:$998,COLUMN($O$1),FALSE)*VLOOKUP($D253,素材!$1:$1016,COLUMN($E$1),FALSE)/(LEN(VLOOKUP($D253,素材!$1:$1016,COLUMN($F$1),FALSE))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Q253">
        <f>IF(ISNUMBER(SEARCH(SUBSTITUTE(AQ$1,RIGHT(AQ$1,2),""),VLOOKUP($D253,素材!$1:$1016,COLUMN($F$1),FALSE))),VLOOKUP($C253,武器!$1:$998,COLUMN($O$1),FALSE)*VLOOKUP($D253,素材!$1:$1016,COLUMN($E$1),FALSE)/(LEN(VLOOKUP($D253,素材!$1:$1016,COLUMN($F$1),FALSE))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R253">
        <f>IF(ISNUMBER(SEARCH(SUBSTITUTE(AR$1,RIGHT(AR$1,2),""),VLOOKUP($D253,素材!$1:$1016,COLUMN($F$1),FALSE))),VLOOKUP($C253,武器!$1:$998,COLUMN($O$1),FALSE)*VLOOKUP($D253,素材!$1:$1016,COLUMN($E$1),FALSE)/(LEN(VLOOKUP($D253,素材!$1:$1016,COLUMN($F$1),FALSE))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S253">
        <f>IF(ISNUMBER(SEARCH(SUBSTITUTE(AS$1,RIGHT(AS$1,2),""),VLOOKUP($D253,素材!$1:$1016,COLUMN($F$1),FALSE))),VLOOKUP($C253,武器!$1:$998,COLUMN($O$1),FALSE)*VLOOKUP($D253,素材!$1:$1016,COLUMN($E$1),FALSE)/(LEN(VLOOKUP($D253,素材!$1:$1016,COLUMN($F$1),FALSE))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T253">
        <f>IF(ISNUMBER(SEARCH(SUBSTITUTE(AT$1,RIGHT(AT$1,2),""),VLOOKUP($D253,素材!$1:$1016,COLUMN($F$1),FALSE))),VLOOKUP($C253,武器!$1:$998,COLUMN($O$1),FALSE)*VLOOKUP($D253,素材!$1:$1016,COLUMN($E$1),FALSE)/(LEN(VLOOKUP($D253,素材!$1:$1016,COLUMN($F$1),FALSE))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U253">
        <f>IF(ISNUMBER(SEARCH(SUBSTITUTE(AU$1,RIGHT(AU$1,2),""),VLOOKUP($D253,素材!$1:$1016,COLUMN($F$1),FALSE))),VLOOKUP($C253,武器!$1:$998,COLUMN($O$1),FALSE)*VLOOKUP($D253,素材!$1:$1016,COLUMN($E$1),FALSE)/(LEN(VLOOKUP($D253,素材!$1:$1016,COLUMN($F$1),FALSE))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V253">
        <f>IF(ISNUMBER(SEARCH(SUBSTITUTE(AV$1,RIGHT(AV$1,2),""),VLOOKUP($D253,素材!$1:$1016,COLUMN($F$1),FALSE))),VLOOKUP($C253,武器!$1:$998,COLUMN($O$1),FALSE)*VLOOKUP($D253,素材!$1:$1016,COLUMN($E$1),FALSE)/(LEN(VLOOKUP($D253,素材!$1:$1016,COLUMN($F$1),FALSE))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W253">
        <f>IF(ISNUMBER(SEARCH(SUBSTITUTE(AW$1,RIGHT(AW$1,2),""),VLOOKUP($D253,素材!$1:$1016,COLUMN($F$1),FALSE))),VLOOKUP($C253,武器!$1:$998,COLUMN($O$1),FALSE)*VLOOKUP($D253,素材!$1:$1016,COLUMN($E$1),FALSE)/(LEN(VLOOKUP($D253,素材!$1:$1016,COLUMN($F$1),FALSE))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X253">
        <f>IF(ISNUMBER(SEARCH(SUBSTITUTE(AX$1,RIGHT(AX$1,2),""),VLOOKUP($D253,素材!$1:$1016,COLUMN($F$1),FALSE))),VLOOKUP($C253,武器!$1:$998,COLUMN($O$1),FALSE)*VLOOKUP($D253,素材!$1:$1016,COLUMN($E$1),FALSE)/(LEN(VLOOKUP($D253,素材!$1:$1016,COLUMN($F$1),FALSE))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Y253">
        <f>IF(ISNUMBER(SEARCH(SUBSTITUTE(AY$1,RIGHT(AY$1,2),""),VLOOKUP($D253,素材!$1:$1016,COLUMN($F$1),FALSE))),VLOOKUP($C253,武器!$1:$998,COLUMN($O$1),FALSE)*VLOOKUP($D253,素材!$1:$1016,COLUMN($E$1),FALSE)/(LEN(VLOOKUP($D253,素材!$1:$1016,COLUMN($F$1),FALSE))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AZ253">
        <f>IF(ISNUMBER(SEARCH(SUBSTITUTE(AZ$1,RIGHT(AZ$1,2),""),VLOOKUP($D253,素材!$1:$1016,COLUMN($F$1),FALSE))),VLOOKUP($C253,武器!$1:$998,COLUMN($O$1),FALSE)*VLOOKUP($D253,素材!$1:$1016,COLUMN($E$1),FALSE)/(LEN(VLOOKUP($D253,素材!$1:$1016,COLUMN($F$1),FALSE))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BA253">
        <f>IF(ISNUMBER(SEARCH(SUBSTITUTE(BA$1,RIGHT(BA$1,2),""),VLOOKUP($D253,素材!$1:$1016,COLUMN($F$1),FALSE))),VLOOKUP($C253,武器!$1:$998,COLUMN($O$1),FALSE)*VLOOKUP($D253,素材!$1:$1016,COLUMN($E$1),FALSE)/(LEN(VLOOKUP($D253,素材!$1:$1016,COLUMN($F$1),FALSE))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BB253">
        <f>IF(ISNUMBER(SEARCH(SUBSTITUTE(BB$1,RIGHT(BB$1,2),""),VLOOKUP($D253,素材!$1:$1016,COLUMN($F$1),FALSE))),VLOOKUP($C253,武器!$1:$998,COLUMN($O$1),FALSE)*VLOOKUP($D253,素材!$1:$1016,COLUMN($E$1),FALSE)/(LEN(VLOOKUP($D253,素材!$1:$1016,COLUMN($F$1),FALSE))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BC253">
        <f>IF(ISNUMBER(SEARCH(SUBSTITUTE(BC$1,RIGHT(BC$1,2),""),VLOOKUP($D253,素材!$1:$1016,COLUMN($F$1),FALSE))),VLOOKUP($C253,武器!$1:$998,COLUMN($O$1),FALSE)*VLOOKUP($D253,素材!$1:$1016,COLUMN($E$1),FALSE)/(LEN(VLOOKUP($D253,素材!$1:$1016,COLUMN($F$1),FALSE))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BD253">
        <f>IF(ISNUMBER(SEARCH(SUBSTITUTE(BD$1,RIGHT(BD$1,2),""),VLOOKUP($D253,素材!$1:$1016,COLUMN($F$1),FALSE))),VLOOKUP($C253,武器!$1:$998,COLUMN($O$1),FALSE)*VLOOKUP($D253,素材!$1:$1016,COLUMN($E$1),FALSE)/(LEN(VLOOKUP($D253,素材!$1:$1016,COLUMN($F$1),FALSE))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BE253">
        <f>IF(ISNUMBER(SEARCH(SUBSTITUTE(BE$1,RIGHT(BE$1,2),""),VLOOKUP($D253,素材!$1:$1016,COLUMN($F$1),FALSE))),VLOOKUP($C253,武器!$1:$998,COLUMN($O$1),FALSE)*VLOOKUP($D253,素材!$1:$1016,COLUMN($E$1),FALSE)/(LEN(VLOOKUP($D253,素材!$1:$1016,COLUMN($F$1),FALSE))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BF253">
        <f>IF(ISNUMBER(SEARCH(SUBSTITUTE(BF$1,RIGHT(BF$1,2),""),VLOOKUP($D253,素材!$1:$1016,COLUMN($F$1),FALSE))),VLOOKUP($C253,武器!$1:$998,COLUMN($O$1),FALSE)*VLOOKUP($D253,素材!$1:$1016,COLUMN($E$1),FALSE)/(LEN(VLOOKUP($D253,素材!$1:$1016,COLUMN($F$1),FALSE)) - LEN(SUBSTITUTE(VLOOKUP($D253,素材!$1:$1016,COLUMN($F$1),FALSE), "・", 0)) + 1), 0)</f>
        <v>0</v>
      </c>
      <c r="CM253">
        <f t="shared" si="31"/>
        <v>10</v>
      </c>
      <c r="CN253" s="22" t="str">
        <f>IF(E253="武器",IF(J253-1&gt;SUM(G253:I253),"盾",IF(MAX(G253:I253)=G253,"切断",IF(MAX(G253:I253)=H253,"貫通",IF(MAX(G253:I253)=I253,"打撃","射撃")))),E253)&amp;".webp"</f>
        <v>切断.webp</v>
      </c>
      <c r="CO253">
        <f>IFERROR(VLOOKUP($C253,武器!$1:$998,COLUMN(V$1),FALSE)*VLOOKUP($D253,素材!$1:$1016,COLUMN(N$1),FALSE)+IF(CJ253="",0,VLOOKUP($CJ253,装強!$1:$1008,COLUMN($CL$1),FALSE)),"")</f>
        <v>3000</v>
      </c>
      <c r="CP253">
        <f>VLOOKUP(D253,素材!$A:$O,COLUMN(素材!O$1),FALSE)</f>
        <v>0</v>
      </c>
      <c r="CQ253" t="str">
        <f>VLOOKUP(C253,武器!$A:$W,COLUMN(武器!W$1),FALSE)</f>
        <v>長弓。射程が長く、高い威力を持つ。</v>
      </c>
      <c r="CS253" t="str">
        <f t="shared" si="32"/>
        <v>e_253</v>
      </c>
      <c r="CT253">
        <f t="shared" si="33"/>
        <v>300000</v>
      </c>
    </row>
    <row r="254" spans="1:98" outlineLevel="1" x14ac:dyDescent="0.4">
      <c r="A254" t="str">
        <f t="shared" si="35"/>
        <v>熱鉄の杖</v>
      </c>
      <c r="B254" t="str">
        <f>IFERROR(VLOOKUP($D254,素材!$1:$1016,COLUMN($B$1),FALSE)&amp;"・"&amp;VLOOKUP($C254,武器!$1:$998,COLUMN(B$1),FALSE),"")</f>
        <v>ヒートスティール・ロッド</v>
      </c>
      <c r="C254" t="s">
        <v>216</v>
      </c>
      <c r="D254" s="24" t="s">
        <v>205</v>
      </c>
      <c r="E254" t="str">
        <f>IFERROR(VLOOKUP(C254,武器!$1:$998,COLUMN(C$1),FALSE),"")</f>
        <v>杖</v>
      </c>
      <c r="F254">
        <f>IFERROR(ROUNDDOWN((VLOOKUP($C254,武器!$1:$998,COLUMN(D$1),FALSE)+IFERROR(VLOOKUP($CJ254,装強!$1:$999,COLUMN(F$1),FALSE),0))*VLOOKUP($D254,素材!$1:$1016,COLUMN(D$1),FALSE),0),"")</f>
        <v>110</v>
      </c>
      <c r="G254">
        <f>IFERROR(ROUNDDOWN((VLOOKUP($C254,武器!$1:$998,COLUMN(E$1),FALSE)+IFERROR(VLOOKUP($CJ254,装強!$1:$999,COLUMN(G$1),FALSE),0))*VLOOKUP($D254,素材!$1:$1016,COLUMN($E$1),FALSE),0),"")</f>
        <v>0</v>
      </c>
      <c r="H254">
        <f>IFERROR(ROUNDDOWN((VLOOKUP($C254,武器!$1:$998,COLUMN(F$1),FALSE)+IFERROR(VLOOKUP($CJ254,装強!$1:$999,COLUMN(H$1),FALSE),0))*VLOOKUP($D254,素材!$1:$1016,COLUMN($E$1),FALSE),0),"")</f>
        <v>5</v>
      </c>
      <c r="I254">
        <f>IFERROR(ROUNDDOWN((VLOOKUP($C254,武器!$1:$998,COLUMN(G$1),FALSE)+IFERROR(VLOOKUP($CJ254,装強!$1:$999,COLUMN(I$1),FALSE),0))*VLOOKUP($D254,素材!$1:$1016,COLUMN($E$1),FALSE),0),"")</f>
        <v>14</v>
      </c>
      <c r="J254">
        <f>IFERROR(ROUNDDOWN((VLOOKUP($C254,武器!$1:$998,COLUMN(H$1),FALSE)+IFERROR(VLOOKUP($CJ254,装強!$1:$999,COLUMN(J$1),FALSE),0))*VLOOKUP($D254,素材!$1:$1016,COLUMN($E$1),FALSE),0),"")</f>
        <v>18</v>
      </c>
      <c r="K254">
        <f>IFERROR(ROUNDDOWN((VLOOKUP($C254,武器!$1:$998,COLUMN(I$1),FALSE)+IFERROR(VLOOKUP($CJ254,装強!$1:$999,COLUMN(K$1),FALSE),0))*VLOOKUP($D254,素材!$1:$1016,COLUMN($E$1),FALSE),0),"")</f>
        <v>0</v>
      </c>
      <c r="L254" t="str">
        <f>IFERROR(VLOOKUP($D254,素材!$1:$1016,COLUMN($F$1),FALSE),"")</f>
        <v>炎</v>
      </c>
      <c r="M254">
        <f>IFERROR(VLOOKUP($C254,武器!$1:$998,COLUMN(AA$1),FALSE)*VLOOKUP($D254,素材!$1:$1016,COLUMN($G$1),FALSE),"")</f>
        <v>33.25</v>
      </c>
      <c r="N254">
        <f>IFERROR(VLOOKUP($C254,武器!$1:$998,COLUMN(I$1),FALSE),"")</f>
        <v>0</v>
      </c>
      <c r="O254" s="23">
        <f>IFERROR((VLOOKUP($C254,武器!$1:$998,COLUMN(K$1),FALSE)+VLOOKUP($D254,素材!$1:$1016,COLUMN(H$1),FALSE))*100+IFERROR(VLOOKUP($CJ254,装強!$1:$999,COLUMN(O$1),FALSE),0),"")</f>
        <v>5</v>
      </c>
      <c r="P254" s="23">
        <f>IFERROR((VLOOKUP($C254,武器!$1:$998,COLUMN(L$1),FALSE)+VLOOKUP($D254,素材!$1:$1016,COLUMN(I$1),FALSE))*100+IFERROR(VLOOKUP($CJ254,装強!$1:$999,COLUMN(P$1),FALSE),0),"")</f>
        <v>150</v>
      </c>
      <c r="Q254">
        <f>IFERROR(ROUNDUP(VLOOKUP($C254,武器!$1:$998,COLUMN(M$1),FALSE)*(VLOOKUP($D254,素材!$1:$1002,COLUMN(D$1),FALSE)/100),1),"")</f>
        <v>0</v>
      </c>
      <c r="R254">
        <f>IFERROR(ROUNDUP(VLOOKUP($C254,武器!$1:$998,COLUMN(N$1),FALSE)*(VLOOKUP($D254,素材!$1:$1002,COLUMN(D$1),FALSE)/100),1),"")</f>
        <v>0</v>
      </c>
      <c r="S254">
        <f>IFERROR(VLOOKUP($C254,武器!$1:$998,COLUMN(P$1),FALSE),"")</f>
        <v>0</v>
      </c>
      <c r="T254">
        <f>IFERROR(VLOOKUP($C254,武器!$1:$998,COLUMN(Q$1),FALSE),"")</f>
        <v>0</v>
      </c>
      <c r="U254">
        <f>IFERROR(VLOOKUP($C254,武器!$1:$998,COLUMN(R$1),FALSE),"")</f>
        <v>0</v>
      </c>
      <c r="V254">
        <f>IFERROR(VLOOKUP($C254,武器!$1:$998,COLUMN(Q$1),FALSE),"")</f>
        <v>0</v>
      </c>
      <c r="W254" t="str">
        <f>IFERROR(VLOOKUP($C254,武器!$1:$998,COLUMN(T$1),FALSE),"")</f>
        <v>A</v>
      </c>
      <c r="Y254" t="str">
        <f>IFERROR(VLOOKUP($C254,武器!$1:$998,COLUMN(U$1),FALSE),"")</f>
        <v>魔法無詠唱Ⅱ</v>
      </c>
      <c r="Z254">
        <f>IFERROR(ROUNDUP(VLOOKUP($C254,武器!$1:$998,COLUMN(O$1),FALSE)*VLOOKUP($D254,素材!$1:$1016,COLUMN(E$1),FALSE),1),"")</f>
        <v>0</v>
      </c>
      <c r="AA254">
        <f>IF(ISNUMBER(SEARCH(SUBSTITUTE(AA$1,RIGHT(AA$1,2),""),VLOOKUP($D254,素材!$1:$1016,COLUMN($F$1),FALSE))),VLOOKUP($C254,武器!$1:$998,COLUMN($O$1),FALSE)*VLOOKUP($D254,素材!$1:$1016,COLUMN($E$1),FALSE)/(LEN(VLOOKUP($D254,素材!$1:$1016,COLUMN($F$1),FALSE))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B254">
        <f>IF(ISNUMBER(SEARCH(SUBSTITUTE(AB$1,RIGHT(AB$1,2),""),VLOOKUP($D254,素材!$1:$1016,COLUMN($F$1),FALSE))),VLOOKUP($C254,武器!$1:$998,COLUMN($O$1),FALSE)*VLOOKUP($D254,素材!$1:$1016,COLUMN($E$1),FALSE)/(LEN(VLOOKUP($D254,素材!$1:$1016,COLUMN($F$1),FALSE))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C254">
        <f>IF(ISNUMBER(SEARCH(SUBSTITUTE(AC$1,RIGHT(AC$1,2),""),VLOOKUP($D254,素材!$1:$1016,COLUMN($F$1),FALSE))),VLOOKUP($C254,武器!$1:$998,COLUMN($O$1),FALSE)*VLOOKUP($D254,素材!$1:$1016,COLUMN($E$1),FALSE)/(LEN(VLOOKUP($D254,素材!$1:$1016,COLUMN($F$1),FALSE))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D254">
        <f>IF(ISNUMBER(SEARCH(SUBSTITUTE(AD$1,RIGHT(AD$1,2),""),VLOOKUP($D254,素材!$1:$1016,COLUMN($F$1),FALSE))),VLOOKUP($C254,武器!$1:$998,COLUMN($O$1),FALSE)*VLOOKUP($D254,素材!$1:$1016,COLUMN($E$1),FALSE)/(LEN(VLOOKUP($D254,素材!$1:$1016,COLUMN($F$1),FALSE))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E254">
        <f>IF(ISNUMBER(SEARCH(SUBSTITUTE(AE$1,RIGHT(AE$1,2),""),VLOOKUP($D254,素材!$1:$1016,COLUMN($F$1),FALSE))),VLOOKUP($C254,武器!$1:$998,COLUMN($O$1),FALSE)*VLOOKUP($D254,素材!$1:$1016,COLUMN($E$1),FALSE)/(LEN(VLOOKUP($D254,素材!$1:$1016,COLUMN($F$1),FALSE))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F254">
        <f>IF(ISNUMBER(SEARCH(SUBSTITUTE(AF$1,RIGHT(AF$1,2),""),VLOOKUP($D254,素材!$1:$1016,COLUMN($F$1),FALSE))),VLOOKUP($C254,武器!$1:$998,COLUMN($O$1),FALSE)*VLOOKUP($D254,素材!$1:$1016,COLUMN($E$1),FALSE)/(LEN(VLOOKUP($D254,素材!$1:$1016,COLUMN($F$1),FALSE))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G254">
        <f>IF(ISNUMBER(SEARCH(SUBSTITUTE(AG$1,RIGHT(AG$1,2),""),VLOOKUP($D254,素材!$1:$1016,COLUMN($F$1),FALSE))),VLOOKUP($C254,武器!$1:$998,COLUMN($O$1),FALSE)*VLOOKUP($D254,素材!$1:$1016,COLUMN($E$1),FALSE)/(LEN(VLOOKUP($D254,素材!$1:$1016,COLUMN($F$1),FALSE))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H254">
        <f>IF(ISNUMBER(SEARCH(SUBSTITUTE(AH$1,RIGHT(AH$1,2),""),VLOOKUP($D254,素材!$1:$1016,COLUMN($F$1),FALSE))),VLOOKUP($C254,武器!$1:$998,COLUMN($O$1),FALSE)*VLOOKUP($D254,素材!$1:$1016,COLUMN($E$1),FALSE)/(LEN(VLOOKUP($D254,素材!$1:$1016,COLUMN($F$1),FALSE))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I254">
        <f>IF(ISNUMBER(SEARCH(SUBSTITUTE(AI$1,RIGHT(AI$1,2),""),VLOOKUP($D254,素材!$1:$1016,COLUMN($F$1),FALSE))),VLOOKUP($C254,武器!$1:$998,COLUMN($O$1),FALSE)*VLOOKUP($D254,素材!$1:$1016,COLUMN($E$1),FALSE)/(LEN(VLOOKUP($D254,素材!$1:$1016,COLUMN($F$1),FALSE))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J254">
        <f>IF(ISNUMBER(SEARCH(SUBSTITUTE(AJ$1,RIGHT(AJ$1,2),""),VLOOKUP($D254,素材!$1:$1016,COLUMN($F$1),FALSE))),VLOOKUP($C254,武器!$1:$998,COLUMN($O$1),FALSE)*VLOOKUP($D254,素材!$1:$1016,COLUMN($E$1),FALSE)/(LEN(VLOOKUP($D254,素材!$1:$1016,COLUMN($F$1),FALSE))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K254">
        <f>IF(ISNUMBER(SEARCH(SUBSTITUTE(AK$1,RIGHT(AK$1,2),""),VLOOKUP($D254,素材!$1:$1016,COLUMN($F$1),FALSE))),VLOOKUP($C254,武器!$1:$998,COLUMN($O$1),FALSE)*VLOOKUP($D254,素材!$1:$1016,COLUMN($E$1),FALSE)/(LEN(VLOOKUP($D254,素材!$1:$1016,COLUMN($F$1),FALSE))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L254">
        <f>IF(ISNUMBER(SEARCH(SUBSTITUTE(AL$1,RIGHT(AL$1,2),""),VLOOKUP($D254,素材!$1:$1016,COLUMN($F$1),FALSE))),VLOOKUP($C254,武器!$1:$998,COLUMN($O$1),FALSE)*VLOOKUP($D254,素材!$1:$1016,COLUMN($E$1),FALSE)/(LEN(VLOOKUP($D254,素材!$1:$1016,COLUMN($F$1),FALSE))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M254">
        <f>IF(ISNUMBER(SEARCH(SUBSTITUTE(AM$1,RIGHT(AM$1,2),""),VLOOKUP($D254,素材!$1:$1016,COLUMN($F$1),FALSE))),VLOOKUP($C254,武器!$1:$998,COLUMN($O$1),FALSE)*VLOOKUP($D254,素材!$1:$1016,COLUMN($E$1),FALSE)/(LEN(VLOOKUP($D254,素材!$1:$1016,COLUMN($F$1),FALSE))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N254">
        <f>IF(ISNUMBER(SEARCH(SUBSTITUTE(AN$1,RIGHT(AN$1,2),""),VLOOKUP($D254,素材!$1:$1016,COLUMN($F$1),FALSE))),VLOOKUP($C254,武器!$1:$998,COLUMN($O$1),FALSE)*VLOOKUP($D254,素材!$1:$1016,COLUMN($E$1),FALSE)/(LEN(VLOOKUP($D254,素材!$1:$1016,COLUMN($F$1),FALSE))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O254">
        <f>IF(ISNUMBER(SEARCH(SUBSTITUTE(AO$1,RIGHT(AO$1,2),""),VLOOKUP($D254,素材!$1:$1016,COLUMN($F$1),FALSE))),VLOOKUP($C254,武器!$1:$998,COLUMN($O$1),FALSE)*VLOOKUP($D254,素材!$1:$1016,COLUMN($E$1),FALSE)/(LEN(VLOOKUP($D254,素材!$1:$1016,COLUMN($F$1),FALSE))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P254">
        <f>IF(ISNUMBER(SEARCH(SUBSTITUTE(AP$1,RIGHT(AP$1,2),""),VLOOKUP($D254,素材!$1:$1016,COLUMN($F$1),FALSE))),VLOOKUP($C254,武器!$1:$998,COLUMN($O$1),FALSE)*VLOOKUP($D254,素材!$1:$1016,COLUMN($E$1),FALSE)/(LEN(VLOOKUP($D254,素材!$1:$1016,COLUMN($F$1),FALSE))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Q254">
        <f>IF(ISNUMBER(SEARCH(SUBSTITUTE(AQ$1,RIGHT(AQ$1,2),""),VLOOKUP($D254,素材!$1:$1016,COLUMN($F$1),FALSE))),VLOOKUP($C254,武器!$1:$998,COLUMN($O$1),FALSE)*VLOOKUP($D254,素材!$1:$1016,COLUMN($E$1),FALSE)/(LEN(VLOOKUP($D254,素材!$1:$1016,COLUMN($F$1),FALSE))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R254">
        <f>IF(ISNUMBER(SEARCH(SUBSTITUTE(AR$1,RIGHT(AR$1,2),""),VLOOKUP($D254,素材!$1:$1016,COLUMN($F$1),FALSE))),VLOOKUP($C254,武器!$1:$998,COLUMN($O$1),FALSE)*VLOOKUP($D254,素材!$1:$1016,COLUMN($E$1),FALSE)/(LEN(VLOOKUP($D254,素材!$1:$1016,COLUMN($F$1),FALSE))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S254">
        <f>IF(ISNUMBER(SEARCH(SUBSTITUTE(AS$1,RIGHT(AS$1,2),""),VLOOKUP($D254,素材!$1:$1016,COLUMN($F$1),FALSE))),VLOOKUP($C254,武器!$1:$998,COLUMN($O$1),FALSE)*VLOOKUP($D254,素材!$1:$1016,COLUMN($E$1),FALSE)/(LEN(VLOOKUP($D254,素材!$1:$1016,COLUMN($F$1),FALSE))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T254">
        <f>IF(ISNUMBER(SEARCH(SUBSTITUTE(AT$1,RIGHT(AT$1,2),""),VLOOKUP($D254,素材!$1:$1016,COLUMN($F$1),FALSE))),VLOOKUP($C254,武器!$1:$998,COLUMN($O$1),FALSE)*VLOOKUP($D254,素材!$1:$1016,COLUMN($E$1),FALSE)/(LEN(VLOOKUP($D254,素材!$1:$1016,COLUMN($F$1),FALSE))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U254">
        <f>IF(ISNUMBER(SEARCH(SUBSTITUTE(AU$1,RIGHT(AU$1,2),""),VLOOKUP($D254,素材!$1:$1016,COLUMN($F$1),FALSE))),VLOOKUP($C254,武器!$1:$998,COLUMN($O$1),FALSE)*VLOOKUP($D254,素材!$1:$1016,COLUMN($E$1),FALSE)/(LEN(VLOOKUP($D254,素材!$1:$1016,COLUMN($F$1),FALSE))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V254">
        <f>IF(ISNUMBER(SEARCH(SUBSTITUTE(AV$1,RIGHT(AV$1,2),""),VLOOKUP($D254,素材!$1:$1016,COLUMN($F$1),FALSE))),VLOOKUP($C254,武器!$1:$998,COLUMN($O$1),FALSE)*VLOOKUP($D254,素材!$1:$1016,COLUMN($E$1),FALSE)/(LEN(VLOOKUP($D254,素材!$1:$1016,COLUMN($F$1),FALSE))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W254">
        <f>IF(ISNUMBER(SEARCH(SUBSTITUTE(AW$1,RIGHT(AW$1,2),""),VLOOKUP($D254,素材!$1:$1016,COLUMN($F$1),FALSE))),VLOOKUP($C254,武器!$1:$998,COLUMN($O$1),FALSE)*VLOOKUP($D254,素材!$1:$1016,COLUMN($E$1),FALSE)/(LEN(VLOOKUP($D254,素材!$1:$1016,COLUMN($F$1),FALSE))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X254">
        <f>IF(ISNUMBER(SEARCH(SUBSTITUTE(AX$1,RIGHT(AX$1,2),""),VLOOKUP($D254,素材!$1:$1016,COLUMN($F$1),FALSE))),VLOOKUP($C254,武器!$1:$998,COLUMN($O$1),FALSE)*VLOOKUP($D254,素材!$1:$1016,COLUMN($E$1),FALSE)/(LEN(VLOOKUP($D254,素材!$1:$1016,COLUMN($F$1),FALSE))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Y254">
        <f>IF(ISNUMBER(SEARCH(SUBSTITUTE(AY$1,RIGHT(AY$1,2),""),VLOOKUP($D254,素材!$1:$1016,COLUMN($F$1),FALSE))),VLOOKUP($C254,武器!$1:$998,COLUMN($O$1),FALSE)*VLOOKUP($D254,素材!$1:$1016,COLUMN($E$1),FALSE)/(LEN(VLOOKUP($D254,素材!$1:$1016,COLUMN($F$1),FALSE))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AZ254">
        <f>IF(ISNUMBER(SEARCH(SUBSTITUTE(AZ$1,RIGHT(AZ$1,2),""),VLOOKUP($D254,素材!$1:$1016,COLUMN($F$1),FALSE))),VLOOKUP($C254,武器!$1:$998,COLUMN($O$1),FALSE)*VLOOKUP($D254,素材!$1:$1016,COLUMN($E$1),FALSE)/(LEN(VLOOKUP($D254,素材!$1:$1016,COLUMN($F$1),FALSE))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BA254">
        <f>IF(ISNUMBER(SEARCH(SUBSTITUTE(BA$1,RIGHT(BA$1,2),""),VLOOKUP($D254,素材!$1:$1016,COLUMN($F$1),FALSE))),VLOOKUP($C254,武器!$1:$998,COLUMN($O$1),FALSE)*VLOOKUP($D254,素材!$1:$1016,COLUMN($E$1),FALSE)/(LEN(VLOOKUP($D254,素材!$1:$1016,COLUMN($F$1),FALSE))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BB254">
        <f>IF(ISNUMBER(SEARCH(SUBSTITUTE(BB$1,RIGHT(BB$1,2),""),VLOOKUP($D254,素材!$1:$1016,COLUMN($F$1),FALSE))),VLOOKUP($C254,武器!$1:$998,COLUMN($O$1),FALSE)*VLOOKUP($D254,素材!$1:$1016,COLUMN($E$1),FALSE)/(LEN(VLOOKUP($D254,素材!$1:$1016,COLUMN($F$1),FALSE))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BC254">
        <f>IF(ISNUMBER(SEARCH(SUBSTITUTE(BC$1,RIGHT(BC$1,2),""),VLOOKUP($D254,素材!$1:$1016,COLUMN($F$1),FALSE))),VLOOKUP($C254,武器!$1:$998,COLUMN($O$1),FALSE)*VLOOKUP($D254,素材!$1:$1016,COLUMN($E$1),FALSE)/(LEN(VLOOKUP($D254,素材!$1:$1016,COLUMN($F$1),FALSE))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BD254">
        <f>IF(ISNUMBER(SEARCH(SUBSTITUTE(BD$1,RIGHT(BD$1,2),""),VLOOKUP($D254,素材!$1:$1016,COLUMN($F$1),FALSE))),VLOOKUP($C254,武器!$1:$998,COLUMN($O$1),FALSE)*VLOOKUP($D254,素材!$1:$1016,COLUMN($E$1),FALSE)/(LEN(VLOOKUP($D254,素材!$1:$1016,COLUMN($F$1),FALSE))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BE254">
        <f>IF(ISNUMBER(SEARCH(SUBSTITUTE(BE$1,RIGHT(BE$1,2),""),VLOOKUP($D254,素材!$1:$1016,COLUMN($F$1),FALSE))),VLOOKUP($C254,武器!$1:$998,COLUMN($O$1),FALSE)*VLOOKUP($D254,素材!$1:$1016,COLUMN($E$1),FALSE)/(LEN(VLOOKUP($D254,素材!$1:$1016,COLUMN($F$1),FALSE))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BF254">
        <f>IF(ISNUMBER(SEARCH(SUBSTITUTE(BF$1,RIGHT(BF$1,2),""),VLOOKUP($D254,素材!$1:$1016,COLUMN($F$1),FALSE))),VLOOKUP($C254,武器!$1:$998,COLUMN($O$1),FALSE)*VLOOKUP($D254,素材!$1:$1016,COLUMN($E$1),FALSE)/(LEN(VLOOKUP($D254,素材!$1:$1016,COLUMN($F$1),FALSE)) - LEN(SUBSTITUTE(VLOOKUP($D254,素材!$1:$1016,COLUMN($F$1),FALSE), "・", 0)) + 1), 0)</f>
        <v>0</v>
      </c>
      <c r="CM254">
        <f t="shared" si="31"/>
        <v>19</v>
      </c>
      <c r="CN254" s="22" t="str">
        <f>IF(E254="武器",IF(J254-1&gt;SUM(G254:I254),"盾",IF(MAX(G254:I254)=G254,"切断",IF(MAX(G254:I254)=H254,"貫通",IF(MAX(G254:I254)=I254,"打撃","射撃")))),E254)&amp;".webp"</f>
        <v>杖.webp</v>
      </c>
      <c r="CO254">
        <f>IFERROR(VLOOKUP($C254,武器!$1:$998,COLUMN(V$1),FALSE)*VLOOKUP($D254,素材!$1:$1016,COLUMN(N$1),FALSE)+IF(CJ254="",0,VLOOKUP($CJ254,装強!$1:$1008,COLUMN($CL$1),FALSE)),"")</f>
        <v>3000</v>
      </c>
      <c r="CP254">
        <f>VLOOKUP(D254,素材!$A:$O,COLUMN(素材!O$1),FALSE)</f>
        <v>0</v>
      </c>
      <c r="CQ254" t="str">
        <f>VLOOKUP(C254,武器!$A:$W,COLUMN(武器!W$1),FALSE)</f>
        <v>杖。バランスの取れた魔法武器。</v>
      </c>
      <c r="CS254" t="str">
        <f t="shared" si="32"/>
        <v>e_254</v>
      </c>
      <c r="CT254">
        <f t="shared" si="33"/>
        <v>300000</v>
      </c>
    </row>
    <row r="255" spans="1:98" outlineLevel="1" x14ac:dyDescent="0.4">
      <c r="A255" t="str">
        <f t="shared" si="35"/>
        <v>熱鉄の長杖</v>
      </c>
      <c r="B255" t="str">
        <f>IFERROR(VLOOKUP($D255,素材!$1:$1016,COLUMN($B$1),FALSE)&amp;"・"&amp;VLOOKUP($C255,武器!$1:$998,COLUMN(B$1),FALSE),"")</f>
        <v>ヒートスティール・スタッフ</v>
      </c>
      <c r="C255" t="s">
        <v>215</v>
      </c>
      <c r="D255" s="24" t="s">
        <v>205</v>
      </c>
      <c r="E255" t="str">
        <f>IFERROR(VLOOKUP(C255,武器!$1:$998,COLUMN(C$1),FALSE),"")</f>
        <v>杖</v>
      </c>
      <c r="F255">
        <f>IFERROR(ROUNDDOWN((VLOOKUP($C255,武器!$1:$998,COLUMN(D$1),FALSE)+IFERROR(VLOOKUP($CJ255,装強!$1:$999,COLUMN(F$1),FALSE),0))*VLOOKUP($D255,素材!$1:$1016,COLUMN(D$1),FALSE),0),"")</f>
        <v>115</v>
      </c>
      <c r="G255">
        <f>IFERROR(ROUNDDOWN((VLOOKUP($C255,武器!$1:$998,COLUMN(E$1),FALSE)+IFERROR(VLOOKUP($CJ255,装強!$1:$999,COLUMN(G$1),FALSE),0))*VLOOKUP($D255,素材!$1:$1016,COLUMN($E$1),FALSE),0),"")</f>
        <v>0</v>
      </c>
      <c r="H255">
        <f>IFERROR(ROUNDDOWN((VLOOKUP($C255,武器!$1:$998,COLUMN(F$1),FALSE)+IFERROR(VLOOKUP($CJ255,装強!$1:$999,COLUMN(H$1),FALSE),0))*VLOOKUP($D255,素材!$1:$1016,COLUMN($E$1),FALSE),0),"")</f>
        <v>6</v>
      </c>
      <c r="I255">
        <f>IFERROR(ROUNDDOWN((VLOOKUP($C255,武器!$1:$998,COLUMN(G$1),FALSE)+IFERROR(VLOOKUP($CJ255,装強!$1:$999,COLUMN(I$1),FALSE),0))*VLOOKUP($D255,素材!$1:$1016,COLUMN($E$1),FALSE),0),"")</f>
        <v>16</v>
      </c>
      <c r="J255">
        <f>IFERROR(ROUNDDOWN((VLOOKUP($C255,武器!$1:$998,COLUMN(H$1),FALSE)+IFERROR(VLOOKUP($CJ255,装強!$1:$999,COLUMN(J$1),FALSE),0))*VLOOKUP($D255,素材!$1:$1016,COLUMN($E$1),FALSE),0),"")</f>
        <v>19</v>
      </c>
      <c r="K255">
        <f>IFERROR(ROUNDDOWN((VLOOKUP($C255,武器!$1:$998,COLUMN(I$1),FALSE)+IFERROR(VLOOKUP($CJ255,装強!$1:$999,COLUMN(K$1),FALSE),0))*VLOOKUP($D255,素材!$1:$1016,COLUMN($E$1),FALSE),0),"")</f>
        <v>0</v>
      </c>
      <c r="L255" t="str">
        <f>IFERROR(VLOOKUP($D255,素材!$1:$1016,COLUMN($F$1),FALSE),"")</f>
        <v>炎</v>
      </c>
      <c r="M255">
        <f>IFERROR(VLOOKUP($C255,武器!$1:$998,COLUMN(AA$1),FALSE)*VLOOKUP($D255,素材!$1:$1016,COLUMN($G$1),FALSE),"")</f>
        <v>38.5</v>
      </c>
      <c r="N255">
        <f>IFERROR(VLOOKUP($C255,武器!$1:$998,COLUMN(I$1),FALSE),"")</f>
        <v>0</v>
      </c>
      <c r="O255" s="23">
        <f>IFERROR((VLOOKUP($C255,武器!$1:$998,COLUMN(K$1),FALSE)+VLOOKUP($D255,素材!$1:$1016,COLUMN(H$1),FALSE))*100+IFERROR(VLOOKUP($CJ255,装強!$1:$999,COLUMN(O$1),FALSE),0),"")</f>
        <v>5</v>
      </c>
      <c r="P255" s="23">
        <f>IFERROR((VLOOKUP($C255,武器!$1:$998,COLUMN(L$1),FALSE)+VLOOKUP($D255,素材!$1:$1016,COLUMN(I$1),FALSE))*100+IFERROR(VLOOKUP($CJ255,装強!$1:$999,COLUMN(P$1),FALSE),0),"")</f>
        <v>150</v>
      </c>
      <c r="Q255">
        <f>IFERROR(ROUNDUP(VLOOKUP($C255,武器!$1:$998,COLUMN(M$1),FALSE)*(VLOOKUP($D255,素材!$1:$1002,COLUMN(D$1),FALSE)/100),1),"")</f>
        <v>-4</v>
      </c>
      <c r="R255">
        <f>IFERROR(ROUNDUP(VLOOKUP($C255,武器!$1:$998,COLUMN(N$1),FALSE)*(VLOOKUP($D255,素材!$1:$1002,COLUMN(D$1),FALSE)/100),1),"")</f>
        <v>-4</v>
      </c>
      <c r="S255">
        <f>IFERROR(VLOOKUP($C255,武器!$1:$998,COLUMN(P$1),FALSE),"")</f>
        <v>0</v>
      </c>
      <c r="T255">
        <f>IFERROR(VLOOKUP($C255,武器!$1:$998,COLUMN(Q$1),FALSE),"")</f>
        <v>0</v>
      </c>
      <c r="U255">
        <f>IFERROR(VLOOKUP($C255,武器!$1:$998,COLUMN(R$1),FALSE),"")</f>
        <v>0</v>
      </c>
      <c r="V255">
        <f>IFERROR(VLOOKUP($C255,武器!$1:$998,COLUMN(Q$1),FALSE),"")</f>
        <v>0</v>
      </c>
      <c r="W255" t="str">
        <f>IFERROR(VLOOKUP($C255,武器!$1:$998,COLUMN(T$1),FALSE),"")</f>
        <v>A</v>
      </c>
      <c r="Y255" t="str">
        <f>IFERROR(VLOOKUP($C255,武器!$1:$998,COLUMN(U$1),FALSE),"")</f>
        <v>魔法無詠唱Ⅲ</v>
      </c>
      <c r="Z255">
        <f>IFERROR(ROUNDUP(VLOOKUP($C255,武器!$1:$998,COLUMN(O$1),FALSE)*VLOOKUP($D255,素材!$1:$1016,COLUMN(E$1),FALSE),1),"")</f>
        <v>0</v>
      </c>
      <c r="AA255">
        <f>IF(ISNUMBER(SEARCH(SUBSTITUTE(AA$1,RIGHT(AA$1,2),""),VLOOKUP($D255,素材!$1:$1016,COLUMN($F$1),FALSE))),VLOOKUP($C255,武器!$1:$998,COLUMN($O$1),FALSE)*VLOOKUP($D255,素材!$1:$1016,COLUMN($E$1),FALSE)/(LEN(VLOOKUP($D255,素材!$1:$1016,COLUMN($F$1),FALSE))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B255">
        <f>IF(ISNUMBER(SEARCH(SUBSTITUTE(AB$1,RIGHT(AB$1,2),""),VLOOKUP($D255,素材!$1:$1016,COLUMN($F$1),FALSE))),VLOOKUP($C255,武器!$1:$998,COLUMN($O$1),FALSE)*VLOOKUP($D255,素材!$1:$1016,COLUMN($E$1),FALSE)/(LEN(VLOOKUP($D255,素材!$1:$1016,COLUMN($F$1),FALSE))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C255">
        <f>IF(ISNUMBER(SEARCH(SUBSTITUTE(AC$1,RIGHT(AC$1,2),""),VLOOKUP($D255,素材!$1:$1016,COLUMN($F$1),FALSE))),VLOOKUP($C255,武器!$1:$998,COLUMN($O$1),FALSE)*VLOOKUP($D255,素材!$1:$1016,COLUMN($E$1),FALSE)/(LEN(VLOOKUP($D255,素材!$1:$1016,COLUMN($F$1),FALSE))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D255">
        <f>IF(ISNUMBER(SEARCH(SUBSTITUTE(AD$1,RIGHT(AD$1,2),""),VLOOKUP($D255,素材!$1:$1016,COLUMN($F$1),FALSE))),VLOOKUP($C255,武器!$1:$998,COLUMN($O$1),FALSE)*VLOOKUP($D255,素材!$1:$1016,COLUMN($E$1),FALSE)/(LEN(VLOOKUP($D255,素材!$1:$1016,COLUMN($F$1),FALSE))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E255">
        <f>IF(ISNUMBER(SEARCH(SUBSTITUTE(AE$1,RIGHT(AE$1,2),""),VLOOKUP($D255,素材!$1:$1016,COLUMN($F$1),FALSE))),VLOOKUP($C255,武器!$1:$998,COLUMN($O$1),FALSE)*VLOOKUP($D255,素材!$1:$1016,COLUMN($E$1),FALSE)/(LEN(VLOOKUP($D255,素材!$1:$1016,COLUMN($F$1),FALSE))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F255">
        <f>IF(ISNUMBER(SEARCH(SUBSTITUTE(AF$1,RIGHT(AF$1,2),""),VLOOKUP($D255,素材!$1:$1016,COLUMN($F$1),FALSE))),VLOOKUP($C255,武器!$1:$998,COLUMN($O$1),FALSE)*VLOOKUP($D255,素材!$1:$1016,COLUMN($E$1),FALSE)/(LEN(VLOOKUP($D255,素材!$1:$1016,COLUMN($F$1),FALSE))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G255">
        <f>IF(ISNUMBER(SEARCH(SUBSTITUTE(AG$1,RIGHT(AG$1,2),""),VLOOKUP($D255,素材!$1:$1016,COLUMN($F$1),FALSE))),VLOOKUP($C255,武器!$1:$998,COLUMN($O$1),FALSE)*VLOOKUP($D255,素材!$1:$1016,COLUMN($E$1),FALSE)/(LEN(VLOOKUP($D255,素材!$1:$1016,COLUMN($F$1),FALSE))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H255">
        <f>IF(ISNUMBER(SEARCH(SUBSTITUTE(AH$1,RIGHT(AH$1,2),""),VLOOKUP($D255,素材!$1:$1016,COLUMN($F$1),FALSE))),VLOOKUP($C255,武器!$1:$998,COLUMN($O$1),FALSE)*VLOOKUP($D255,素材!$1:$1016,COLUMN($E$1),FALSE)/(LEN(VLOOKUP($D255,素材!$1:$1016,COLUMN($F$1),FALSE))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I255">
        <f>IF(ISNUMBER(SEARCH(SUBSTITUTE(AI$1,RIGHT(AI$1,2),""),VLOOKUP($D255,素材!$1:$1016,COLUMN($F$1),FALSE))),VLOOKUP($C255,武器!$1:$998,COLUMN($O$1),FALSE)*VLOOKUP($D255,素材!$1:$1016,COLUMN($E$1),FALSE)/(LEN(VLOOKUP($D255,素材!$1:$1016,COLUMN($F$1),FALSE))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J255">
        <f>IF(ISNUMBER(SEARCH(SUBSTITUTE(AJ$1,RIGHT(AJ$1,2),""),VLOOKUP($D255,素材!$1:$1016,COLUMN($F$1),FALSE))),VLOOKUP($C255,武器!$1:$998,COLUMN($O$1),FALSE)*VLOOKUP($D255,素材!$1:$1016,COLUMN($E$1),FALSE)/(LEN(VLOOKUP($D255,素材!$1:$1016,COLUMN($F$1),FALSE))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K255">
        <f>IF(ISNUMBER(SEARCH(SUBSTITUTE(AK$1,RIGHT(AK$1,2),""),VLOOKUP($D255,素材!$1:$1016,COLUMN($F$1),FALSE))),VLOOKUP($C255,武器!$1:$998,COLUMN($O$1),FALSE)*VLOOKUP($D255,素材!$1:$1016,COLUMN($E$1),FALSE)/(LEN(VLOOKUP($D255,素材!$1:$1016,COLUMN($F$1),FALSE))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L255">
        <f>IF(ISNUMBER(SEARCH(SUBSTITUTE(AL$1,RIGHT(AL$1,2),""),VLOOKUP($D255,素材!$1:$1016,COLUMN($F$1),FALSE))),VLOOKUP($C255,武器!$1:$998,COLUMN($O$1),FALSE)*VLOOKUP($D255,素材!$1:$1016,COLUMN($E$1),FALSE)/(LEN(VLOOKUP($D255,素材!$1:$1016,COLUMN($F$1),FALSE))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M255">
        <f>IF(ISNUMBER(SEARCH(SUBSTITUTE(AM$1,RIGHT(AM$1,2),""),VLOOKUP($D255,素材!$1:$1016,COLUMN($F$1),FALSE))),VLOOKUP($C255,武器!$1:$998,COLUMN($O$1),FALSE)*VLOOKUP($D255,素材!$1:$1016,COLUMN($E$1),FALSE)/(LEN(VLOOKUP($D255,素材!$1:$1016,COLUMN($F$1),FALSE))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N255">
        <f>IF(ISNUMBER(SEARCH(SUBSTITUTE(AN$1,RIGHT(AN$1,2),""),VLOOKUP($D255,素材!$1:$1016,COLUMN($F$1),FALSE))),VLOOKUP($C255,武器!$1:$998,COLUMN($O$1),FALSE)*VLOOKUP($D255,素材!$1:$1016,COLUMN($E$1),FALSE)/(LEN(VLOOKUP($D255,素材!$1:$1016,COLUMN($F$1),FALSE))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O255">
        <f>IF(ISNUMBER(SEARCH(SUBSTITUTE(AO$1,RIGHT(AO$1,2),""),VLOOKUP($D255,素材!$1:$1016,COLUMN($F$1),FALSE))),VLOOKUP($C255,武器!$1:$998,COLUMN($O$1),FALSE)*VLOOKUP($D255,素材!$1:$1016,COLUMN($E$1),FALSE)/(LEN(VLOOKUP($D255,素材!$1:$1016,COLUMN($F$1),FALSE))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P255">
        <f>IF(ISNUMBER(SEARCH(SUBSTITUTE(AP$1,RIGHT(AP$1,2),""),VLOOKUP($D255,素材!$1:$1016,COLUMN($F$1),FALSE))),VLOOKUP($C255,武器!$1:$998,COLUMN($O$1),FALSE)*VLOOKUP($D255,素材!$1:$1016,COLUMN($E$1),FALSE)/(LEN(VLOOKUP($D255,素材!$1:$1016,COLUMN($F$1),FALSE))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Q255">
        <f>IF(ISNUMBER(SEARCH(SUBSTITUTE(AQ$1,RIGHT(AQ$1,2),""),VLOOKUP($D255,素材!$1:$1016,COLUMN($F$1),FALSE))),VLOOKUP($C255,武器!$1:$998,COLUMN($O$1),FALSE)*VLOOKUP($D255,素材!$1:$1016,COLUMN($E$1),FALSE)/(LEN(VLOOKUP($D255,素材!$1:$1016,COLUMN($F$1),FALSE))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R255">
        <f>IF(ISNUMBER(SEARCH(SUBSTITUTE(AR$1,RIGHT(AR$1,2),""),VLOOKUP($D255,素材!$1:$1016,COLUMN($F$1),FALSE))),VLOOKUP($C255,武器!$1:$998,COLUMN($O$1),FALSE)*VLOOKUP($D255,素材!$1:$1016,COLUMN($E$1),FALSE)/(LEN(VLOOKUP($D255,素材!$1:$1016,COLUMN($F$1),FALSE))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S255">
        <f>IF(ISNUMBER(SEARCH(SUBSTITUTE(AS$1,RIGHT(AS$1,2),""),VLOOKUP($D255,素材!$1:$1016,COLUMN($F$1),FALSE))),VLOOKUP($C255,武器!$1:$998,COLUMN($O$1),FALSE)*VLOOKUP($D255,素材!$1:$1016,COLUMN($E$1),FALSE)/(LEN(VLOOKUP($D255,素材!$1:$1016,COLUMN($F$1),FALSE))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T255">
        <f>IF(ISNUMBER(SEARCH(SUBSTITUTE(AT$1,RIGHT(AT$1,2),""),VLOOKUP($D255,素材!$1:$1016,COLUMN($F$1),FALSE))),VLOOKUP($C255,武器!$1:$998,COLUMN($O$1),FALSE)*VLOOKUP($D255,素材!$1:$1016,COLUMN($E$1),FALSE)/(LEN(VLOOKUP($D255,素材!$1:$1016,COLUMN($F$1),FALSE))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U255">
        <f>IF(ISNUMBER(SEARCH(SUBSTITUTE(AU$1,RIGHT(AU$1,2),""),VLOOKUP($D255,素材!$1:$1016,COLUMN($F$1),FALSE))),VLOOKUP($C255,武器!$1:$998,COLUMN($O$1),FALSE)*VLOOKUP($D255,素材!$1:$1016,COLUMN($E$1),FALSE)/(LEN(VLOOKUP($D255,素材!$1:$1016,COLUMN($F$1),FALSE))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V255">
        <f>IF(ISNUMBER(SEARCH(SUBSTITUTE(AV$1,RIGHT(AV$1,2),""),VLOOKUP($D255,素材!$1:$1016,COLUMN($F$1),FALSE))),VLOOKUP($C255,武器!$1:$998,COLUMN($O$1),FALSE)*VLOOKUP($D255,素材!$1:$1016,COLUMN($E$1),FALSE)/(LEN(VLOOKUP($D255,素材!$1:$1016,COLUMN($F$1),FALSE))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W255">
        <f>IF(ISNUMBER(SEARCH(SUBSTITUTE(AW$1,RIGHT(AW$1,2),""),VLOOKUP($D255,素材!$1:$1016,COLUMN($F$1),FALSE))),VLOOKUP($C255,武器!$1:$998,COLUMN($O$1),FALSE)*VLOOKUP($D255,素材!$1:$1016,COLUMN($E$1),FALSE)/(LEN(VLOOKUP($D255,素材!$1:$1016,COLUMN($F$1),FALSE))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X255">
        <f>IF(ISNUMBER(SEARCH(SUBSTITUTE(AX$1,RIGHT(AX$1,2),""),VLOOKUP($D255,素材!$1:$1016,COLUMN($F$1),FALSE))),VLOOKUP($C255,武器!$1:$998,COLUMN($O$1),FALSE)*VLOOKUP($D255,素材!$1:$1016,COLUMN($E$1),FALSE)/(LEN(VLOOKUP($D255,素材!$1:$1016,COLUMN($F$1),FALSE))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Y255">
        <f>IF(ISNUMBER(SEARCH(SUBSTITUTE(AY$1,RIGHT(AY$1,2),""),VLOOKUP($D255,素材!$1:$1016,COLUMN($F$1),FALSE))),VLOOKUP($C255,武器!$1:$998,COLUMN($O$1),FALSE)*VLOOKUP($D255,素材!$1:$1016,COLUMN($E$1),FALSE)/(LEN(VLOOKUP($D255,素材!$1:$1016,COLUMN($F$1),FALSE))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AZ255">
        <f>IF(ISNUMBER(SEARCH(SUBSTITUTE(AZ$1,RIGHT(AZ$1,2),""),VLOOKUP($D255,素材!$1:$1016,COLUMN($F$1),FALSE))),VLOOKUP($C255,武器!$1:$998,COLUMN($O$1),FALSE)*VLOOKUP($D255,素材!$1:$1016,COLUMN($E$1),FALSE)/(LEN(VLOOKUP($D255,素材!$1:$1016,COLUMN($F$1),FALSE))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BA255">
        <f>IF(ISNUMBER(SEARCH(SUBSTITUTE(BA$1,RIGHT(BA$1,2),""),VLOOKUP($D255,素材!$1:$1016,COLUMN($F$1),FALSE))),VLOOKUP($C255,武器!$1:$998,COLUMN($O$1),FALSE)*VLOOKUP($D255,素材!$1:$1016,COLUMN($E$1),FALSE)/(LEN(VLOOKUP($D255,素材!$1:$1016,COLUMN($F$1),FALSE))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BB255">
        <f>IF(ISNUMBER(SEARCH(SUBSTITUTE(BB$1,RIGHT(BB$1,2),""),VLOOKUP($D255,素材!$1:$1016,COLUMN($F$1),FALSE))),VLOOKUP($C255,武器!$1:$998,COLUMN($O$1),FALSE)*VLOOKUP($D255,素材!$1:$1016,COLUMN($E$1),FALSE)/(LEN(VLOOKUP($D255,素材!$1:$1016,COLUMN($F$1),FALSE))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BC255">
        <f>IF(ISNUMBER(SEARCH(SUBSTITUTE(BC$1,RIGHT(BC$1,2),""),VLOOKUP($D255,素材!$1:$1016,COLUMN($F$1),FALSE))),VLOOKUP($C255,武器!$1:$998,COLUMN($O$1),FALSE)*VLOOKUP($D255,素材!$1:$1016,COLUMN($E$1),FALSE)/(LEN(VLOOKUP($D255,素材!$1:$1016,COLUMN($F$1),FALSE))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BD255">
        <f>IF(ISNUMBER(SEARCH(SUBSTITUTE(BD$1,RIGHT(BD$1,2),""),VLOOKUP($D255,素材!$1:$1016,COLUMN($F$1),FALSE))),VLOOKUP($C255,武器!$1:$998,COLUMN($O$1),FALSE)*VLOOKUP($D255,素材!$1:$1016,COLUMN($E$1),FALSE)/(LEN(VLOOKUP($D255,素材!$1:$1016,COLUMN($F$1),FALSE))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BE255">
        <f>IF(ISNUMBER(SEARCH(SUBSTITUTE(BE$1,RIGHT(BE$1,2),""),VLOOKUP($D255,素材!$1:$1016,COLUMN($F$1),FALSE))),VLOOKUP($C255,武器!$1:$998,COLUMN($O$1),FALSE)*VLOOKUP($D255,素材!$1:$1016,COLUMN($E$1),FALSE)/(LEN(VLOOKUP($D255,素材!$1:$1016,COLUMN($F$1),FALSE))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BF255">
        <f>IF(ISNUMBER(SEARCH(SUBSTITUTE(BF$1,RIGHT(BF$1,2),""),VLOOKUP($D255,素材!$1:$1016,COLUMN($F$1),FALSE))),VLOOKUP($C255,武器!$1:$998,COLUMN($O$1),FALSE)*VLOOKUP($D255,素材!$1:$1016,COLUMN($E$1),FALSE)/(LEN(VLOOKUP($D255,素材!$1:$1016,COLUMN($F$1),FALSE)) - LEN(SUBSTITUTE(VLOOKUP($D255,素材!$1:$1016,COLUMN($F$1),FALSE), "・", 0)) + 1), 0)</f>
        <v>0</v>
      </c>
      <c r="CM255">
        <f t="shared" si="31"/>
        <v>22</v>
      </c>
      <c r="CN255" s="22" t="str">
        <f>IF(E255="武器",IF(J255-1&gt;SUM(G255:I255),"盾",IF(MAX(G255:I255)=G255,"切断",IF(MAX(G255:I255)=H255,"貫通",IF(MAX(G255:I255)=I255,"打撃","射撃")))),E255)&amp;".webp"</f>
        <v>杖.webp</v>
      </c>
      <c r="CO255">
        <f>IFERROR(VLOOKUP($C255,武器!$1:$998,COLUMN(V$1),FALSE)*VLOOKUP($D255,素材!$1:$1016,COLUMN(N$1),FALSE)+IF(CJ255="",0,VLOOKUP($CJ255,装強!$1:$1008,COLUMN($CL$1),FALSE)),"")</f>
        <v>4500</v>
      </c>
      <c r="CP255">
        <f>VLOOKUP(D255,素材!$A:$O,COLUMN(素材!O$1),FALSE)</f>
        <v>0</v>
      </c>
      <c r="CQ255" t="str">
        <f>VLOOKUP(C255,武器!$A:$W,COLUMN(武器!W$1),FALSE)</f>
        <v>長杖。強力な魔法を扱える杖だが、重い。</v>
      </c>
      <c r="CS255" t="str">
        <f t="shared" si="32"/>
        <v>e_255</v>
      </c>
      <c r="CT255">
        <f t="shared" si="33"/>
        <v>450000</v>
      </c>
    </row>
    <row r="256" spans="1:98" outlineLevel="1" x14ac:dyDescent="0.4">
      <c r="A256" t="str">
        <f t="shared" si="35"/>
        <v>熱鉄の軽射出弓</v>
      </c>
      <c r="B256" t="str">
        <f>IFERROR(VLOOKUP($D256,素材!$1:$1016,COLUMN($B$1),FALSE)&amp;"・"&amp;VLOOKUP($C256,武器!$1:$998,COLUMN(B$1),FALSE),"")</f>
        <v>ヒートスティール・ライトクロスボウ</v>
      </c>
      <c r="C256" t="s">
        <v>214</v>
      </c>
      <c r="D256" s="24" t="s">
        <v>205</v>
      </c>
      <c r="E256" t="str">
        <f>IFERROR(VLOOKUP(C256,武器!$1:$998,COLUMN(C$1),FALSE),"")</f>
        <v>銃</v>
      </c>
      <c r="F256">
        <f>IFERROR(ROUNDDOWN((VLOOKUP($C256,武器!$1:$998,COLUMN(D$1),FALSE)+IFERROR(VLOOKUP($CJ256,装強!$1:$999,COLUMN(F$1),FALSE),0))*VLOOKUP($D256,素材!$1:$1016,COLUMN(D$1),FALSE),0),"")</f>
        <v>0</v>
      </c>
      <c r="G256">
        <f>IFERROR(ROUNDDOWN((VLOOKUP($C256,武器!$1:$998,COLUMN(E$1),FALSE)+IFERROR(VLOOKUP($CJ256,装強!$1:$999,COLUMN(G$1),FALSE),0))*VLOOKUP($D256,素材!$1:$1016,COLUMN($E$1),FALSE),0),"")</f>
        <v>0</v>
      </c>
      <c r="H256">
        <f>IFERROR(ROUNDDOWN((VLOOKUP($C256,武器!$1:$998,COLUMN(F$1),FALSE)+IFERROR(VLOOKUP($CJ256,装強!$1:$999,COLUMN(H$1),FALSE),0))*VLOOKUP($D256,素材!$1:$1016,COLUMN($E$1),FALSE),0),"")</f>
        <v>0</v>
      </c>
      <c r="I256">
        <f>IFERROR(ROUNDDOWN((VLOOKUP($C256,武器!$1:$998,COLUMN(G$1),FALSE)+IFERROR(VLOOKUP($CJ256,装強!$1:$999,COLUMN(I$1),FALSE),0))*VLOOKUP($D256,素材!$1:$1016,COLUMN($E$1),FALSE),0),"")</f>
        <v>0</v>
      </c>
      <c r="J256">
        <f>IFERROR(ROUNDDOWN((VLOOKUP($C256,武器!$1:$998,COLUMN(H$1),FALSE)+IFERROR(VLOOKUP($CJ256,装強!$1:$999,COLUMN(J$1),FALSE),0))*VLOOKUP($D256,素材!$1:$1016,COLUMN($E$1),FALSE),0),"")</f>
        <v>0</v>
      </c>
      <c r="K256">
        <f>IFERROR(ROUNDDOWN((VLOOKUP($C256,武器!$1:$998,COLUMN(I$1),FALSE)+IFERROR(VLOOKUP($CJ256,装強!$1:$999,COLUMN(K$1),FALSE),0))*VLOOKUP($D256,素材!$1:$1016,COLUMN($E$1),FALSE),0),"")</f>
        <v>54</v>
      </c>
      <c r="L256" t="str">
        <f>IFERROR(VLOOKUP($D256,素材!$1:$1016,COLUMN($F$1),FALSE),"")</f>
        <v>炎</v>
      </c>
      <c r="M256">
        <f>IFERROR(VLOOKUP($C256,武器!$1:$998,COLUMN(AA$1),FALSE)*VLOOKUP($D256,素材!$1:$1016,COLUMN($G$1),FALSE),"")</f>
        <v>47.25</v>
      </c>
      <c r="N256">
        <f>IFERROR(VLOOKUP($C256,武器!$1:$998,COLUMN(I$1),FALSE),"")</f>
        <v>2.7</v>
      </c>
      <c r="O256" s="23">
        <f>IFERROR((VLOOKUP($C256,武器!$1:$998,COLUMN(K$1),FALSE)+VLOOKUP($D256,素材!$1:$1016,COLUMN(H$1),FALSE))*100+IFERROR(VLOOKUP($CJ256,装強!$1:$999,COLUMN(O$1),FALSE),0),"")</f>
        <v>10</v>
      </c>
      <c r="P256" s="23">
        <f>IFERROR((VLOOKUP($C256,武器!$1:$998,COLUMN(L$1),FALSE)+VLOOKUP($D256,素材!$1:$1016,COLUMN(I$1),FALSE))*100+IFERROR(VLOOKUP($CJ256,装強!$1:$999,COLUMN(P$1),FALSE),0),"")</f>
        <v>150</v>
      </c>
      <c r="Q256">
        <f>IFERROR(ROUNDUP(VLOOKUP($C256,武器!$1:$998,COLUMN(M$1),FALSE)*(VLOOKUP($D256,素材!$1:$1002,COLUMN(D$1),FALSE)/100),1),"")</f>
        <v>0</v>
      </c>
      <c r="R256">
        <f>IFERROR(ROUNDUP(VLOOKUP($C256,武器!$1:$998,COLUMN(N$1),FALSE)*(VLOOKUP($D256,素材!$1:$1002,COLUMN(D$1),FALSE)/100),1),"")</f>
        <v>0</v>
      </c>
      <c r="S256">
        <f>IFERROR(VLOOKUP($C256,武器!$1:$998,COLUMN(P$1),FALSE),"")</f>
        <v>0</v>
      </c>
      <c r="T256">
        <f>IFERROR(VLOOKUP($C256,武器!$1:$998,COLUMN(Q$1),FALSE),"")</f>
        <v>1</v>
      </c>
      <c r="U256">
        <f>IFERROR(VLOOKUP($C256,武器!$1:$998,COLUMN(R$1),FALSE),"")</f>
        <v>1</v>
      </c>
      <c r="V256">
        <f>IFERROR(VLOOKUP($C256,武器!$1:$998,COLUMN(Q$1),FALSE),"")</f>
        <v>1</v>
      </c>
      <c r="W256" t="str">
        <f>IFERROR(VLOOKUP($C256,武器!$1:$998,COLUMN(T$1),FALSE),"")</f>
        <v>Q</v>
      </c>
      <c r="Y256">
        <f>IFERROR(VLOOKUP($C256,武器!$1:$998,COLUMN(U$1),FALSE),"")</f>
        <v>0</v>
      </c>
      <c r="Z256">
        <f>IFERROR(ROUNDUP(VLOOKUP($C256,武器!$1:$998,COLUMN(O$1),FALSE)*VLOOKUP($D256,素材!$1:$1016,COLUMN(E$1),FALSE),1),"")</f>
        <v>0</v>
      </c>
      <c r="AA256">
        <f>IF(ISNUMBER(SEARCH(SUBSTITUTE(AA$1,RIGHT(AA$1,2),""),VLOOKUP($D256,素材!$1:$1016,COLUMN($F$1),FALSE))),VLOOKUP($C256,武器!$1:$998,COLUMN($O$1),FALSE)*VLOOKUP($D256,素材!$1:$1016,COLUMN($E$1),FALSE)/(LEN(VLOOKUP($D256,素材!$1:$1016,COLUMN($F$1),FALSE))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B256">
        <f>IF(ISNUMBER(SEARCH(SUBSTITUTE(AB$1,RIGHT(AB$1,2),""),VLOOKUP($D256,素材!$1:$1016,COLUMN($F$1),FALSE))),VLOOKUP($C256,武器!$1:$998,COLUMN($O$1),FALSE)*VLOOKUP($D256,素材!$1:$1016,COLUMN($E$1),FALSE)/(LEN(VLOOKUP($D256,素材!$1:$1016,COLUMN($F$1),FALSE))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C256">
        <f>IF(ISNUMBER(SEARCH(SUBSTITUTE(AC$1,RIGHT(AC$1,2),""),VLOOKUP($D256,素材!$1:$1016,COLUMN($F$1),FALSE))),VLOOKUP($C256,武器!$1:$998,COLUMN($O$1),FALSE)*VLOOKUP($D256,素材!$1:$1016,COLUMN($E$1),FALSE)/(LEN(VLOOKUP($D256,素材!$1:$1016,COLUMN($F$1),FALSE))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D256">
        <f>IF(ISNUMBER(SEARCH(SUBSTITUTE(AD$1,RIGHT(AD$1,2),""),VLOOKUP($D256,素材!$1:$1016,COLUMN($F$1),FALSE))),VLOOKUP($C256,武器!$1:$998,COLUMN($O$1),FALSE)*VLOOKUP($D256,素材!$1:$1016,COLUMN($E$1),FALSE)/(LEN(VLOOKUP($D256,素材!$1:$1016,COLUMN($F$1),FALSE))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E256">
        <f>IF(ISNUMBER(SEARCH(SUBSTITUTE(AE$1,RIGHT(AE$1,2),""),VLOOKUP($D256,素材!$1:$1016,COLUMN($F$1),FALSE))),VLOOKUP($C256,武器!$1:$998,COLUMN($O$1),FALSE)*VLOOKUP($D256,素材!$1:$1016,COLUMN($E$1),FALSE)/(LEN(VLOOKUP($D256,素材!$1:$1016,COLUMN($F$1),FALSE))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F256">
        <f>IF(ISNUMBER(SEARCH(SUBSTITUTE(AF$1,RIGHT(AF$1,2),""),VLOOKUP($D256,素材!$1:$1016,COLUMN($F$1),FALSE))),VLOOKUP($C256,武器!$1:$998,COLUMN($O$1),FALSE)*VLOOKUP($D256,素材!$1:$1016,COLUMN($E$1),FALSE)/(LEN(VLOOKUP($D256,素材!$1:$1016,COLUMN($F$1),FALSE))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G256">
        <f>IF(ISNUMBER(SEARCH(SUBSTITUTE(AG$1,RIGHT(AG$1,2),""),VLOOKUP($D256,素材!$1:$1016,COLUMN($F$1),FALSE))),VLOOKUP($C256,武器!$1:$998,COLUMN($O$1),FALSE)*VLOOKUP($D256,素材!$1:$1016,COLUMN($E$1),FALSE)/(LEN(VLOOKUP($D256,素材!$1:$1016,COLUMN($F$1),FALSE))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H256">
        <f>IF(ISNUMBER(SEARCH(SUBSTITUTE(AH$1,RIGHT(AH$1,2),""),VLOOKUP($D256,素材!$1:$1016,COLUMN($F$1),FALSE))),VLOOKUP($C256,武器!$1:$998,COLUMN($O$1),FALSE)*VLOOKUP($D256,素材!$1:$1016,COLUMN($E$1),FALSE)/(LEN(VLOOKUP($D256,素材!$1:$1016,COLUMN($F$1),FALSE))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I256">
        <f>IF(ISNUMBER(SEARCH(SUBSTITUTE(AI$1,RIGHT(AI$1,2),""),VLOOKUP($D256,素材!$1:$1016,COLUMN($F$1),FALSE))),VLOOKUP($C256,武器!$1:$998,COLUMN($O$1),FALSE)*VLOOKUP($D256,素材!$1:$1016,COLUMN($E$1),FALSE)/(LEN(VLOOKUP($D256,素材!$1:$1016,COLUMN($F$1),FALSE))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J256">
        <f>IF(ISNUMBER(SEARCH(SUBSTITUTE(AJ$1,RIGHT(AJ$1,2),""),VLOOKUP($D256,素材!$1:$1016,COLUMN($F$1),FALSE))),VLOOKUP($C256,武器!$1:$998,COLUMN($O$1),FALSE)*VLOOKUP($D256,素材!$1:$1016,COLUMN($E$1),FALSE)/(LEN(VLOOKUP($D256,素材!$1:$1016,COLUMN($F$1),FALSE))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K256">
        <f>IF(ISNUMBER(SEARCH(SUBSTITUTE(AK$1,RIGHT(AK$1,2),""),VLOOKUP($D256,素材!$1:$1016,COLUMN($F$1),FALSE))),VLOOKUP($C256,武器!$1:$998,COLUMN($O$1),FALSE)*VLOOKUP($D256,素材!$1:$1016,COLUMN($E$1),FALSE)/(LEN(VLOOKUP($D256,素材!$1:$1016,COLUMN($F$1),FALSE))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L256">
        <f>IF(ISNUMBER(SEARCH(SUBSTITUTE(AL$1,RIGHT(AL$1,2),""),VLOOKUP($D256,素材!$1:$1016,COLUMN($F$1),FALSE))),VLOOKUP($C256,武器!$1:$998,COLUMN($O$1),FALSE)*VLOOKUP($D256,素材!$1:$1016,COLUMN($E$1),FALSE)/(LEN(VLOOKUP($D256,素材!$1:$1016,COLUMN($F$1),FALSE))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M256">
        <f>IF(ISNUMBER(SEARCH(SUBSTITUTE(AM$1,RIGHT(AM$1,2),""),VLOOKUP($D256,素材!$1:$1016,COLUMN($F$1),FALSE))),VLOOKUP($C256,武器!$1:$998,COLUMN($O$1),FALSE)*VLOOKUP($D256,素材!$1:$1016,COLUMN($E$1),FALSE)/(LEN(VLOOKUP($D256,素材!$1:$1016,COLUMN($F$1),FALSE))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N256">
        <f>IF(ISNUMBER(SEARCH(SUBSTITUTE(AN$1,RIGHT(AN$1,2),""),VLOOKUP($D256,素材!$1:$1016,COLUMN($F$1),FALSE))),VLOOKUP($C256,武器!$1:$998,COLUMN($O$1),FALSE)*VLOOKUP($D256,素材!$1:$1016,COLUMN($E$1),FALSE)/(LEN(VLOOKUP($D256,素材!$1:$1016,COLUMN($F$1),FALSE))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O256">
        <f>IF(ISNUMBER(SEARCH(SUBSTITUTE(AO$1,RIGHT(AO$1,2),""),VLOOKUP($D256,素材!$1:$1016,COLUMN($F$1),FALSE))),VLOOKUP($C256,武器!$1:$998,COLUMN($O$1),FALSE)*VLOOKUP($D256,素材!$1:$1016,COLUMN($E$1),FALSE)/(LEN(VLOOKUP($D256,素材!$1:$1016,COLUMN($F$1),FALSE))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P256">
        <f>IF(ISNUMBER(SEARCH(SUBSTITUTE(AP$1,RIGHT(AP$1,2),""),VLOOKUP($D256,素材!$1:$1016,COLUMN($F$1),FALSE))),VLOOKUP($C256,武器!$1:$998,COLUMN($O$1),FALSE)*VLOOKUP($D256,素材!$1:$1016,COLUMN($E$1),FALSE)/(LEN(VLOOKUP($D256,素材!$1:$1016,COLUMN($F$1),FALSE))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Q256">
        <f>IF(ISNUMBER(SEARCH(SUBSTITUTE(AQ$1,RIGHT(AQ$1,2),""),VLOOKUP($D256,素材!$1:$1016,COLUMN($F$1),FALSE))),VLOOKUP($C256,武器!$1:$998,COLUMN($O$1),FALSE)*VLOOKUP($D256,素材!$1:$1016,COLUMN($E$1),FALSE)/(LEN(VLOOKUP($D256,素材!$1:$1016,COLUMN($F$1),FALSE))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R256">
        <f>IF(ISNUMBER(SEARCH(SUBSTITUTE(AR$1,RIGHT(AR$1,2),""),VLOOKUP($D256,素材!$1:$1016,COLUMN($F$1),FALSE))),VLOOKUP($C256,武器!$1:$998,COLUMN($O$1),FALSE)*VLOOKUP($D256,素材!$1:$1016,COLUMN($E$1),FALSE)/(LEN(VLOOKUP($D256,素材!$1:$1016,COLUMN($F$1),FALSE))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S256">
        <f>IF(ISNUMBER(SEARCH(SUBSTITUTE(AS$1,RIGHT(AS$1,2),""),VLOOKUP($D256,素材!$1:$1016,COLUMN($F$1),FALSE))),VLOOKUP($C256,武器!$1:$998,COLUMN($O$1),FALSE)*VLOOKUP($D256,素材!$1:$1016,COLUMN($E$1),FALSE)/(LEN(VLOOKUP($D256,素材!$1:$1016,COLUMN($F$1),FALSE))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T256">
        <f>IF(ISNUMBER(SEARCH(SUBSTITUTE(AT$1,RIGHT(AT$1,2),""),VLOOKUP($D256,素材!$1:$1016,COLUMN($F$1),FALSE))),VLOOKUP($C256,武器!$1:$998,COLUMN($O$1),FALSE)*VLOOKUP($D256,素材!$1:$1016,COLUMN($E$1),FALSE)/(LEN(VLOOKUP($D256,素材!$1:$1016,COLUMN($F$1),FALSE))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U256">
        <f>IF(ISNUMBER(SEARCH(SUBSTITUTE(AU$1,RIGHT(AU$1,2),""),VLOOKUP($D256,素材!$1:$1016,COLUMN($F$1),FALSE))),VLOOKUP($C256,武器!$1:$998,COLUMN($O$1),FALSE)*VLOOKUP($D256,素材!$1:$1016,COLUMN($E$1),FALSE)/(LEN(VLOOKUP($D256,素材!$1:$1016,COLUMN($F$1),FALSE))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V256">
        <f>IF(ISNUMBER(SEARCH(SUBSTITUTE(AV$1,RIGHT(AV$1,2),""),VLOOKUP($D256,素材!$1:$1016,COLUMN($F$1),FALSE))),VLOOKUP($C256,武器!$1:$998,COLUMN($O$1),FALSE)*VLOOKUP($D256,素材!$1:$1016,COLUMN($E$1),FALSE)/(LEN(VLOOKUP($D256,素材!$1:$1016,COLUMN($F$1),FALSE))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W256">
        <f>IF(ISNUMBER(SEARCH(SUBSTITUTE(AW$1,RIGHT(AW$1,2),""),VLOOKUP($D256,素材!$1:$1016,COLUMN($F$1),FALSE))),VLOOKUP($C256,武器!$1:$998,COLUMN($O$1),FALSE)*VLOOKUP($D256,素材!$1:$1016,COLUMN($E$1),FALSE)/(LEN(VLOOKUP($D256,素材!$1:$1016,COLUMN($F$1),FALSE))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X256">
        <f>IF(ISNUMBER(SEARCH(SUBSTITUTE(AX$1,RIGHT(AX$1,2),""),VLOOKUP($D256,素材!$1:$1016,COLUMN($F$1),FALSE))),VLOOKUP($C256,武器!$1:$998,COLUMN($O$1),FALSE)*VLOOKUP($D256,素材!$1:$1016,COLUMN($E$1),FALSE)/(LEN(VLOOKUP($D256,素材!$1:$1016,COLUMN($F$1),FALSE))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Y256">
        <f>IF(ISNUMBER(SEARCH(SUBSTITUTE(AY$1,RIGHT(AY$1,2),""),VLOOKUP($D256,素材!$1:$1016,COLUMN($F$1),FALSE))),VLOOKUP($C256,武器!$1:$998,COLUMN($O$1),FALSE)*VLOOKUP($D256,素材!$1:$1016,COLUMN($E$1),FALSE)/(LEN(VLOOKUP($D256,素材!$1:$1016,COLUMN($F$1),FALSE))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AZ256">
        <f>IF(ISNUMBER(SEARCH(SUBSTITUTE(AZ$1,RIGHT(AZ$1,2),""),VLOOKUP($D256,素材!$1:$1016,COLUMN($F$1),FALSE))),VLOOKUP($C256,武器!$1:$998,COLUMN($O$1),FALSE)*VLOOKUP($D256,素材!$1:$1016,COLUMN($E$1),FALSE)/(LEN(VLOOKUP($D256,素材!$1:$1016,COLUMN($F$1),FALSE))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BA256">
        <f>IF(ISNUMBER(SEARCH(SUBSTITUTE(BA$1,RIGHT(BA$1,2),""),VLOOKUP($D256,素材!$1:$1016,COLUMN($F$1),FALSE))),VLOOKUP($C256,武器!$1:$998,COLUMN($O$1),FALSE)*VLOOKUP($D256,素材!$1:$1016,COLUMN($E$1),FALSE)/(LEN(VLOOKUP($D256,素材!$1:$1016,COLUMN($F$1),FALSE))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BB256">
        <f>IF(ISNUMBER(SEARCH(SUBSTITUTE(BB$1,RIGHT(BB$1,2),""),VLOOKUP($D256,素材!$1:$1016,COLUMN($F$1),FALSE))),VLOOKUP($C256,武器!$1:$998,COLUMN($O$1),FALSE)*VLOOKUP($D256,素材!$1:$1016,COLUMN($E$1),FALSE)/(LEN(VLOOKUP($D256,素材!$1:$1016,COLUMN($F$1),FALSE))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BC256">
        <f>IF(ISNUMBER(SEARCH(SUBSTITUTE(BC$1,RIGHT(BC$1,2),""),VLOOKUP($D256,素材!$1:$1016,COLUMN($F$1),FALSE))),VLOOKUP($C256,武器!$1:$998,COLUMN($O$1),FALSE)*VLOOKUP($D256,素材!$1:$1016,COLUMN($E$1),FALSE)/(LEN(VLOOKUP($D256,素材!$1:$1016,COLUMN($F$1),FALSE))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BD256">
        <f>IF(ISNUMBER(SEARCH(SUBSTITUTE(BD$1,RIGHT(BD$1,2),""),VLOOKUP($D256,素材!$1:$1016,COLUMN($F$1),FALSE))),VLOOKUP($C256,武器!$1:$998,COLUMN($O$1),FALSE)*VLOOKUP($D256,素材!$1:$1016,COLUMN($E$1),FALSE)/(LEN(VLOOKUP($D256,素材!$1:$1016,COLUMN($F$1),FALSE))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BE256">
        <f>IF(ISNUMBER(SEARCH(SUBSTITUTE(BE$1,RIGHT(BE$1,2),""),VLOOKUP($D256,素材!$1:$1016,COLUMN($F$1),FALSE))),VLOOKUP($C256,武器!$1:$998,COLUMN($O$1),FALSE)*VLOOKUP($D256,素材!$1:$1016,COLUMN($E$1),FALSE)/(LEN(VLOOKUP($D256,素材!$1:$1016,COLUMN($F$1),FALSE))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BF256">
        <f>IF(ISNUMBER(SEARCH(SUBSTITUTE(BF$1,RIGHT(BF$1,2),""),VLOOKUP($D256,素材!$1:$1016,COLUMN($F$1),FALSE))),VLOOKUP($C256,武器!$1:$998,COLUMN($O$1),FALSE)*VLOOKUP($D256,素材!$1:$1016,COLUMN($E$1),FALSE)/(LEN(VLOOKUP($D256,素材!$1:$1016,COLUMN($F$1),FALSE)) - LEN(SUBSTITUTE(VLOOKUP($D256,素材!$1:$1016,COLUMN($F$1),FALSE), "・", 0)) + 1), 0)</f>
        <v>0</v>
      </c>
      <c r="CM256">
        <f t="shared" si="31"/>
        <v>0</v>
      </c>
      <c r="CN256" s="22" t="str">
        <f>IF(E256="武器",IF(J256-1&gt;SUM(G256:I256),"盾",IF(MAX(G256:I256)=G256,"切断",IF(MAX(G256:I256)=H256,"貫通",IF(MAX(G256:I256)=I256,"打撃","射撃")))),E256)&amp;".webp"</f>
        <v>銃.webp</v>
      </c>
      <c r="CO256">
        <f>IFERROR(VLOOKUP($C256,武器!$1:$998,COLUMN(V$1),FALSE)*VLOOKUP($D256,素材!$1:$1016,COLUMN(N$1),FALSE)+IF(CJ256="",0,VLOOKUP($CJ256,装強!$1:$1008,COLUMN($CL$1),FALSE)),"")</f>
        <v>3750</v>
      </c>
      <c r="CP256">
        <f>VLOOKUP(D256,素材!$A:$O,COLUMN(素材!O$1),FALSE)</f>
        <v>0</v>
      </c>
      <c r="CQ256" t="str">
        <f>VLOOKUP(C256,武器!$A:$W,COLUMN(武器!W$1),FALSE)</f>
        <v/>
      </c>
      <c r="CS256" t="str">
        <f t="shared" si="32"/>
        <v>e_256</v>
      </c>
      <c r="CT256">
        <f t="shared" si="33"/>
        <v>375000</v>
      </c>
    </row>
    <row r="257" spans="1:98" outlineLevel="1" x14ac:dyDescent="0.4">
      <c r="A257" t="str">
        <f t="shared" si="35"/>
        <v>熱鉄の射出弓</v>
      </c>
      <c r="B257" t="str">
        <f>IFERROR(VLOOKUP($D257,素材!$1:$1016,COLUMN($B$1),FALSE)&amp;"・"&amp;VLOOKUP($C257,武器!$1:$998,COLUMN(B$1),FALSE),"")</f>
        <v>ヒートスティール・クロスボウ</v>
      </c>
      <c r="C257" t="s">
        <v>213</v>
      </c>
      <c r="D257" s="24" t="s">
        <v>205</v>
      </c>
      <c r="E257" t="str">
        <f>IFERROR(VLOOKUP(C257,武器!$1:$998,COLUMN(C$1),FALSE),"")</f>
        <v>銃</v>
      </c>
      <c r="F257">
        <f>IFERROR(ROUNDDOWN((VLOOKUP($C257,武器!$1:$998,COLUMN(D$1),FALSE)+IFERROR(VLOOKUP($CJ257,装強!$1:$999,COLUMN(F$1),FALSE),0))*VLOOKUP($D257,素材!$1:$1016,COLUMN(D$1),FALSE),0),"")</f>
        <v>0</v>
      </c>
      <c r="G257">
        <f>IFERROR(ROUNDDOWN((VLOOKUP($C257,武器!$1:$998,COLUMN(E$1),FALSE)+IFERROR(VLOOKUP($CJ257,装強!$1:$999,COLUMN(G$1),FALSE),0))*VLOOKUP($D257,素材!$1:$1016,COLUMN($E$1),FALSE),0),"")</f>
        <v>0</v>
      </c>
      <c r="H257">
        <f>IFERROR(ROUNDDOWN((VLOOKUP($C257,武器!$1:$998,COLUMN(F$1),FALSE)+IFERROR(VLOOKUP($CJ257,装強!$1:$999,COLUMN(H$1),FALSE),0))*VLOOKUP($D257,素材!$1:$1016,COLUMN($E$1),FALSE),0),"")</f>
        <v>0</v>
      </c>
      <c r="I257">
        <f>IFERROR(ROUNDDOWN((VLOOKUP($C257,武器!$1:$998,COLUMN(G$1),FALSE)+IFERROR(VLOOKUP($CJ257,装強!$1:$999,COLUMN(I$1),FALSE),0))*VLOOKUP($D257,素材!$1:$1016,COLUMN($E$1),FALSE),0),"")</f>
        <v>0</v>
      </c>
      <c r="J257">
        <f>IFERROR(ROUNDDOWN((VLOOKUP($C257,武器!$1:$998,COLUMN(H$1),FALSE)+IFERROR(VLOOKUP($CJ257,装強!$1:$999,COLUMN(J$1),FALSE),0))*VLOOKUP($D257,素材!$1:$1016,COLUMN($E$1),FALSE),0),"")</f>
        <v>0</v>
      </c>
      <c r="K257">
        <f>IFERROR(ROUNDDOWN((VLOOKUP($C257,武器!$1:$998,COLUMN(I$1),FALSE)+IFERROR(VLOOKUP($CJ257,装強!$1:$999,COLUMN(K$1),FALSE),0))*VLOOKUP($D257,素材!$1:$1016,COLUMN($E$1),FALSE),0),"")</f>
        <v>78</v>
      </c>
      <c r="L257" t="str">
        <f>IFERROR(VLOOKUP($D257,素材!$1:$1016,COLUMN($F$1),FALSE),"")</f>
        <v>炎</v>
      </c>
      <c r="M257">
        <f>IFERROR(VLOOKUP($C257,武器!$1:$998,COLUMN(AA$1),FALSE)*VLOOKUP($D257,素材!$1:$1016,COLUMN($G$1),FALSE),"")</f>
        <v>0</v>
      </c>
      <c r="N257">
        <f>IFERROR(VLOOKUP($C257,武器!$1:$998,COLUMN(I$1),FALSE),"")</f>
        <v>3.9</v>
      </c>
      <c r="O257" s="23">
        <f>IFERROR((VLOOKUP($C257,武器!$1:$998,COLUMN(K$1),FALSE)+VLOOKUP($D257,素材!$1:$1016,COLUMN(H$1),FALSE))*100+IFERROR(VLOOKUP($CJ257,装強!$1:$999,COLUMN(O$1),FALSE),0),"")</f>
        <v>10</v>
      </c>
      <c r="P257" s="23">
        <f>IFERROR((VLOOKUP($C257,武器!$1:$998,COLUMN(L$1),FALSE)+VLOOKUP($D257,素材!$1:$1016,COLUMN(I$1),FALSE))*100+IFERROR(VLOOKUP($CJ257,装強!$1:$999,COLUMN(P$1),FALSE),0),"")</f>
        <v>150</v>
      </c>
      <c r="Q257">
        <f>IFERROR(ROUNDUP(VLOOKUP($C257,武器!$1:$998,COLUMN(M$1),FALSE)*(VLOOKUP($D257,素材!$1:$1002,COLUMN(D$1),FALSE)/100),1),"")</f>
        <v>0</v>
      </c>
      <c r="R257">
        <f>IFERROR(ROUNDUP(VLOOKUP($C257,武器!$1:$998,COLUMN(N$1),FALSE)*(VLOOKUP($D257,素材!$1:$1002,COLUMN(D$1),FALSE)/100),1),"")</f>
        <v>0</v>
      </c>
      <c r="S257">
        <f>IFERROR(VLOOKUP($C257,武器!$1:$998,COLUMN(P$1),FALSE),"")</f>
        <v>0</v>
      </c>
      <c r="T257">
        <f>IFERROR(VLOOKUP($C257,武器!$1:$998,COLUMN(Q$1),FALSE),"")</f>
        <v>1</v>
      </c>
      <c r="U257">
        <f>IFERROR(VLOOKUP($C257,武器!$1:$998,COLUMN(R$1),FALSE),"")</f>
        <v>1</v>
      </c>
      <c r="V257">
        <f>IFERROR(VLOOKUP($C257,武器!$1:$998,COLUMN(Q$1),FALSE),"")</f>
        <v>1</v>
      </c>
      <c r="W257" t="str">
        <f>IFERROR(VLOOKUP($C257,武器!$1:$998,COLUMN(T$1),FALSE),"")</f>
        <v>S</v>
      </c>
      <c r="Y257">
        <f>IFERROR(VLOOKUP($C257,武器!$1:$998,COLUMN(U$1),FALSE),"")</f>
        <v>0</v>
      </c>
      <c r="Z257">
        <f>IFERROR(ROUNDUP(VLOOKUP($C257,武器!$1:$998,COLUMN(O$1),FALSE)*VLOOKUP($D257,素材!$1:$1016,COLUMN(E$1),FALSE),1),"")</f>
        <v>0</v>
      </c>
      <c r="AA257">
        <f>IF(ISNUMBER(SEARCH(SUBSTITUTE(AA$1,RIGHT(AA$1,2),""),VLOOKUP($D257,素材!$1:$1016,COLUMN($F$1),FALSE))),VLOOKUP($C257,武器!$1:$998,COLUMN($O$1),FALSE)*VLOOKUP($D257,素材!$1:$1016,COLUMN($E$1),FALSE)/(LEN(VLOOKUP($D257,素材!$1:$1016,COLUMN($F$1),FALSE))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B257">
        <f>IF(ISNUMBER(SEARCH(SUBSTITUTE(AB$1,RIGHT(AB$1,2),""),VLOOKUP($D257,素材!$1:$1016,COLUMN($F$1),FALSE))),VLOOKUP($C257,武器!$1:$998,COLUMN($O$1),FALSE)*VLOOKUP($D257,素材!$1:$1016,COLUMN($E$1),FALSE)/(LEN(VLOOKUP($D257,素材!$1:$1016,COLUMN($F$1),FALSE))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C257">
        <f>IF(ISNUMBER(SEARCH(SUBSTITUTE(AC$1,RIGHT(AC$1,2),""),VLOOKUP($D257,素材!$1:$1016,COLUMN($F$1),FALSE))),VLOOKUP($C257,武器!$1:$998,COLUMN($O$1),FALSE)*VLOOKUP($D257,素材!$1:$1016,COLUMN($E$1),FALSE)/(LEN(VLOOKUP($D257,素材!$1:$1016,COLUMN($F$1),FALSE))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D257">
        <f>IF(ISNUMBER(SEARCH(SUBSTITUTE(AD$1,RIGHT(AD$1,2),""),VLOOKUP($D257,素材!$1:$1016,COLUMN($F$1),FALSE))),VLOOKUP($C257,武器!$1:$998,COLUMN($O$1),FALSE)*VLOOKUP($D257,素材!$1:$1016,COLUMN($E$1),FALSE)/(LEN(VLOOKUP($D257,素材!$1:$1016,COLUMN($F$1),FALSE))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E257">
        <f>IF(ISNUMBER(SEARCH(SUBSTITUTE(AE$1,RIGHT(AE$1,2),""),VLOOKUP($D257,素材!$1:$1016,COLUMN($F$1),FALSE))),VLOOKUP($C257,武器!$1:$998,COLUMN($O$1),FALSE)*VLOOKUP($D257,素材!$1:$1016,COLUMN($E$1),FALSE)/(LEN(VLOOKUP($D257,素材!$1:$1016,COLUMN($F$1),FALSE))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F257">
        <f>IF(ISNUMBER(SEARCH(SUBSTITUTE(AF$1,RIGHT(AF$1,2),""),VLOOKUP($D257,素材!$1:$1016,COLUMN($F$1),FALSE))),VLOOKUP($C257,武器!$1:$998,COLUMN($O$1),FALSE)*VLOOKUP($D257,素材!$1:$1016,COLUMN($E$1),FALSE)/(LEN(VLOOKUP($D257,素材!$1:$1016,COLUMN($F$1),FALSE))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G257">
        <f>IF(ISNUMBER(SEARCH(SUBSTITUTE(AG$1,RIGHT(AG$1,2),""),VLOOKUP($D257,素材!$1:$1016,COLUMN($F$1),FALSE))),VLOOKUP($C257,武器!$1:$998,COLUMN($O$1),FALSE)*VLOOKUP($D257,素材!$1:$1016,COLUMN($E$1),FALSE)/(LEN(VLOOKUP($D257,素材!$1:$1016,COLUMN($F$1),FALSE))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H257">
        <f>IF(ISNUMBER(SEARCH(SUBSTITUTE(AH$1,RIGHT(AH$1,2),""),VLOOKUP($D257,素材!$1:$1016,COLUMN($F$1),FALSE))),VLOOKUP($C257,武器!$1:$998,COLUMN($O$1),FALSE)*VLOOKUP($D257,素材!$1:$1016,COLUMN($E$1),FALSE)/(LEN(VLOOKUP($D257,素材!$1:$1016,COLUMN($F$1),FALSE))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I257">
        <f>IF(ISNUMBER(SEARCH(SUBSTITUTE(AI$1,RIGHT(AI$1,2),""),VLOOKUP($D257,素材!$1:$1016,COLUMN($F$1),FALSE))),VLOOKUP($C257,武器!$1:$998,COLUMN($O$1),FALSE)*VLOOKUP($D257,素材!$1:$1016,COLUMN($E$1),FALSE)/(LEN(VLOOKUP($D257,素材!$1:$1016,COLUMN($F$1),FALSE))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J257">
        <f>IF(ISNUMBER(SEARCH(SUBSTITUTE(AJ$1,RIGHT(AJ$1,2),""),VLOOKUP($D257,素材!$1:$1016,COLUMN($F$1),FALSE))),VLOOKUP($C257,武器!$1:$998,COLUMN($O$1),FALSE)*VLOOKUP($D257,素材!$1:$1016,COLUMN($E$1),FALSE)/(LEN(VLOOKUP($D257,素材!$1:$1016,COLUMN($F$1),FALSE))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K257">
        <f>IF(ISNUMBER(SEARCH(SUBSTITUTE(AK$1,RIGHT(AK$1,2),""),VLOOKUP($D257,素材!$1:$1016,COLUMN($F$1),FALSE))),VLOOKUP($C257,武器!$1:$998,COLUMN($O$1),FALSE)*VLOOKUP($D257,素材!$1:$1016,COLUMN($E$1),FALSE)/(LEN(VLOOKUP($D257,素材!$1:$1016,COLUMN($F$1),FALSE))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L257">
        <f>IF(ISNUMBER(SEARCH(SUBSTITUTE(AL$1,RIGHT(AL$1,2),""),VLOOKUP($D257,素材!$1:$1016,COLUMN($F$1),FALSE))),VLOOKUP($C257,武器!$1:$998,COLUMN($O$1),FALSE)*VLOOKUP($D257,素材!$1:$1016,COLUMN($E$1),FALSE)/(LEN(VLOOKUP($D257,素材!$1:$1016,COLUMN($F$1),FALSE))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M257">
        <f>IF(ISNUMBER(SEARCH(SUBSTITUTE(AM$1,RIGHT(AM$1,2),""),VLOOKUP($D257,素材!$1:$1016,COLUMN($F$1),FALSE))),VLOOKUP($C257,武器!$1:$998,COLUMN($O$1),FALSE)*VLOOKUP($D257,素材!$1:$1016,COLUMN($E$1),FALSE)/(LEN(VLOOKUP($D257,素材!$1:$1016,COLUMN($F$1),FALSE))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N257">
        <f>IF(ISNUMBER(SEARCH(SUBSTITUTE(AN$1,RIGHT(AN$1,2),""),VLOOKUP($D257,素材!$1:$1016,COLUMN($F$1),FALSE))),VLOOKUP($C257,武器!$1:$998,COLUMN($O$1),FALSE)*VLOOKUP($D257,素材!$1:$1016,COLUMN($E$1),FALSE)/(LEN(VLOOKUP($D257,素材!$1:$1016,COLUMN($F$1),FALSE))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O257">
        <f>IF(ISNUMBER(SEARCH(SUBSTITUTE(AO$1,RIGHT(AO$1,2),""),VLOOKUP($D257,素材!$1:$1016,COLUMN($F$1),FALSE))),VLOOKUP($C257,武器!$1:$998,COLUMN($O$1),FALSE)*VLOOKUP($D257,素材!$1:$1016,COLUMN($E$1),FALSE)/(LEN(VLOOKUP($D257,素材!$1:$1016,COLUMN($F$1),FALSE))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P257">
        <f>IF(ISNUMBER(SEARCH(SUBSTITUTE(AP$1,RIGHT(AP$1,2),""),VLOOKUP($D257,素材!$1:$1016,COLUMN($F$1),FALSE))),VLOOKUP($C257,武器!$1:$998,COLUMN($O$1),FALSE)*VLOOKUP($D257,素材!$1:$1016,COLUMN($E$1),FALSE)/(LEN(VLOOKUP($D257,素材!$1:$1016,COLUMN($F$1),FALSE))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Q257">
        <f>IF(ISNUMBER(SEARCH(SUBSTITUTE(AQ$1,RIGHT(AQ$1,2),""),VLOOKUP($D257,素材!$1:$1016,COLUMN($F$1),FALSE))),VLOOKUP($C257,武器!$1:$998,COLUMN($O$1),FALSE)*VLOOKUP($D257,素材!$1:$1016,COLUMN($E$1),FALSE)/(LEN(VLOOKUP($D257,素材!$1:$1016,COLUMN($F$1),FALSE))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R257">
        <f>IF(ISNUMBER(SEARCH(SUBSTITUTE(AR$1,RIGHT(AR$1,2),""),VLOOKUP($D257,素材!$1:$1016,COLUMN($F$1),FALSE))),VLOOKUP($C257,武器!$1:$998,COLUMN($O$1),FALSE)*VLOOKUP($D257,素材!$1:$1016,COLUMN($E$1),FALSE)/(LEN(VLOOKUP($D257,素材!$1:$1016,COLUMN($F$1),FALSE))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S257">
        <f>IF(ISNUMBER(SEARCH(SUBSTITUTE(AS$1,RIGHT(AS$1,2),""),VLOOKUP($D257,素材!$1:$1016,COLUMN($F$1),FALSE))),VLOOKUP($C257,武器!$1:$998,COLUMN($O$1),FALSE)*VLOOKUP($D257,素材!$1:$1016,COLUMN($E$1),FALSE)/(LEN(VLOOKUP($D257,素材!$1:$1016,COLUMN($F$1),FALSE))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T257">
        <f>IF(ISNUMBER(SEARCH(SUBSTITUTE(AT$1,RIGHT(AT$1,2),""),VLOOKUP($D257,素材!$1:$1016,COLUMN($F$1),FALSE))),VLOOKUP($C257,武器!$1:$998,COLUMN($O$1),FALSE)*VLOOKUP($D257,素材!$1:$1016,COLUMN($E$1),FALSE)/(LEN(VLOOKUP($D257,素材!$1:$1016,COLUMN($F$1),FALSE))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U257">
        <f>IF(ISNUMBER(SEARCH(SUBSTITUTE(AU$1,RIGHT(AU$1,2),""),VLOOKUP($D257,素材!$1:$1016,COLUMN($F$1),FALSE))),VLOOKUP($C257,武器!$1:$998,COLUMN($O$1),FALSE)*VLOOKUP($D257,素材!$1:$1016,COLUMN($E$1),FALSE)/(LEN(VLOOKUP($D257,素材!$1:$1016,COLUMN($F$1),FALSE))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V257">
        <f>IF(ISNUMBER(SEARCH(SUBSTITUTE(AV$1,RIGHT(AV$1,2),""),VLOOKUP($D257,素材!$1:$1016,COLUMN($F$1),FALSE))),VLOOKUP($C257,武器!$1:$998,COLUMN($O$1),FALSE)*VLOOKUP($D257,素材!$1:$1016,COLUMN($E$1),FALSE)/(LEN(VLOOKUP($D257,素材!$1:$1016,COLUMN($F$1),FALSE))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W257">
        <f>IF(ISNUMBER(SEARCH(SUBSTITUTE(AW$1,RIGHT(AW$1,2),""),VLOOKUP($D257,素材!$1:$1016,COLUMN($F$1),FALSE))),VLOOKUP($C257,武器!$1:$998,COLUMN($O$1),FALSE)*VLOOKUP($D257,素材!$1:$1016,COLUMN($E$1),FALSE)/(LEN(VLOOKUP($D257,素材!$1:$1016,COLUMN($F$1),FALSE))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X257">
        <f>IF(ISNUMBER(SEARCH(SUBSTITUTE(AX$1,RIGHT(AX$1,2),""),VLOOKUP($D257,素材!$1:$1016,COLUMN($F$1),FALSE))),VLOOKUP($C257,武器!$1:$998,COLUMN($O$1),FALSE)*VLOOKUP($D257,素材!$1:$1016,COLUMN($E$1),FALSE)/(LEN(VLOOKUP($D257,素材!$1:$1016,COLUMN($F$1),FALSE))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Y257">
        <f>IF(ISNUMBER(SEARCH(SUBSTITUTE(AY$1,RIGHT(AY$1,2),""),VLOOKUP($D257,素材!$1:$1016,COLUMN($F$1),FALSE))),VLOOKUP($C257,武器!$1:$998,COLUMN($O$1),FALSE)*VLOOKUP($D257,素材!$1:$1016,COLUMN($E$1),FALSE)/(LEN(VLOOKUP($D257,素材!$1:$1016,COLUMN($F$1),FALSE))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AZ257">
        <f>IF(ISNUMBER(SEARCH(SUBSTITUTE(AZ$1,RIGHT(AZ$1,2),""),VLOOKUP($D257,素材!$1:$1016,COLUMN($F$1),FALSE))),VLOOKUP($C257,武器!$1:$998,COLUMN($O$1),FALSE)*VLOOKUP($D257,素材!$1:$1016,COLUMN($E$1),FALSE)/(LEN(VLOOKUP($D257,素材!$1:$1016,COLUMN($F$1),FALSE))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BA257">
        <f>IF(ISNUMBER(SEARCH(SUBSTITUTE(BA$1,RIGHT(BA$1,2),""),VLOOKUP($D257,素材!$1:$1016,COLUMN($F$1),FALSE))),VLOOKUP($C257,武器!$1:$998,COLUMN($O$1),FALSE)*VLOOKUP($D257,素材!$1:$1016,COLUMN($E$1),FALSE)/(LEN(VLOOKUP($D257,素材!$1:$1016,COLUMN($F$1),FALSE))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BB257">
        <f>IF(ISNUMBER(SEARCH(SUBSTITUTE(BB$1,RIGHT(BB$1,2),""),VLOOKUP($D257,素材!$1:$1016,COLUMN($F$1),FALSE))),VLOOKUP($C257,武器!$1:$998,COLUMN($O$1),FALSE)*VLOOKUP($D257,素材!$1:$1016,COLUMN($E$1),FALSE)/(LEN(VLOOKUP($D257,素材!$1:$1016,COLUMN($F$1),FALSE))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BC257">
        <f>IF(ISNUMBER(SEARCH(SUBSTITUTE(BC$1,RIGHT(BC$1,2),""),VLOOKUP($D257,素材!$1:$1016,COLUMN($F$1),FALSE))),VLOOKUP($C257,武器!$1:$998,COLUMN($O$1),FALSE)*VLOOKUP($D257,素材!$1:$1016,COLUMN($E$1),FALSE)/(LEN(VLOOKUP($D257,素材!$1:$1016,COLUMN($F$1),FALSE))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BD257">
        <f>IF(ISNUMBER(SEARCH(SUBSTITUTE(BD$1,RIGHT(BD$1,2),""),VLOOKUP($D257,素材!$1:$1016,COLUMN($F$1),FALSE))),VLOOKUP($C257,武器!$1:$998,COLUMN($O$1),FALSE)*VLOOKUP($D257,素材!$1:$1016,COLUMN($E$1),FALSE)/(LEN(VLOOKUP($D257,素材!$1:$1016,COLUMN($F$1),FALSE))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BE257">
        <f>IF(ISNUMBER(SEARCH(SUBSTITUTE(BE$1,RIGHT(BE$1,2),""),VLOOKUP($D257,素材!$1:$1016,COLUMN($F$1),FALSE))),VLOOKUP($C257,武器!$1:$998,COLUMN($O$1),FALSE)*VLOOKUP($D257,素材!$1:$1016,COLUMN($E$1),FALSE)/(LEN(VLOOKUP($D257,素材!$1:$1016,COLUMN($F$1),FALSE))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BF257">
        <f>IF(ISNUMBER(SEARCH(SUBSTITUTE(BF$1,RIGHT(BF$1,2),""),VLOOKUP($D257,素材!$1:$1016,COLUMN($F$1),FALSE))),VLOOKUP($C257,武器!$1:$998,COLUMN($O$1),FALSE)*VLOOKUP($D257,素材!$1:$1016,COLUMN($E$1),FALSE)/(LEN(VLOOKUP($D257,素材!$1:$1016,COLUMN($F$1),FALSE)) - LEN(SUBSTITUTE(VLOOKUP($D257,素材!$1:$1016,COLUMN($F$1),FALSE), "・", 0)) + 1), 0)</f>
        <v>0</v>
      </c>
      <c r="CM257">
        <f t="shared" si="31"/>
        <v>0</v>
      </c>
      <c r="CN257" s="22" t="str">
        <f>IF(E257="武器",IF(J257-1&gt;SUM(G257:I257),"盾",IF(MAX(G257:I257)=G257,"切断",IF(MAX(G257:I257)=H257,"貫通",IF(MAX(G257:I257)=I257,"打撃","射撃")))),E257)&amp;".webp"</f>
        <v>銃.webp</v>
      </c>
      <c r="CO257">
        <f>IFERROR(VLOOKUP($C257,武器!$1:$998,COLUMN(V$1),FALSE)*VLOOKUP($D257,素材!$1:$1016,COLUMN(N$1),FALSE)+IF(CJ257="",0,VLOOKUP($CJ257,装強!$1:$1008,COLUMN($CL$1),FALSE)),"")</f>
        <v>4500</v>
      </c>
      <c r="CP257">
        <f>VLOOKUP(D257,素材!$A:$O,COLUMN(素材!O$1),FALSE)</f>
        <v>0</v>
      </c>
      <c r="CQ257" t="str">
        <f>VLOOKUP(C257,武器!$A:$W,COLUMN(武器!W$1),FALSE)</f>
        <v/>
      </c>
      <c r="CS257" t="str">
        <f t="shared" si="32"/>
        <v>e_257</v>
      </c>
      <c r="CT257">
        <f t="shared" si="33"/>
        <v>450000</v>
      </c>
    </row>
    <row r="258" spans="1:98" outlineLevel="1" x14ac:dyDescent="0.4">
      <c r="A258" t="str">
        <f t="shared" si="35"/>
        <v>熱鉄の回転式拳銃</v>
      </c>
      <c r="B258" t="str">
        <f>IFERROR(VLOOKUP($D258,素材!$1:$1016,COLUMN($B$1),FALSE)&amp;"・"&amp;VLOOKUP($C258,武器!$1:$998,COLUMN(B$1),FALSE),"")</f>
        <v>ヒートスティール・リボルバー</v>
      </c>
      <c r="C258" t="s">
        <v>212</v>
      </c>
      <c r="D258" s="24" t="s">
        <v>205</v>
      </c>
      <c r="E258" t="str">
        <f>IFERROR(VLOOKUP(C258,武器!$1:$998,COLUMN(C$1),FALSE),"")</f>
        <v>銃</v>
      </c>
      <c r="F258">
        <f>IFERROR(ROUNDDOWN((VLOOKUP($C258,武器!$1:$998,COLUMN(D$1),FALSE)+IFERROR(VLOOKUP($CJ258,装強!$1:$999,COLUMN(F$1),FALSE),0))*VLOOKUP($D258,素材!$1:$1016,COLUMN(D$1),FALSE),0),"")</f>
        <v>0</v>
      </c>
      <c r="G258">
        <f>IFERROR(ROUNDDOWN((VLOOKUP($C258,武器!$1:$998,COLUMN(E$1),FALSE)+IFERROR(VLOOKUP($CJ258,装強!$1:$999,COLUMN(G$1),FALSE),0))*VLOOKUP($D258,素材!$1:$1016,COLUMN($E$1),FALSE),0),"")</f>
        <v>0</v>
      </c>
      <c r="H258">
        <f>IFERROR(ROUNDDOWN((VLOOKUP($C258,武器!$1:$998,COLUMN(F$1),FALSE)+IFERROR(VLOOKUP($CJ258,装強!$1:$999,COLUMN(H$1),FALSE),0))*VLOOKUP($D258,素材!$1:$1016,COLUMN($E$1),FALSE),0),"")</f>
        <v>0</v>
      </c>
      <c r="I258">
        <f>IFERROR(ROUNDDOWN((VLOOKUP($C258,武器!$1:$998,COLUMN(G$1),FALSE)+IFERROR(VLOOKUP($CJ258,装強!$1:$999,COLUMN(I$1),FALSE),0))*VLOOKUP($D258,素材!$1:$1016,COLUMN($E$1),FALSE),0),"")</f>
        <v>0</v>
      </c>
      <c r="J258">
        <f>IFERROR(ROUNDDOWN((VLOOKUP($C258,武器!$1:$998,COLUMN(H$1),FALSE)+IFERROR(VLOOKUP($CJ258,装強!$1:$999,COLUMN(J$1),FALSE),0))*VLOOKUP($D258,素材!$1:$1016,COLUMN($E$1),FALSE),0),"")</f>
        <v>0</v>
      </c>
      <c r="K258">
        <f>IFERROR(ROUNDDOWN((VLOOKUP($C258,武器!$1:$998,COLUMN(I$1),FALSE)+IFERROR(VLOOKUP($CJ258,装強!$1:$999,COLUMN(K$1),FALSE),0))*VLOOKUP($D258,素材!$1:$1016,COLUMN($E$1),FALSE),0),"")</f>
        <v>51</v>
      </c>
      <c r="L258" t="str">
        <f>IFERROR(VLOOKUP($D258,素材!$1:$1016,COLUMN($F$1),FALSE),"")</f>
        <v>炎</v>
      </c>
      <c r="M258">
        <f>IFERROR(VLOOKUP($C258,武器!$1:$998,COLUMN(AA$1),FALSE)*VLOOKUP($D258,素材!$1:$1016,COLUMN($G$1),FALSE),"")</f>
        <v>0</v>
      </c>
      <c r="N258">
        <f>IFERROR(VLOOKUP($C258,武器!$1:$998,COLUMN(I$1),FALSE),"")</f>
        <v>2.5700000000000003</v>
      </c>
      <c r="O258" s="23">
        <f>IFERROR((VLOOKUP($C258,武器!$1:$998,COLUMN(K$1),FALSE)+VLOOKUP($D258,素材!$1:$1016,COLUMN(H$1),FALSE))*100+IFERROR(VLOOKUP($CJ258,装強!$1:$999,COLUMN(O$1),FALSE),0),"")</f>
        <v>10</v>
      </c>
      <c r="P258" s="23">
        <f>IFERROR((VLOOKUP($C258,武器!$1:$998,COLUMN(L$1),FALSE)+VLOOKUP($D258,素材!$1:$1016,COLUMN(I$1),FALSE))*100+IFERROR(VLOOKUP($CJ258,装強!$1:$999,COLUMN(P$1),FALSE),0),"")</f>
        <v>140</v>
      </c>
      <c r="Q258">
        <f>IFERROR(ROUNDUP(VLOOKUP($C258,武器!$1:$998,COLUMN(M$1),FALSE)*(VLOOKUP($D258,素材!$1:$1002,COLUMN(D$1),FALSE)/100),1),"")</f>
        <v>0</v>
      </c>
      <c r="R258">
        <f>IFERROR(ROUNDUP(VLOOKUP($C258,武器!$1:$998,COLUMN(N$1),FALSE)*(VLOOKUP($D258,素材!$1:$1002,COLUMN(D$1),FALSE)/100),1),"")</f>
        <v>-15</v>
      </c>
      <c r="S258">
        <f>IFERROR(VLOOKUP($C258,武器!$1:$998,COLUMN(P$1),FALSE),"")</f>
        <v>0</v>
      </c>
      <c r="T258">
        <f>IFERROR(VLOOKUP($C258,武器!$1:$998,COLUMN(Q$1),FALSE),"")</f>
        <v>2</v>
      </c>
      <c r="U258">
        <f>IFERROR(VLOOKUP($C258,武器!$1:$998,COLUMN(R$1),FALSE),"")</f>
        <v>6</v>
      </c>
      <c r="V258">
        <f>IFERROR(VLOOKUP($C258,武器!$1:$998,COLUMN(Q$1),FALSE),"")</f>
        <v>2</v>
      </c>
      <c r="W258">
        <f>IFERROR(VLOOKUP($C258,武器!$1:$998,COLUMN(T$1),FALSE),"")</f>
        <v>0</v>
      </c>
      <c r="Y258">
        <f>IFERROR(VLOOKUP($C258,武器!$1:$998,COLUMN(U$1),FALSE),"")</f>
        <v>0</v>
      </c>
      <c r="Z258">
        <f>IFERROR(ROUNDUP(VLOOKUP($C258,武器!$1:$998,COLUMN(O$1),FALSE)*VLOOKUP($D258,素材!$1:$1016,COLUMN(E$1),FALSE),1),"")</f>
        <v>0</v>
      </c>
      <c r="AA258">
        <f>IF(ISNUMBER(SEARCH(SUBSTITUTE(AA$1,RIGHT(AA$1,2),""),VLOOKUP($D258,素材!$1:$1016,COLUMN($F$1),FALSE))),VLOOKUP($C258,武器!$1:$998,COLUMN($O$1),FALSE)*VLOOKUP($D258,素材!$1:$1016,COLUMN($E$1),FALSE)/(LEN(VLOOKUP($D258,素材!$1:$1016,COLUMN($F$1),FALSE))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B258">
        <f>IF(ISNUMBER(SEARCH(SUBSTITUTE(AB$1,RIGHT(AB$1,2),""),VLOOKUP($D258,素材!$1:$1016,COLUMN($F$1),FALSE))),VLOOKUP($C258,武器!$1:$998,COLUMN($O$1),FALSE)*VLOOKUP($D258,素材!$1:$1016,COLUMN($E$1),FALSE)/(LEN(VLOOKUP($D258,素材!$1:$1016,COLUMN($F$1),FALSE))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C258">
        <f>IF(ISNUMBER(SEARCH(SUBSTITUTE(AC$1,RIGHT(AC$1,2),""),VLOOKUP($D258,素材!$1:$1016,COLUMN($F$1),FALSE))),VLOOKUP($C258,武器!$1:$998,COLUMN($O$1),FALSE)*VLOOKUP($D258,素材!$1:$1016,COLUMN($E$1),FALSE)/(LEN(VLOOKUP($D258,素材!$1:$1016,COLUMN($F$1),FALSE))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D258">
        <f>IF(ISNUMBER(SEARCH(SUBSTITUTE(AD$1,RIGHT(AD$1,2),""),VLOOKUP($D258,素材!$1:$1016,COLUMN($F$1),FALSE))),VLOOKUP($C258,武器!$1:$998,COLUMN($O$1),FALSE)*VLOOKUP($D258,素材!$1:$1016,COLUMN($E$1),FALSE)/(LEN(VLOOKUP($D258,素材!$1:$1016,COLUMN($F$1),FALSE))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E258">
        <f>IF(ISNUMBER(SEARCH(SUBSTITUTE(AE$1,RIGHT(AE$1,2),""),VLOOKUP($D258,素材!$1:$1016,COLUMN($F$1),FALSE))),VLOOKUP($C258,武器!$1:$998,COLUMN($O$1),FALSE)*VLOOKUP($D258,素材!$1:$1016,COLUMN($E$1),FALSE)/(LEN(VLOOKUP($D258,素材!$1:$1016,COLUMN($F$1),FALSE))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F258">
        <f>IF(ISNUMBER(SEARCH(SUBSTITUTE(AF$1,RIGHT(AF$1,2),""),VLOOKUP($D258,素材!$1:$1016,COLUMN($F$1),FALSE))),VLOOKUP($C258,武器!$1:$998,COLUMN($O$1),FALSE)*VLOOKUP($D258,素材!$1:$1016,COLUMN($E$1),FALSE)/(LEN(VLOOKUP($D258,素材!$1:$1016,COLUMN($F$1),FALSE))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G258">
        <f>IF(ISNUMBER(SEARCH(SUBSTITUTE(AG$1,RIGHT(AG$1,2),""),VLOOKUP($D258,素材!$1:$1016,COLUMN($F$1),FALSE))),VLOOKUP($C258,武器!$1:$998,COLUMN($O$1),FALSE)*VLOOKUP($D258,素材!$1:$1016,COLUMN($E$1),FALSE)/(LEN(VLOOKUP($D258,素材!$1:$1016,COLUMN($F$1),FALSE))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H258">
        <f>IF(ISNUMBER(SEARCH(SUBSTITUTE(AH$1,RIGHT(AH$1,2),""),VLOOKUP($D258,素材!$1:$1016,COLUMN($F$1),FALSE))),VLOOKUP($C258,武器!$1:$998,COLUMN($O$1),FALSE)*VLOOKUP($D258,素材!$1:$1016,COLUMN($E$1),FALSE)/(LEN(VLOOKUP($D258,素材!$1:$1016,COLUMN($F$1),FALSE))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I258">
        <f>IF(ISNUMBER(SEARCH(SUBSTITUTE(AI$1,RIGHT(AI$1,2),""),VLOOKUP($D258,素材!$1:$1016,COLUMN($F$1),FALSE))),VLOOKUP($C258,武器!$1:$998,COLUMN($O$1),FALSE)*VLOOKUP($D258,素材!$1:$1016,COLUMN($E$1),FALSE)/(LEN(VLOOKUP($D258,素材!$1:$1016,COLUMN($F$1),FALSE))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J258">
        <f>IF(ISNUMBER(SEARCH(SUBSTITUTE(AJ$1,RIGHT(AJ$1,2),""),VLOOKUP($D258,素材!$1:$1016,COLUMN($F$1),FALSE))),VLOOKUP($C258,武器!$1:$998,COLUMN($O$1),FALSE)*VLOOKUP($D258,素材!$1:$1016,COLUMN($E$1),FALSE)/(LEN(VLOOKUP($D258,素材!$1:$1016,COLUMN($F$1),FALSE))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K258">
        <f>IF(ISNUMBER(SEARCH(SUBSTITUTE(AK$1,RIGHT(AK$1,2),""),VLOOKUP($D258,素材!$1:$1016,COLUMN($F$1),FALSE))),VLOOKUP($C258,武器!$1:$998,COLUMN($O$1),FALSE)*VLOOKUP($D258,素材!$1:$1016,COLUMN($E$1),FALSE)/(LEN(VLOOKUP($D258,素材!$1:$1016,COLUMN($F$1),FALSE))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L258">
        <f>IF(ISNUMBER(SEARCH(SUBSTITUTE(AL$1,RIGHT(AL$1,2),""),VLOOKUP($D258,素材!$1:$1016,COLUMN($F$1),FALSE))),VLOOKUP($C258,武器!$1:$998,COLUMN($O$1),FALSE)*VLOOKUP($D258,素材!$1:$1016,COLUMN($E$1),FALSE)/(LEN(VLOOKUP($D258,素材!$1:$1016,COLUMN($F$1),FALSE))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M258">
        <f>IF(ISNUMBER(SEARCH(SUBSTITUTE(AM$1,RIGHT(AM$1,2),""),VLOOKUP($D258,素材!$1:$1016,COLUMN($F$1),FALSE))),VLOOKUP($C258,武器!$1:$998,COLUMN($O$1),FALSE)*VLOOKUP($D258,素材!$1:$1016,COLUMN($E$1),FALSE)/(LEN(VLOOKUP($D258,素材!$1:$1016,COLUMN($F$1),FALSE))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N258">
        <f>IF(ISNUMBER(SEARCH(SUBSTITUTE(AN$1,RIGHT(AN$1,2),""),VLOOKUP($D258,素材!$1:$1016,COLUMN($F$1),FALSE))),VLOOKUP($C258,武器!$1:$998,COLUMN($O$1),FALSE)*VLOOKUP($D258,素材!$1:$1016,COLUMN($E$1),FALSE)/(LEN(VLOOKUP($D258,素材!$1:$1016,COLUMN($F$1),FALSE))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O258">
        <f>IF(ISNUMBER(SEARCH(SUBSTITUTE(AO$1,RIGHT(AO$1,2),""),VLOOKUP($D258,素材!$1:$1016,COLUMN($F$1),FALSE))),VLOOKUP($C258,武器!$1:$998,COLUMN($O$1),FALSE)*VLOOKUP($D258,素材!$1:$1016,COLUMN($E$1),FALSE)/(LEN(VLOOKUP($D258,素材!$1:$1016,COLUMN($F$1),FALSE))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P258">
        <f>IF(ISNUMBER(SEARCH(SUBSTITUTE(AP$1,RIGHT(AP$1,2),""),VLOOKUP($D258,素材!$1:$1016,COLUMN($F$1),FALSE))),VLOOKUP($C258,武器!$1:$998,COLUMN($O$1),FALSE)*VLOOKUP($D258,素材!$1:$1016,COLUMN($E$1),FALSE)/(LEN(VLOOKUP($D258,素材!$1:$1016,COLUMN($F$1),FALSE))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Q258">
        <f>IF(ISNUMBER(SEARCH(SUBSTITUTE(AQ$1,RIGHT(AQ$1,2),""),VLOOKUP($D258,素材!$1:$1016,COLUMN($F$1),FALSE))),VLOOKUP($C258,武器!$1:$998,COLUMN($O$1),FALSE)*VLOOKUP($D258,素材!$1:$1016,COLUMN($E$1),FALSE)/(LEN(VLOOKUP($D258,素材!$1:$1016,COLUMN($F$1),FALSE))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R258">
        <f>IF(ISNUMBER(SEARCH(SUBSTITUTE(AR$1,RIGHT(AR$1,2),""),VLOOKUP($D258,素材!$1:$1016,COLUMN($F$1),FALSE))),VLOOKUP($C258,武器!$1:$998,COLUMN($O$1),FALSE)*VLOOKUP($D258,素材!$1:$1016,COLUMN($E$1),FALSE)/(LEN(VLOOKUP($D258,素材!$1:$1016,COLUMN($F$1),FALSE))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S258">
        <f>IF(ISNUMBER(SEARCH(SUBSTITUTE(AS$1,RIGHT(AS$1,2),""),VLOOKUP($D258,素材!$1:$1016,COLUMN($F$1),FALSE))),VLOOKUP($C258,武器!$1:$998,COLUMN($O$1),FALSE)*VLOOKUP($D258,素材!$1:$1016,COLUMN($E$1),FALSE)/(LEN(VLOOKUP($D258,素材!$1:$1016,COLUMN($F$1),FALSE))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T258">
        <f>IF(ISNUMBER(SEARCH(SUBSTITUTE(AT$1,RIGHT(AT$1,2),""),VLOOKUP($D258,素材!$1:$1016,COLUMN($F$1),FALSE))),VLOOKUP($C258,武器!$1:$998,COLUMN($O$1),FALSE)*VLOOKUP($D258,素材!$1:$1016,COLUMN($E$1),FALSE)/(LEN(VLOOKUP($D258,素材!$1:$1016,COLUMN($F$1),FALSE))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U258">
        <f>IF(ISNUMBER(SEARCH(SUBSTITUTE(AU$1,RIGHT(AU$1,2),""),VLOOKUP($D258,素材!$1:$1016,COLUMN($F$1),FALSE))),VLOOKUP($C258,武器!$1:$998,COLUMN($O$1),FALSE)*VLOOKUP($D258,素材!$1:$1016,COLUMN($E$1),FALSE)/(LEN(VLOOKUP($D258,素材!$1:$1016,COLUMN($F$1),FALSE))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V258">
        <f>IF(ISNUMBER(SEARCH(SUBSTITUTE(AV$1,RIGHT(AV$1,2),""),VLOOKUP($D258,素材!$1:$1016,COLUMN($F$1),FALSE))),VLOOKUP($C258,武器!$1:$998,COLUMN($O$1),FALSE)*VLOOKUP($D258,素材!$1:$1016,COLUMN($E$1),FALSE)/(LEN(VLOOKUP($D258,素材!$1:$1016,COLUMN($F$1),FALSE))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W258">
        <f>IF(ISNUMBER(SEARCH(SUBSTITUTE(AW$1,RIGHT(AW$1,2),""),VLOOKUP($D258,素材!$1:$1016,COLUMN($F$1),FALSE))),VLOOKUP($C258,武器!$1:$998,COLUMN($O$1),FALSE)*VLOOKUP($D258,素材!$1:$1016,COLUMN($E$1),FALSE)/(LEN(VLOOKUP($D258,素材!$1:$1016,COLUMN($F$1),FALSE))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X258">
        <f>IF(ISNUMBER(SEARCH(SUBSTITUTE(AX$1,RIGHT(AX$1,2),""),VLOOKUP($D258,素材!$1:$1016,COLUMN($F$1),FALSE))),VLOOKUP($C258,武器!$1:$998,COLUMN($O$1),FALSE)*VLOOKUP($D258,素材!$1:$1016,COLUMN($E$1),FALSE)/(LEN(VLOOKUP($D258,素材!$1:$1016,COLUMN($F$1),FALSE))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Y258">
        <f>IF(ISNUMBER(SEARCH(SUBSTITUTE(AY$1,RIGHT(AY$1,2),""),VLOOKUP($D258,素材!$1:$1016,COLUMN($F$1),FALSE))),VLOOKUP($C258,武器!$1:$998,COLUMN($O$1),FALSE)*VLOOKUP($D258,素材!$1:$1016,COLUMN($E$1),FALSE)/(LEN(VLOOKUP($D258,素材!$1:$1016,COLUMN($F$1),FALSE))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AZ258">
        <f>IF(ISNUMBER(SEARCH(SUBSTITUTE(AZ$1,RIGHT(AZ$1,2),""),VLOOKUP($D258,素材!$1:$1016,COLUMN($F$1),FALSE))),VLOOKUP($C258,武器!$1:$998,COLUMN($O$1),FALSE)*VLOOKUP($D258,素材!$1:$1016,COLUMN($E$1),FALSE)/(LEN(VLOOKUP($D258,素材!$1:$1016,COLUMN($F$1),FALSE))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BA258">
        <f>IF(ISNUMBER(SEARCH(SUBSTITUTE(BA$1,RIGHT(BA$1,2),""),VLOOKUP($D258,素材!$1:$1016,COLUMN($F$1),FALSE))),VLOOKUP($C258,武器!$1:$998,COLUMN($O$1),FALSE)*VLOOKUP($D258,素材!$1:$1016,COLUMN($E$1),FALSE)/(LEN(VLOOKUP($D258,素材!$1:$1016,COLUMN($F$1),FALSE))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BB258">
        <f>IF(ISNUMBER(SEARCH(SUBSTITUTE(BB$1,RIGHT(BB$1,2),""),VLOOKUP($D258,素材!$1:$1016,COLUMN($F$1),FALSE))),VLOOKUP($C258,武器!$1:$998,COLUMN($O$1),FALSE)*VLOOKUP($D258,素材!$1:$1016,COLUMN($E$1),FALSE)/(LEN(VLOOKUP($D258,素材!$1:$1016,COLUMN($F$1),FALSE))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BC258">
        <f>IF(ISNUMBER(SEARCH(SUBSTITUTE(BC$1,RIGHT(BC$1,2),""),VLOOKUP($D258,素材!$1:$1016,COLUMN($F$1),FALSE))),VLOOKUP($C258,武器!$1:$998,COLUMN($O$1),FALSE)*VLOOKUP($D258,素材!$1:$1016,COLUMN($E$1),FALSE)/(LEN(VLOOKUP($D258,素材!$1:$1016,COLUMN($F$1),FALSE))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BD258">
        <f>IF(ISNUMBER(SEARCH(SUBSTITUTE(BD$1,RIGHT(BD$1,2),""),VLOOKUP($D258,素材!$1:$1016,COLUMN($F$1),FALSE))),VLOOKUP($C258,武器!$1:$998,COLUMN($O$1),FALSE)*VLOOKUP($D258,素材!$1:$1016,COLUMN($E$1),FALSE)/(LEN(VLOOKUP($D258,素材!$1:$1016,COLUMN($F$1),FALSE))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BE258">
        <f>IF(ISNUMBER(SEARCH(SUBSTITUTE(BE$1,RIGHT(BE$1,2),""),VLOOKUP($D258,素材!$1:$1016,COLUMN($F$1),FALSE))),VLOOKUP($C258,武器!$1:$998,COLUMN($O$1),FALSE)*VLOOKUP($D258,素材!$1:$1016,COLUMN($E$1),FALSE)/(LEN(VLOOKUP($D258,素材!$1:$1016,COLUMN($F$1),FALSE))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BF258">
        <f>IF(ISNUMBER(SEARCH(SUBSTITUTE(BF$1,RIGHT(BF$1,2),""),VLOOKUP($D258,素材!$1:$1016,COLUMN($F$1),FALSE))),VLOOKUP($C258,武器!$1:$998,COLUMN($O$1),FALSE)*VLOOKUP($D258,素材!$1:$1016,COLUMN($E$1),FALSE)/(LEN(VLOOKUP($D258,素材!$1:$1016,COLUMN($F$1),FALSE)) - LEN(SUBSTITUTE(VLOOKUP($D258,素材!$1:$1016,COLUMN($F$1),FALSE), "・", 0)) + 1), 0)</f>
        <v>0</v>
      </c>
      <c r="CM258">
        <f t="shared" si="31"/>
        <v>0</v>
      </c>
      <c r="CN258" s="22" t="str">
        <f>IF(E258="武器",IF(J258-1&gt;SUM(G258:I258),"盾",IF(MAX(G258:I258)=G258,"切断",IF(MAX(G258:I258)=H258,"貫通",IF(MAX(G258:I258)=I258,"打撃","射撃")))),E258)&amp;".webp"</f>
        <v>銃.webp</v>
      </c>
      <c r="CO258">
        <f>IFERROR(VLOOKUP($C258,武器!$1:$998,COLUMN(V$1),FALSE)*VLOOKUP($D258,素材!$1:$1016,COLUMN(N$1),FALSE)+IF(CJ258="",0,VLOOKUP($CJ258,装強!$1:$1008,COLUMN($CL$1),FALSE)),"")</f>
        <v>3000</v>
      </c>
      <c r="CP258">
        <f>VLOOKUP(D258,素材!$A:$O,COLUMN(素材!O$1),FALSE)</f>
        <v>0</v>
      </c>
      <c r="CQ258" t="str">
        <f>VLOOKUP(C258,武器!$A:$W,COLUMN(武器!W$1),FALSE)</f>
        <v/>
      </c>
      <c r="CS258" t="str">
        <f t="shared" si="32"/>
        <v>e_258</v>
      </c>
      <c r="CT258">
        <f t="shared" si="33"/>
        <v>300000</v>
      </c>
    </row>
    <row r="259" spans="1:98" outlineLevel="1" x14ac:dyDescent="0.4">
      <c r="A259" t="str">
        <f t="shared" si="35"/>
        <v>熱鉄の拳銃</v>
      </c>
      <c r="B259" t="str">
        <f>IFERROR(VLOOKUP($D259,素材!$1:$1016,COLUMN($B$1),FALSE)&amp;"・"&amp;VLOOKUP($C259,武器!$1:$998,COLUMN(B$1),FALSE),"")</f>
        <v>ヒートスティール・ハンドガン</v>
      </c>
      <c r="C259" t="s">
        <v>211</v>
      </c>
      <c r="D259" s="24" t="s">
        <v>205</v>
      </c>
      <c r="E259" t="str">
        <f>IFERROR(VLOOKUP(C259,武器!$1:$998,COLUMN(C$1),FALSE),"")</f>
        <v>銃</v>
      </c>
      <c r="F259">
        <f>IFERROR(ROUNDDOWN((VLOOKUP($C259,武器!$1:$998,COLUMN(D$1),FALSE)+IFERROR(VLOOKUP($CJ259,装強!$1:$999,COLUMN(F$1),FALSE),0))*VLOOKUP($D259,素材!$1:$1016,COLUMN(D$1),FALSE),0),"")</f>
        <v>0</v>
      </c>
      <c r="G259">
        <f>IFERROR(ROUNDDOWN((VLOOKUP($C259,武器!$1:$998,COLUMN(E$1),FALSE)+IFERROR(VLOOKUP($CJ259,装強!$1:$999,COLUMN(G$1),FALSE),0))*VLOOKUP($D259,素材!$1:$1016,COLUMN($E$1),FALSE),0),"")</f>
        <v>0</v>
      </c>
      <c r="H259">
        <f>IFERROR(ROUNDDOWN((VLOOKUP($C259,武器!$1:$998,COLUMN(F$1),FALSE)+IFERROR(VLOOKUP($CJ259,装強!$1:$999,COLUMN(H$1),FALSE),0))*VLOOKUP($D259,素材!$1:$1016,COLUMN($E$1),FALSE),0),"")</f>
        <v>0</v>
      </c>
      <c r="I259">
        <f>IFERROR(ROUNDDOWN((VLOOKUP($C259,武器!$1:$998,COLUMN(G$1),FALSE)+IFERROR(VLOOKUP($CJ259,装強!$1:$999,COLUMN(I$1),FALSE),0))*VLOOKUP($D259,素材!$1:$1016,COLUMN($E$1),FALSE),0),"")</f>
        <v>0</v>
      </c>
      <c r="J259">
        <f>IFERROR(ROUNDDOWN((VLOOKUP($C259,武器!$1:$998,COLUMN(H$1),FALSE)+IFERROR(VLOOKUP($CJ259,装強!$1:$999,COLUMN(J$1),FALSE),0))*VLOOKUP($D259,素材!$1:$1016,COLUMN($E$1),FALSE),0),"")</f>
        <v>0</v>
      </c>
      <c r="K259">
        <f>IFERROR(ROUNDDOWN((VLOOKUP($C259,武器!$1:$998,COLUMN(I$1),FALSE)+IFERROR(VLOOKUP($CJ259,装強!$1:$999,COLUMN(K$1),FALSE),0))*VLOOKUP($D259,素材!$1:$1016,COLUMN($E$1),FALSE),0),"")</f>
        <v>36</v>
      </c>
      <c r="L259" t="str">
        <f>IFERROR(VLOOKUP($D259,素材!$1:$1016,COLUMN($F$1),FALSE),"")</f>
        <v>炎</v>
      </c>
      <c r="M259">
        <f>IFERROR(VLOOKUP($C259,武器!$1:$998,COLUMN(AA$1),FALSE)*VLOOKUP($D259,素材!$1:$1016,COLUMN($G$1),FALSE),"")</f>
        <v>0</v>
      </c>
      <c r="N259">
        <f>IFERROR(VLOOKUP($C259,武器!$1:$998,COLUMN(I$1),FALSE),"")</f>
        <v>1.8</v>
      </c>
      <c r="O259" s="23">
        <f>IFERROR((VLOOKUP($C259,武器!$1:$998,COLUMN(K$1),FALSE)+VLOOKUP($D259,素材!$1:$1016,COLUMN(H$1),FALSE))*100+IFERROR(VLOOKUP($CJ259,装強!$1:$999,COLUMN(O$1),FALSE),0),"")</f>
        <v>15</v>
      </c>
      <c r="P259" s="23">
        <f>IFERROR((VLOOKUP($C259,武器!$1:$998,COLUMN(L$1),FALSE)+VLOOKUP($D259,素材!$1:$1016,COLUMN(I$1),FALSE))*100+IFERROR(VLOOKUP($CJ259,装強!$1:$999,COLUMN(P$1),FALSE),0),"")</f>
        <v>175</v>
      </c>
      <c r="Q259">
        <f>IFERROR(ROUNDUP(VLOOKUP($C259,武器!$1:$998,COLUMN(M$1),FALSE)*(VLOOKUP($D259,素材!$1:$1002,COLUMN(D$1),FALSE)/100),1),"")</f>
        <v>0</v>
      </c>
      <c r="R259">
        <f>IFERROR(ROUNDUP(VLOOKUP($C259,武器!$1:$998,COLUMN(N$1),FALSE)*(VLOOKUP($D259,素材!$1:$1002,COLUMN(D$1),FALSE)/100),1),"")</f>
        <v>0</v>
      </c>
      <c r="S259">
        <f>IFERROR(VLOOKUP($C259,武器!$1:$998,COLUMN(P$1),FALSE),"")</f>
        <v>0</v>
      </c>
      <c r="T259">
        <f>IFERROR(VLOOKUP($C259,武器!$1:$998,COLUMN(Q$1),FALSE),"")</f>
        <v>3</v>
      </c>
      <c r="U259">
        <f>IFERROR(VLOOKUP($C259,武器!$1:$998,COLUMN(R$1),FALSE),"")</f>
        <v>1</v>
      </c>
      <c r="V259">
        <f>IFERROR(VLOOKUP($C259,武器!$1:$998,COLUMN(Q$1),FALSE),"")</f>
        <v>3</v>
      </c>
      <c r="W259">
        <f>IFERROR(VLOOKUP($C259,武器!$1:$998,COLUMN(T$1),FALSE),"")</f>
        <v>0</v>
      </c>
      <c r="Y259">
        <f>IFERROR(VLOOKUP($C259,武器!$1:$998,COLUMN(U$1),FALSE),"")</f>
        <v>0</v>
      </c>
      <c r="Z259">
        <f>IFERROR(ROUNDUP(VLOOKUP($C259,武器!$1:$998,COLUMN(O$1),FALSE)*VLOOKUP($D259,素材!$1:$1016,COLUMN(E$1),FALSE),1),"")</f>
        <v>0</v>
      </c>
      <c r="AA259">
        <f>IF(ISNUMBER(SEARCH(SUBSTITUTE(AA$1,RIGHT(AA$1,2),""),VLOOKUP($D259,素材!$1:$1016,COLUMN($F$1),FALSE))),VLOOKUP($C259,武器!$1:$998,COLUMN($O$1),FALSE)*VLOOKUP($D259,素材!$1:$1016,COLUMN($E$1),FALSE)/(LEN(VLOOKUP($D259,素材!$1:$1016,COLUMN($F$1),FALSE))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B259">
        <f>IF(ISNUMBER(SEARCH(SUBSTITUTE(AB$1,RIGHT(AB$1,2),""),VLOOKUP($D259,素材!$1:$1016,COLUMN($F$1),FALSE))),VLOOKUP($C259,武器!$1:$998,COLUMN($O$1),FALSE)*VLOOKUP($D259,素材!$1:$1016,COLUMN($E$1),FALSE)/(LEN(VLOOKUP($D259,素材!$1:$1016,COLUMN($F$1),FALSE))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C259">
        <f>IF(ISNUMBER(SEARCH(SUBSTITUTE(AC$1,RIGHT(AC$1,2),""),VLOOKUP($D259,素材!$1:$1016,COLUMN($F$1),FALSE))),VLOOKUP($C259,武器!$1:$998,COLUMN($O$1),FALSE)*VLOOKUP($D259,素材!$1:$1016,COLUMN($E$1),FALSE)/(LEN(VLOOKUP($D259,素材!$1:$1016,COLUMN($F$1),FALSE))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D259">
        <f>IF(ISNUMBER(SEARCH(SUBSTITUTE(AD$1,RIGHT(AD$1,2),""),VLOOKUP($D259,素材!$1:$1016,COLUMN($F$1),FALSE))),VLOOKUP($C259,武器!$1:$998,COLUMN($O$1),FALSE)*VLOOKUP($D259,素材!$1:$1016,COLUMN($E$1),FALSE)/(LEN(VLOOKUP($D259,素材!$1:$1016,COLUMN($F$1),FALSE))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E259">
        <f>IF(ISNUMBER(SEARCH(SUBSTITUTE(AE$1,RIGHT(AE$1,2),""),VLOOKUP($D259,素材!$1:$1016,COLUMN($F$1),FALSE))),VLOOKUP($C259,武器!$1:$998,COLUMN($O$1),FALSE)*VLOOKUP($D259,素材!$1:$1016,COLUMN($E$1),FALSE)/(LEN(VLOOKUP($D259,素材!$1:$1016,COLUMN($F$1),FALSE))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F259">
        <f>IF(ISNUMBER(SEARCH(SUBSTITUTE(AF$1,RIGHT(AF$1,2),""),VLOOKUP($D259,素材!$1:$1016,COLUMN($F$1),FALSE))),VLOOKUP($C259,武器!$1:$998,COLUMN($O$1),FALSE)*VLOOKUP($D259,素材!$1:$1016,COLUMN($E$1),FALSE)/(LEN(VLOOKUP($D259,素材!$1:$1016,COLUMN($F$1),FALSE))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G259">
        <f>IF(ISNUMBER(SEARCH(SUBSTITUTE(AG$1,RIGHT(AG$1,2),""),VLOOKUP($D259,素材!$1:$1016,COLUMN($F$1),FALSE))),VLOOKUP($C259,武器!$1:$998,COLUMN($O$1),FALSE)*VLOOKUP($D259,素材!$1:$1016,COLUMN($E$1),FALSE)/(LEN(VLOOKUP($D259,素材!$1:$1016,COLUMN($F$1),FALSE))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H259">
        <f>IF(ISNUMBER(SEARCH(SUBSTITUTE(AH$1,RIGHT(AH$1,2),""),VLOOKUP($D259,素材!$1:$1016,COLUMN($F$1),FALSE))),VLOOKUP($C259,武器!$1:$998,COLUMN($O$1),FALSE)*VLOOKUP($D259,素材!$1:$1016,COLUMN($E$1),FALSE)/(LEN(VLOOKUP($D259,素材!$1:$1016,COLUMN($F$1),FALSE))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I259">
        <f>IF(ISNUMBER(SEARCH(SUBSTITUTE(AI$1,RIGHT(AI$1,2),""),VLOOKUP($D259,素材!$1:$1016,COLUMN($F$1),FALSE))),VLOOKUP($C259,武器!$1:$998,COLUMN($O$1),FALSE)*VLOOKUP($D259,素材!$1:$1016,COLUMN($E$1),FALSE)/(LEN(VLOOKUP($D259,素材!$1:$1016,COLUMN($F$1),FALSE))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J259">
        <f>IF(ISNUMBER(SEARCH(SUBSTITUTE(AJ$1,RIGHT(AJ$1,2),""),VLOOKUP($D259,素材!$1:$1016,COLUMN($F$1),FALSE))),VLOOKUP($C259,武器!$1:$998,COLUMN($O$1),FALSE)*VLOOKUP($D259,素材!$1:$1016,COLUMN($E$1),FALSE)/(LEN(VLOOKUP($D259,素材!$1:$1016,COLUMN($F$1),FALSE))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K259">
        <f>IF(ISNUMBER(SEARCH(SUBSTITUTE(AK$1,RIGHT(AK$1,2),""),VLOOKUP($D259,素材!$1:$1016,COLUMN($F$1),FALSE))),VLOOKUP($C259,武器!$1:$998,COLUMN($O$1),FALSE)*VLOOKUP($D259,素材!$1:$1016,COLUMN($E$1),FALSE)/(LEN(VLOOKUP($D259,素材!$1:$1016,COLUMN($F$1),FALSE))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L259">
        <f>IF(ISNUMBER(SEARCH(SUBSTITUTE(AL$1,RIGHT(AL$1,2),""),VLOOKUP($D259,素材!$1:$1016,COLUMN($F$1),FALSE))),VLOOKUP($C259,武器!$1:$998,COLUMN($O$1),FALSE)*VLOOKUP($D259,素材!$1:$1016,COLUMN($E$1),FALSE)/(LEN(VLOOKUP($D259,素材!$1:$1016,COLUMN($F$1),FALSE))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M259">
        <f>IF(ISNUMBER(SEARCH(SUBSTITUTE(AM$1,RIGHT(AM$1,2),""),VLOOKUP($D259,素材!$1:$1016,COLUMN($F$1),FALSE))),VLOOKUP($C259,武器!$1:$998,COLUMN($O$1),FALSE)*VLOOKUP($D259,素材!$1:$1016,COLUMN($E$1),FALSE)/(LEN(VLOOKUP($D259,素材!$1:$1016,COLUMN($F$1),FALSE))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N259">
        <f>IF(ISNUMBER(SEARCH(SUBSTITUTE(AN$1,RIGHT(AN$1,2),""),VLOOKUP($D259,素材!$1:$1016,COLUMN($F$1),FALSE))),VLOOKUP($C259,武器!$1:$998,COLUMN($O$1),FALSE)*VLOOKUP($D259,素材!$1:$1016,COLUMN($E$1),FALSE)/(LEN(VLOOKUP($D259,素材!$1:$1016,COLUMN($F$1),FALSE))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O259">
        <f>IF(ISNUMBER(SEARCH(SUBSTITUTE(AO$1,RIGHT(AO$1,2),""),VLOOKUP($D259,素材!$1:$1016,COLUMN($F$1),FALSE))),VLOOKUP($C259,武器!$1:$998,COLUMN($O$1),FALSE)*VLOOKUP($D259,素材!$1:$1016,COLUMN($E$1),FALSE)/(LEN(VLOOKUP($D259,素材!$1:$1016,COLUMN($F$1),FALSE))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P259">
        <f>IF(ISNUMBER(SEARCH(SUBSTITUTE(AP$1,RIGHT(AP$1,2),""),VLOOKUP($D259,素材!$1:$1016,COLUMN($F$1),FALSE))),VLOOKUP($C259,武器!$1:$998,COLUMN($O$1),FALSE)*VLOOKUP($D259,素材!$1:$1016,COLUMN($E$1),FALSE)/(LEN(VLOOKUP($D259,素材!$1:$1016,COLUMN($F$1),FALSE))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Q259">
        <f>IF(ISNUMBER(SEARCH(SUBSTITUTE(AQ$1,RIGHT(AQ$1,2),""),VLOOKUP($D259,素材!$1:$1016,COLUMN($F$1),FALSE))),VLOOKUP($C259,武器!$1:$998,COLUMN($O$1),FALSE)*VLOOKUP($D259,素材!$1:$1016,COLUMN($E$1),FALSE)/(LEN(VLOOKUP($D259,素材!$1:$1016,COLUMN($F$1),FALSE))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R259">
        <f>IF(ISNUMBER(SEARCH(SUBSTITUTE(AR$1,RIGHT(AR$1,2),""),VLOOKUP($D259,素材!$1:$1016,COLUMN($F$1),FALSE))),VLOOKUP($C259,武器!$1:$998,COLUMN($O$1),FALSE)*VLOOKUP($D259,素材!$1:$1016,COLUMN($E$1),FALSE)/(LEN(VLOOKUP($D259,素材!$1:$1016,COLUMN($F$1),FALSE))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S259">
        <f>IF(ISNUMBER(SEARCH(SUBSTITUTE(AS$1,RIGHT(AS$1,2),""),VLOOKUP($D259,素材!$1:$1016,COLUMN($F$1),FALSE))),VLOOKUP($C259,武器!$1:$998,COLUMN($O$1),FALSE)*VLOOKUP($D259,素材!$1:$1016,COLUMN($E$1),FALSE)/(LEN(VLOOKUP($D259,素材!$1:$1016,COLUMN($F$1),FALSE))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T259">
        <f>IF(ISNUMBER(SEARCH(SUBSTITUTE(AT$1,RIGHT(AT$1,2),""),VLOOKUP($D259,素材!$1:$1016,COLUMN($F$1),FALSE))),VLOOKUP($C259,武器!$1:$998,COLUMN($O$1),FALSE)*VLOOKUP($D259,素材!$1:$1016,COLUMN($E$1),FALSE)/(LEN(VLOOKUP($D259,素材!$1:$1016,COLUMN($F$1),FALSE))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U259">
        <f>IF(ISNUMBER(SEARCH(SUBSTITUTE(AU$1,RIGHT(AU$1,2),""),VLOOKUP($D259,素材!$1:$1016,COLUMN($F$1),FALSE))),VLOOKUP($C259,武器!$1:$998,COLUMN($O$1),FALSE)*VLOOKUP($D259,素材!$1:$1016,COLUMN($E$1),FALSE)/(LEN(VLOOKUP($D259,素材!$1:$1016,COLUMN($F$1),FALSE))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V259">
        <f>IF(ISNUMBER(SEARCH(SUBSTITUTE(AV$1,RIGHT(AV$1,2),""),VLOOKUP($D259,素材!$1:$1016,COLUMN($F$1),FALSE))),VLOOKUP($C259,武器!$1:$998,COLUMN($O$1),FALSE)*VLOOKUP($D259,素材!$1:$1016,COLUMN($E$1),FALSE)/(LEN(VLOOKUP($D259,素材!$1:$1016,COLUMN($F$1),FALSE))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W259">
        <f>IF(ISNUMBER(SEARCH(SUBSTITUTE(AW$1,RIGHT(AW$1,2),""),VLOOKUP($D259,素材!$1:$1016,COLUMN($F$1),FALSE))),VLOOKUP($C259,武器!$1:$998,COLUMN($O$1),FALSE)*VLOOKUP($D259,素材!$1:$1016,COLUMN($E$1),FALSE)/(LEN(VLOOKUP($D259,素材!$1:$1016,COLUMN($F$1),FALSE))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X259">
        <f>IF(ISNUMBER(SEARCH(SUBSTITUTE(AX$1,RIGHT(AX$1,2),""),VLOOKUP($D259,素材!$1:$1016,COLUMN($F$1),FALSE))),VLOOKUP($C259,武器!$1:$998,COLUMN($O$1),FALSE)*VLOOKUP($D259,素材!$1:$1016,COLUMN($E$1),FALSE)/(LEN(VLOOKUP($D259,素材!$1:$1016,COLUMN($F$1),FALSE))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Y259">
        <f>IF(ISNUMBER(SEARCH(SUBSTITUTE(AY$1,RIGHT(AY$1,2),""),VLOOKUP($D259,素材!$1:$1016,COLUMN($F$1),FALSE))),VLOOKUP($C259,武器!$1:$998,COLUMN($O$1),FALSE)*VLOOKUP($D259,素材!$1:$1016,COLUMN($E$1),FALSE)/(LEN(VLOOKUP($D259,素材!$1:$1016,COLUMN($F$1),FALSE))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AZ259">
        <f>IF(ISNUMBER(SEARCH(SUBSTITUTE(AZ$1,RIGHT(AZ$1,2),""),VLOOKUP($D259,素材!$1:$1016,COLUMN($F$1),FALSE))),VLOOKUP($C259,武器!$1:$998,COLUMN($O$1),FALSE)*VLOOKUP($D259,素材!$1:$1016,COLUMN($E$1),FALSE)/(LEN(VLOOKUP($D259,素材!$1:$1016,COLUMN($F$1),FALSE))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BA259">
        <f>IF(ISNUMBER(SEARCH(SUBSTITUTE(BA$1,RIGHT(BA$1,2),""),VLOOKUP($D259,素材!$1:$1016,COLUMN($F$1),FALSE))),VLOOKUP($C259,武器!$1:$998,COLUMN($O$1),FALSE)*VLOOKUP($D259,素材!$1:$1016,COLUMN($E$1),FALSE)/(LEN(VLOOKUP($D259,素材!$1:$1016,COLUMN($F$1),FALSE))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BB259">
        <f>IF(ISNUMBER(SEARCH(SUBSTITUTE(BB$1,RIGHT(BB$1,2),""),VLOOKUP($D259,素材!$1:$1016,COLUMN($F$1),FALSE))),VLOOKUP($C259,武器!$1:$998,COLUMN($O$1),FALSE)*VLOOKUP($D259,素材!$1:$1016,COLUMN($E$1),FALSE)/(LEN(VLOOKUP($D259,素材!$1:$1016,COLUMN($F$1),FALSE))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BC259">
        <f>IF(ISNUMBER(SEARCH(SUBSTITUTE(BC$1,RIGHT(BC$1,2),""),VLOOKUP($D259,素材!$1:$1016,COLUMN($F$1),FALSE))),VLOOKUP($C259,武器!$1:$998,COLUMN($O$1),FALSE)*VLOOKUP($D259,素材!$1:$1016,COLUMN($E$1),FALSE)/(LEN(VLOOKUP($D259,素材!$1:$1016,COLUMN($F$1),FALSE))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BD259">
        <f>IF(ISNUMBER(SEARCH(SUBSTITUTE(BD$1,RIGHT(BD$1,2),""),VLOOKUP($D259,素材!$1:$1016,COLUMN($F$1),FALSE))),VLOOKUP($C259,武器!$1:$998,COLUMN($O$1),FALSE)*VLOOKUP($D259,素材!$1:$1016,COLUMN($E$1),FALSE)/(LEN(VLOOKUP($D259,素材!$1:$1016,COLUMN($F$1),FALSE))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BE259">
        <f>IF(ISNUMBER(SEARCH(SUBSTITUTE(BE$1,RIGHT(BE$1,2),""),VLOOKUP($D259,素材!$1:$1016,COLUMN($F$1),FALSE))),VLOOKUP($C259,武器!$1:$998,COLUMN($O$1),FALSE)*VLOOKUP($D259,素材!$1:$1016,COLUMN($E$1),FALSE)/(LEN(VLOOKUP($D259,素材!$1:$1016,COLUMN($F$1),FALSE))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BF259">
        <f>IF(ISNUMBER(SEARCH(SUBSTITUTE(BF$1,RIGHT(BF$1,2),""),VLOOKUP($D259,素材!$1:$1016,COLUMN($F$1),FALSE))),VLOOKUP($C259,武器!$1:$998,COLUMN($O$1),FALSE)*VLOOKUP($D259,素材!$1:$1016,COLUMN($E$1),FALSE)/(LEN(VLOOKUP($D259,素材!$1:$1016,COLUMN($F$1),FALSE)) - LEN(SUBSTITUTE(VLOOKUP($D259,素材!$1:$1016,COLUMN($F$1),FALSE), "・", 0)) + 1), 0)</f>
        <v>0</v>
      </c>
      <c r="CM259">
        <f t="shared" si="31"/>
        <v>0</v>
      </c>
      <c r="CN259" s="22" t="str">
        <f>IF(E259="武器",IF(J259-1&gt;SUM(G259:I259),"盾",IF(MAX(G259:I259)=G259,"切断",IF(MAX(G259:I259)=H259,"貫通",IF(MAX(G259:I259)=I259,"打撃","射撃")))),E259)&amp;".webp"</f>
        <v>銃.webp</v>
      </c>
      <c r="CO259">
        <f>IFERROR(VLOOKUP($C259,武器!$1:$998,COLUMN(V$1),FALSE)*VLOOKUP($D259,素材!$1:$1016,COLUMN(N$1),FALSE)+IF(CJ259="",0,VLOOKUP($CJ259,装強!$1:$1008,COLUMN($CL$1),FALSE)),"")</f>
        <v>3000</v>
      </c>
      <c r="CP259">
        <f>VLOOKUP(D259,素材!$A:$O,COLUMN(素材!O$1),FALSE)</f>
        <v>0</v>
      </c>
      <c r="CQ259" t="str">
        <f>VLOOKUP(C259,武器!$A:$W,COLUMN(武器!W$1),FALSE)</f>
        <v/>
      </c>
      <c r="CS259" t="str">
        <f t="shared" si="32"/>
        <v>e_259</v>
      </c>
      <c r="CT259">
        <f t="shared" si="33"/>
        <v>300000</v>
      </c>
    </row>
    <row r="260" spans="1:98" outlineLevel="1" x14ac:dyDescent="0.4">
      <c r="A260" t="str">
        <f t="shared" si="35"/>
        <v>熱鉄の面兜</v>
      </c>
      <c r="B260" t="str">
        <f>IFERROR(VLOOKUP($D260,素材!$1:$1016,COLUMN($B$1),FALSE)&amp;"・"&amp;VLOOKUP($C260,武器!$1:$998,COLUMN(B$1),FALSE),"")</f>
        <v>ヒートスティール・バイザーヘルム</v>
      </c>
      <c r="C260" t="s">
        <v>210</v>
      </c>
      <c r="D260" s="24" t="s">
        <v>1264</v>
      </c>
      <c r="E260" t="str">
        <f>IFERROR(VLOOKUP(C260,武器!$1:$998,COLUMN(C$1),FALSE),"")</f>
        <v>頭</v>
      </c>
      <c r="F260">
        <f>IFERROR(ROUNDDOWN((VLOOKUP($C260,武器!$1:$998,COLUMN(D$1),FALSE)+IFERROR(VLOOKUP($CJ260,装強!$1:$999,COLUMN(F$1),FALSE),0))*VLOOKUP($D260,素材!$1:$1016,COLUMN(D$1),FALSE),0),"")</f>
        <v>0</v>
      </c>
      <c r="G260">
        <f>IFERROR(ROUNDDOWN((VLOOKUP($C260,武器!$1:$998,COLUMN(E$1),FALSE)+IFERROR(VLOOKUP($CJ260,装強!$1:$999,COLUMN(G$1),FALSE),0))*VLOOKUP($D260,素材!$1:$1016,COLUMN($E$1),FALSE),0),"")</f>
        <v>0</v>
      </c>
      <c r="H260">
        <f>IFERROR(ROUNDDOWN((VLOOKUP($C260,武器!$1:$998,COLUMN(F$1),FALSE)+IFERROR(VLOOKUP($CJ260,装強!$1:$999,COLUMN(H$1),FALSE),0))*VLOOKUP($D260,素材!$1:$1016,COLUMN($E$1),FALSE),0),"")</f>
        <v>0</v>
      </c>
      <c r="I260">
        <f>IFERROR(ROUNDDOWN((VLOOKUP($C260,武器!$1:$998,COLUMN(G$1),FALSE)+IFERROR(VLOOKUP($CJ260,装強!$1:$999,COLUMN(I$1),FALSE),0))*VLOOKUP($D260,素材!$1:$1016,COLUMN($E$1),FALSE),0),"")</f>
        <v>17</v>
      </c>
      <c r="J260">
        <f>IFERROR(ROUNDDOWN((VLOOKUP($C260,武器!$1:$998,COLUMN(H$1),FALSE)+IFERROR(VLOOKUP($CJ260,装強!$1:$999,COLUMN(J$1),FALSE),0))*VLOOKUP($D260,素材!$1:$1016,COLUMN($E$1),FALSE),0),"")</f>
        <v>0</v>
      </c>
      <c r="K260">
        <f>IFERROR(ROUNDDOWN((VLOOKUP($C260,武器!$1:$998,COLUMN(I$1),FALSE)+IFERROR(VLOOKUP($CJ260,装強!$1:$999,COLUMN(K$1),FALSE),0))*VLOOKUP($D260,素材!$1:$1016,COLUMN($E$1),FALSE),0),"")</f>
        <v>0</v>
      </c>
      <c r="L260" t="str">
        <f>IFERROR(VLOOKUP($D260,素材!$1:$1016,COLUMN($F$1),FALSE),"")</f>
        <v>炎</v>
      </c>
      <c r="M260">
        <f>IFERROR(VLOOKUP($C260,武器!$1:$998,COLUMN(AA$1),FALSE)*VLOOKUP($D260,素材!$1:$1016,COLUMN($G$1),FALSE),"")</f>
        <v>0</v>
      </c>
      <c r="N260">
        <f>IFERROR(VLOOKUP($C260,武器!$1:$998,COLUMN(I$1),FALSE),"")</f>
        <v>0</v>
      </c>
      <c r="O260" s="23">
        <f>IFERROR((VLOOKUP($C260,武器!$1:$998,COLUMN(K$1),FALSE)+VLOOKUP($D260,素材!$1:$1016,COLUMN(H$1),FALSE))*100+IFERROR(VLOOKUP($CJ260,装強!$1:$999,COLUMN(O$1),FALSE),0),"")</f>
        <v>5</v>
      </c>
      <c r="P260" s="23">
        <f>IFERROR((VLOOKUP($C260,武器!$1:$998,COLUMN(L$1),FALSE)+VLOOKUP($D260,素材!$1:$1016,COLUMN(I$1),FALSE))*100+IFERROR(VLOOKUP($CJ260,装強!$1:$999,COLUMN(P$1),FALSE),0),"")</f>
        <v>125</v>
      </c>
      <c r="Q260">
        <f>IFERROR(ROUNDUP(VLOOKUP($C260,武器!$1:$998,COLUMN(M$1),FALSE)*(VLOOKUP($D260,素材!$1:$1002,COLUMN(D$1),FALSE)/100),1),"")</f>
        <v>-7.5</v>
      </c>
      <c r="R260">
        <f>IFERROR(ROUNDUP(VLOOKUP($C260,武器!$1:$998,COLUMN(N$1),FALSE)*(VLOOKUP($D260,素材!$1:$1002,COLUMN(D$1),FALSE)/100),1),"")</f>
        <v>0</v>
      </c>
      <c r="S260">
        <f>IFERROR(VLOOKUP($C260,武器!$1:$998,COLUMN(P$1),FALSE),"")</f>
        <v>0</v>
      </c>
      <c r="T260">
        <f>IFERROR(VLOOKUP($C260,武器!$1:$998,COLUMN(Q$1),FALSE),"")</f>
        <v>0</v>
      </c>
      <c r="U260">
        <f>IFERROR(VLOOKUP($C260,武器!$1:$998,COLUMN(R$1),FALSE),"")</f>
        <v>0</v>
      </c>
      <c r="V260">
        <f>IFERROR(VLOOKUP($C260,武器!$1:$998,COLUMN(Q$1),FALSE),"")</f>
        <v>0</v>
      </c>
      <c r="W260">
        <f>IFERROR(VLOOKUP($C260,武器!$1:$998,COLUMN(T$1),FALSE),"")</f>
        <v>0</v>
      </c>
      <c r="Y260">
        <f>IFERROR(VLOOKUP($C260,武器!$1:$998,COLUMN(U$1),FALSE),"")</f>
        <v>0</v>
      </c>
      <c r="Z260">
        <f>IFERROR(ROUNDUP(VLOOKUP($C260,武器!$1:$998,COLUMN(O$1),FALSE)*VLOOKUP($D260,素材!$1:$1016,COLUMN(E$1),FALSE),1),"")</f>
        <v>7</v>
      </c>
      <c r="AA260">
        <f>IF(ISNUMBER(SEARCH(SUBSTITUTE(AA$1,RIGHT(AA$1,2),""),VLOOKUP($D260,素材!$1:$1016,COLUMN($F$1),FALSE))),VLOOKUP($C260,武器!$1:$998,COLUMN($O$1),FALSE)*VLOOKUP($D260,素材!$1:$1016,COLUMN($E$1),FALSE)/(LEN(VLOOKUP($D260,素材!$1:$1016,COLUMN($F$1),FALSE))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B260">
        <f>IF(ISNUMBER(SEARCH(SUBSTITUTE(AB$1,RIGHT(AB$1,2),""),VLOOKUP($D260,素材!$1:$1016,COLUMN($F$1),FALSE))),VLOOKUP($C260,武器!$1:$998,COLUMN($O$1),FALSE)*VLOOKUP($D260,素材!$1:$1016,COLUMN($E$1),FALSE)/(LEN(VLOOKUP($D260,素材!$1:$1016,COLUMN($F$1),FALSE))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C260">
        <f>IF(ISNUMBER(SEARCH(SUBSTITUTE(AC$1,RIGHT(AC$1,2),""),VLOOKUP($D260,素材!$1:$1016,COLUMN($F$1),FALSE))),VLOOKUP($C260,武器!$1:$998,COLUMN($O$1),FALSE)*VLOOKUP($D260,素材!$1:$1016,COLUMN($E$1),FALSE)/(LEN(VLOOKUP($D260,素材!$1:$1016,COLUMN($F$1),FALSE))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D260">
        <f>IF(ISNUMBER(SEARCH(SUBSTITUTE(AD$1,RIGHT(AD$1,2),""),VLOOKUP($D260,素材!$1:$1016,COLUMN($F$1),FALSE))),VLOOKUP($C260,武器!$1:$998,COLUMN($O$1),FALSE)*VLOOKUP($D260,素材!$1:$1016,COLUMN($E$1),FALSE)/(LEN(VLOOKUP($D260,素材!$1:$1016,COLUMN($F$1),FALSE))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E260">
        <f>IF(ISNUMBER(SEARCH(SUBSTITUTE(AE$1,RIGHT(AE$1,2),""),VLOOKUP($D260,素材!$1:$1016,COLUMN($F$1),FALSE))),VLOOKUP($C260,武器!$1:$998,COLUMN($O$1),FALSE)*VLOOKUP($D260,素材!$1:$1016,COLUMN($E$1),FALSE)/(LEN(VLOOKUP($D260,素材!$1:$1016,COLUMN($F$1),FALSE))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7</v>
      </c>
      <c r="AF260">
        <f>IF(ISNUMBER(SEARCH(SUBSTITUTE(AF$1,RIGHT(AF$1,2),""),VLOOKUP($D260,素材!$1:$1016,COLUMN($F$1),FALSE))),VLOOKUP($C260,武器!$1:$998,COLUMN($O$1),FALSE)*VLOOKUP($D260,素材!$1:$1016,COLUMN($E$1),FALSE)/(LEN(VLOOKUP($D260,素材!$1:$1016,COLUMN($F$1),FALSE))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G260">
        <f>IF(ISNUMBER(SEARCH(SUBSTITUTE(AG$1,RIGHT(AG$1,2),""),VLOOKUP($D260,素材!$1:$1016,COLUMN($F$1),FALSE))),VLOOKUP($C260,武器!$1:$998,COLUMN($O$1),FALSE)*VLOOKUP($D260,素材!$1:$1016,COLUMN($E$1),FALSE)/(LEN(VLOOKUP($D260,素材!$1:$1016,COLUMN($F$1),FALSE))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H260">
        <f>IF(ISNUMBER(SEARCH(SUBSTITUTE(AH$1,RIGHT(AH$1,2),""),VLOOKUP($D260,素材!$1:$1016,COLUMN($F$1),FALSE))),VLOOKUP($C260,武器!$1:$998,COLUMN($O$1),FALSE)*VLOOKUP($D260,素材!$1:$1016,COLUMN($E$1),FALSE)/(LEN(VLOOKUP($D260,素材!$1:$1016,COLUMN($F$1),FALSE))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I260">
        <f>IF(ISNUMBER(SEARCH(SUBSTITUTE(AI$1,RIGHT(AI$1,2),""),VLOOKUP($D260,素材!$1:$1016,COLUMN($F$1),FALSE))),VLOOKUP($C260,武器!$1:$998,COLUMN($O$1),FALSE)*VLOOKUP($D260,素材!$1:$1016,COLUMN($E$1),FALSE)/(LEN(VLOOKUP($D260,素材!$1:$1016,COLUMN($F$1),FALSE))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J260">
        <f>IF(ISNUMBER(SEARCH(SUBSTITUTE(AJ$1,RIGHT(AJ$1,2),""),VLOOKUP($D260,素材!$1:$1016,COLUMN($F$1),FALSE))),VLOOKUP($C260,武器!$1:$998,COLUMN($O$1),FALSE)*VLOOKUP($D260,素材!$1:$1016,COLUMN($E$1),FALSE)/(LEN(VLOOKUP($D260,素材!$1:$1016,COLUMN($F$1),FALSE))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K260">
        <f>IF(ISNUMBER(SEARCH(SUBSTITUTE(AK$1,RIGHT(AK$1,2),""),VLOOKUP($D260,素材!$1:$1016,COLUMN($F$1),FALSE))),VLOOKUP($C260,武器!$1:$998,COLUMN($O$1),FALSE)*VLOOKUP($D260,素材!$1:$1016,COLUMN($E$1),FALSE)/(LEN(VLOOKUP($D260,素材!$1:$1016,COLUMN($F$1),FALSE))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L260">
        <f>IF(ISNUMBER(SEARCH(SUBSTITUTE(AL$1,RIGHT(AL$1,2),""),VLOOKUP($D260,素材!$1:$1016,COLUMN($F$1),FALSE))),VLOOKUP($C260,武器!$1:$998,COLUMN($O$1),FALSE)*VLOOKUP($D260,素材!$1:$1016,COLUMN($E$1),FALSE)/(LEN(VLOOKUP($D260,素材!$1:$1016,COLUMN($F$1),FALSE))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M260">
        <f>IF(ISNUMBER(SEARCH(SUBSTITUTE(AM$1,RIGHT(AM$1,2),""),VLOOKUP($D260,素材!$1:$1016,COLUMN($F$1),FALSE))),VLOOKUP($C260,武器!$1:$998,COLUMN($O$1),FALSE)*VLOOKUP($D260,素材!$1:$1016,COLUMN($E$1),FALSE)/(LEN(VLOOKUP($D260,素材!$1:$1016,COLUMN($F$1),FALSE))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N260">
        <f>IF(ISNUMBER(SEARCH(SUBSTITUTE(AN$1,RIGHT(AN$1,2),""),VLOOKUP($D260,素材!$1:$1016,COLUMN($F$1),FALSE))),VLOOKUP($C260,武器!$1:$998,COLUMN($O$1),FALSE)*VLOOKUP($D260,素材!$1:$1016,COLUMN($E$1),FALSE)/(LEN(VLOOKUP($D260,素材!$1:$1016,COLUMN($F$1),FALSE))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O260">
        <f>IF(ISNUMBER(SEARCH(SUBSTITUTE(AO$1,RIGHT(AO$1,2),""),VLOOKUP($D260,素材!$1:$1016,COLUMN($F$1),FALSE))),VLOOKUP($C260,武器!$1:$998,COLUMN($O$1),FALSE)*VLOOKUP($D260,素材!$1:$1016,COLUMN($E$1),FALSE)/(LEN(VLOOKUP($D260,素材!$1:$1016,COLUMN($F$1),FALSE))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P260">
        <f>IF(ISNUMBER(SEARCH(SUBSTITUTE(AP$1,RIGHT(AP$1,2),""),VLOOKUP($D260,素材!$1:$1016,COLUMN($F$1),FALSE))),VLOOKUP($C260,武器!$1:$998,COLUMN($O$1),FALSE)*VLOOKUP($D260,素材!$1:$1016,COLUMN($E$1),FALSE)/(LEN(VLOOKUP($D260,素材!$1:$1016,COLUMN($F$1),FALSE))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Q260">
        <f>IF(ISNUMBER(SEARCH(SUBSTITUTE(AQ$1,RIGHT(AQ$1,2),""),VLOOKUP($D260,素材!$1:$1016,COLUMN($F$1),FALSE))),VLOOKUP($C260,武器!$1:$998,COLUMN($O$1),FALSE)*VLOOKUP($D260,素材!$1:$1016,COLUMN($E$1),FALSE)/(LEN(VLOOKUP($D260,素材!$1:$1016,COLUMN($F$1),FALSE))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R260">
        <f>IF(ISNUMBER(SEARCH(SUBSTITUTE(AR$1,RIGHT(AR$1,2),""),VLOOKUP($D260,素材!$1:$1016,COLUMN($F$1),FALSE))),VLOOKUP($C260,武器!$1:$998,COLUMN($O$1),FALSE)*VLOOKUP($D260,素材!$1:$1016,COLUMN($E$1),FALSE)/(LEN(VLOOKUP($D260,素材!$1:$1016,COLUMN($F$1),FALSE))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S260">
        <f>IF(ISNUMBER(SEARCH(SUBSTITUTE(AS$1,RIGHT(AS$1,2),""),VLOOKUP($D260,素材!$1:$1016,COLUMN($F$1),FALSE))),VLOOKUP($C260,武器!$1:$998,COLUMN($O$1),FALSE)*VLOOKUP($D260,素材!$1:$1016,COLUMN($E$1),FALSE)/(LEN(VLOOKUP($D260,素材!$1:$1016,COLUMN($F$1),FALSE))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T260">
        <f>IF(ISNUMBER(SEARCH(SUBSTITUTE(AT$1,RIGHT(AT$1,2),""),VLOOKUP($D260,素材!$1:$1016,COLUMN($F$1),FALSE))),VLOOKUP($C260,武器!$1:$998,COLUMN($O$1),FALSE)*VLOOKUP($D260,素材!$1:$1016,COLUMN($E$1),FALSE)/(LEN(VLOOKUP($D260,素材!$1:$1016,COLUMN($F$1),FALSE))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U260">
        <f>IF(ISNUMBER(SEARCH(SUBSTITUTE(AU$1,RIGHT(AU$1,2),""),VLOOKUP($D260,素材!$1:$1016,COLUMN($F$1),FALSE))),VLOOKUP($C260,武器!$1:$998,COLUMN($O$1),FALSE)*VLOOKUP($D260,素材!$1:$1016,COLUMN($E$1),FALSE)/(LEN(VLOOKUP($D260,素材!$1:$1016,COLUMN($F$1),FALSE))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V260">
        <f>IF(ISNUMBER(SEARCH(SUBSTITUTE(AV$1,RIGHT(AV$1,2),""),VLOOKUP($D260,素材!$1:$1016,COLUMN($F$1),FALSE))),VLOOKUP($C260,武器!$1:$998,COLUMN($O$1),FALSE)*VLOOKUP($D260,素材!$1:$1016,COLUMN($E$1),FALSE)/(LEN(VLOOKUP($D260,素材!$1:$1016,COLUMN($F$1),FALSE))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W260">
        <f>IF(ISNUMBER(SEARCH(SUBSTITUTE(AW$1,RIGHT(AW$1,2),""),VLOOKUP($D260,素材!$1:$1016,COLUMN($F$1),FALSE))),VLOOKUP($C260,武器!$1:$998,COLUMN($O$1),FALSE)*VLOOKUP($D260,素材!$1:$1016,COLUMN($E$1),FALSE)/(LEN(VLOOKUP($D260,素材!$1:$1016,COLUMN($F$1),FALSE))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X260">
        <f>IF(ISNUMBER(SEARCH(SUBSTITUTE(AX$1,RIGHT(AX$1,2),""),VLOOKUP($D260,素材!$1:$1016,COLUMN($F$1),FALSE))),VLOOKUP($C260,武器!$1:$998,COLUMN($O$1),FALSE)*VLOOKUP($D260,素材!$1:$1016,COLUMN($E$1),FALSE)/(LEN(VLOOKUP($D260,素材!$1:$1016,COLUMN($F$1),FALSE))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Y260">
        <f>IF(ISNUMBER(SEARCH(SUBSTITUTE(AY$1,RIGHT(AY$1,2),""),VLOOKUP($D260,素材!$1:$1016,COLUMN($F$1),FALSE))),VLOOKUP($C260,武器!$1:$998,COLUMN($O$1),FALSE)*VLOOKUP($D260,素材!$1:$1016,COLUMN($E$1),FALSE)/(LEN(VLOOKUP($D260,素材!$1:$1016,COLUMN($F$1),FALSE))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AZ260">
        <f>IF(ISNUMBER(SEARCH(SUBSTITUTE(AZ$1,RIGHT(AZ$1,2),""),VLOOKUP($D260,素材!$1:$1016,COLUMN($F$1),FALSE))),VLOOKUP($C260,武器!$1:$998,COLUMN($O$1),FALSE)*VLOOKUP($D260,素材!$1:$1016,COLUMN($E$1),FALSE)/(LEN(VLOOKUP($D260,素材!$1:$1016,COLUMN($F$1),FALSE))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BA260">
        <f>IF(ISNUMBER(SEARCH(SUBSTITUTE(BA$1,RIGHT(BA$1,2),""),VLOOKUP($D260,素材!$1:$1016,COLUMN($F$1),FALSE))),VLOOKUP($C260,武器!$1:$998,COLUMN($O$1),FALSE)*VLOOKUP($D260,素材!$1:$1016,COLUMN($E$1),FALSE)/(LEN(VLOOKUP($D260,素材!$1:$1016,COLUMN($F$1),FALSE))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BB260">
        <f>IF(ISNUMBER(SEARCH(SUBSTITUTE(BB$1,RIGHT(BB$1,2),""),VLOOKUP($D260,素材!$1:$1016,COLUMN($F$1),FALSE))),VLOOKUP($C260,武器!$1:$998,COLUMN($O$1),FALSE)*VLOOKUP($D260,素材!$1:$1016,COLUMN($E$1),FALSE)/(LEN(VLOOKUP($D260,素材!$1:$1016,COLUMN($F$1),FALSE))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BC260">
        <f>IF(ISNUMBER(SEARCH(SUBSTITUTE(BC$1,RIGHT(BC$1,2),""),VLOOKUP($D260,素材!$1:$1016,COLUMN($F$1),FALSE))),VLOOKUP($C260,武器!$1:$998,COLUMN($O$1),FALSE)*VLOOKUP($D260,素材!$1:$1016,COLUMN($E$1),FALSE)/(LEN(VLOOKUP($D260,素材!$1:$1016,COLUMN($F$1),FALSE))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BD260">
        <f>IF(ISNUMBER(SEARCH(SUBSTITUTE(BD$1,RIGHT(BD$1,2),""),VLOOKUP($D260,素材!$1:$1016,COLUMN($F$1),FALSE))),VLOOKUP($C260,武器!$1:$998,COLUMN($O$1),FALSE)*VLOOKUP($D260,素材!$1:$1016,COLUMN($E$1),FALSE)/(LEN(VLOOKUP($D260,素材!$1:$1016,COLUMN($F$1),FALSE))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BE260">
        <f>IF(ISNUMBER(SEARCH(SUBSTITUTE(BE$1,RIGHT(BE$1,2),""),VLOOKUP($D260,素材!$1:$1016,COLUMN($F$1),FALSE))),VLOOKUP($C260,武器!$1:$998,COLUMN($O$1),FALSE)*VLOOKUP($D260,素材!$1:$1016,COLUMN($E$1),FALSE)/(LEN(VLOOKUP($D260,素材!$1:$1016,COLUMN($F$1),FALSE))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BF260">
        <f>IF(ISNUMBER(SEARCH(SUBSTITUTE(BF$1,RIGHT(BF$1,2),""),VLOOKUP($D260,素材!$1:$1016,COLUMN($F$1),FALSE))),VLOOKUP($C260,武器!$1:$998,COLUMN($O$1),FALSE)*VLOOKUP($D260,素材!$1:$1016,COLUMN($E$1),FALSE)/(LEN(VLOOKUP($D260,素材!$1:$1016,COLUMN($F$1),FALSE)) - LEN(SUBSTITUTE(VLOOKUP($D260,素材!$1:$1016,COLUMN($F$1),FALSE), "・", 0)) + 1), 0)</f>
        <v>0</v>
      </c>
      <c r="CM260">
        <f t="shared" ref="CM260:CM323" si="36">SUM(G260:I260)</f>
        <v>17</v>
      </c>
      <c r="CN260" s="22" t="str">
        <f>IF(E260="武器",IF(J260-1&gt;SUM(G260:I260),"盾",IF(MAX(G260:I260)=G260,"切断",IF(MAX(G260:I260)=H260,"貫通",IF(MAX(G260:I260)=I260,"打撃","射撃")))),E260)&amp;".webp"</f>
        <v>頭.webp</v>
      </c>
      <c r="CO260">
        <f>IFERROR(VLOOKUP($C260,武器!$1:$998,COLUMN(V$1),FALSE)*VLOOKUP($D260,素材!$1:$1016,COLUMN(N$1),FALSE)+IF(CJ260="",0,VLOOKUP($CJ260,装強!$1:$1008,COLUMN($CL$1),FALSE)),"")</f>
        <v>3000</v>
      </c>
      <c r="CP260">
        <f>VLOOKUP(D260,素材!$A:$O,COLUMN(素材!O$1),FALSE)</f>
        <v>0</v>
      </c>
      <c r="CQ260" t="str">
        <f>VLOOKUP(C260,武器!$A:$W,COLUMN(武器!W$1),FALSE)</f>
        <v>命中 魔防 Cr</v>
      </c>
      <c r="CS260" t="str">
        <f t="shared" si="32"/>
        <v>e_260</v>
      </c>
      <c r="CT260">
        <f t="shared" si="33"/>
        <v>300000</v>
      </c>
    </row>
    <row r="261" spans="1:98" outlineLevel="1" x14ac:dyDescent="0.4">
      <c r="A261" t="str">
        <f t="shared" si="35"/>
        <v>熱鉄の兜</v>
      </c>
      <c r="B261" t="str">
        <f>IFERROR(VLOOKUP($D261,素材!$1:$1016,COLUMN($B$1),FALSE)&amp;"・"&amp;VLOOKUP($C261,武器!$1:$998,COLUMN(B$1),FALSE),"")</f>
        <v>ヒートスティール・ヘルム</v>
      </c>
      <c r="C261" t="s">
        <v>209</v>
      </c>
      <c r="D261" s="24" t="s">
        <v>205</v>
      </c>
      <c r="E261" t="str">
        <f>IFERROR(VLOOKUP(C261,武器!$1:$998,COLUMN(C$1),FALSE),"")</f>
        <v>頭</v>
      </c>
      <c r="F261">
        <f>IFERROR(ROUNDDOWN((VLOOKUP($C261,武器!$1:$998,COLUMN(D$1),FALSE)+IFERROR(VLOOKUP($CJ261,装強!$1:$999,COLUMN(F$1),FALSE),0))*VLOOKUP($D261,素材!$1:$1016,COLUMN(D$1),FALSE),0),"")</f>
        <v>0</v>
      </c>
      <c r="G261">
        <f>IFERROR(ROUNDDOWN((VLOOKUP($C261,武器!$1:$998,COLUMN(E$1),FALSE)+IFERROR(VLOOKUP($CJ261,装強!$1:$999,COLUMN(G$1),FALSE),0))*VLOOKUP($D261,素材!$1:$1016,COLUMN($E$1),FALSE),0),"")</f>
        <v>0</v>
      </c>
      <c r="H261">
        <f>IFERROR(ROUNDDOWN((VLOOKUP($C261,武器!$1:$998,COLUMN(F$1),FALSE)+IFERROR(VLOOKUP($CJ261,装強!$1:$999,COLUMN(H$1),FALSE),0))*VLOOKUP($D261,素材!$1:$1016,COLUMN($E$1),FALSE),0),"")</f>
        <v>0</v>
      </c>
      <c r="I261">
        <f>IFERROR(ROUNDDOWN((VLOOKUP($C261,武器!$1:$998,COLUMN(G$1),FALSE)+IFERROR(VLOOKUP($CJ261,装強!$1:$999,COLUMN(I$1),FALSE),0))*VLOOKUP($D261,素材!$1:$1016,COLUMN($E$1),FALSE),0),"")</f>
        <v>17</v>
      </c>
      <c r="J261">
        <f>IFERROR(ROUNDDOWN((VLOOKUP($C261,武器!$1:$998,COLUMN(H$1),FALSE)+IFERROR(VLOOKUP($CJ261,装強!$1:$999,COLUMN(J$1),FALSE),0))*VLOOKUP($D261,素材!$1:$1016,COLUMN($E$1),FALSE),0),"")</f>
        <v>0</v>
      </c>
      <c r="K261">
        <f>IFERROR(ROUNDDOWN((VLOOKUP($C261,武器!$1:$998,COLUMN(I$1),FALSE)+IFERROR(VLOOKUP($CJ261,装強!$1:$999,COLUMN(K$1),FALSE),0))*VLOOKUP($D261,素材!$1:$1016,COLUMN($E$1),FALSE),0),"")</f>
        <v>0</v>
      </c>
      <c r="L261" t="str">
        <f>IFERROR(VLOOKUP($D261,素材!$1:$1016,COLUMN($F$1),FALSE),"")</f>
        <v>炎</v>
      </c>
      <c r="M261">
        <f>IFERROR(VLOOKUP($C261,武器!$1:$998,COLUMN(AA$1),FALSE)*VLOOKUP($D261,素材!$1:$1016,COLUMN($G$1),FALSE),"")</f>
        <v>0</v>
      </c>
      <c r="N261">
        <f>IFERROR(VLOOKUP($C261,武器!$1:$998,COLUMN(I$1),FALSE),"")</f>
        <v>0</v>
      </c>
      <c r="O261" s="23">
        <f>IFERROR((VLOOKUP($C261,武器!$1:$998,COLUMN(K$1),FALSE)+VLOOKUP($D261,素材!$1:$1016,COLUMN(H$1),FALSE))*100+IFERROR(VLOOKUP($CJ261,装強!$1:$999,COLUMN(O$1),FALSE),0),"")</f>
        <v>5</v>
      </c>
      <c r="P261" s="23">
        <f>IFERROR((VLOOKUP($C261,武器!$1:$998,COLUMN(L$1),FALSE)+VLOOKUP($D261,素材!$1:$1016,COLUMN(I$1),FALSE))*100+IFERROR(VLOOKUP($CJ261,装強!$1:$999,COLUMN(P$1),FALSE),0),"")</f>
        <v>125</v>
      </c>
      <c r="Q261">
        <f>IFERROR(ROUNDUP(VLOOKUP($C261,武器!$1:$998,COLUMN(M$1),FALSE)*(VLOOKUP($D261,素材!$1:$1002,COLUMN(D$1),FALSE)/100),1),"")</f>
        <v>-5</v>
      </c>
      <c r="R261">
        <f>IFERROR(ROUNDUP(VLOOKUP($C261,武器!$1:$998,COLUMN(N$1),FALSE)*(VLOOKUP($D261,素材!$1:$1002,COLUMN(D$1),FALSE)/100),1),"")</f>
        <v>0</v>
      </c>
      <c r="S261">
        <f>IFERROR(VLOOKUP($C261,武器!$1:$998,COLUMN(P$1),FALSE),"")</f>
        <v>0</v>
      </c>
      <c r="T261">
        <f>IFERROR(VLOOKUP($C261,武器!$1:$998,COLUMN(Q$1),FALSE),"")</f>
        <v>0</v>
      </c>
      <c r="U261">
        <f>IFERROR(VLOOKUP($C261,武器!$1:$998,COLUMN(R$1),FALSE),"")</f>
        <v>0</v>
      </c>
      <c r="V261">
        <f>IFERROR(VLOOKUP($C261,武器!$1:$998,COLUMN(Q$1),FALSE),"")</f>
        <v>0</v>
      </c>
      <c r="W261">
        <f>IFERROR(VLOOKUP($C261,武器!$1:$998,COLUMN(T$1),FALSE),"")</f>
        <v>0</v>
      </c>
      <c r="Y261">
        <f>IFERROR(VLOOKUP($C261,武器!$1:$998,COLUMN(U$1),FALSE),"")</f>
        <v>0</v>
      </c>
      <c r="Z261">
        <f>IFERROR(ROUNDUP(VLOOKUP($C261,武器!$1:$998,COLUMN(O$1),FALSE)*VLOOKUP($D261,素材!$1:$1016,COLUMN(E$1),FALSE),1),"")</f>
        <v>4</v>
      </c>
      <c r="AA261">
        <f>IF(ISNUMBER(SEARCH(SUBSTITUTE(AA$1,RIGHT(AA$1,2),""),VLOOKUP($D261,素材!$1:$1016,COLUMN($F$1),FALSE))),VLOOKUP($C261,武器!$1:$998,COLUMN($O$1),FALSE)*VLOOKUP($D261,素材!$1:$1016,COLUMN($E$1),FALSE)/(LEN(VLOOKUP($D261,素材!$1:$1016,COLUMN($F$1),FALSE))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B261">
        <f>IF(ISNUMBER(SEARCH(SUBSTITUTE(AB$1,RIGHT(AB$1,2),""),VLOOKUP($D261,素材!$1:$1016,COLUMN($F$1),FALSE))),VLOOKUP($C261,武器!$1:$998,COLUMN($O$1),FALSE)*VLOOKUP($D261,素材!$1:$1016,COLUMN($E$1),FALSE)/(LEN(VLOOKUP($D261,素材!$1:$1016,COLUMN($F$1),FALSE))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C261">
        <f>IF(ISNUMBER(SEARCH(SUBSTITUTE(AC$1,RIGHT(AC$1,2),""),VLOOKUP($D261,素材!$1:$1016,COLUMN($F$1),FALSE))),VLOOKUP($C261,武器!$1:$998,COLUMN($O$1),FALSE)*VLOOKUP($D261,素材!$1:$1016,COLUMN($E$1),FALSE)/(LEN(VLOOKUP($D261,素材!$1:$1016,COLUMN($F$1),FALSE))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D261">
        <f>IF(ISNUMBER(SEARCH(SUBSTITUTE(AD$1,RIGHT(AD$1,2),""),VLOOKUP($D261,素材!$1:$1016,COLUMN($F$1),FALSE))),VLOOKUP($C261,武器!$1:$998,COLUMN($O$1),FALSE)*VLOOKUP($D261,素材!$1:$1016,COLUMN($E$1),FALSE)/(LEN(VLOOKUP($D261,素材!$1:$1016,COLUMN($F$1),FALSE))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E261">
        <f>IF(ISNUMBER(SEARCH(SUBSTITUTE(AE$1,RIGHT(AE$1,2),""),VLOOKUP($D261,素材!$1:$1016,COLUMN($F$1),FALSE))),VLOOKUP($C261,武器!$1:$998,COLUMN($O$1),FALSE)*VLOOKUP($D261,素材!$1:$1016,COLUMN($E$1),FALSE)/(LEN(VLOOKUP($D261,素材!$1:$1016,COLUMN($F$1),FALSE))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4</v>
      </c>
      <c r="AF261">
        <f>IF(ISNUMBER(SEARCH(SUBSTITUTE(AF$1,RIGHT(AF$1,2),""),VLOOKUP($D261,素材!$1:$1016,COLUMN($F$1),FALSE))),VLOOKUP($C261,武器!$1:$998,COLUMN($O$1),FALSE)*VLOOKUP($D261,素材!$1:$1016,COLUMN($E$1),FALSE)/(LEN(VLOOKUP($D261,素材!$1:$1016,COLUMN($F$1),FALSE))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G261">
        <f>IF(ISNUMBER(SEARCH(SUBSTITUTE(AG$1,RIGHT(AG$1,2),""),VLOOKUP($D261,素材!$1:$1016,COLUMN($F$1),FALSE))),VLOOKUP($C261,武器!$1:$998,COLUMN($O$1),FALSE)*VLOOKUP($D261,素材!$1:$1016,COLUMN($E$1),FALSE)/(LEN(VLOOKUP($D261,素材!$1:$1016,COLUMN($F$1),FALSE))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H261">
        <f>IF(ISNUMBER(SEARCH(SUBSTITUTE(AH$1,RIGHT(AH$1,2),""),VLOOKUP($D261,素材!$1:$1016,COLUMN($F$1),FALSE))),VLOOKUP($C261,武器!$1:$998,COLUMN($O$1),FALSE)*VLOOKUP($D261,素材!$1:$1016,COLUMN($E$1),FALSE)/(LEN(VLOOKUP($D261,素材!$1:$1016,COLUMN($F$1),FALSE))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I261">
        <f>IF(ISNUMBER(SEARCH(SUBSTITUTE(AI$1,RIGHT(AI$1,2),""),VLOOKUP($D261,素材!$1:$1016,COLUMN($F$1),FALSE))),VLOOKUP($C261,武器!$1:$998,COLUMN($O$1),FALSE)*VLOOKUP($D261,素材!$1:$1016,COLUMN($E$1),FALSE)/(LEN(VLOOKUP($D261,素材!$1:$1016,COLUMN($F$1),FALSE))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J261">
        <f>IF(ISNUMBER(SEARCH(SUBSTITUTE(AJ$1,RIGHT(AJ$1,2),""),VLOOKUP($D261,素材!$1:$1016,COLUMN($F$1),FALSE))),VLOOKUP($C261,武器!$1:$998,COLUMN($O$1),FALSE)*VLOOKUP($D261,素材!$1:$1016,COLUMN($E$1),FALSE)/(LEN(VLOOKUP($D261,素材!$1:$1016,COLUMN($F$1),FALSE))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K261">
        <f>IF(ISNUMBER(SEARCH(SUBSTITUTE(AK$1,RIGHT(AK$1,2),""),VLOOKUP($D261,素材!$1:$1016,COLUMN($F$1),FALSE))),VLOOKUP($C261,武器!$1:$998,COLUMN($O$1),FALSE)*VLOOKUP($D261,素材!$1:$1016,COLUMN($E$1),FALSE)/(LEN(VLOOKUP($D261,素材!$1:$1016,COLUMN($F$1),FALSE))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L261">
        <f>IF(ISNUMBER(SEARCH(SUBSTITUTE(AL$1,RIGHT(AL$1,2),""),VLOOKUP($D261,素材!$1:$1016,COLUMN($F$1),FALSE))),VLOOKUP($C261,武器!$1:$998,COLUMN($O$1),FALSE)*VLOOKUP($D261,素材!$1:$1016,COLUMN($E$1),FALSE)/(LEN(VLOOKUP($D261,素材!$1:$1016,COLUMN($F$1),FALSE))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M261">
        <f>IF(ISNUMBER(SEARCH(SUBSTITUTE(AM$1,RIGHT(AM$1,2),""),VLOOKUP($D261,素材!$1:$1016,COLUMN($F$1),FALSE))),VLOOKUP($C261,武器!$1:$998,COLUMN($O$1),FALSE)*VLOOKUP($D261,素材!$1:$1016,COLUMN($E$1),FALSE)/(LEN(VLOOKUP($D261,素材!$1:$1016,COLUMN($F$1),FALSE))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N261">
        <f>IF(ISNUMBER(SEARCH(SUBSTITUTE(AN$1,RIGHT(AN$1,2),""),VLOOKUP($D261,素材!$1:$1016,COLUMN($F$1),FALSE))),VLOOKUP($C261,武器!$1:$998,COLUMN($O$1),FALSE)*VLOOKUP($D261,素材!$1:$1016,COLUMN($E$1),FALSE)/(LEN(VLOOKUP($D261,素材!$1:$1016,COLUMN($F$1),FALSE))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O261">
        <f>IF(ISNUMBER(SEARCH(SUBSTITUTE(AO$1,RIGHT(AO$1,2),""),VLOOKUP($D261,素材!$1:$1016,COLUMN($F$1),FALSE))),VLOOKUP($C261,武器!$1:$998,COLUMN($O$1),FALSE)*VLOOKUP($D261,素材!$1:$1016,COLUMN($E$1),FALSE)/(LEN(VLOOKUP($D261,素材!$1:$1016,COLUMN($F$1),FALSE))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P261">
        <f>IF(ISNUMBER(SEARCH(SUBSTITUTE(AP$1,RIGHT(AP$1,2),""),VLOOKUP($D261,素材!$1:$1016,COLUMN($F$1),FALSE))),VLOOKUP($C261,武器!$1:$998,COLUMN($O$1),FALSE)*VLOOKUP($D261,素材!$1:$1016,COLUMN($E$1),FALSE)/(LEN(VLOOKUP($D261,素材!$1:$1016,COLUMN($F$1),FALSE))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Q261">
        <f>IF(ISNUMBER(SEARCH(SUBSTITUTE(AQ$1,RIGHT(AQ$1,2),""),VLOOKUP($D261,素材!$1:$1016,COLUMN($F$1),FALSE))),VLOOKUP($C261,武器!$1:$998,COLUMN($O$1),FALSE)*VLOOKUP($D261,素材!$1:$1016,COLUMN($E$1),FALSE)/(LEN(VLOOKUP($D261,素材!$1:$1016,COLUMN($F$1),FALSE))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R261">
        <f>IF(ISNUMBER(SEARCH(SUBSTITUTE(AR$1,RIGHT(AR$1,2),""),VLOOKUP($D261,素材!$1:$1016,COLUMN($F$1),FALSE))),VLOOKUP($C261,武器!$1:$998,COLUMN($O$1),FALSE)*VLOOKUP($D261,素材!$1:$1016,COLUMN($E$1),FALSE)/(LEN(VLOOKUP($D261,素材!$1:$1016,COLUMN($F$1),FALSE))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S261">
        <f>IF(ISNUMBER(SEARCH(SUBSTITUTE(AS$1,RIGHT(AS$1,2),""),VLOOKUP($D261,素材!$1:$1016,COLUMN($F$1),FALSE))),VLOOKUP($C261,武器!$1:$998,COLUMN($O$1),FALSE)*VLOOKUP($D261,素材!$1:$1016,COLUMN($E$1),FALSE)/(LEN(VLOOKUP($D261,素材!$1:$1016,COLUMN($F$1),FALSE))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T261">
        <f>IF(ISNUMBER(SEARCH(SUBSTITUTE(AT$1,RIGHT(AT$1,2),""),VLOOKUP($D261,素材!$1:$1016,COLUMN($F$1),FALSE))),VLOOKUP($C261,武器!$1:$998,COLUMN($O$1),FALSE)*VLOOKUP($D261,素材!$1:$1016,COLUMN($E$1),FALSE)/(LEN(VLOOKUP($D261,素材!$1:$1016,COLUMN($F$1),FALSE))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U261">
        <f>IF(ISNUMBER(SEARCH(SUBSTITUTE(AU$1,RIGHT(AU$1,2),""),VLOOKUP($D261,素材!$1:$1016,COLUMN($F$1),FALSE))),VLOOKUP($C261,武器!$1:$998,COLUMN($O$1),FALSE)*VLOOKUP($D261,素材!$1:$1016,COLUMN($E$1),FALSE)/(LEN(VLOOKUP($D261,素材!$1:$1016,COLUMN($F$1),FALSE))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V261">
        <f>IF(ISNUMBER(SEARCH(SUBSTITUTE(AV$1,RIGHT(AV$1,2),""),VLOOKUP($D261,素材!$1:$1016,COLUMN($F$1),FALSE))),VLOOKUP($C261,武器!$1:$998,COLUMN($O$1),FALSE)*VLOOKUP($D261,素材!$1:$1016,COLUMN($E$1),FALSE)/(LEN(VLOOKUP($D261,素材!$1:$1016,COLUMN($F$1),FALSE))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W261">
        <f>IF(ISNUMBER(SEARCH(SUBSTITUTE(AW$1,RIGHT(AW$1,2),""),VLOOKUP($D261,素材!$1:$1016,COLUMN($F$1),FALSE))),VLOOKUP($C261,武器!$1:$998,COLUMN($O$1),FALSE)*VLOOKUP($D261,素材!$1:$1016,COLUMN($E$1),FALSE)/(LEN(VLOOKUP($D261,素材!$1:$1016,COLUMN($F$1),FALSE))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X261">
        <f>IF(ISNUMBER(SEARCH(SUBSTITUTE(AX$1,RIGHT(AX$1,2),""),VLOOKUP($D261,素材!$1:$1016,COLUMN($F$1),FALSE))),VLOOKUP($C261,武器!$1:$998,COLUMN($O$1),FALSE)*VLOOKUP($D261,素材!$1:$1016,COLUMN($E$1),FALSE)/(LEN(VLOOKUP($D261,素材!$1:$1016,COLUMN($F$1),FALSE))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Y261">
        <f>IF(ISNUMBER(SEARCH(SUBSTITUTE(AY$1,RIGHT(AY$1,2),""),VLOOKUP($D261,素材!$1:$1016,COLUMN($F$1),FALSE))),VLOOKUP($C261,武器!$1:$998,COLUMN($O$1),FALSE)*VLOOKUP($D261,素材!$1:$1016,COLUMN($E$1),FALSE)/(LEN(VLOOKUP($D261,素材!$1:$1016,COLUMN($F$1),FALSE))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AZ261">
        <f>IF(ISNUMBER(SEARCH(SUBSTITUTE(AZ$1,RIGHT(AZ$1,2),""),VLOOKUP($D261,素材!$1:$1016,COLUMN($F$1),FALSE))),VLOOKUP($C261,武器!$1:$998,COLUMN($O$1),FALSE)*VLOOKUP($D261,素材!$1:$1016,COLUMN($E$1),FALSE)/(LEN(VLOOKUP($D261,素材!$1:$1016,COLUMN($F$1),FALSE))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BA261">
        <f>IF(ISNUMBER(SEARCH(SUBSTITUTE(BA$1,RIGHT(BA$1,2),""),VLOOKUP($D261,素材!$1:$1016,COLUMN($F$1),FALSE))),VLOOKUP($C261,武器!$1:$998,COLUMN($O$1),FALSE)*VLOOKUP($D261,素材!$1:$1016,COLUMN($E$1),FALSE)/(LEN(VLOOKUP($D261,素材!$1:$1016,COLUMN($F$1),FALSE))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BB261">
        <f>IF(ISNUMBER(SEARCH(SUBSTITUTE(BB$1,RIGHT(BB$1,2),""),VLOOKUP($D261,素材!$1:$1016,COLUMN($F$1),FALSE))),VLOOKUP($C261,武器!$1:$998,COLUMN($O$1),FALSE)*VLOOKUP($D261,素材!$1:$1016,COLUMN($E$1),FALSE)/(LEN(VLOOKUP($D261,素材!$1:$1016,COLUMN($F$1),FALSE))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BC261">
        <f>IF(ISNUMBER(SEARCH(SUBSTITUTE(BC$1,RIGHT(BC$1,2),""),VLOOKUP($D261,素材!$1:$1016,COLUMN($F$1),FALSE))),VLOOKUP($C261,武器!$1:$998,COLUMN($O$1),FALSE)*VLOOKUP($D261,素材!$1:$1016,COLUMN($E$1),FALSE)/(LEN(VLOOKUP($D261,素材!$1:$1016,COLUMN($F$1),FALSE))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BD261">
        <f>IF(ISNUMBER(SEARCH(SUBSTITUTE(BD$1,RIGHT(BD$1,2),""),VLOOKUP($D261,素材!$1:$1016,COLUMN($F$1),FALSE))),VLOOKUP($C261,武器!$1:$998,COLUMN($O$1),FALSE)*VLOOKUP($D261,素材!$1:$1016,COLUMN($E$1),FALSE)/(LEN(VLOOKUP($D261,素材!$1:$1016,COLUMN($F$1),FALSE))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BE261">
        <f>IF(ISNUMBER(SEARCH(SUBSTITUTE(BE$1,RIGHT(BE$1,2),""),VLOOKUP($D261,素材!$1:$1016,COLUMN($F$1),FALSE))),VLOOKUP($C261,武器!$1:$998,COLUMN($O$1),FALSE)*VLOOKUP($D261,素材!$1:$1016,COLUMN($E$1),FALSE)/(LEN(VLOOKUP($D261,素材!$1:$1016,COLUMN($F$1),FALSE))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BF261">
        <f>IF(ISNUMBER(SEARCH(SUBSTITUTE(BF$1,RIGHT(BF$1,2),""),VLOOKUP($D261,素材!$1:$1016,COLUMN($F$1),FALSE))),VLOOKUP($C261,武器!$1:$998,COLUMN($O$1),FALSE)*VLOOKUP($D261,素材!$1:$1016,COLUMN($E$1),FALSE)/(LEN(VLOOKUP($D261,素材!$1:$1016,COLUMN($F$1),FALSE)) - LEN(SUBSTITUTE(VLOOKUP($D261,素材!$1:$1016,COLUMN($F$1),FALSE), "・", 0)) + 1), 0)</f>
        <v>0</v>
      </c>
      <c r="CM261">
        <f t="shared" si="36"/>
        <v>17</v>
      </c>
      <c r="CN261" s="22" t="str">
        <f>IF(E261="武器",IF(J261-1&gt;SUM(G261:I261),"盾",IF(MAX(G261:I261)=G261,"切断",IF(MAX(G261:I261)=H261,"貫通",IF(MAX(G261:I261)=I261,"打撃","射撃")))),E261)&amp;".webp"</f>
        <v>頭.webp</v>
      </c>
      <c r="CO261">
        <f>IFERROR(VLOOKUP($C261,武器!$1:$998,COLUMN(V$1),FALSE)*VLOOKUP($D261,素材!$1:$1016,COLUMN(N$1),FALSE)+IF(CJ261="",0,VLOOKUP($CJ261,装強!$1:$1008,COLUMN($CL$1),FALSE)),"")</f>
        <v>2250</v>
      </c>
      <c r="CP261">
        <f>VLOOKUP(D261,素材!$A:$O,COLUMN(素材!O$1),FALSE)</f>
        <v>0</v>
      </c>
      <c r="CQ261" t="str">
        <f>VLOOKUP(C261,武器!$A:$W,COLUMN(武器!W$1),FALSE)</f>
        <v>命中 魔防 Cr</v>
      </c>
      <c r="CS261" t="str">
        <f t="shared" si="32"/>
        <v>e_261</v>
      </c>
      <c r="CT261">
        <f t="shared" si="33"/>
        <v>225000</v>
      </c>
    </row>
    <row r="262" spans="1:98" outlineLevel="1" x14ac:dyDescent="0.4">
      <c r="A262" t="str">
        <f t="shared" si="35"/>
        <v>熱鉄の鎧</v>
      </c>
      <c r="B262" t="str">
        <f>IFERROR(VLOOKUP($D262,素材!$1:$1016,COLUMN($B$1),FALSE)&amp;"・"&amp;VLOOKUP($C262,武器!$1:$998,COLUMN(B$1),FALSE),"")</f>
        <v>ヒートスティール・アーマー</v>
      </c>
      <c r="C262" t="s">
        <v>208</v>
      </c>
      <c r="D262" s="24" t="s">
        <v>205</v>
      </c>
      <c r="E262" t="str">
        <f>IFERROR(VLOOKUP(C262,武器!$1:$998,COLUMN(C$1),FALSE),"")</f>
        <v>体</v>
      </c>
      <c r="F262">
        <f>IFERROR(ROUNDDOWN((VLOOKUP($C262,武器!$1:$998,COLUMN(D$1),FALSE)+IFERROR(VLOOKUP($CJ262,装強!$1:$999,COLUMN(F$1),FALSE),0))*VLOOKUP($D262,素材!$1:$1016,COLUMN(D$1),FALSE),0),"")</f>
        <v>0</v>
      </c>
      <c r="G262">
        <f>IFERROR(ROUNDDOWN((VLOOKUP($C262,武器!$1:$998,COLUMN(E$1),FALSE)+IFERROR(VLOOKUP($CJ262,装強!$1:$999,COLUMN(G$1),FALSE),0))*VLOOKUP($D262,素材!$1:$1016,COLUMN($E$1),FALSE),0),"")</f>
        <v>0</v>
      </c>
      <c r="H262">
        <f>IFERROR(ROUNDDOWN((VLOOKUP($C262,武器!$1:$998,COLUMN(F$1),FALSE)+IFERROR(VLOOKUP($CJ262,装強!$1:$999,COLUMN(H$1),FALSE),0))*VLOOKUP($D262,素材!$1:$1016,COLUMN($E$1),FALSE),0),"")</f>
        <v>0</v>
      </c>
      <c r="I262">
        <f>IFERROR(ROUNDDOWN((VLOOKUP($C262,武器!$1:$998,COLUMN(G$1),FALSE)+IFERROR(VLOOKUP($CJ262,装強!$1:$999,COLUMN(I$1),FALSE),0))*VLOOKUP($D262,素材!$1:$1016,COLUMN($E$1),FALSE),0),"")</f>
        <v>0</v>
      </c>
      <c r="J262">
        <f>IFERROR(ROUNDDOWN((VLOOKUP($C262,武器!$1:$998,COLUMN(H$1),FALSE)+IFERROR(VLOOKUP($CJ262,装強!$1:$999,COLUMN(J$1),FALSE),0))*VLOOKUP($D262,素材!$1:$1016,COLUMN($E$1),FALSE),0),"")</f>
        <v>0</v>
      </c>
      <c r="K262">
        <f>IFERROR(ROUNDDOWN((VLOOKUP($C262,武器!$1:$998,COLUMN(I$1),FALSE)+IFERROR(VLOOKUP($CJ262,装強!$1:$999,COLUMN(K$1),FALSE),0))*VLOOKUP($D262,素材!$1:$1016,COLUMN($E$1),FALSE),0),"")</f>
        <v>0</v>
      </c>
      <c r="L262" t="str">
        <f>IFERROR(VLOOKUP($D262,素材!$1:$1016,COLUMN($F$1),FALSE),"")</f>
        <v>炎</v>
      </c>
      <c r="M262">
        <f>IFERROR(VLOOKUP($C262,武器!$1:$998,COLUMN(AA$1),FALSE)*VLOOKUP($D262,素材!$1:$1016,COLUMN($G$1),FALSE),"")</f>
        <v>0</v>
      </c>
      <c r="N262">
        <f>IFERROR(VLOOKUP($C262,武器!$1:$998,COLUMN(I$1),FALSE),"")</f>
        <v>0</v>
      </c>
      <c r="O262" s="23">
        <f>IFERROR((VLOOKUP($C262,武器!$1:$998,COLUMN(K$1),FALSE)+VLOOKUP($D262,素材!$1:$1016,COLUMN(H$1),FALSE))*100+IFERROR(VLOOKUP($CJ262,装強!$1:$999,COLUMN(O$1),FALSE),0),"")</f>
        <v>0</v>
      </c>
      <c r="P262" s="23">
        <f>IFERROR((VLOOKUP($C262,武器!$1:$998,COLUMN(L$1),FALSE)+VLOOKUP($D262,素材!$1:$1016,COLUMN(I$1),FALSE))*100+IFERROR(VLOOKUP($CJ262,装強!$1:$999,COLUMN(P$1),FALSE),0),"")</f>
        <v>0</v>
      </c>
      <c r="Q262">
        <f>IFERROR(ROUNDUP(VLOOKUP($C262,武器!$1:$998,COLUMN(M$1),FALSE)*(VLOOKUP($D262,素材!$1:$1002,COLUMN(D$1),FALSE)/100),1),"")</f>
        <v>-15</v>
      </c>
      <c r="R262">
        <f>IFERROR(ROUNDUP(VLOOKUP($C262,武器!$1:$998,COLUMN(N$1),FALSE)*(VLOOKUP($D262,素材!$1:$1002,COLUMN(D$1),FALSE)/100),1),"")</f>
        <v>0</v>
      </c>
      <c r="S262">
        <f>IFERROR(VLOOKUP($C262,武器!$1:$998,COLUMN(P$1),FALSE),"")</f>
        <v>0</v>
      </c>
      <c r="T262">
        <f>IFERROR(VLOOKUP($C262,武器!$1:$998,COLUMN(Q$1),FALSE),"")</f>
        <v>0</v>
      </c>
      <c r="U262">
        <f>IFERROR(VLOOKUP($C262,武器!$1:$998,COLUMN(R$1),FALSE),"")</f>
        <v>0</v>
      </c>
      <c r="V262">
        <f>IFERROR(VLOOKUP($C262,武器!$1:$998,COLUMN(Q$1),FALSE),"")</f>
        <v>0</v>
      </c>
      <c r="W262">
        <f>IFERROR(VLOOKUP($C262,武器!$1:$998,COLUMN(T$1),FALSE),"")</f>
        <v>0</v>
      </c>
      <c r="Y262">
        <f>IFERROR(VLOOKUP($C262,武器!$1:$998,COLUMN(U$1),FALSE),"")</f>
        <v>0</v>
      </c>
      <c r="Z262">
        <f>IFERROR(ROUNDUP(VLOOKUP($C262,武器!$1:$998,COLUMN(O$1),FALSE)*VLOOKUP($D262,素材!$1:$1016,COLUMN(E$1),FALSE),1),"")</f>
        <v>14</v>
      </c>
      <c r="AA262">
        <f>IF(ISNUMBER(SEARCH(SUBSTITUTE(AA$1,RIGHT(AA$1,2),""),VLOOKUP($D262,素材!$1:$1016,COLUMN($F$1),FALSE))),VLOOKUP($C262,武器!$1:$998,COLUMN($O$1),FALSE)*VLOOKUP($D262,素材!$1:$1016,COLUMN($E$1),FALSE)/(LEN(VLOOKUP($D262,素材!$1:$1016,COLUMN($F$1),FALSE))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B262">
        <f>IF(ISNUMBER(SEARCH(SUBSTITUTE(AB$1,RIGHT(AB$1,2),""),VLOOKUP($D262,素材!$1:$1016,COLUMN($F$1),FALSE))),VLOOKUP($C262,武器!$1:$998,COLUMN($O$1),FALSE)*VLOOKUP($D262,素材!$1:$1016,COLUMN($E$1),FALSE)/(LEN(VLOOKUP($D262,素材!$1:$1016,COLUMN($F$1),FALSE))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C262">
        <f>IF(ISNUMBER(SEARCH(SUBSTITUTE(AC$1,RIGHT(AC$1,2),""),VLOOKUP($D262,素材!$1:$1016,COLUMN($F$1),FALSE))),VLOOKUP($C262,武器!$1:$998,COLUMN($O$1),FALSE)*VLOOKUP($D262,素材!$1:$1016,COLUMN($E$1),FALSE)/(LEN(VLOOKUP($D262,素材!$1:$1016,COLUMN($F$1),FALSE))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D262">
        <f>IF(ISNUMBER(SEARCH(SUBSTITUTE(AD$1,RIGHT(AD$1,2),""),VLOOKUP($D262,素材!$1:$1016,COLUMN($F$1),FALSE))),VLOOKUP($C262,武器!$1:$998,COLUMN($O$1),FALSE)*VLOOKUP($D262,素材!$1:$1016,COLUMN($E$1),FALSE)/(LEN(VLOOKUP($D262,素材!$1:$1016,COLUMN($F$1),FALSE))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E262">
        <f>IF(ISNUMBER(SEARCH(SUBSTITUTE(AE$1,RIGHT(AE$1,2),""),VLOOKUP($D262,素材!$1:$1016,COLUMN($F$1),FALSE))),VLOOKUP($C262,武器!$1:$998,COLUMN($O$1),FALSE)*VLOOKUP($D262,素材!$1:$1016,COLUMN($E$1),FALSE)/(LEN(VLOOKUP($D262,素材!$1:$1016,COLUMN($F$1),FALSE))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14</v>
      </c>
      <c r="AF262">
        <f>IF(ISNUMBER(SEARCH(SUBSTITUTE(AF$1,RIGHT(AF$1,2),""),VLOOKUP($D262,素材!$1:$1016,COLUMN($F$1),FALSE))),VLOOKUP($C262,武器!$1:$998,COLUMN($O$1),FALSE)*VLOOKUP($D262,素材!$1:$1016,COLUMN($E$1),FALSE)/(LEN(VLOOKUP($D262,素材!$1:$1016,COLUMN($F$1),FALSE))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G262">
        <f>IF(ISNUMBER(SEARCH(SUBSTITUTE(AG$1,RIGHT(AG$1,2),""),VLOOKUP($D262,素材!$1:$1016,COLUMN($F$1),FALSE))),VLOOKUP($C262,武器!$1:$998,COLUMN($O$1),FALSE)*VLOOKUP($D262,素材!$1:$1016,COLUMN($E$1),FALSE)/(LEN(VLOOKUP($D262,素材!$1:$1016,COLUMN($F$1),FALSE))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H262">
        <f>IF(ISNUMBER(SEARCH(SUBSTITUTE(AH$1,RIGHT(AH$1,2),""),VLOOKUP($D262,素材!$1:$1016,COLUMN($F$1),FALSE))),VLOOKUP($C262,武器!$1:$998,COLUMN($O$1),FALSE)*VLOOKUP($D262,素材!$1:$1016,COLUMN($E$1),FALSE)/(LEN(VLOOKUP($D262,素材!$1:$1016,COLUMN($F$1),FALSE))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I262">
        <f>IF(ISNUMBER(SEARCH(SUBSTITUTE(AI$1,RIGHT(AI$1,2),""),VLOOKUP($D262,素材!$1:$1016,COLUMN($F$1),FALSE))),VLOOKUP($C262,武器!$1:$998,COLUMN($O$1),FALSE)*VLOOKUP($D262,素材!$1:$1016,COLUMN($E$1),FALSE)/(LEN(VLOOKUP($D262,素材!$1:$1016,COLUMN($F$1),FALSE))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J262">
        <f>IF(ISNUMBER(SEARCH(SUBSTITUTE(AJ$1,RIGHT(AJ$1,2),""),VLOOKUP($D262,素材!$1:$1016,COLUMN($F$1),FALSE))),VLOOKUP($C262,武器!$1:$998,COLUMN($O$1),FALSE)*VLOOKUP($D262,素材!$1:$1016,COLUMN($E$1),FALSE)/(LEN(VLOOKUP($D262,素材!$1:$1016,COLUMN($F$1),FALSE))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K262">
        <f>IF(ISNUMBER(SEARCH(SUBSTITUTE(AK$1,RIGHT(AK$1,2),""),VLOOKUP($D262,素材!$1:$1016,COLUMN($F$1),FALSE))),VLOOKUP($C262,武器!$1:$998,COLUMN($O$1),FALSE)*VLOOKUP($D262,素材!$1:$1016,COLUMN($E$1),FALSE)/(LEN(VLOOKUP($D262,素材!$1:$1016,COLUMN($F$1),FALSE))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L262">
        <f>IF(ISNUMBER(SEARCH(SUBSTITUTE(AL$1,RIGHT(AL$1,2),""),VLOOKUP($D262,素材!$1:$1016,COLUMN($F$1),FALSE))),VLOOKUP($C262,武器!$1:$998,COLUMN($O$1),FALSE)*VLOOKUP($D262,素材!$1:$1016,COLUMN($E$1),FALSE)/(LEN(VLOOKUP($D262,素材!$1:$1016,COLUMN($F$1),FALSE))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M262">
        <f>IF(ISNUMBER(SEARCH(SUBSTITUTE(AM$1,RIGHT(AM$1,2),""),VLOOKUP($D262,素材!$1:$1016,COLUMN($F$1),FALSE))),VLOOKUP($C262,武器!$1:$998,COLUMN($O$1),FALSE)*VLOOKUP($D262,素材!$1:$1016,COLUMN($E$1),FALSE)/(LEN(VLOOKUP($D262,素材!$1:$1016,COLUMN($F$1),FALSE))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N262">
        <f>IF(ISNUMBER(SEARCH(SUBSTITUTE(AN$1,RIGHT(AN$1,2),""),VLOOKUP($D262,素材!$1:$1016,COLUMN($F$1),FALSE))),VLOOKUP($C262,武器!$1:$998,COLUMN($O$1),FALSE)*VLOOKUP($D262,素材!$1:$1016,COLUMN($E$1),FALSE)/(LEN(VLOOKUP($D262,素材!$1:$1016,COLUMN($F$1),FALSE))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O262">
        <f>IF(ISNUMBER(SEARCH(SUBSTITUTE(AO$1,RIGHT(AO$1,2),""),VLOOKUP($D262,素材!$1:$1016,COLUMN($F$1),FALSE))),VLOOKUP($C262,武器!$1:$998,COLUMN($O$1),FALSE)*VLOOKUP($D262,素材!$1:$1016,COLUMN($E$1),FALSE)/(LEN(VLOOKUP($D262,素材!$1:$1016,COLUMN($F$1),FALSE))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P262">
        <f>IF(ISNUMBER(SEARCH(SUBSTITUTE(AP$1,RIGHT(AP$1,2),""),VLOOKUP($D262,素材!$1:$1016,COLUMN($F$1),FALSE))),VLOOKUP($C262,武器!$1:$998,COLUMN($O$1),FALSE)*VLOOKUP($D262,素材!$1:$1016,COLUMN($E$1),FALSE)/(LEN(VLOOKUP($D262,素材!$1:$1016,COLUMN($F$1),FALSE))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Q262">
        <f>IF(ISNUMBER(SEARCH(SUBSTITUTE(AQ$1,RIGHT(AQ$1,2),""),VLOOKUP($D262,素材!$1:$1016,COLUMN($F$1),FALSE))),VLOOKUP($C262,武器!$1:$998,COLUMN($O$1),FALSE)*VLOOKUP($D262,素材!$1:$1016,COLUMN($E$1),FALSE)/(LEN(VLOOKUP($D262,素材!$1:$1016,COLUMN($F$1),FALSE))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R262">
        <f>IF(ISNUMBER(SEARCH(SUBSTITUTE(AR$1,RIGHT(AR$1,2),""),VLOOKUP($D262,素材!$1:$1016,COLUMN($F$1),FALSE))),VLOOKUP($C262,武器!$1:$998,COLUMN($O$1),FALSE)*VLOOKUP($D262,素材!$1:$1016,COLUMN($E$1),FALSE)/(LEN(VLOOKUP($D262,素材!$1:$1016,COLUMN($F$1),FALSE))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S262">
        <f>IF(ISNUMBER(SEARCH(SUBSTITUTE(AS$1,RIGHT(AS$1,2),""),VLOOKUP($D262,素材!$1:$1016,COLUMN($F$1),FALSE))),VLOOKUP($C262,武器!$1:$998,COLUMN($O$1),FALSE)*VLOOKUP($D262,素材!$1:$1016,COLUMN($E$1),FALSE)/(LEN(VLOOKUP($D262,素材!$1:$1016,COLUMN($F$1),FALSE))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T262">
        <f>IF(ISNUMBER(SEARCH(SUBSTITUTE(AT$1,RIGHT(AT$1,2),""),VLOOKUP($D262,素材!$1:$1016,COLUMN($F$1),FALSE))),VLOOKUP($C262,武器!$1:$998,COLUMN($O$1),FALSE)*VLOOKUP($D262,素材!$1:$1016,COLUMN($E$1),FALSE)/(LEN(VLOOKUP($D262,素材!$1:$1016,COLUMN($F$1),FALSE))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U262">
        <f>IF(ISNUMBER(SEARCH(SUBSTITUTE(AU$1,RIGHT(AU$1,2),""),VLOOKUP($D262,素材!$1:$1016,COLUMN($F$1),FALSE))),VLOOKUP($C262,武器!$1:$998,COLUMN($O$1),FALSE)*VLOOKUP($D262,素材!$1:$1016,COLUMN($E$1),FALSE)/(LEN(VLOOKUP($D262,素材!$1:$1016,COLUMN($F$1),FALSE))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V262">
        <f>IF(ISNUMBER(SEARCH(SUBSTITUTE(AV$1,RIGHT(AV$1,2),""),VLOOKUP($D262,素材!$1:$1016,COLUMN($F$1),FALSE))),VLOOKUP($C262,武器!$1:$998,COLUMN($O$1),FALSE)*VLOOKUP($D262,素材!$1:$1016,COLUMN($E$1),FALSE)/(LEN(VLOOKUP($D262,素材!$1:$1016,COLUMN($F$1),FALSE))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W262">
        <f>IF(ISNUMBER(SEARCH(SUBSTITUTE(AW$1,RIGHT(AW$1,2),""),VLOOKUP($D262,素材!$1:$1016,COLUMN($F$1),FALSE))),VLOOKUP($C262,武器!$1:$998,COLUMN($O$1),FALSE)*VLOOKUP($D262,素材!$1:$1016,COLUMN($E$1),FALSE)/(LEN(VLOOKUP($D262,素材!$1:$1016,COLUMN($F$1),FALSE))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X262">
        <f>IF(ISNUMBER(SEARCH(SUBSTITUTE(AX$1,RIGHT(AX$1,2),""),VLOOKUP($D262,素材!$1:$1016,COLUMN($F$1),FALSE))),VLOOKUP($C262,武器!$1:$998,COLUMN($O$1),FALSE)*VLOOKUP($D262,素材!$1:$1016,COLUMN($E$1),FALSE)/(LEN(VLOOKUP($D262,素材!$1:$1016,COLUMN($F$1),FALSE))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Y262">
        <f>IF(ISNUMBER(SEARCH(SUBSTITUTE(AY$1,RIGHT(AY$1,2),""),VLOOKUP($D262,素材!$1:$1016,COLUMN($F$1),FALSE))),VLOOKUP($C262,武器!$1:$998,COLUMN($O$1),FALSE)*VLOOKUP($D262,素材!$1:$1016,COLUMN($E$1),FALSE)/(LEN(VLOOKUP($D262,素材!$1:$1016,COLUMN($F$1),FALSE))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AZ262">
        <f>IF(ISNUMBER(SEARCH(SUBSTITUTE(AZ$1,RIGHT(AZ$1,2),""),VLOOKUP($D262,素材!$1:$1016,COLUMN($F$1),FALSE))),VLOOKUP($C262,武器!$1:$998,COLUMN($O$1),FALSE)*VLOOKUP($D262,素材!$1:$1016,COLUMN($E$1),FALSE)/(LEN(VLOOKUP($D262,素材!$1:$1016,COLUMN($F$1),FALSE))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BA262">
        <f>IF(ISNUMBER(SEARCH(SUBSTITUTE(BA$1,RIGHT(BA$1,2),""),VLOOKUP($D262,素材!$1:$1016,COLUMN($F$1),FALSE))),VLOOKUP($C262,武器!$1:$998,COLUMN($O$1),FALSE)*VLOOKUP($D262,素材!$1:$1016,COLUMN($E$1),FALSE)/(LEN(VLOOKUP($D262,素材!$1:$1016,COLUMN($F$1),FALSE))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BB262">
        <f>IF(ISNUMBER(SEARCH(SUBSTITUTE(BB$1,RIGHT(BB$1,2),""),VLOOKUP($D262,素材!$1:$1016,COLUMN($F$1),FALSE))),VLOOKUP($C262,武器!$1:$998,COLUMN($O$1),FALSE)*VLOOKUP($D262,素材!$1:$1016,COLUMN($E$1),FALSE)/(LEN(VLOOKUP($D262,素材!$1:$1016,COLUMN($F$1),FALSE))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BC262">
        <f>IF(ISNUMBER(SEARCH(SUBSTITUTE(BC$1,RIGHT(BC$1,2),""),VLOOKUP($D262,素材!$1:$1016,COLUMN($F$1),FALSE))),VLOOKUP($C262,武器!$1:$998,COLUMN($O$1),FALSE)*VLOOKUP($D262,素材!$1:$1016,COLUMN($E$1),FALSE)/(LEN(VLOOKUP($D262,素材!$1:$1016,COLUMN($F$1),FALSE))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BD262">
        <f>IF(ISNUMBER(SEARCH(SUBSTITUTE(BD$1,RIGHT(BD$1,2),""),VLOOKUP($D262,素材!$1:$1016,COLUMN($F$1),FALSE))),VLOOKUP($C262,武器!$1:$998,COLUMN($O$1),FALSE)*VLOOKUP($D262,素材!$1:$1016,COLUMN($E$1),FALSE)/(LEN(VLOOKUP($D262,素材!$1:$1016,COLUMN($F$1),FALSE))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BE262">
        <f>IF(ISNUMBER(SEARCH(SUBSTITUTE(BE$1,RIGHT(BE$1,2),""),VLOOKUP($D262,素材!$1:$1016,COLUMN($F$1),FALSE))),VLOOKUP($C262,武器!$1:$998,COLUMN($O$1),FALSE)*VLOOKUP($D262,素材!$1:$1016,COLUMN($E$1),FALSE)/(LEN(VLOOKUP($D262,素材!$1:$1016,COLUMN($F$1),FALSE))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BF262">
        <f>IF(ISNUMBER(SEARCH(SUBSTITUTE(BF$1,RIGHT(BF$1,2),""),VLOOKUP($D262,素材!$1:$1016,COLUMN($F$1),FALSE))),VLOOKUP($C262,武器!$1:$998,COLUMN($O$1),FALSE)*VLOOKUP($D262,素材!$1:$1016,COLUMN($E$1),FALSE)/(LEN(VLOOKUP($D262,素材!$1:$1016,COLUMN($F$1),FALSE)) - LEN(SUBSTITUTE(VLOOKUP($D262,素材!$1:$1016,COLUMN($F$1),FALSE), "・", 0)) + 1), 0)</f>
        <v>0</v>
      </c>
      <c r="CM262">
        <f t="shared" si="36"/>
        <v>0</v>
      </c>
      <c r="CN262" s="22" t="str">
        <f>IF(E262="武器",IF(J262-1&gt;SUM(G262:I262),"盾",IF(MAX(G262:I262)=G262,"切断",IF(MAX(G262:I262)=H262,"貫通",IF(MAX(G262:I262)=I262,"打撃","射撃")))),E262)&amp;".webp"</f>
        <v>体.webp</v>
      </c>
      <c r="CO262">
        <f>IFERROR(VLOOKUP($C262,武器!$1:$998,COLUMN(V$1),FALSE)*VLOOKUP($D262,素材!$1:$1016,COLUMN(N$1),FALSE)+IF(CJ262="",0,VLOOKUP($CJ262,装強!$1:$1008,COLUMN($CL$1),FALSE)),"")</f>
        <v>4500</v>
      </c>
      <c r="CP262">
        <f>VLOOKUP(D262,素材!$A:$O,COLUMN(素材!O$1),FALSE)</f>
        <v>0</v>
      </c>
      <c r="CQ262" t="str">
        <f>VLOOKUP(C262,武器!$A:$W,COLUMN(武器!W$1),FALSE)</f>
        <v>HP 物理 魔法 体幹 出血 疲労 Cr</v>
      </c>
      <c r="CS262" t="str">
        <f t="shared" si="32"/>
        <v>e_262</v>
      </c>
      <c r="CT262">
        <f t="shared" si="33"/>
        <v>450000</v>
      </c>
    </row>
    <row r="263" spans="1:98" outlineLevel="1" x14ac:dyDescent="0.4">
      <c r="A263" t="str">
        <f t="shared" si="35"/>
        <v>熱鉄の胴衣</v>
      </c>
      <c r="B263" t="str">
        <f>IFERROR(VLOOKUP($D263,素材!$1:$1016,COLUMN($B$1),FALSE)&amp;"・"&amp;VLOOKUP($C263,武器!$1:$998,COLUMN(B$1),FALSE),"")</f>
        <v>ヒートスティール・ベスト</v>
      </c>
      <c r="C263" t="s">
        <v>207</v>
      </c>
      <c r="D263" s="24" t="s">
        <v>205</v>
      </c>
      <c r="E263" t="str">
        <f>IFERROR(VLOOKUP(C263,武器!$1:$998,COLUMN(C$1),FALSE),"")</f>
        <v>体</v>
      </c>
      <c r="F263">
        <f>IFERROR(ROUNDDOWN((VLOOKUP($C263,武器!$1:$998,COLUMN(D$1),FALSE)+IFERROR(VLOOKUP($CJ263,装強!$1:$999,COLUMN(F$1),FALSE),0))*VLOOKUP($D263,素材!$1:$1016,COLUMN(D$1),FALSE),0),"")</f>
        <v>0</v>
      </c>
      <c r="G263">
        <f>IFERROR(ROUNDDOWN((VLOOKUP($C263,武器!$1:$998,COLUMN(E$1),FALSE)+IFERROR(VLOOKUP($CJ263,装強!$1:$999,COLUMN(G$1),FALSE),0))*VLOOKUP($D263,素材!$1:$1016,COLUMN($E$1),FALSE),0),"")</f>
        <v>0</v>
      </c>
      <c r="H263">
        <f>IFERROR(ROUNDDOWN((VLOOKUP($C263,武器!$1:$998,COLUMN(F$1),FALSE)+IFERROR(VLOOKUP($CJ263,装強!$1:$999,COLUMN(H$1),FALSE),0))*VLOOKUP($D263,素材!$1:$1016,COLUMN($E$1),FALSE),0),"")</f>
        <v>0</v>
      </c>
      <c r="I263">
        <f>IFERROR(ROUNDDOWN((VLOOKUP($C263,武器!$1:$998,COLUMN(G$1),FALSE)+IFERROR(VLOOKUP($CJ263,装強!$1:$999,COLUMN(I$1),FALSE),0))*VLOOKUP($D263,素材!$1:$1016,COLUMN($E$1),FALSE),0),"")</f>
        <v>0</v>
      </c>
      <c r="J263">
        <f>IFERROR(ROUNDDOWN((VLOOKUP($C263,武器!$1:$998,COLUMN(H$1),FALSE)+IFERROR(VLOOKUP($CJ263,装強!$1:$999,COLUMN(J$1),FALSE),0))*VLOOKUP($D263,素材!$1:$1016,COLUMN($E$1),FALSE),0),"")</f>
        <v>0</v>
      </c>
      <c r="K263">
        <f>IFERROR(ROUNDDOWN((VLOOKUP($C263,武器!$1:$998,COLUMN(I$1),FALSE)+IFERROR(VLOOKUP($CJ263,装強!$1:$999,COLUMN(K$1),FALSE),0))*VLOOKUP($D263,素材!$1:$1016,COLUMN($E$1),FALSE),0),"")</f>
        <v>0</v>
      </c>
      <c r="L263" t="str">
        <f>IFERROR(VLOOKUP($D263,素材!$1:$1016,COLUMN($F$1),FALSE),"")</f>
        <v>炎</v>
      </c>
      <c r="M263">
        <f>IFERROR(VLOOKUP($C263,武器!$1:$998,COLUMN(AA$1),FALSE)*VLOOKUP($D263,素材!$1:$1016,COLUMN($G$1),FALSE),"")</f>
        <v>0</v>
      </c>
      <c r="N263">
        <f>IFERROR(VLOOKUP($C263,武器!$1:$998,COLUMN(I$1),FALSE),"")</f>
        <v>0</v>
      </c>
      <c r="O263" s="23">
        <f>IFERROR((VLOOKUP($C263,武器!$1:$998,COLUMN(K$1),FALSE)+VLOOKUP($D263,素材!$1:$1016,COLUMN(H$1),FALSE))*100+IFERROR(VLOOKUP($CJ263,装強!$1:$999,COLUMN(O$1),FALSE),0),"")</f>
        <v>0</v>
      </c>
      <c r="P263" s="23">
        <f>IFERROR((VLOOKUP($C263,武器!$1:$998,COLUMN(L$1),FALSE)+VLOOKUP($D263,素材!$1:$1016,COLUMN(I$1),FALSE))*100+IFERROR(VLOOKUP($CJ263,装強!$1:$999,COLUMN(P$1),FALSE),0),"")</f>
        <v>0</v>
      </c>
      <c r="Q263">
        <f>IFERROR(ROUNDUP(VLOOKUP($C263,武器!$1:$998,COLUMN(M$1),FALSE)*(VLOOKUP($D263,素材!$1:$1002,COLUMN(D$1),FALSE)/100),1),"")</f>
        <v>-7.5</v>
      </c>
      <c r="R263">
        <f>IFERROR(ROUNDUP(VLOOKUP($C263,武器!$1:$998,COLUMN(N$1),FALSE)*(VLOOKUP($D263,素材!$1:$1002,COLUMN(D$1),FALSE)/100),1),"")</f>
        <v>0</v>
      </c>
      <c r="S263">
        <f>IFERROR(VLOOKUP($C263,武器!$1:$998,COLUMN(P$1),FALSE),"")</f>
        <v>0</v>
      </c>
      <c r="T263">
        <f>IFERROR(VLOOKUP($C263,武器!$1:$998,COLUMN(Q$1),FALSE),"")</f>
        <v>0</v>
      </c>
      <c r="U263">
        <f>IFERROR(VLOOKUP($C263,武器!$1:$998,COLUMN(R$1),FALSE),"")</f>
        <v>0</v>
      </c>
      <c r="V263">
        <f>IFERROR(VLOOKUP($C263,武器!$1:$998,COLUMN(Q$1),FALSE),"")</f>
        <v>0</v>
      </c>
      <c r="W263">
        <f>IFERROR(VLOOKUP($C263,武器!$1:$998,COLUMN(T$1),FALSE),"")</f>
        <v>0</v>
      </c>
      <c r="Y263">
        <f>IFERROR(VLOOKUP($C263,武器!$1:$998,COLUMN(U$1),FALSE),"")</f>
        <v>0</v>
      </c>
      <c r="Z263">
        <f>IFERROR(ROUNDUP(VLOOKUP($C263,武器!$1:$998,COLUMN(O$1),FALSE)*VLOOKUP($D263,素材!$1:$1016,COLUMN(E$1),FALSE),1),"")</f>
        <v>10</v>
      </c>
      <c r="AA263">
        <f>IF(ISNUMBER(SEARCH(SUBSTITUTE(AA$1,RIGHT(AA$1,2),""),VLOOKUP($D263,素材!$1:$1016,COLUMN($F$1),FALSE))),VLOOKUP($C263,武器!$1:$998,COLUMN($O$1),FALSE)*VLOOKUP($D263,素材!$1:$1016,COLUMN($E$1),FALSE)/(LEN(VLOOKUP($D263,素材!$1:$1016,COLUMN($F$1),FALSE))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B263">
        <f>IF(ISNUMBER(SEARCH(SUBSTITUTE(AB$1,RIGHT(AB$1,2),""),VLOOKUP($D263,素材!$1:$1016,COLUMN($F$1),FALSE))),VLOOKUP($C263,武器!$1:$998,COLUMN($O$1),FALSE)*VLOOKUP($D263,素材!$1:$1016,COLUMN($E$1),FALSE)/(LEN(VLOOKUP($D263,素材!$1:$1016,COLUMN($F$1),FALSE))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C263">
        <f>IF(ISNUMBER(SEARCH(SUBSTITUTE(AC$1,RIGHT(AC$1,2),""),VLOOKUP($D263,素材!$1:$1016,COLUMN($F$1),FALSE))),VLOOKUP($C263,武器!$1:$998,COLUMN($O$1),FALSE)*VLOOKUP($D263,素材!$1:$1016,COLUMN($E$1),FALSE)/(LEN(VLOOKUP($D263,素材!$1:$1016,COLUMN($F$1),FALSE))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D263">
        <f>IF(ISNUMBER(SEARCH(SUBSTITUTE(AD$1,RIGHT(AD$1,2),""),VLOOKUP($D263,素材!$1:$1016,COLUMN($F$1),FALSE))),VLOOKUP($C263,武器!$1:$998,COLUMN($O$1),FALSE)*VLOOKUP($D263,素材!$1:$1016,COLUMN($E$1),FALSE)/(LEN(VLOOKUP($D263,素材!$1:$1016,COLUMN($F$1),FALSE))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E263">
        <f>IF(ISNUMBER(SEARCH(SUBSTITUTE(AE$1,RIGHT(AE$1,2),""),VLOOKUP($D263,素材!$1:$1016,COLUMN($F$1),FALSE))),VLOOKUP($C263,武器!$1:$998,COLUMN($O$1),FALSE)*VLOOKUP($D263,素材!$1:$1016,COLUMN($E$1),FALSE)/(LEN(VLOOKUP($D263,素材!$1:$1016,COLUMN($F$1),FALSE))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10</v>
      </c>
      <c r="AF263">
        <f>IF(ISNUMBER(SEARCH(SUBSTITUTE(AF$1,RIGHT(AF$1,2),""),VLOOKUP($D263,素材!$1:$1016,COLUMN($F$1),FALSE))),VLOOKUP($C263,武器!$1:$998,COLUMN($O$1),FALSE)*VLOOKUP($D263,素材!$1:$1016,COLUMN($E$1),FALSE)/(LEN(VLOOKUP($D263,素材!$1:$1016,COLUMN($F$1),FALSE))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G263">
        <f>IF(ISNUMBER(SEARCH(SUBSTITUTE(AG$1,RIGHT(AG$1,2),""),VLOOKUP($D263,素材!$1:$1016,COLUMN($F$1),FALSE))),VLOOKUP($C263,武器!$1:$998,COLUMN($O$1),FALSE)*VLOOKUP($D263,素材!$1:$1016,COLUMN($E$1),FALSE)/(LEN(VLOOKUP($D263,素材!$1:$1016,COLUMN($F$1),FALSE))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H263">
        <f>IF(ISNUMBER(SEARCH(SUBSTITUTE(AH$1,RIGHT(AH$1,2),""),VLOOKUP($D263,素材!$1:$1016,COLUMN($F$1),FALSE))),VLOOKUP($C263,武器!$1:$998,COLUMN($O$1),FALSE)*VLOOKUP($D263,素材!$1:$1016,COLUMN($E$1),FALSE)/(LEN(VLOOKUP($D263,素材!$1:$1016,COLUMN($F$1),FALSE))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I263">
        <f>IF(ISNUMBER(SEARCH(SUBSTITUTE(AI$1,RIGHT(AI$1,2),""),VLOOKUP($D263,素材!$1:$1016,COLUMN($F$1),FALSE))),VLOOKUP($C263,武器!$1:$998,COLUMN($O$1),FALSE)*VLOOKUP($D263,素材!$1:$1016,COLUMN($E$1),FALSE)/(LEN(VLOOKUP($D263,素材!$1:$1016,COLUMN($F$1),FALSE))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J263">
        <f>IF(ISNUMBER(SEARCH(SUBSTITUTE(AJ$1,RIGHT(AJ$1,2),""),VLOOKUP($D263,素材!$1:$1016,COLUMN($F$1),FALSE))),VLOOKUP($C263,武器!$1:$998,COLUMN($O$1),FALSE)*VLOOKUP($D263,素材!$1:$1016,COLUMN($E$1),FALSE)/(LEN(VLOOKUP($D263,素材!$1:$1016,COLUMN($F$1),FALSE))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K263">
        <f>IF(ISNUMBER(SEARCH(SUBSTITUTE(AK$1,RIGHT(AK$1,2),""),VLOOKUP($D263,素材!$1:$1016,COLUMN($F$1),FALSE))),VLOOKUP($C263,武器!$1:$998,COLUMN($O$1),FALSE)*VLOOKUP($D263,素材!$1:$1016,COLUMN($E$1),FALSE)/(LEN(VLOOKUP($D263,素材!$1:$1016,COLUMN($F$1),FALSE))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L263">
        <f>IF(ISNUMBER(SEARCH(SUBSTITUTE(AL$1,RIGHT(AL$1,2),""),VLOOKUP($D263,素材!$1:$1016,COLUMN($F$1),FALSE))),VLOOKUP($C263,武器!$1:$998,COLUMN($O$1),FALSE)*VLOOKUP($D263,素材!$1:$1016,COLUMN($E$1),FALSE)/(LEN(VLOOKUP($D263,素材!$1:$1016,COLUMN($F$1),FALSE))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M263">
        <f>IF(ISNUMBER(SEARCH(SUBSTITUTE(AM$1,RIGHT(AM$1,2),""),VLOOKUP($D263,素材!$1:$1016,COLUMN($F$1),FALSE))),VLOOKUP($C263,武器!$1:$998,COLUMN($O$1),FALSE)*VLOOKUP($D263,素材!$1:$1016,COLUMN($E$1),FALSE)/(LEN(VLOOKUP($D263,素材!$1:$1016,COLUMN($F$1),FALSE))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N263">
        <f>IF(ISNUMBER(SEARCH(SUBSTITUTE(AN$1,RIGHT(AN$1,2),""),VLOOKUP($D263,素材!$1:$1016,COLUMN($F$1),FALSE))),VLOOKUP($C263,武器!$1:$998,COLUMN($O$1),FALSE)*VLOOKUP($D263,素材!$1:$1016,COLUMN($E$1),FALSE)/(LEN(VLOOKUP($D263,素材!$1:$1016,COLUMN($F$1),FALSE))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O263">
        <f>IF(ISNUMBER(SEARCH(SUBSTITUTE(AO$1,RIGHT(AO$1,2),""),VLOOKUP($D263,素材!$1:$1016,COLUMN($F$1),FALSE))),VLOOKUP($C263,武器!$1:$998,COLUMN($O$1),FALSE)*VLOOKUP($D263,素材!$1:$1016,COLUMN($E$1),FALSE)/(LEN(VLOOKUP($D263,素材!$1:$1016,COLUMN($F$1),FALSE))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P263">
        <f>IF(ISNUMBER(SEARCH(SUBSTITUTE(AP$1,RIGHT(AP$1,2),""),VLOOKUP($D263,素材!$1:$1016,COLUMN($F$1),FALSE))),VLOOKUP($C263,武器!$1:$998,COLUMN($O$1),FALSE)*VLOOKUP($D263,素材!$1:$1016,COLUMN($E$1),FALSE)/(LEN(VLOOKUP($D263,素材!$1:$1016,COLUMN($F$1),FALSE))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Q263">
        <f>IF(ISNUMBER(SEARCH(SUBSTITUTE(AQ$1,RIGHT(AQ$1,2),""),VLOOKUP($D263,素材!$1:$1016,COLUMN($F$1),FALSE))),VLOOKUP($C263,武器!$1:$998,COLUMN($O$1),FALSE)*VLOOKUP($D263,素材!$1:$1016,COLUMN($E$1),FALSE)/(LEN(VLOOKUP($D263,素材!$1:$1016,COLUMN($F$1),FALSE))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R263">
        <f>IF(ISNUMBER(SEARCH(SUBSTITUTE(AR$1,RIGHT(AR$1,2),""),VLOOKUP($D263,素材!$1:$1016,COLUMN($F$1),FALSE))),VLOOKUP($C263,武器!$1:$998,COLUMN($O$1),FALSE)*VLOOKUP($D263,素材!$1:$1016,COLUMN($E$1),FALSE)/(LEN(VLOOKUP($D263,素材!$1:$1016,COLUMN($F$1),FALSE))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S263">
        <f>IF(ISNUMBER(SEARCH(SUBSTITUTE(AS$1,RIGHT(AS$1,2),""),VLOOKUP($D263,素材!$1:$1016,COLUMN($F$1),FALSE))),VLOOKUP($C263,武器!$1:$998,COLUMN($O$1),FALSE)*VLOOKUP($D263,素材!$1:$1016,COLUMN($E$1),FALSE)/(LEN(VLOOKUP($D263,素材!$1:$1016,COLUMN($F$1),FALSE))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T263">
        <f>IF(ISNUMBER(SEARCH(SUBSTITUTE(AT$1,RIGHT(AT$1,2),""),VLOOKUP($D263,素材!$1:$1016,COLUMN($F$1),FALSE))),VLOOKUP($C263,武器!$1:$998,COLUMN($O$1),FALSE)*VLOOKUP($D263,素材!$1:$1016,COLUMN($E$1),FALSE)/(LEN(VLOOKUP($D263,素材!$1:$1016,COLUMN($F$1),FALSE))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U263">
        <f>IF(ISNUMBER(SEARCH(SUBSTITUTE(AU$1,RIGHT(AU$1,2),""),VLOOKUP($D263,素材!$1:$1016,COLUMN($F$1),FALSE))),VLOOKUP($C263,武器!$1:$998,COLUMN($O$1),FALSE)*VLOOKUP($D263,素材!$1:$1016,COLUMN($E$1),FALSE)/(LEN(VLOOKUP($D263,素材!$1:$1016,COLUMN($F$1),FALSE))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V263">
        <f>IF(ISNUMBER(SEARCH(SUBSTITUTE(AV$1,RIGHT(AV$1,2),""),VLOOKUP($D263,素材!$1:$1016,COLUMN($F$1),FALSE))),VLOOKUP($C263,武器!$1:$998,COLUMN($O$1),FALSE)*VLOOKUP($D263,素材!$1:$1016,COLUMN($E$1),FALSE)/(LEN(VLOOKUP($D263,素材!$1:$1016,COLUMN($F$1),FALSE))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W263">
        <f>IF(ISNUMBER(SEARCH(SUBSTITUTE(AW$1,RIGHT(AW$1,2),""),VLOOKUP($D263,素材!$1:$1016,COLUMN($F$1),FALSE))),VLOOKUP($C263,武器!$1:$998,COLUMN($O$1),FALSE)*VLOOKUP($D263,素材!$1:$1016,COLUMN($E$1),FALSE)/(LEN(VLOOKUP($D263,素材!$1:$1016,COLUMN($F$1),FALSE))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X263">
        <f>IF(ISNUMBER(SEARCH(SUBSTITUTE(AX$1,RIGHT(AX$1,2),""),VLOOKUP($D263,素材!$1:$1016,COLUMN($F$1),FALSE))),VLOOKUP($C263,武器!$1:$998,COLUMN($O$1),FALSE)*VLOOKUP($D263,素材!$1:$1016,COLUMN($E$1),FALSE)/(LEN(VLOOKUP($D263,素材!$1:$1016,COLUMN($F$1),FALSE))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Y263">
        <f>IF(ISNUMBER(SEARCH(SUBSTITUTE(AY$1,RIGHT(AY$1,2),""),VLOOKUP($D263,素材!$1:$1016,COLUMN($F$1),FALSE))),VLOOKUP($C263,武器!$1:$998,COLUMN($O$1),FALSE)*VLOOKUP($D263,素材!$1:$1016,COLUMN($E$1),FALSE)/(LEN(VLOOKUP($D263,素材!$1:$1016,COLUMN($F$1),FALSE))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AZ263">
        <f>IF(ISNUMBER(SEARCH(SUBSTITUTE(AZ$1,RIGHT(AZ$1,2),""),VLOOKUP($D263,素材!$1:$1016,COLUMN($F$1),FALSE))),VLOOKUP($C263,武器!$1:$998,COLUMN($O$1),FALSE)*VLOOKUP($D263,素材!$1:$1016,COLUMN($E$1),FALSE)/(LEN(VLOOKUP($D263,素材!$1:$1016,COLUMN($F$1),FALSE))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BA263">
        <f>IF(ISNUMBER(SEARCH(SUBSTITUTE(BA$1,RIGHT(BA$1,2),""),VLOOKUP($D263,素材!$1:$1016,COLUMN($F$1),FALSE))),VLOOKUP($C263,武器!$1:$998,COLUMN($O$1),FALSE)*VLOOKUP($D263,素材!$1:$1016,COLUMN($E$1),FALSE)/(LEN(VLOOKUP($D263,素材!$1:$1016,COLUMN($F$1),FALSE))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BB263">
        <f>IF(ISNUMBER(SEARCH(SUBSTITUTE(BB$1,RIGHT(BB$1,2),""),VLOOKUP($D263,素材!$1:$1016,COLUMN($F$1),FALSE))),VLOOKUP($C263,武器!$1:$998,COLUMN($O$1),FALSE)*VLOOKUP($D263,素材!$1:$1016,COLUMN($E$1),FALSE)/(LEN(VLOOKUP($D263,素材!$1:$1016,COLUMN($F$1),FALSE))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BC263">
        <f>IF(ISNUMBER(SEARCH(SUBSTITUTE(BC$1,RIGHT(BC$1,2),""),VLOOKUP($D263,素材!$1:$1016,COLUMN($F$1),FALSE))),VLOOKUP($C263,武器!$1:$998,COLUMN($O$1),FALSE)*VLOOKUP($D263,素材!$1:$1016,COLUMN($E$1),FALSE)/(LEN(VLOOKUP($D263,素材!$1:$1016,COLUMN($F$1),FALSE))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BD263">
        <f>IF(ISNUMBER(SEARCH(SUBSTITUTE(BD$1,RIGHT(BD$1,2),""),VLOOKUP($D263,素材!$1:$1016,COLUMN($F$1),FALSE))),VLOOKUP($C263,武器!$1:$998,COLUMN($O$1),FALSE)*VLOOKUP($D263,素材!$1:$1016,COLUMN($E$1),FALSE)/(LEN(VLOOKUP($D263,素材!$1:$1016,COLUMN($F$1),FALSE))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BE263">
        <f>IF(ISNUMBER(SEARCH(SUBSTITUTE(BE$1,RIGHT(BE$1,2),""),VLOOKUP($D263,素材!$1:$1016,COLUMN($F$1),FALSE))),VLOOKUP($C263,武器!$1:$998,COLUMN($O$1),FALSE)*VLOOKUP($D263,素材!$1:$1016,COLUMN($E$1),FALSE)/(LEN(VLOOKUP($D263,素材!$1:$1016,COLUMN($F$1),FALSE))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BF263">
        <f>IF(ISNUMBER(SEARCH(SUBSTITUTE(BF$1,RIGHT(BF$1,2),""),VLOOKUP($D263,素材!$1:$1016,COLUMN($F$1),FALSE))),VLOOKUP($C263,武器!$1:$998,COLUMN($O$1),FALSE)*VLOOKUP($D263,素材!$1:$1016,COLUMN($E$1),FALSE)/(LEN(VLOOKUP($D263,素材!$1:$1016,COLUMN($F$1),FALSE)) - LEN(SUBSTITUTE(VLOOKUP($D263,素材!$1:$1016,COLUMN($F$1),FALSE), "・", 0)) + 1), 0)</f>
        <v>0</v>
      </c>
      <c r="CM263">
        <f t="shared" si="36"/>
        <v>0</v>
      </c>
      <c r="CN263" s="22" t="str">
        <f>IF(E263="武器",IF(J263-1&gt;SUM(G263:I263),"盾",IF(MAX(G263:I263)=G263,"切断",IF(MAX(G263:I263)=H263,"貫通",IF(MAX(G263:I263)=I263,"打撃","射撃")))),E263)&amp;".webp"</f>
        <v>体.webp</v>
      </c>
      <c r="CO263">
        <f>IFERROR(VLOOKUP($C263,武器!$1:$998,COLUMN(V$1),FALSE)*VLOOKUP($D263,素材!$1:$1016,COLUMN(N$1),FALSE)+IF(CJ263="",0,VLOOKUP($CJ263,装強!$1:$1008,COLUMN($CL$1),FALSE)),"")</f>
        <v>3750</v>
      </c>
      <c r="CP263">
        <f>VLOOKUP(D263,素材!$A:$O,COLUMN(素材!O$1),FALSE)</f>
        <v>0</v>
      </c>
      <c r="CQ263" t="str">
        <f>VLOOKUP(C263,武器!$A:$W,COLUMN(武器!W$1),FALSE)</f>
        <v>HP 物理 魔法 体幹 出血 疲労 Cr</v>
      </c>
      <c r="CS263" t="str">
        <f t="shared" si="32"/>
        <v>e_263</v>
      </c>
      <c r="CT263">
        <f t="shared" si="33"/>
        <v>375000</v>
      </c>
    </row>
    <row r="264" spans="1:98" outlineLevel="1" x14ac:dyDescent="0.4">
      <c r="A264" t="str">
        <f t="shared" si="35"/>
        <v>熱鉄の靴</v>
      </c>
      <c r="B264" t="str">
        <f>IFERROR(VLOOKUP($D264,素材!$1:$1016,COLUMN($B$1),FALSE)&amp;"・"&amp;VLOOKUP($C264,武器!$1:$998,COLUMN(B$1),FALSE),"")</f>
        <v>ヒートスティール・ブーツ</v>
      </c>
      <c r="C264" t="s">
        <v>206</v>
      </c>
      <c r="D264" s="24" t="s">
        <v>205</v>
      </c>
      <c r="E264" t="str">
        <f>IFERROR(VLOOKUP(C264,武器!$1:$998,COLUMN(C$1),FALSE),"")</f>
        <v>足</v>
      </c>
      <c r="F264">
        <f>IFERROR(ROUNDDOWN((VLOOKUP($C264,武器!$1:$998,COLUMN(D$1),FALSE)+IFERROR(VLOOKUP($CJ264,装強!$1:$999,COLUMN(F$1),FALSE),0))*VLOOKUP($D264,素材!$1:$1016,COLUMN(D$1),FALSE),0),"")</f>
        <v>0</v>
      </c>
      <c r="G264">
        <f>IFERROR(ROUNDDOWN((VLOOKUP($C264,武器!$1:$998,COLUMN(E$1),FALSE)+IFERROR(VLOOKUP($CJ264,装強!$1:$999,COLUMN(G$1),FALSE),0))*VLOOKUP($D264,素材!$1:$1016,COLUMN($E$1),FALSE),0),"")</f>
        <v>0</v>
      </c>
      <c r="H264">
        <f>IFERROR(ROUNDDOWN((VLOOKUP($C264,武器!$1:$998,COLUMN(F$1),FALSE)+IFERROR(VLOOKUP($CJ264,装強!$1:$999,COLUMN(H$1),FALSE),0))*VLOOKUP($D264,素材!$1:$1016,COLUMN($E$1),FALSE),0),"")</f>
        <v>0</v>
      </c>
      <c r="I264">
        <f>IFERROR(ROUNDDOWN((VLOOKUP($C264,武器!$1:$998,COLUMN(G$1),FALSE)+IFERROR(VLOOKUP($CJ264,装強!$1:$999,COLUMN(I$1),FALSE),0))*VLOOKUP($D264,素材!$1:$1016,COLUMN($E$1),FALSE),0),"")</f>
        <v>20</v>
      </c>
      <c r="J264">
        <f>IFERROR(ROUNDDOWN((VLOOKUP($C264,武器!$1:$998,COLUMN(H$1),FALSE)+IFERROR(VLOOKUP($CJ264,装強!$1:$999,COLUMN(J$1),FALSE),0))*VLOOKUP($D264,素材!$1:$1016,COLUMN($E$1),FALSE),0),"")</f>
        <v>0</v>
      </c>
      <c r="K264">
        <f>IFERROR(ROUNDDOWN((VLOOKUP($C264,武器!$1:$998,COLUMN(I$1),FALSE)+IFERROR(VLOOKUP($CJ264,装強!$1:$999,COLUMN(K$1),FALSE),0))*VLOOKUP($D264,素材!$1:$1016,COLUMN($E$1),FALSE),0),"")</f>
        <v>0</v>
      </c>
      <c r="L264" t="str">
        <f>IFERROR(VLOOKUP($D264,素材!$1:$1016,COLUMN($F$1),FALSE),"")</f>
        <v>炎</v>
      </c>
      <c r="M264">
        <f>IFERROR(VLOOKUP($C264,武器!$1:$998,COLUMN(AA$1),FALSE)*VLOOKUP($D264,素材!$1:$1016,COLUMN($G$1),FALSE),"")</f>
        <v>0</v>
      </c>
      <c r="N264">
        <f>IFERROR(VLOOKUP($C264,武器!$1:$998,COLUMN(I$1),FALSE),"")</f>
        <v>0</v>
      </c>
      <c r="O264" s="23">
        <f>IFERROR((VLOOKUP($C264,武器!$1:$998,COLUMN(K$1),FALSE)+VLOOKUP($D264,素材!$1:$1016,COLUMN(H$1),FALSE))*100+IFERROR(VLOOKUP($CJ264,装強!$1:$999,COLUMN(O$1),FALSE),0),"")</f>
        <v>10</v>
      </c>
      <c r="P264" s="23">
        <f>IFERROR((VLOOKUP($C264,武器!$1:$998,COLUMN(L$1),FALSE)+VLOOKUP($D264,素材!$1:$1016,COLUMN(I$1),FALSE))*100+IFERROR(VLOOKUP($CJ264,装強!$1:$999,COLUMN(P$1),FALSE),0),"")</f>
        <v>150</v>
      </c>
      <c r="Q264">
        <f>IFERROR(ROUNDUP(VLOOKUP($C264,武器!$1:$998,COLUMN(M$1),FALSE)*(VLOOKUP($D264,素材!$1:$1002,COLUMN(D$1),FALSE)/100),1),"")</f>
        <v>0</v>
      </c>
      <c r="R264">
        <f>IFERROR(ROUNDUP(VLOOKUP($C264,武器!$1:$998,COLUMN(N$1),FALSE)*(VLOOKUP($D264,素材!$1:$1002,COLUMN(D$1),FALSE)/100),1),"")</f>
        <v>0</v>
      </c>
      <c r="S264">
        <f>IFERROR(VLOOKUP($C264,武器!$1:$998,COLUMN(P$1),FALSE),"")</f>
        <v>0</v>
      </c>
      <c r="T264">
        <f>IFERROR(VLOOKUP($C264,武器!$1:$998,COLUMN(Q$1),FALSE),"")</f>
        <v>0</v>
      </c>
      <c r="U264">
        <f>IFERROR(VLOOKUP($C264,武器!$1:$998,COLUMN(R$1),FALSE),"")</f>
        <v>0</v>
      </c>
      <c r="V264">
        <f>IFERROR(VLOOKUP($C264,武器!$1:$998,COLUMN(Q$1),FALSE),"")</f>
        <v>0</v>
      </c>
      <c r="W264">
        <f>IFERROR(VLOOKUP($C264,武器!$1:$998,COLUMN(T$1),FALSE),"")</f>
        <v>0</v>
      </c>
      <c r="Y264" t="str">
        <f>IFERROR(VLOOKUP($C264,武器!$1:$998,COLUMN(U$1),FALSE),"")</f>
        <v>足</v>
      </c>
      <c r="Z264">
        <f>IFERROR(ROUNDUP(VLOOKUP($C264,武器!$1:$998,COLUMN(O$1),FALSE)*VLOOKUP($D264,素材!$1:$1016,COLUMN(E$1),FALSE),1),"")</f>
        <v>3</v>
      </c>
      <c r="AA264">
        <f>IF(ISNUMBER(SEARCH(SUBSTITUTE(AA$1,RIGHT(AA$1,2),""),VLOOKUP($D264,素材!$1:$1016,COLUMN($F$1),FALSE))),VLOOKUP($C264,武器!$1:$998,COLUMN($O$1),FALSE)*VLOOKUP($D264,素材!$1:$1016,COLUMN($E$1),FALSE)/(LEN(VLOOKUP($D264,素材!$1:$1016,COLUMN($F$1),FALSE))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B264">
        <f>IF(ISNUMBER(SEARCH(SUBSTITUTE(AB$1,RIGHT(AB$1,2),""),VLOOKUP($D264,素材!$1:$1016,COLUMN($F$1),FALSE))),VLOOKUP($C264,武器!$1:$998,COLUMN($O$1),FALSE)*VLOOKUP($D264,素材!$1:$1016,COLUMN($E$1),FALSE)/(LEN(VLOOKUP($D264,素材!$1:$1016,COLUMN($F$1),FALSE))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C264">
        <f>IF(ISNUMBER(SEARCH(SUBSTITUTE(AC$1,RIGHT(AC$1,2),""),VLOOKUP($D264,素材!$1:$1016,COLUMN($F$1),FALSE))),VLOOKUP($C264,武器!$1:$998,COLUMN($O$1),FALSE)*VLOOKUP($D264,素材!$1:$1016,COLUMN($E$1),FALSE)/(LEN(VLOOKUP($D264,素材!$1:$1016,COLUMN($F$1),FALSE))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D264">
        <f>IF(ISNUMBER(SEARCH(SUBSTITUTE(AD$1,RIGHT(AD$1,2),""),VLOOKUP($D264,素材!$1:$1016,COLUMN($F$1),FALSE))),VLOOKUP($C264,武器!$1:$998,COLUMN($O$1),FALSE)*VLOOKUP($D264,素材!$1:$1016,COLUMN($E$1),FALSE)/(LEN(VLOOKUP($D264,素材!$1:$1016,COLUMN($F$1),FALSE))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E264">
        <f>IF(ISNUMBER(SEARCH(SUBSTITUTE(AE$1,RIGHT(AE$1,2),""),VLOOKUP($D264,素材!$1:$1016,COLUMN($F$1),FALSE))),VLOOKUP($C264,武器!$1:$998,COLUMN($O$1),FALSE)*VLOOKUP($D264,素材!$1:$1016,COLUMN($E$1),FALSE)/(LEN(VLOOKUP($D264,素材!$1:$1016,COLUMN($F$1),FALSE))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3</v>
      </c>
      <c r="AF264">
        <f>IF(ISNUMBER(SEARCH(SUBSTITUTE(AF$1,RIGHT(AF$1,2),""),VLOOKUP($D264,素材!$1:$1016,COLUMN($F$1),FALSE))),VLOOKUP($C264,武器!$1:$998,COLUMN($O$1),FALSE)*VLOOKUP($D264,素材!$1:$1016,COLUMN($E$1),FALSE)/(LEN(VLOOKUP($D264,素材!$1:$1016,COLUMN($F$1),FALSE))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G264">
        <f>IF(ISNUMBER(SEARCH(SUBSTITUTE(AG$1,RIGHT(AG$1,2),""),VLOOKUP($D264,素材!$1:$1016,COLUMN($F$1),FALSE))),VLOOKUP($C264,武器!$1:$998,COLUMN($O$1),FALSE)*VLOOKUP($D264,素材!$1:$1016,COLUMN($E$1),FALSE)/(LEN(VLOOKUP($D264,素材!$1:$1016,COLUMN($F$1),FALSE))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H264">
        <f>IF(ISNUMBER(SEARCH(SUBSTITUTE(AH$1,RIGHT(AH$1,2),""),VLOOKUP($D264,素材!$1:$1016,COLUMN($F$1),FALSE))),VLOOKUP($C264,武器!$1:$998,COLUMN($O$1),FALSE)*VLOOKUP($D264,素材!$1:$1016,COLUMN($E$1),FALSE)/(LEN(VLOOKUP($D264,素材!$1:$1016,COLUMN($F$1),FALSE))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I264">
        <f>IF(ISNUMBER(SEARCH(SUBSTITUTE(AI$1,RIGHT(AI$1,2),""),VLOOKUP($D264,素材!$1:$1016,COLUMN($F$1),FALSE))),VLOOKUP($C264,武器!$1:$998,COLUMN($O$1),FALSE)*VLOOKUP($D264,素材!$1:$1016,COLUMN($E$1),FALSE)/(LEN(VLOOKUP($D264,素材!$1:$1016,COLUMN($F$1),FALSE))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J264">
        <f>IF(ISNUMBER(SEARCH(SUBSTITUTE(AJ$1,RIGHT(AJ$1,2),""),VLOOKUP($D264,素材!$1:$1016,COLUMN($F$1),FALSE))),VLOOKUP($C264,武器!$1:$998,COLUMN($O$1),FALSE)*VLOOKUP($D264,素材!$1:$1016,COLUMN($E$1),FALSE)/(LEN(VLOOKUP($D264,素材!$1:$1016,COLUMN($F$1),FALSE))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K264">
        <f>IF(ISNUMBER(SEARCH(SUBSTITUTE(AK$1,RIGHT(AK$1,2),""),VLOOKUP($D264,素材!$1:$1016,COLUMN($F$1),FALSE))),VLOOKUP($C264,武器!$1:$998,COLUMN($O$1),FALSE)*VLOOKUP($D264,素材!$1:$1016,COLUMN($E$1),FALSE)/(LEN(VLOOKUP($D264,素材!$1:$1016,COLUMN($F$1),FALSE))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L264">
        <f>IF(ISNUMBER(SEARCH(SUBSTITUTE(AL$1,RIGHT(AL$1,2),""),VLOOKUP($D264,素材!$1:$1016,COLUMN($F$1),FALSE))),VLOOKUP($C264,武器!$1:$998,COLUMN($O$1),FALSE)*VLOOKUP($D264,素材!$1:$1016,COLUMN($E$1),FALSE)/(LEN(VLOOKUP($D264,素材!$1:$1016,COLUMN($F$1),FALSE))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M264">
        <f>IF(ISNUMBER(SEARCH(SUBSTITUTE(AM$1,RIGHT(AM$1,2),""),VLOOKUP($D264,素材!$1:$1016,COLUMN($F$1),FALSE))),VLOOKUP($C264,武器!$1:$998,COLUMN($O$1),FALSE)*VLOOKUP($D264,素材!$1:$1016,COLUMN($E$1),FALSE)/(LEN(VLOOKUP($D264,素材!$1:$1016,COLUMN($F$1),FALSE))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N264">
        <f>IF(ISNUMBER(SEARCH(SUBSTITUTE(AN$1,RIGHT(AN$1,2),""),VLOOKUP($D264,素材!$1:$1016,COLUMN($F$1),FALSE))),VLOOKUP($C264,武器!$1:$998,COLUMN($O$1),FALSE)*VLOOKUP($D264,素材!$1:$1016,COLUMN($E$1),FALSE)/(LEN(VLOOKUP($D264,素材!$1:$1016,COLUMN($F$1),FALSE))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O264">
        <f>IF(ISNUMBER(SEARCH(SUBSTITUTE(AO$1,RIGHT(AO$1,2),""),VLOOKUP($D264,素材!$1:$1016,COLUMN($F$1),FALSE))),VLOOKUP($C264,武器!$1:$998,COLUMN($O$1),FALSE)*VLOOKUP($D264,素材!$1:$1016,COLUMN($E$1),FALSE)/(LEN(VLOOKUP($D264,素材!$1:$1016,COLUMN($F$1),FALSE))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P264">
        <f>IF(ISNUMBER(SEARCH(SUBSTITUTE(AP$1,RIGHT(AP$1,2),""),VLOOKUP($D264,素材!$1:$1016,COLUMN($F$1),FALSE))),VLOOKUP($C264,武器!$1:$998,COLUMN($O$1),FALSE)*VLOOKUP($D264,素材!$1:$1016,COLUMN($E$1),FALSE)/(LEN(VLOOKUP($D264,素材!$1:$1016,COLUMN($F$1),FALSE))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Q264">
        <f>IF(ISNUMBER(SEARCH(SUBSTITUTE(AQ$1,RIGHT(AQ$1,2),""),VLOOKUP($D264,素材!$1:$1016,COLUMN($F$1),FALSE))),VLOOKUP($C264,武器!$1:$998,COLUMN($O$1),FALSE)*VLOOKUP($D264,素材!$1:$1016,COLUMN($E$1),FALSE)/(LEN(VLOOKUP($D264,素材!$1:$1016,COLUMN($F$1),FALSE))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R264">
        <f>IF(ISNUMBER(SEARCH(SUBSTITUTE(AR$1,RIGHT(AR$1,2),""),VLOOKUP($D264,素材!$1:$1016,COLUMN($F$1),FALSE))),VLOOKUP($C264,武器!$1:$998,COLUMN($O$1),FALSE)*VLOOKUP($D264,素材!$1:$1016,COLUMN($E$1),FALSE)/(LEN(VLOOKUP($D264,素材!$1:$1016,COLUMN($F$1),FALSE))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S264">
        <f>IF(ISNUMBER(SEARCH(SUBSTITUTE(AS$1,RIGHT(AS$1,2),""),VLOOKUP($D264,素材!$1:$1016,COLUMN($F$1),FALSE))),VLOOKUP($C264,武器!$1:$998,COLUMN($O$1),FALSE)*VLOOKUP($D264,素材!$1:$1016,COLUMN($E$1),FALSE)/(LEN(VLOOKUP($D264,素材!$1:$1016,COLUMN($F$1),FALSE))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T264">
        <f>IF(ISNUMBER(SEARCH(SUBSTITUTE(AT$1,RIGHT(AT$1,2),""),VLOOKUP($D264,素材!$1:$1016,COLUMN($F$1),FALSE))),VLOOKUP($C264,武器!$1:$998,COLUMN($O$1),FALSE)*VLOOKUP($D264,素材!$1:$1016,COLUMN($E$1),FALSE)/(LEN(VLOOKUP($D264,素材!$1:$1016,COLUMN($F$1),FALSE))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U264">
        <f>IF(ISNUMBER(SEARCH(SUBSTITUTE(AU$1,RIGHT(AU$1,2),""),VLOOKUP($D264,素材!$1:$1016,COLUMN($F$1),FALSE))),VLOOKUP($C264,武器!$1:$998,COLUMN($O$1),FALSE)*VLOOKUP($D264,素材!$1:$1016,COLUMN($E$1),FALSE)/(LEN(VLOOKUP($D264,素材!$1:$1016,COLUMN($F$1),FALSE))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V264">
        <f>IF(ISNUMBER(SEARCH(SUBSTITUTE(AV$1,RIGHT(AV$1,2),""),VLOOKUP($D264,素材!$1:$1016,COLUMN($F$1),FALSE))),VLOOKUP($C264,武器!$1:$998,COLUMN($O$1),FALSE)*VLOOKUP($D264,素材!$1:$1016,COLUMN($E$1),FALSE)/(LEN(VLOOKUP($D264,素材!$1:$1016,COLUMN($F$1),FALSE))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W264">
        <f>IF(ISNUMBER(SEARCH(SUBSTITUTE(AW$1,RIGHT(AW$1,2),""),VLOOKUP($D264,素材!$1:$1016,COLUMN($F$1),FALSE))),VLOOKUP($C264,武器!$1:$998,COLUMN($O$1),FALSE)*VLOOKUP($D264,素材!$1:$1016,COLUMN($E$1),FALSE)/(LEN(VLOOKUP($D264,素材!$1:$1016,COLUMN($F$1),FALSE))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X264">
        <f>IF(ISNUMBER(SEARCH(SUBSTITUTE(AX$1,RIGHT(AX$1,2),""),VLOOKUP($D264,素材!$1:$1016,COLUMN($F$1),FALSE))),VLOOKUP($C264,武器!$1:$998,COLUMN($O$1),FALSE)*VLOOKUP($D264,素材!$1:$1016,COLUMN($E$1),FALSE)/(LEN(VLOOKUP($D264,素材!$1:$1016,COLUMN($F$1),FALSE))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Y264">
        <f>IF(ISNUMBER(SEARCH(SUBSTITUTE(AY$1,RIGHT(AY$1,2),""),VLOOKUP($D264,素材!$1:$1016,COLUMN($F$1),FALSE))),VLOOKUP($C264,武器!$1:$998,COLUMN($O$1),FALSE)*VLOOKUP($D264,素材!$1:$1016,COLUMN($E$1),FALSE)/(LEN(VLOOKUP($D264,素材!$1:$1016,COLUMN($F$1),FALSE))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AZ264">
        <f>IF(ISNUMBER(SEARCH(SUBSTITUTE(AZ$1,RIGHT(AZ$1,2),""),VLOOKUP($D264,素材!$1:$1016,COLUMN($F$1),FALSE))),VLOOKUP($C264,武器!$1:$998,COLUMN($O$1),FALSE)*VLOOKUP($D264,素材!$1:$1016,COLUMN($E$1),FALSE)/(LEN(VLOOKUP($D264,素材!$1:$1016,COLUMN($F$1),FALSE))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BA264">
        <f>IF(ISNUMBER(SEARCH(SUBSTITUTE(BA$1,RIGHT(BA$1,2),""),VLOOKUP($D264,素材!$1:$1016,COLUMN($F$1),FALSE))),VLOOKUP($C264,武器!$1:$998,COLUMN($O$1),FALSE)*VLOOKUP($D264,素材!$1:$1016,COLUMN($E$1),FALSE)/(LEN(VLOOKUP($D264,素材!$1:$1016,COLUMN($F$1),FALSE))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BB264">
        <f>IF(ISNUMBER(SEARCH(SUBSTITUTE(BB$1,RIGHT(BB$1,2),""),VLOOKUP($D264,素材!$1:$1016,COLUMN($F$1),FALSE))),VLOOKUP($C264,武器!$1:$998,COLUMN($O$1),FALSE)*VLOOKUP($D264,素材!$1:$1016,COLUMN($E$1),FALSE)/(LEN(VLOOKUP($D264,素材!$1:$1016,COLUMN($F$1),FALSE))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BC264">
        <f>IF(ISNUMBER(SEARCH(SUBSTITUTE(BC$1,RIGHT(BC$1,2),""),VLOOKUP($D264,素材!$1:$1016,COLUMN($F$1),FALSE))),VLOOKUP($C264,武器!$1:$998,COLUMN($O$1),FALSE)*VLOOKUP($D264,素材!$1:$1016,COLUMN($E$1),FALSE)/(LEN(VLOOKUP($D264,素材!$1:$1016,COLUMN($F$1),FALSE))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BD264">
        <f>IF(ISNUMBER(SEARCH(SUBSTITUTE(BD$1,RIGHT(BD$1,2),""),VLOOKUP($D264,素材!$1:$1016,COLUMN($F$1),FALSE))),VLOOKUP($C264,武器!$1:$998,COLUMN($O$1),FALSE)*VLOOKUP($D264,素材!$1:$1016,COLUMN($E$1),FALSE)/(LEN(VLOOKUP($D264,素材!$1:$1016,COLUMN($F$1),FALSE))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BE264">
        <f>IF(ISNUMBER(SEARCH(SUBSTITUTE(BE$1,RIGHT(BE$1,2),""),VLOOKUP($D264,素材!$1:$1016,COLUMN($F$1),FALSE))),VLOOKUP($C264,武器!$1:$998,COLUMN($O$1),FALSE)*VLOOKUP($D264,素材!$1:$1016,COLUMN($E$1),FALSE)/(LEN(VLOOKUP($D264,素材!$1:$1016,COLUMN($F$1),FALSE))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BF264">
        <f>IF(ISNUMBER(SEARCH(SUBSTITUTE(BF$1,RIGHT(BF$1,2),""),VLOOKUP($D264,素材!$1:$1016,COLUMN($F$1),FALSE))),VLOOKUP($C264,武器!$1:$998,COLUMN($O$1),FALSE)*VLOOKUP($D264,素材!$1:$1016,COLUMN($E$1),FALSE)/(LEN(VLOOKUP($D264,素材!$1:$1016,COLUMN($F$1),FALSE)) - LEN(SUBSTITUTE(VLOOKUP($D264,素材!$1:$1016,COLUMN($F$1),FALSE), "・", 0)) + 1), 0)</f>
        <v>0</v>
      </c>
      <c r="CM264">
        <f t="shared" si="36"/>
        <v>20</v>
      </c>
      <c r="CN264" s="22" t="str">
        <f>IF(E264="武器",IF(J264-1&gt;SUM(G264:I264),"盾",IF(MAX(G264:I264)=G264,"切断",IF(MAX(G264:I264)=H264,"貫通",IF(MAX(G264:I264)=I264,"打撃","射撃")))),E264)&amp;".webp"</f>
        <v>足.webp</v>
      </c>
      <c r="CO264">
        <f>IFERROR(VLOOKUP($C264,武器!$1:$998,COLUMN(V$1),FALSE)*VLOOKUP($D264,素材!$1:$1016,COLUMN(N$1),FALSE)+IF(CJ264="",0,VLOOKUP($CJ264,装強!$1:$1008,COLUMN($CL$1),FALSE)),"")</f>
        <v>1500</v>
      </c>
      <c r="CP264">
        <f>VLOOKUP(D264,素材!$A:$O,COLUMN(素材!O$1),FALSE)</f>
        <v>0</v>
      </c>
      <c r="CQ264" t="str">
        <f>VLOOKUP(C264,武器!$A:$W,COLUMN(武器!W$1),FALSE)</f>
        <v>速度 隠密 軽業 体幹</v>
      </c>
      <c r="CS264" t="str">
        <f t="shared" si="32"/>
        <v>e_264</v>
      </c>
      <c r="CT264">
        <f t="shared" si="33"/>
        <v>150000</v>
      </c>
    </row>
    <row r="265" spans="1:98" x14ac:dyDescent="0.4">
      <c r="B265" t="str">
        <f>IFERROR(VLOOKUP($D265,素材!$1:$1016,COLUMN($B$1),FALSE)&amp;"・"&amp;VLOOKUP($C265,武器!$1:$998,COLUMN(B$1),FALSE),"")</f>
        <v/>
      </c>
      <c r="C265" s="24"/>
      <c r="D265" s="24"/>
      <c r="E265" t="str">
        <f>IFERROR(VLOOKUP(C265,武器!$1:$998,COLUMN(C$1),FALSE),"")</f>
        <v/>
      </c>
      <c r="F265" t="str">
        <f>IFERROR(ROUNDDOWN((VLOOKUP($C265,武器!$1:$998,COLUMN(D$1),FALSE)+IFERROR(VLOOKUP($CJ265,装強!$1:$999,COLUMN(F$1),FALSE),0))*VLOOKUP($D265,素材!$1:$1016,COLUMN(D$1),FALSE),0),"")</f>
        <v/>
      </c>
      <c r="G265" t="str">
        <f>IFERROR(ROUNDDOWN((VLOOKUP($C265,武器!$1:$998,COLUMN(E$1),FALSE)+IFERROR(VLOOKUP($CJ265,装強!$1:$999,COLUMN(G$1),FALSE),0))*VLOOKUP($D265,素材!$1:$1016,COLUMN($E$1),FALSE),0),"")</f>
        <v/>
      </c>
      <c r="H265" t="str">
        <f>IFERROR(ROUNDDOWN((VLOOKUP($C265,武器!$1:$998,COLUMN(F$1),FALSE)+IFERROR(VLOOKUP($CJ265,装強!$1:$999,COLUMN(H$1),FALSE),0))*VLOOKUP($D265,素材!$1:$1016,COLUMN($E$1),FALSE),0),"")</f>
        <v/>
      </c>
      <c r="I265" t="str">
        <f>IFERROR(ROUNDDOWN((VLOOKUP($C265,武器!$1:$998,COLUMN(G$1),FALSE)+IFERROR(VLOOKUP($CJ265,装強!$1:$999,COLUMN(I$1),FALSE),0))*VLOOKUP($D265,素材!$1:$1016,COLUMN($E$1),FALSE),0),"")</f>
        <v/>
      </c>
      <c r="J265" t="str">
        <f>IFERROR(ROUNDDOWN((VLOOKUP($C265,武器!$1:$998,COLUMN(H$1),FALSE)+IFERROR(VLOOKUP($CJ265,装強!$1:$999,COLUMN(J$1),FALSE),0))*VLOOKUP($D265,素材!$1:$1016,COLUMN($E$1),FALSE),0),"")</f>
        <v/>
      </c>
      <c r="K265" t="str">
        <f>IFERROR(ROUNDDOWN((VLOOKUP($C265,武器!$1:$998,COLUMN(I$1),FALSE)+IFERROR(VLOOKUP($CJ265,装強!$1:$999,COLUMN(K$1),FALSE),0))*VLOOKUP($D265,素材!$1:$1016,COLUMN($E$1),FALSE),0),"")</f>
        <v/>
      </c>
      <c r="L265" t="str">
        <f>IFERROR(VLOOKUP($D265,素材!$1:$1016,COLUMN($F$1),FALSE),"")</f>
        <v/>
      </c>
      <c r="M265" t="str">
        <f>IFERROR(VLOOKUP($C265,武器!$1:$998,COLUMN(AA$1),FALSE)*VLOOKUP($D265,素材!$1:$1016,COLUMN($G$1),FALSE),"")</f>
        <v/>
      </c>
      <c r="N265" t="str">
        <f>IFERROR(VLOOKUP($C265,武器!$1:$998,COLUMN(I$1),FALSE),"")</f>
        <v/>
      </c>
      <c r="O265" s="23" t="str">
        <f>IFERROR((VLOOKUP($C265,武器!$1:$998,COLUMN(K$1),FALSE)+VLOOKUP($D265,素材!$1:$1016,COLUMN(H$1),FALSE))*100+IFERROR(VLOOKUP($CJ265,装強!$1:$999,COLUMN(O$1),FALSE),0),"")</f>
        <v/>
      </c>
      <c r="P265" s="23" t="str">
        <f>IFERROR((VLOOKUP($C265,武器!$1:$998,COLUMN(L$1),FALSE)+VLOOKUP($D265,素材!$1:$1016,COLUMN(I$1),FALSE))*100+IFERROR(VLOOKUP($CJ265,装強!$1:$999,COLUMN(P$1),FALSE),0),"")</f>
        <v/>
      </c>
      <c r="Q265" t="str">
        <f>IFERROR(ROUNDUP(VLOOKUP($C265,武器!$1:$998,COLUMN(M$1),FALSE)*(VLOOKUP($D265,素材!$1:$1002,COLUMN(D$1),FALSE)/100),1),"")</f>
        <v/>
      </c>
      <c r="R265" t="str">
        <f>IFERROR(ROUNDUP(VLOOKUP($C265,武器!$1:$998,COLUMN(N$1),FALSE)*(VLOOKUP($D265,素材!$1:$1002,COLUMN(D$1),FALSE)/100),1),"")</f>
        <v/>
      </c>
      <c r="S265" t="str">
        <f>IFERROR(VLOOKUP($C265,武器!$1:$998,COLUMN(P$1),FALSE),"")</f>
        <v/>
      </c>
      <c r="T265" t="str">
        <f>IFERROR(VLOOKUP($C265,武器!$1:$998,COLUMN(Q$1),FALSE),"")</f>
        <v/>
      </c>
      <c r="U265" t="str">
        <f>IFERROR(VLOOKUP($C265,武器!$1:$998,COLUMN(R$1),FALSE),"")</f>
        <v/>
      </c>
      <c r="V265" t="str">
        <f>IFERROR(VLOOKUP($C265,武器!$1:$998,COLUMN(Q$1),FALSE),"")</f>
        <v/>
      </c>
      <c r="W265" t="str">
        <f>IFERROR(VLOOKUP($C265,武器!$1:$998,COLUMN(T$1),FALSE),"")</f>
        <v/>
      </c>
      <c r="Y265" t="str">
        <f>IFERROR(VLOOKUP($C265,武器!$1:$998,COLUMN(U$1),FALSE),"")</f>
        <v/>
      </c>
      <c r="Z265" t="str">
        <f>IFERROR(ROUNDUP(VLOOKUP($C265,武器!$1:$998,COLUMN(O$1),FALSE)*VLOOKUP($D265,素材!$1:$1016,COLUMN(E$1),FALSE),1),"")</f>
        <v/>
      </c>
      <c r="AA265">
        <f>IF(ISNUMBER(SEARCH(SUBSTITUTE(AA$1,RIGHT(AA$1,2),""),VLOOKUP($D265,素材!$1:$1016,COLUMN($F$1),FALSE))),VLOOKUP($C265,武器!$1:$998,COLUMN($O$1),FALSE)*VLOOKUP($D265,素材!$1:$1016,COLUMN($E$1),FALSE)/(LEN(VLOOKUP($D265,素材!$1:$1016,COLUMN($F$1),FALSE))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B265">
        <f>IF(ISNUMBER(SEARCH(SUBSTITUTE(AB$1,RIGHT(AB$1,2),""),VLOOKUP($D265,素材!$1:$1016,COLUMN($F$1),FALSE))),VLOOKUP($C265,武器!$1:$998,COLUMN($O$1),FALSE)*VLOOKUP($D265,素材!$1:$1016,COLUMN($E$1),FALSE)/(LEN(VLOOKUP($D265,素材!$1:$1016,COLUMN($F$1),FALSE))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C265">
        <f>IF(ISNUMBER(SEARCH(SUBSTITUTE(AC$1,RIGHT(AC$1,2),""),VLOOKUP($D265,素材!$1:$1016,COLUMN($F$1),FALSE))),VLOOKUP($C265,武器!$1:$998,COLUMN($O$1),FALSE)*VLOOKUP($D265,素材!$1:$1016,COLUMN($E$1),FALSE)/(LEN(VLOOKUP($D265,素材!$1:$1016,COLUMN($F$1),FALSE))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D265">
        <f>IF(ISNUMBER(SEARCH(SUBSTITUTE(AD$1,RIGHT(AD$1,2),""),VLOOKUP($D265,素材!$1:$1016,COLUMN($F$1),FALSE))),VLOOKUP($C265,武器!$1:$998,COLUMN($O$1),FALSE)*VLOOKUP($D265,素材!$1:$1016,COLUMN($E$1),FALSE)/(LEN(VLOOKUP($D265,素材!$1:$1016,COLUMN($F$1),FALSE))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E265">
        <f>IF(ISNUMBER(SEARCH(SUBSTITUTE(AE$1,RIGHT(AE$1,2),""),VLOOKUP($D265,素材!$1:$1016,COLUMN($F$1),FALSE))),VLOOKUP($C265,武器!$1:$998,COLUMN($O$1),FALSE)*VLOOKUP($D265,素材!$1:$1016,COLUMN($E$1),FALSE)/(LEN(VLOOKUP($D265,素材!$1:$1016,COLUMN($F$1),FALSE))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F265">
        <f>IF(ISNUMBER(SEARCH(SUBSTITUTE(AF$1,RIGHT(AF$1,2),""),VLOOKUP($D265,素材!$1:$1016,COLUMN($F$1),FALSE))),VLOOKUP($C265,武器!$1:$998,COLUMN($O$1),FALSE)*VLOOKUP($D265,素材!$1:$1016,COLUMN($E$1),FALSE)/(LEN(VLOOKUP($D265,素材!$1:$1016,COLUMN($F$1),FALSE))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G265">
        <f>IF(ISNUMBER(SEARCH(SUBSTITUTE(AG$1,RIGHT(AG$1,2),""),VLOOKUP($D265,素材!$1:$1016,COLUMN($F$1),FALSE))),VLOOKUP($C265,武器!$1:$998,COLUMN($O$1),FALSE)*VLOOKUP($D265,素材!$1:$1016,COLUMN($E$1),FALSE)/(LEN(VLOOKUP($D265,素材!$1:$1016,COLUMN($F$1),FALSE))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H265">
        <f>IF(ISNUMBER(SEARCH(SUBSTITUTE(AH$1,RIGHT(AH$1,2),""),VLOOKUP($D265,素材!$1:$1016,COLUMN($F$1),FALSE))),VLOOKUP($C265,武器!$1:$998,COLUMN($O$1),FALSE)*VLOOKUP($D265,素材!$1:$1016,COLUMN($E$1),FALSE)/(LEN(VLOOKUP($D265,素材!$1:$1016,COLUMN($F$1),FALSE))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I265">
        <f>IF(ISNUMBER(SEARCH(SUBSTITUTE(AI$1,RIGHT(AI$1,2),""),VLOOKUP($D265,素材!$1:$1016,COLUMN($F$1),FALSE))),VLOOKUP($C265,武器!$1:$998,COLUMN($O$1),FALSE)*VLOOKUP($D265,素材!$1:$1016,COLUMN($E$1),FALSE)/(LEN(VLOOKUP($D265,素材!$1:$1016,COLUMN($F$1),FALSE))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J265">
        <f>IF(ISNUMBER(SEARCH(SUBSTITUTE(AJ$1,RIGHT(AJ$1,2),""),VLOOKUP($D265,素材!$1:$1016,COLUMN($F$1),FALSE))),VLOOKUP($C265,武器!$1:$998,COLUMN($O$1),FALSE)*VLOOKUP($D265,素材!$1:$1016,COLUMN($E$1),FALSE)/(LEN(VLOOKUP($D265,素材!$1:$1016,COLUMN($F$1),FALSE))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K265">
        <f>IF(ISNUMBER(SEARCH(SUBSTITUTE(AK$1,RIGHT(AK$1,2),""),VLOOKUP($D265,素材!$1:$1016,COLUMN($F$1),FALSE))),VLOOKUP($C265,武器!$1:$998,COLUMN($O$1),FALSE)*VLOOKUP($D265,素材!$1:$1016,COLUMN($E$1),FALSE)/(LEN(VLOOKUP($D265,素材!$1:$1016,COLUMN($F$1),FALSE))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L265">
        <f>IF(ISNUMBER(SEARCH(SUBSTITUTE(AL$1,RIGHT(AL$1,2),""),VLOOKUP($D265,素材!$1:$1016,COLUMN($F$1),FALSE))),VLOOKUP($C265,武器!$1:$998,COLUMN($O$1),FALSE)*VLOOKUP($D265,素材!$1:$1016,COLUMN($E$1),FALSE)/(LEN(VLOOKUP($D265,素材!$1:$1016,COLUMN($F$1),FALSE))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M265">
        <f>IF(ISNUMBER(SEARCH(SUBSTITUTE(AM$1,RIGHT(AM$1,2),""),VLOOKUP($D265,素材!$1:$1016,COLUMN($F$1),FALSE))),VLOOKUP($C265,武器!$1:$998,COLUMN($O$1),FALSE)*VLOOKUP($D265,素材!$1:$1016,COLUMN($E$1),FALSE)/(LEN(VLOOKUP($D265,素材!$1:$1016,COLUMN($F$1),FALSE))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N265">
        <f>IF(ISNUMBER(SEARCH(SUBSTITUTE(AN$1,RIGHT(AN$1,2),""),VLOOKUP($D265,素材!$1:$1016,COLUMN($F$1),FALSE))),VLOOKUP($C265,武器!$1:$998,COLUMN($O$1),FALSE)*VLOOKUP($D265,素材!$1:$1016,COLUMN($E$1),FALSE)/(LEN(VLOOKUP($D265,素材!$1:$1016,COLUMN($F$1),FALSE))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O265">
        <f>IF(ISNUMBER(SEARCH(SUBSTITUTE(AO$1,RIGHT(AO$1,2),""),VLOOKUP($D265,素材!$1:$1016,COLUMN($F$1),FALSE))),VLOOKUP($C265,武器!$1:$998,COLUMN($O$1),FALSE)*VLOOKUP($D265,素材!$1:$1016,COLUMN($E$1),FALSE)/(LEN(VLOOKUP($D265,素材!$1:$1016,COLUMN($F$1),FALSE))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P265">
        <f>IF(ISNUMBER(SEARCH(SUBSTITUTE(AP$1,RIGHT(AP$1,2),""),VLOOKUP($D265,素材!$1:$1016,COLUMN($F$1),FALSE))),VLOOKUP($C265,武器!$1:$998,COLUMN($O$1),FALSE)*VLOOKUP($D265,素材!$1:$1016,COLUMN($E$1),FALSE)/(LEN(VLOOKUP($D265,素材!$1:$1016,COLUMN($F$1),FALSE))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Q265">
        <f>IF(ISNUMBER(SEARCH(SUBSTITUTE(AQ$1,RIGHT(AQ$1,2),""),VLOOKUP($D265,素材!$1:$1016,COLUMN($F$1),FALSE))),VLOOKUP($C265,武器!$1:$998,COLUMN($O$1),FALSE)*VLOOKUP($D265,素材!$1:$1016,COLUMN($E$1),FALSE)/(LEN(VLOOKUP($D265,素材!$1:$1016,COLUMN($F$1),FALSE))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R265">
        <f>IF(ISNUMBER(SEARCH(SUBSTITUTE(AR$1,RIGHT(AR$1,2),""),VLOOKUP($D265,素材!$1:$1016,COLUMN($F$1),FALSE))),VLOOKUP($C265,武器!$1:$998,COLUMN($O$1),FALSE)*VLOOKUP($D265,素材!$1:$1016,COLUMN($E$1),FALSE)/(LEN(VLOOKUP($D265,素材!$1:$1016,COLUMN($F$1),FALSE))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S265">
        <f>IF(ISNUMBER(SEARCH(SUBSTITUTE(AS$1,RIGHT(AS$1,2),""),VLOOKUP($D265,素材!$1:$1016,COLUMN($F$1),FALSE))),VLOOKUP($C265,武器!$1:$998,COLUMN($O$1),FALSE)*VLOOKUP($D265,素材!$1:$1016,COLUMN($E$1),FALSE)/(LEN(VLOOKUP($D265,素材!$1:$1016,COLUMN($F$1),FALSE))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T265">
        <f>IF(ISNUMBER(SEARCH(SUBSTITUTE(AT$1,RIGHT(AT$1,2),""),VLOOKUP($D265,素材!$1:$1016,COLUMN($F$1),FALSE))),VLOOKUP($C265,武器!$1:$998,COLUMN($O$1),FALSE)*VLOOKUP($D265,素材!$1:$1016,COLUMN($E$1),FALSE)/(LEN(VLOOKUP($D265,素材!$1:$1016,COLUMN($F$1),FALSE))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U265">
        <f>IF(ISNUMBER(SEARCH(SUBSTITUTE(AU$1,RIGHT(AU$1,2),""),VLOOKUP($D265,素材!$1:$1016,COLUMN($F$1),FALSE))),VLOOKUP($C265,武器!$1:$998,COLUMN($O$1),FALSE)*VLOOKUP($D265,素材!$1:$1016,COLUMN($E$1),FALSE)/(LEN(VLOOKUP($D265,素材!$1:$1016,COLUMN($F$1),FALSE))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V265">
        <f>IF(ISNUMBER(SEARCH(SUBSTITUTE(AV$1,RIGHT(AV$1,2),""),VLOOKUP($D265,素材!$1:$1016,COLUMN($F$1),FALSE))),VLOOKUP($C265,武器!$1:$998,COLUMN($O$1),FALSE)*VLOOKUP($D265,素材!$1:$1016,COLUMN($E$1),FALSE)/(LEN(VLOOKUP($D265,素材!$1:$1016,COLUMN($F$1),FALSE))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W265">
        <f>IF(ISNUMBER(SEARCH(SUBSTITUTE(AW$1,RIGHT(AW$1,2),""),VLOOKUP($D265,素材!$1:$1016,COLUMN($F$1),FALSE))),VLOOKUP($C265,武器!$1:$998,COLUMN($O$1),FALSE)*VLOOKUP($D265,素材!$1:$1016,COLUMN($E$1),FALSE)/(LEN(VLOOKUP($D265,素材!$1:$1016,COLUMN($F$1),FALSE))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X265">
        <f>IF(ISNUMBER(SEARCH(SUBSTITUTE(AX$1,RIGHT(AX$1,2),""),VLOOKUP($D265,素材!$1:$1016,COLUMN($F$1),FALSE))),VLOOKUP($C265,武器!$1:$998,COLUMN($O$1),FALSE)*VLOOKUP($D265,素材!$1:$1016,COLUMN($E$1),FALSE)/(LEN(VLOOKUP($D265,素材!$1:$1016,COLUMN($F$1),FALSE))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Y265">
        <f>IF(ISNUMBER(SEARCH(SUBSTITUTE(AY$1,RIGHT(AY$1,2),""),VLOOKUP($D265,素材!$1:$1016,COLUMN($F$1),FALSE))),VLOOKUP($C265,武器!$1:$998,COLUMN($O$1),FALSE)*VLOOKUP($D265,素材!$1:$1016,COLUMN($E$1),FALSE)/(LEN(VLOOKUP($D265,素材!$1:$1016,COLUMN($F$1),FALSE))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AZ265">
        <f>IF(ISNUMBER(SEARCH(SUBSTITUTE(AZ$1,RIGHT(AZ$1,2),""),VLOOKUP($D265,素材!$1:$1016,COLUMN($F$1),FALSE))),VLOOKUP($C265,武器!$1:$998,COLUMN($O$1),FALSE)*VLOOKUP($D265,素材!$1:$1016,COLUMN($E$1),FALSE)/(LEN(VLOOKUP($D265,素材!$1:$1016,COLUMN($F$1),FALSE))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BA265">
        <f>IF(ISNUMBER(SEARCH(SUBSTITUTE(BA$1,RIGHT(BA$1,2),""),VLOOKUP($D265,素材!$1:$1016,COLUMN($F$1),FALSE))),VLOOKUP($C265,武器!$1:$998,COLUMN($O$1),FALSE)*VLOOKUP($D265,素材!$1:$1016,COLUMN($E$1),FALSE)/(LEN(VLOOKUP($D265,素材!$1:$1016,COLUMN($F$1),FALSE))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BB265">
        <f>IF(ISNUMBER(SEARCH(SUBSTITUTE(BB$1,RIGHT(BB$1,2),""),VLOOKUP($D265,素材!$1:$1016,COLUMN($F$1),FALSE))),VLOOKUP($C265,武器!$1:$998,COLUMN($O$1),FALSE)*VLOOKUP($D265,素材!$1:$1016,COLUMN($E$1),FALSE)/(LEN(VLOOKUP($D265,素材!$1:$1016,COLUMN($F$1),FALSE))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BC265">
        <f>IF(ISNUMBER(SEARCH(SUBSTITUTE(BC$1,RIGHT(BC$1,2),""),VLOOKUP($D265,素材!$1:$1016,COLUMN($F$1),FALSE))),VLOOKUP($C265,武器!$1:$998,COLUMN($O$1),FALSE)*VLOOKUP($D265,素材!$1:$1016,COLUMN($E$1),FALSE)/(LEN(VLOOKUP($D265,素材!$1:$1016,COLUMN($F$1),FALSE))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BD265">
        <f>IF(ISNUMBER(SEARCH(SUBSTITUTE(BD$1,RIGHT(BD$1,2),""),VLOOKUP($D265,素材!$1:$1016,COLUMN($F$1),FALSE))),VLOOKUP($C265,武器!$1:$998,COLUMN($O$1),FALSE)*VLOOKUP($D265,素材!$1:$1016,COLUMN($E$1),FALSE)/(LEN(VLOOKUP($D265,素材!$1:$1016,COLUMN($F$1),FALSE))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BE265">
        <f>IF(ISNUMBER(SEARCH(SUBSTITUTE(BE$1,RIGHT(BE$1,2),""),VLOOKUP($D265,素材!$1:$1016,COLUMN($F$1),FALSE))),VLOOKUP($C265,武器!$1:$998,COLUMN($O$1),FALSE)*VLOOKUP($D265,素材!$1:$1016,COLUMN($E$1),FALSE)/(LEN(VLOOKUP($D265,素材!$1:$1016,COLUMN($F$1),FALSE))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BF265">
        <f>IF(ISNUMBER(SEARCH(SUBSTITUTE(BF$1,RIGHT(BF$1,2),""),VLOOKUP($D265,素材!$1:$1016,COLUMN($F$1),FALSE))),VLOOKUP($C265,武器!$1:$998,COLUMN($O$1),FALSE)*VLOOKUP($D265,素材!$1:$1016,COLUMN($E$1),FALSE)/(LEN(VLOOKUP($D265,素材!$1:$1016,COLUMN($F$1),FALSE)) - LEN(SUBSTITUTE(VLOOKUP($D265,素材!$1:$1016,COLUMN($F$1),FALSE), "・", 0)) + 1), 0)</f>
        <v>0</v>
      </c>
      <c r="CM265">
        <f t="shared" si="36"/>
        <v>0</v>
      </c>
      <c r="CN265" s="22" t="str">
        <f>IF(E265="武器",IF(J265-1&gt;SUM(G265:I265),"盾",IF(MAX(G265:I265)=G265,"切断",IF(MAX(G265:I265)=H265,"貫通",IF(MAX(G265:I265)=I265,"打撃","射撃")))),E265)&amp;".webp"</f>
        <v>.webp</v>
      </c>
      <c r="CO265" t="str">
        <f>IFERROR(VLOOKUP($C265,武器!$1:$998,COLUMN(V$1),FALSE)*VLOOKUP($D265,素材!$1:$1016,COLUMN(N$1),FALSE)+IF(CJ265="",0,VLOOKUP($CJ265,装強!$1:$1008,COLUMN($CL$1),FALSE)),"")</f>
        <v/>
      </c>
      <c r="CP265" t="e">
        <f>VLOOKUP(D265,素材!$A:$O,COLUMN(素材!O$1),FALSE)</f>
        <v>#N/A</v>
      </c>
      <c r="CQ265" t="e">
        <f>VLOOKUP(C265,武器!$A:$W,COLUMN(武器!W$1),FALSE)</f>
        <v>#N/A</v>
      </c>
      <c r="CS265" t="str">
        <f t="shared" si="32"/>
        <v>e_265</v>
      </c>
      <c r="CT265" t="e">
        <f t="shared" si="33"/>
        <v>#VALUE!</v>
      </c>
    </row>
    <row r="266" spans="1:98" x14ac:dyDescent="0.4">
      <c r="B266" t="str">
        <f>IFERROR(VLOOKUP($D266,素材!$1:$1016,COLUMN($B$1),FALSE)&amp;"・"&amp;VLOOKUP($C266,武器!$1:$998,COLUMN(B$1),FALSE),"")</f>
        <v/>
      </c>
      <c r="C266" s="24"/>
      <c r="D266" s="24"/>
      <c r="E266" t="str">
        <f>IFERROR(VLOOKUP(C266,武器!$1:$998,COLUMN(C$1),FALSE),"")</f>
        <v/>
      </c>
      <c r="F266" t="str">
        <f>IFERROR(ROUNDDOWN((VLOOKUP($C266,武器!$1:$998,COLUMN(D$1),FALSE)+IFERROR(VLOOKUP($CJ266,装強!$1:$999,COLUMN(F$1),FALSE),0))*VLOOKUP($D266,素材!$1:$1016,COLUMN(D$1),FALSE),0),"")</f>
        <v/>
      </c>
      <c r="G266" t="str">
        <f>IFERROR(ROUNDDOWN((VLOOKUP($C266,武器!$1:$998,COLUMN(E$1),FALSE)+IFERROR(VLOOKUP($CJ266,装強!$1:$999,COLUMN(G$1),FALSE),0))*VLOOKUP($D266,素材!$1:$1016,COLUMN($E$1),FALSE),0),"")</f>
        <v/>
      </c>
      <c r="H266" t="str">
        <f>IFERROR(ROUNDDOWN((VLOOKUP($C266,武器!$1:$998,COLUMN(F$1),FALSE)+IFERROR(VLOOKUP($CJ266,装強!$1:$999,COLUMN(H$1),FALSE),0))*VLOOKUP($D266,素材!$1:$1016,COLUMN($E$1),FALSE),0),"")</f>
        <v/>
      </c>
      <c r="I266" t="str">
        <f>IFERROR(ROUNDDOWN((VLOOKUP($C266,武器!$1:$998,COLUMN(G$1),FALSE)+IFERROR(VLOOKUP($CJ266,装強!$1:$999,COLUMN(I$1),FALSE),0))*VLOOKUP($D266,素材!$1:$1016,COLUMN($E$1),FALSE),0),"")</f>
        <v/>
      </c>
      <c r="J266" t="str">
        <f>IFERROR(ROUNDDOWN((VLOOKUP($C266,武器!$1:$998,COLUMN(H$1),FALSE)+IFERROR(VLOOKUP($CJ266,装強!$1:$999,COLUMN(J$1),FALSE),0))*VLOOKUP($D266,素材!$1:$1016,COLUMN($E$1),FALSE),0),"")</f>
        <v/>
      </c>
      <c r="K266" t="str">
        <f>IFERROR(ROUNDDOWN((VLOOKUP($C266,武器!$1:$998,COLUMN(I$1),FALSE)+IFERROR(VLOOKUP($CJ266,装強!$1:$999,COLUMN(K$1),FALSE),0))*VLOOKUP($D266,素材!$1:$1016,COLUMN($E$1),FALSE),0),"")</f>
        <v/>
      </c>
      <c r="L266" t="str">
        <f>IFERROR(VLOOKUP($D266,素材!$1:$1016,COLUMN($F$1),FALSE),"")</f>
        <v/>
      </c>
      <c r="M266" t="str">
        <f>IFERROR(VLOOKUP($C266,武器!$1:$998,COLUMN(AA$1),FALSE)*VLOOKUP($D266,素材!$1:$1016,COLUMN($G$1),FALSE),"")</f>
        <v/>
      </c>
      <c r="N266" t="str">
        <f>IFERROR(VLOOKUP($C266,武器!$1:$998,COLUMN(I$1),FALSE),"")</f>
        <v/>
      </c>
      <c r="O266" s="23" t="str">
        <f>IFERROR((VLOOKUP($C266,武器!$1:$998,COLUMN(K$1),FALSE)+VLOOKUP($D266,素材!$1:$1016,COLUMN(H$1),FALSE))*100+IFERROR(VLOOKUP($CJ266,装強!$1:$999,COLUMN(O$1),FALSE),0),"")</f>
        <v/>
      </c>
      <c r="P266" s="23" t="str">
        <f>IFERROR((VLOOKUP($C266,武器!$1:$998,COLUMN(L$1),FALSE)+VLOOKUP($D266,素材!$1:$1016,COLUMN(I$1),FALSE))*100+IFERROR(VLOOKUP($CJ266,装強!$1:$999,COLUMN(P$1),FALSE),0),"")</f>
        <v/>
      </c>
      <c r="Q266" t="str">
        <f>IFERROR(ROUNDUP(VLOOKUP($C266,武器!$1:$998,COLUMN(M$1),FALSE)*(VLOOKUP($D266,素材!$1:$1002,COLUMN(D$1),FALSE)/100),1),"")</f>
        <v/>
      </c>
      <c r="R266" t="str">
        <f>IFERROR(ROUNDUP(VLOOKUP($C266,武器!$1:$998,COLUMN(N$1),FALSE)*(VLOOKUP($D266,素材!$1:$1002,COLUMN(D$1),FALSE)/100),1),"")</f>
        <v/>
      </c>
      <c r="S266" t="str">
        <f>IFERROR(VLOOKUP($C266,武器!$1:$998,COLUMN(P$1),FALSE),"")</f>
        <v/>
      </c>
      <c r="T266" t="str">
        <f>IFERROR(VLOOKUP($C266,武器!$1:$998,COLUMN(Q$1),FALSE),"")</f>
        <v/>
      </c>
      <c r="U266" t="str">
        <f>IFERROR(VLOOKUP($C266,武器!$1:$998,COLUMN(R$1),FALSE),"")</f>
        <v/>
      </c>
      <c r="V266" t="str">
        <f>IFERROR(VLOOKUP($C266,武器!$1:$998,COLUMN(Q$1),FALSE),"")</f>
        <v/>
      </c>
      <c r="W266" t="str">
        <f>IFERROR(VLOOKUP($C266,武器!$1:$998,COLUMN(T$1),FALSE),"")</f>
        <v/>
      </c>
      <c r="Y266" t="str">
        <f>IFERROR(VLOOKUP($C266,武器!$1:$998,COLUMN(U$1),FALSE),"")</f>
        <v/>
      </c>
      <c r="Z266" t="str">
        <f>IFERROR(ROUNDUP(VLOOKUP($C266,武器!$1:$998,COLUMN(O$1),FALSE)*VLOOKUP($D266,素材!$1:$1016,COLUMN(E$1),FALSE),1),"")</f>
        <v/>
      </c>
      <c r="AA266">
        <f>IF(ISNUMBER(SEARCH(SUBSTITUTE(AA$1,RIGHT(AA$1,2),""),VLOOKUP($D266,素材!$1:$1016,COLUMN($F$1),FALSE))),VLOOKUP($C266,武器!$1:$998,COLUMN($O$1),FALSE)*VLOOKUP($D266,素材!$1:$1016,COLUMN($E$1),FALSE)/(LEN(VLOOKUP($D266,素材!$1:$1016,COLUMN($F$1),FALSE))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B266">
        <f>IF(ISNUMBER(SEARCH(SUBSTITUTE(AB$1,RIGHT(AB$1,2),""),VLOOKUP($D266,素材!$1:$1016,COLUMN($F$1),FALSE))),VLOOKUP($C266,武器!$1:$998,COLUMN($O$1),FALSE)*VLOOKUP($D266,素材!$1:$1016,COLUMN($E$1),FALSE)/(LEN(VLOOKUP($D266,素材!$1:$1016,COLUMN($F$1),FALSE))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C266">
        <f>IF(ISNUMBER(SEARCH(SUBSTITUTE(AC$1,RIGHT(AC$1,2),""),VLOOKUP($D266,素材!$1:$1016,COLUMN($F$1),FALSE))),VLOOKUP($C266,武器!$1:$998,COLUMN($O$1),FALSE)*VLOOKUP($D266,素材!$1:$1016,COLUMN($E$1),FALSE)/(LEN(VLOOKUP($D266,素材!$1:$1016,COLUMN($F$1),FALSE))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D266">
        <f>IF(ISNUMBER(SEARCH(SUBSTITUTE(AD$1,RIGHT(AD$1,2),""),VLOOKUP($D266,素材!$1:$1016,COLUMN($F$1),FALSE))),VLOOKUP($C266,武器!$1:$998,COLUMN($O$1),FALSE)*VLOOKUP($D266,素材!$1:$1016,COLUMN($E$1),FALSE)/(LEN(VLOOKUP($D266,素材!$1:$1016,COLUMN($F$1),FALSE))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E266">
        <f>IF(ISNUMBER(SEARCH(SUBSTITUTE(AE$1,RIGHT(AE$1,2),""),VLOOKUP($D266,素材!$1:$1016,COLUMN($F$1),FALSE))),VLOOKUP($C266,武器!$1:$998,COLUMN($O$1),FALSE)*VLOOKUP($D266,素材!$1:$1016,COLUMN($E$1),FALSE)/(LEN(VLOOKUP($D266,素材!$1:$1016,COLUMN($F$1),FALSE))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F266">
        <f>IF(ISNUMBER(SEARCH(SUBSTITUTE(AF$1,RIGHT(AF$1,2),""),VLOOKUP($D266,素材!$1:$1016,COLUMN($F$1),FALSE))),VLOOKUP($C266,武器!$1:$998,COLUMN($O$1),FALSE)*VLOOKUP($D266,素材!$1:$1016,COLUMN($E$1),FALSE)/(LEN(VLOOKUP($D266,素材!$1:$1016,COLUMN($F$1),FALSE))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G266">
        <f>IF(ISNUMBER(SEARCH(SUBSTITUTE(AG$1,RIGHT(AG$1,2),""),VLOOKUP($D266,素材!$1:$1016,COLUMN($F$1),FALSE))),VLOOKUP($C266,武器!$1:$998,COLUMN($O$1),FALSE)*VLOOKUP($D266,素材!$1:$1016,COLUMN($E$1),FALSE)/(LEN(VLOOKUP($D266,素材!$1:$1016,COLUMN($F$1),FALSE))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H266">
        <f>IF(ISNUMBER(SEARCH(SUBSTITUTE(AH$1,RIGHT(AH$1,2),""),VLOOKUP($D266,素材!$1:$1016,COLUMN($F$1),FALSE))),VLOOKUP($C266,武器!$1:$998,COLUMN($O$1),FALSE)*VLOOKUP($D266,素材!$1:$1016,COLUMN($E$1),FALSE)/(LEN(VLOOKUP($D266,素材!$1:$1016,COLUMN($F$1),FALSE))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I266">
        <f>IF(ISNUMBER(SEARCH(SUBSTITUTE(AI$1,RIGHT(AI$1,2),""),VLOOKUP($D266,素材!$1:$1016,COLUMN($F$1),FALSE))),VLOOKUP($C266,武器!$1:$998,COLUMN($O$1),FALSE)*VLOOKUP($D266,素材!$1:$1016,COLUMN($E$1),FALSE)/(LEN(VLOOKUP($D266,素材!$1:$1016,COLUMN($F$1),FALSE))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J266">
        <f>IF(ISNUMBER(SEARCH(SUBSTITUTE(AJ$1,RIGHT(AJ$1,2),""),VLOOKUP($D266,素材!$1:$1016,COLUMN($F$1),FALSE))),VLOOKUP($C266,武器!$1:$998,COLUMN($O$1),FALSE)*VLOOKUP($D266,素材!$1:$1016,COLUMN($E$1),FALSE)/(LEN(VLOOKUP($D266,素材!$1:$1016,COLUMN($F$1),FALSE))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K266">
        <f>IF(ISNUMBER(SEARCH(SUBSTITUTE(AK$1,RIGHT(AK$1,2),""),VLOOKUP($D266,素材!$1:$1016,COLUMN($F$1),FALSE))),VLOOKUP($C266,武器!$1:$998,COLUMN($O$1),FALSE)*VLOOKUP($D266,素材!$1:$1016,COLUMN($E$1),FALSE)/(LEN(VLOOKUP($D266,素材!$1:$1016,COLUMN($F$1),FALSE))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L266">
        <f>IF(ISNUMBER(SEARCH(SUBSTITUTE(AL$1,RIGHT(AL$1,2),""),VLOOKUP($D266,素材!$1:$1016,COLUMN($F$1),FALSE))),VLOOKUP($C266,武器!$1:$998,COLUMN($O$1),FALSE)*VLOOKUP($D266,素材!$1:$1016,COLUMN($E$1),FALSE)/(LEN(VLOOKUP($D266,素材!$1:$1016,COLUMN($F$1),FALSE))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M266">
        <f>IF(ISNUMBER(SEARCH(SUBSTITUTE(AM$1,RIGHT(AM$1,2),""),VLOOKUP($D266,素材!$1:$1016,COLUMN($F$1),FALSE))),VLOOKUP($C266,武器!$1:$998,COLUMN($O$1),FALSE)*VLOOKUP($D266,素材!$1:$1016,COLUMN($E$1),FALSE)/(LEN(VLOOKUP($D266,素材!$1:$1016,COLUMN($F$1),FALSE))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N266">
        <f>IF(ISNUMBER(SEARCH(SUBSTITUTE(AN$1,RIGHT(AN$1,2),""),VLOOKUP($D266,素材!$1:$1016,COLUMN($F$1),FALSE))),VLOOKUP($C266,武器!$1:$998,COLUMN($O$1),FALSE)*VLOOKUP($D266,素材!$1:$1016,COLUMN($E$1),FALSE)/(LEN(VLOOKUP($D266,素材!$1:$1016,COLUMN($F$1),FALSE))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O266">
        <f>IF(ISNUMBER(SEARCH(SUBSTITUTE(AO$1,RIGHT(AO$1,2),""),VLOOKUP($D266,素材!$1:$1016,COLUMN($F$1),FALSE))),VLOOKUP($C266,武器!$1:$998,COLUMN($O$1),FALSE)*VLOOKUP($D266,素材!$1:$1016,COLUMN($E$1),FALSE)/(LEN(VLOOKUP($D266,素材!$1:$1016,COLUMN($F$1),FALSE))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P266">
        <f>IF(ISNUMBER(SEARCH(SUBSTITUTE(AP$1,RIGHT(AP$1,2),""),VLOOKUP($D266,素材!$1:$1016,COLUMN($F$1),FALSE))),VLOOKUP($C266,武器!$1:$998,COLUMN($O$1),FALSE)*VLOOKUP($D266,素材!$1:$1016,COLUMN($E$1),FALSE)/(LEN(VLOOKUP($D266,素材!$1:$1016,COLUMN($F$1),FALSE))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Q266">
        <f>IF(ISNUMBER(SEARCH(SUBSTITUTE(AQ$1,RIGHT(AQ$1,2),""),VLOOKUP($D266,素材!$1:$1016,COLUMN($F$1),FALSE))),VLOOKUP($C266,武器!$1:$998,COLUMN($O$1),FALSE)*VLOOKUP($D266,素材!$1:$1016,COLUMN($E$1),FALSE)/(LEN(VLOOKUP($D266,素材!$1:$1016,COLUMN($F$1),FALSE))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R266">
        <f>IF(ISNUMBER(SEARCH(SUBSTITUTE(AR$1,RIGHT(AR$1,2),""),VLOOKUP($D266,素材!$1:$1016,COLUMN($F$1),FALSE))),VLOOKUP($C266,武器!$1:$998,COLUMN($O$1),FALSE)*VLOOKUP($D266,素材!$1:$1016,COLUMN($E$1),FALSE)/(LEN(VLOOKUP($D266,素材!$1:$1016,COLUMN($F$1),FALSE))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S266">
        <f>IF(ISNUMBER(SEARCH(SUBSTITUTE(AS$1,RIGHT(AS$1,2),""),VLOOKUP($D266,素材!$1:$1016,COLUMN($F$1),FALSE))),VLOOKUP($C266,武器!$1:$998,COLUMN($O$1),FALSE)*VLOOKUP($D266,素材!$1:$1016,COLUMN($E$1),FALSE)/(LEN(VLOOKUP($D266,素材!$1:$1016,COLUMN($F$1),FALSE))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T266">
        <f>IF(ISNUMBER(SEARCH(SUBSTITUTE(AT$1,RIGHT(AT$1,2),""),VLOOKUP($D266,素材!$1:$1016,COLUMN($F$1),FALSE))),VLOOKUP($C266,武器!$1:$998,COLUMN($O$1),FALSE)*VLOOKUP($D266,素材!$1:$1016,COLUMN($E$1),FALSE)/(LEN(VLOOKUP($D266,素材!$1:$1016,COLUMN($F$1),FALSE))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U266">
        <f>IF(ISNUMBER(SEARCH(SUBSTITUTE(AU$1,RIGHT(AU$1,2),""),VLOOKUP($D266,素材!$1:$1016,COLUMN($F$1),FALSE))),VLOOKUP($C266,武器!$1:$998,COLUMN($O$1),FALSE)*VLOOKUP($D266,素材!$1:$1016,COLUMN($E$1),FALSE)/(LEN(VLOOKUP($D266,素材!$1:$1016,COLUMN($F$1),FALSE))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V266">
        <f>IF(ISNUMBER(SEARCH(SUBSTITUTE(AV$1,RIGHT(AV$1,2),""),VLOOKUP($D266,素材!$1:$1016,COLUMN($F$1),FALSE))),VLOOKUP($C266,武器!$1:$998,COLUMN($O$1),FALSE)*VLOOKUP($D266,素材!$1:$1016,COLUMN($E$1),FALSE)/(LEN(VLOOKUP($D266,素材!$1:$1016,COLUMN($F$1),FALSE))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W266">
        <f>IF(ISNUMBER(SEARCH(SUBSTITUTE(AW$1,RIGHT(AW$1,2),""),VLOOKUP($D266,素材!$1:$1016,COLUMN($F$1),FALSE))),VLOOKUP($C266,武器!$1:$998,COLUMN($O$1),FALSE)*VLOOKUP($D266,素材!$1:$1016,COLUMN($E$1),FALSE)/(LEN(VLOOKUP($D266,素材!$1:$1016,COLUMN($F$1),FALSE))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X266">
        <f>IF(ISNUMBER(SEARCH(SUBSTITUTE(AX$1,RIGHT(AX$1,2),""),VLOOKUP($D266,素材!$1:$1016,COLUMN($F$1),FALSE))),VLOOKUP($C266,武器!$1:$998,COLUMN($O$1),FALSE)*VLOOKUP($D266,素材!$1:$1016,COLUMN($E$1),FALSE)/(LEN(VLOOKUP($D266,素材!$1:$1016,COLUMN($F$1),FALSE))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Y266">
        <f>IF(ISNUMBER(SEARCH(SUBSTITUTE(AY$1,RIGHT(AY$1,2),""),VLOOKUP($D266,素材!$1:$1016,COLUMN($F$1),FALSE))),VLOOKUP($C266,武器!$1:$998,COLUMN($O$1),FALSE)*VLOOKUP($D266,素材!$1:$1016,COLUMN($E$1),FALSE)/(LEN(VLOOKUP($D266,素材!$1:$1016,COLUMN($F$1),FALSE))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AZ266">
        <f>IF(ISNUMBER(SEARCH(SUBSTITUTE(AZ$1,RIGHT(AZ$1,2),""),VLOOKUP($D266,素材!$1:$1016,COLUMN($F$1),FALSE))),VLOOKUP($C266,武器!$1:$998,COLUMN($O$1),FALSE)*VLOOKUP($D266,素材!$1:$1016,COLUMN($E$1),FALSE)/(LEN(VLOOKUP($D266,素材!$1:$1016,COLUMN($F$1),FALSE))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BA266">
        <f>IF(ISNUMBER(SEARCH(SUBSTITUTE(BA$1,RIGHT(BA$1,2),""),VLOOKUP($D266,素材!$1:$1016,COLUMN($F$1),FALSE))),VLOOKUP($C266,武器!$1:$998,COLUMN($O$1),FALSE)*VLOOKUP($D266,素材!$1:$1016,COLUMN($E$1),FALSE)/(LEN(VLOOKUP($D266,素材!$1:$1016,COLUMN($F$1),FALSE))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BB266">
        <f>IF(ISNUMBER(SEARCH(SUBSTITUTE(BB$1,RIGHT(BB$1,2),""),VLOOKUP($D266,素材!$1:$1016,COLUMN($F$1),FALSE))),VLOOKUP($C266,武器!$1:$998,COLUMN($O$1),FALSE)*VLOOKUP($D266,素材!$1:$1016,COLUMN($E$1),FALSE)/(LEN(VLOOKUP($D266,素材!$1:$1016,COLUMN($F$1),FALSE))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BC266">
        <f>IF(ISNUMBER(SEARCH(SUBSTITUTE(BC$1,RIGHT(BC$1,2),""),VLOOKUP($D266,素材!$1:$1016,COLUMN($F$1),FALSE))),VLOOKUP($C266,武器!$1:$998,COLUMN($O$1),FALSE)*VLOOKUP($D266,素材!$1:$1016,COLUMN($E$1),FALSE)/(LEN(VLOOKUP($D266,素材!$1:$1016,COLUMN($F$1),FALSE))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BD266">
        <f>IF(ISNUMBER(SEARCH(SUBSTITUTE(BD$1,RIGHT(BD$1,2),""),VLOOKUP($D266,素材!$1:$1016,COLUMN($F$1),FALSE))),VLOOKUP($C266,武器!$1:$998,COLUMN($O$1),FALSE)*VLOOKUP($D266,素材!$1:$1016,COLUMN($E$1),FALSE)/(LEN(VLOOKUP($D266,素材!$1:$1016,COLUMN($F$1),FALSE))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BE266">
        <f>IF(ISNUMBER(SEARCH(SUBSTITUTE(BE$1,RIGHT(BE$1,2),""),VLOOKUP($D266,素材!$1:$1016,COLUMN($F$1),FALSE))),VLOOKUP($C266,武器!$1:$998,COLUMN($O$1),FALSE)*VLOOKUP($D266,素材!$1:$1016,COLUMN($E$1),FALSE)/(LEN(VLOOKUP($D266,素材!$1:$1016,COLUMN($F$1),FALSE))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BF266">
        <f>IF(ISNUMBER(SEARCH(SUBSTITUTE(BF$1,RIGHT(BF$1,2),""),VLOOKUP($D266,素材!$1:$1016,COLUMN($F$1),FALSE))),VLOOKUP($C266,武器!$1:$998,COLUMN($O$1),FALSE)*VLOOKUP($D266,素材!$1:$1016,COLUMN($E$1),FALSE)/(LEN(VLOOKUP($D266,素材!$1:$1016,COLUMN($F$1),FALSE)) - LEN(SUBSTITUTE(VLOOKUP($D266,素材!$1:$1016,COLUMN($F$1),FALSE), "・", 0)) + 1), 0)</f>
        <v>0</v>
      </c>
      <c r="CM266">
        <f t="shared" si="36"/>
        <v>0</v>
      </c>
      <c r="CN266" s="22" t="str">
        <f>IF(E266="武器",IF(J266-1&gt;SUM(G266:I266),"盾",IF(MAX(G266:I266)=G266,"切断",IF(MAX(G266:I266)=H266,"貫通",IF(MAX(G266:I266)=I266,"打撃","射撃")))),E266)&amp;".webp"</f>
        <v>.webp</v>
      </c>
      <c r="CO266" t="str">
        <f>IFERROR(VLOOKUP($C266,武器!$1:$998,COLUMN(V$1),FALSE)*VLOOKUP($D266,素材!$1:$1016,COLUMN(N$1),FALSE)+IF(CJ266="",0,VLOOKUP($CJ266,装強!$1:$1008,COLUMN($CL$1),FALSE)),"")</f>
        <v/>
      </c>
      <c r="CP266" t="e">
        <f>VLOOKUP(D266,素材!$A:$O,COLUMN(素材!O$1),FALSE)</f>
        <v>#N/A</v>
      </c>
      <c r="CQ266" t="e">
        <f>VLOOKUP(C266,武器!$A:$W,COLUMN(武器!W$1),FALSE)</f>
        <v>#N/A</v>
      </c>
      <c r="CS266" t="str">
        <f t="shared" ref="CS266:CS329" si="37">"e_"&amp;ROW(CS266)</f>
        <v>e_266</v>
      </c>
      <c r="CT266" t="e">
        <f t="shared" si="33"/>
        <v>#VALUE!</v>
      </c>
    </row>
    <row r="267" spans="1:98" x14ac:dyDescent="0.4">
      <c r="B267" t="str">
        <f>IFERROR(VLOOKUP($D267,素材!$1:$1016,COLUMN($B$1),FALSE)&amp;"・"&amp;VLOOKUP($C267,武器!$1:$998,COLUMN(B$1),FALSE),"")</f>
        <v/>
      </c>
      <c r="C267" s="24"/>
      <c r="D267" s="24"/>
      <c r="E267" t="str">
        <f>IFERROR(VLOOKUP(C267,武器!$1:$998,COLUMN(C$1),FALSE),"")</f>
        <v/>
      </c>
      <c r="F267" t="str">
        <f>IFERROR(ROUNDDOWN((VLOOKUP($C267,武器!$1:$998,COLUMN(D$1),FALSE)+IFERROR(VLOOKUP($CJ267,装強!$1:$999,COLUMN(F$1),FALSE),0))*VLOOKUP($D267,素材!$1:$1016,COLUMN(D$1),FALSE),0),"")</f>
        <v/>
      </c>
      <c r="G267" t="str">
        <f>IFERROR(ROUNDDOWN((VLOOKUP($C267,武器!$1:$998,COLUMN(E$1),FALSE)+IFERROR(VLOOKUP($CJ267,装強!$1:$999,COLUMN(G$1),FALSE),0))*VLOOKUP($D267,素材!$1:$1016,COLUMN($E$1),FALSE),0),"")</f>
        <v/>
      </c>
      <c r="H267" t="str">
        <f>IFERROR(ROUNDDOWN((VLOOKUP($C267,武器!$1:$998,COLUMN(F$1),FALSE)+IFERROR(VLOOKUP($CJ267,装強!$1:$999,COLUMN(H$1),FALSE),0))*VLOOKUP($D267,素材!$1:$1016,COLUMN($E$1),FALSE),0),"")</f>
        <v/>
      </c>
      <c r="I267" t="str">
        <f>IFERROR(ROUNDDOWN((VLOOKUP($C267,武器!$1:$998,COLUMN(G$1),FALSE)+IFERROR(VLOOKUP($CJ267,装強!$1:$999,COLUMN(I$1),FALSE),0))*VLOOKUP($D267,素材!$1:$1016,COLUMN($E$1),FALSE),0),"")</f>
        <v/>
      </c>
      <c r="J267" t="str">
        <f>IFERROR(ROUNDDOWN((VLOOKUP($C267,武器!$1:$998,COLUMN(H$1),FALSE)+IFERROR(VLOOKUP($CJ267,装強!$1:$999,COLUMN(J$1),FALSE),0))*VLOOKUP($D267,素材!$1:$1016,COLUMN($E$1),FALSE),0),"")</f>
        <v/>
      </c>
      <c r="K267" t="str">
        <f>IFERROR(ROUNDDOWN((VLOOKUP($C267,武器!$1:$998,COLUMN(I$1),FALSE)+IFERROR(VLOOKUP($CJ267,装強!$1:$999,COLUMN(K$1),FALSE),0))*VLOOKUP($D267,素材!$1:$1016,COLUMN($E$1),FALSE),0),"")</f>
        <v/>
      </c>
      <c r="L267" t="str">
        <f>IFERROR(VLOOKUP($D267,素材!$1:$1016,COLUMN($F$1),FALSE),"")</f>
        <v/>
      </c>
      <c r="M267" t="str">
        <f>IFERROR(VLOOKUP($C267,武器!$1:$998,COLUMN(AA$1),FALSE)*VLOOKUP($D267,素材!$1:$1016,COLUMN($G$1),FALSE),"")</f>
        <v/>
      </c>
      <c r="N267" t="str">
        <f>IFERROR(VLOOKUP($C267,武器!$1:$998,COLUMN(I$1),FALSE),"")</f>
        <v/>
      </c>
      <c r="O267" s="23" t="str">
        <f>IFERROR((VLOOKUP($C267,武器!$1:$998,COLUMN(K$1),FALSE)+VLOOKUP($D267,素材!$1:$1016,COLUMN(H$1),FALSE))*100+IFERROR(VLOOKUP($CJ267,装強!$1:$999,COLUMN(O$1),FALSE),0),"")</f>
        <v/>
      </c>
      <c r="P267" s="23" t="str">
        <f>IFERROR((VLOOKUP($C267,武器!$1:$998,COLUMN(L$1),FALSE)+VLOOKUP($D267,素材!$1:$1016,COLUMN(I$1),FALSE))*100+IFERROR(VLOOKUP($CJ267,装強!$1:$999,COLUMN(P$1),FALSE),0),"")</f>
        <v/>
      </c>
      <c r="Q267" t="str">
        <f>IFERROR(ROUNDUP(VLOOKUP($C267,武器!$1:$998,COLUMN(M$1),FALSE)*(VLOOKUP($D267,素材!$1:$1002,COLUMN(D$1),FALSE)/100),1),"")</f>
        <v/>
      </c>
      <c r="R267" t="str">
        <f>IFERROR(ROUNDUP(VLOOKUP($C267,武器!$1:$998,COLUMN(N$1),FALSE)*(VLOOKUP($D267,素材!$1:$1002,COLUMN(D$1),FALSE)/100),1),"")</f>
        <v/>
      </c>
      <c r="S267" t="str">
        <f>IFERROR(VLOOKUP($C267,武器!$1:$998,COLUMN(P$1),FALSE),"")</f>
        <v/>
      </c>
      <c r="T267" t="str">
        <f>IFERROR(VLOOKUP($C267,武器!$1:$998,COLUMN(Q$1),FALSE),"")</f>
        <v/>
      </c>
      <c r="U267" t="str">
        <f>IFERROR(VLOOKUP($C267,武器!$1:$998,COLUMN(R$1),FALSE),"")</f>
        <v/>
      </c>
      <c r="V267" t="str">
        <f>IFERROR(VLOOKUP($C267,武器!$1:$998,COLUMN(Q$1),FALSE),"")</f>
        <v/>
      </c>
      <c r="W267" t="str">
        <f>IFERROR(VLOOKUP($C267,武器!$1:$998,COLUMN(T$1),FALSE),"")</f>
        <v/>
      </c>
      <c r="Y267" t="str">
        <f>IFERROR(VLOOKUP($C267,武器!$1:$998,COLUMN(U$1),FALSE),"")</f>
        <v/>
      </c>
      <c r="Z267" t="str">
        <f>IFERROR(ROUNDUP(VLOOKUP($C267,武器!$1:$998,COLUMN(O$1),FALSE)*VLOOKUP($D267,素材!$1:$1016,COLUMN(E$1),FALSE),1),"")</f>
        <v/>
      </c>
      <c r="AA267">
        <f>IF(ISNUMBER(SEARCH(SUBSTITUTE(AA$1,RIGHT(AA$1,2),""),VLOOKUP($D267,素材!$1:$1016,COLUMN($F$1),FALSE))),VLOOKUP($C267,武器!$1:$998,COLUMN($O$1),FALSE)*VLOOKUP($D267,素材!$1:$1016,COLUMN($E$1),FALSE)/(LEN(VLOOKUP($D267,素材!$1:$1016,COLUMN($F$1),FALSE))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B267">
        <f>IF(ISNUMBER(SEARCH(SUBSTITUTE(AB$1,RIGHT(AB$1,2),""),VLOOKUP($D267,素材!$1:$1016,COLUMN($F$1),FALSE))),VLOOKUP($C267,武器!$1:$998,COLUMN($O$1),FALSE)*VLOOKUP($D267,素材!$1:$1016,COLUMN($E$1),FALSE)/(LEN(VLOOKUP($D267,素材!$1:$1016,COLUMN($F$1),FALSE))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C267">
        <f>IF(ISNUMBER(SEARCH(SUBSTITUTE(AC$1,RIGHT(AC$1,2),""),VLOOKUP($D267,素材!$1:$1016,COLUMN($F$1),FALSE))),VLOOKUP($C267,武器!$1:$998,COLUMN($O$1),FALSE)*VLOOKUP($D267,素材!$1:$1016,COLUMN($E$1),FALSE)/(LEN(VLOOKUP($D267,素材!$1:$1016,COLUMN($F$1),FALSE))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D267">
        <f>IF(ISNUMBER(SEARCH(SUBSTITUTE(AD$1,RIGHT(AD$1,2),""),VLOOKUP($D267,素材!$1:$1016,COLUMN($F$1),FALSE))),VLOOKUP($C267,武器!$1:$998,COLUMN($O$1),FALSE)*VLOOKUP($D267,素材!$1:$1016,COLUMN($E$1),FALSE)/(LEN(VLOOKUP($D267,素材!$1:$1016,COLUMN($F$1),FALSE))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E267">
        <f>IF(ISNUMBER(SEARCH(SUBSTITUTE(AE$1,RIGHT(AE$1,2),""),VLOOKUP($D267,素材!$1:$1016,COLUMN($F$1),FALSE))),VLOOKUP($C267,武器!$1:$998,COLUMN($O$1),FALSE)*VLOOKUP($D267,素材!$1:$1016,COLUMN($E$1),FALSE)/(LEN(VLOOKUP($D267,素材!$1:$1016,COLUMN($F$1),FALSE))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F267">
        <f>IF(ISNUMBER(SEARCH(SUBSTITUTE(AF$1,RIGHT(AF$1,2),""),VLOOKUP($D267,素材!$1:$1016,COLUMN($F$1),FALSE))),VLOOKUP($C267,武器!$1:$998,COLUMN($O$1),FALSE)*VLOOKUP($D267,素材!$1:$1016,COLUMN($E$1),FALSE)/(LEN(VLOOKUP($D267,素材!$1:$1016,COLUMN($F$1),FALSE))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G267">
        <f>IF(ISNUMBER(SEARCH(SUBSTITUTE(AG$1,RIGHT(AG$1,2),""),VLOOKUP($D267,素材!$1:$1016,COLUMN($F$1),FALSE))),VLOOKUP($C267,武器!$1:$998,COLUMN($O$1),FALSE)*VLOOKUP($D267,素材!$1:$1016,COLUMN($E$1),FALSE)/(LEN(VLOOKUP($D267,素材!$1:$1016,COLUMN($F$1),FALSE))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H267">
        <f>IF(ISNUMBER(SEARCH(SUBSTITUTE(AH$1,RIGHT(AH$1,2),""),VLOOKUP($D267,素材!$1:$1016,COLUMN($F$1),FALSE))),VLOOKUP($C267,武器!$1:$998,COLUMN($O$1),FALSE)*VLOOKUP($D267,素材!$1:$1016,COLUMN($E$1),FALSE)/(LEN(VLOOKUP($D267,素材!$1:$1016,COLUMN($F$1),FALSE))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I267">
        <f>IF(ISNUMBER(SEARCH(SUBSTITUTE(AI$1,RIGHT(AI$1,2),""),VLOOKUP($D267,素材!$1:$1016,COLUMN($F$1),FALSE))),VLOOKUP($C267,武器!$1:$998,COLUMN($O$1),FALSE)*VLOOKUP($D267,素材!$1:$1016,COLUMN($E$1),FALSE)/(LEN(VLOOKUP($D267,素材!$1:$1016,COLUMN($F$1),FALSE))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J267">
        <f>IF(ISNUMBER(SEARCH(SUBSTITUTE(AJ$1,RIGHT(AJ$1,2),""),VLOOKUP($D267,素材!$1:$1016,COLUMN($F$1),FALSE))),VLOOKUP($C267,武器!$1:$998,COLUMN($O$1),FALSE)*VLOOKUP($D267,素材!$1:$1016,COLUMN($E$1),FALSE)/(LEN(VLOOKUP($D267,素材!$1:$1016,COLUMN($F$1),FALSE))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K267">
        <f>IF(ISNUMBER(SEARCH(SUBSTITUTE(AK$1,RIGHT(AK$1,2),""),VLOOKUP($D267,素材!$1:$1016,COLUMN($F$1),FALSE))),VLOOKUP($C267,武器!$1:$998,COLUMN($O$1),FALSE)*VLOOKUP($D267,素材!$1:$1016,COLUMN($E$1),FALSE)/(LEN(VLOOKUP($D267,素材!$1:$1016,COLUMN($F$1),FALSE))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L267">
        <f>IF(ISNUMBER(SEARCH(SUBSTITUTE(AL$1,RIGHT(AL$1,2),""),VLOOKUP($D267,素材!$1:$1016,COLUMN($F$1),FALSE))),VLOOKUP($C267,武器!$1:$998,COLUMN($O$1),FALSE)*VLOOKUP($D267,素材!$1:$1016,COLUMN($E$1),FALSE)/(LEN(VLOOKUP($D267,素材!$1:$1016,COLUMN($F$1),FALSE))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M267">
        <f>IF(ISNUMBER(SEARCH(SUBSTITUTE(AM$1,RIGHT(AM$1,2),""),VLOOKUP($D267,素材!$1:$1016,COLUMN($F$1),FALSE))),VLOOKUP($C267,武器!$1:$998,COLUMN($O$1),FALSE)*VLOOKUP($D267,素材!$1:$1016,COLUMN($E$1),FALSE)/(LEN(VLOOKUP($D267,素材!$1:$1016,COLUMN($F$1),FALSE))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N267">
        <f>IF(ISNUMBER(SEARCH(SUBSTITUTE(AN$1,RIGHT(AN$1,2),""),VLOOKUP($D267,素材!$1:$1016,COLUMN($F$1),FALSE))),VLOOKUP($C267,武器!$1:$998,COLUMN($O$1),FALSE)*VLOOKUP($D267,素材!$1:$1016,COLUMN($E$1),FALSE)/(LEN(VLOOKUP($D267,素材!$1:$1016,COLUMN($F$1),FALSE))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O267">
        <f>IF(ISNUMBER(SEARCH(SUBSTITUTE(AO$1,RIGHT(AO$1,2),""),VLOOKUP($D267,素材!$1:$1016,COLUMN($F$1),FALSE))),VLOOKUP($C267,武器!$1:$998,COLUMN($O$1),FALSE)*VLOOKUP($D267,素材!$1:$1016,COLUMN($E$1),FALSE)/(LEN(VLOOKUP($D267,素材!$1:$1016,COLUMN($F$1),FALSE))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P267">
        <f>IF(ISNUMBER(SEARCH(SUBSTITUTE(AP$1,RIGHT(AP$1,2),""),VLOOKUP($D267,素材!$1:$1016,COLUMN($F$1),FALSE))),VLOOKUP($C267,武器!$1:$998,COLUMN($O$1),FALSE)*VLOOKUP($D267,素材!$1:$1016,COLUMN($E$1),FALSE)/(LEN(VLOOKUP($D267,素材!$1:$1016,COLUMN($F$1),FALSE))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Q267">
        <f>IF(ISNUMBER(SEARCH(SUBSTITUTE(AQ$1,RIGHT(AQ$1,2),""),VLOOKUP($D267,素材!$1:$1016,COLUMN($F$1),FALSE))),VLOOKUP($C267,武器!$1:$998,COLUMN($O$1),FALSE)*VLOOKUP($D267,素材!$1:$1016,COLUMN($E$1),FALSE)/(LEN(VLOOKUP($D267,素材!$1:$1016,COLUMN($F$1),FALSE))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R267">
        <f>IF(ISNUMBER(SEARCH(SUBSTITUTE(AR$1,RIGHT(AR$1,2),""),VLOOKUP($D267,素材!$1:$1016,COLUMN($F$1),FALSE))),VLOOKUP($C267,武器!$1:$998,COLUMN($O$1),FALSE)*VLOOKUP($D267,素材!$1:$1016,COLUMN($E$1),FALSE)/(LEN(VLOOKUP($D267,素材!$1:$1016,COLUMN($F$1),FALSE))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S267">
        <f>IF(ISNUMBER(SEARCH(SUBSTITUTE(AS$1,RIGHT(AS$1,2),""),VLOOKUP($D267,素材!$1:$1016,COLUMN($F$1),FALSE))),VLOOKUP($C267,武器!$1:$998,COLUMN($O$1),FALSE)*VLOOKUP($D267,素材!$1:$1016,COLUMN($E$1),FALSE)/(LEN(VLOOKUP($D267,素材!$1:$1016,COLUMN($F$1),FALSE))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T267">
        <f>IF(ISNUMBER(SEARCH(SUBSTITUTE(AT$1,RIGHT(AT$1,2),""),VLOOKUP($D267,素材!$1:$1016,COLUMN($F$1),FALSE))),VLOOKUP($C267,武器!$1:$998,COLUMN($O$1),FALSE)*VLOOKUP($D267,素材!$1:$1016,COLUMN($E$1),FALSE)/(LEN(VLOOKUP($D267,素材!$1:$1016,COLUMN($F$1),FALSE))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U267">
        <f>IF(ISNUMBER(SEARCH(SUBSTITUTE(AU$1,RIGHT(AU$1,2),""),VLOOKUP($D267,素材!$1:$1016,COLUMN($F$1),FALSE))),VLOOKUP($C267,武器!$1:$998,COLUMN($O$1),FALSE)*VLOOKUP($D267,素材!$1:$1016,COLUMN($E$1),FALSE)/(LEN(VLOOKUP($D267,素材!$1:$1016,COLUMN($F$1),FALSE))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V267">
        <f>IF(ISNUMBER(SEARCH(SUBSTITUTE(AV$1,RIGHT(AV$1,2),""),VLOOKUP($D267,素材!$1:$1016,COLUMN($F$1),FALSE))),VLOOKUP($C267,武器!$1:$998,COLUMN($O$1),FALSE)*VLOOKUP($D267,素材!$1:$1016,COLUMN($E$1),FALSE)/(LEN(VLOOKUP($D267,素材!$1:$1016,COLUMN($F$1),FALSE))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W267">
        <f>IF(ISNUMBER(SEARCH(SUBSTITUTE(AW$1,RIGHT(AW$1,2),""),VLOOKUP($D267,素材!$1:$1016,COLUMN($F$1),FALSE))),VLOOKUP($C267,武器!$1:$998,COLUMN($O$1),FALSE)*VLOOKUP($D267,素材!$1:$1016,COLUMN($E$1),FALSE)/(LEN(VLOOKUP($D267,素材!$1:$1016,COLUMN($F$1),FALSE))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X267">
        <f>IF(ISNUMBER(SEARCH(SUBSTITUTE(AX$1,RIGHT(AX$1,2),""),VLOOKUP($D267,素材!$1:$1016,COLUMN($F$1),FALSE))),VLOOKUP($C267,武器!$1:$998,COLUMN($O$1),FALSE)*VLOOKUP($D267,素材!$1:$1016,COLUMN($E$1),FALSE)/(LEN(VLOOKUP($D267,素材!$1:$1016,COLUMN($F$1),FALSE))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Y267">
        <f>IF(ISNUMBER(SEARCH(SUBSTITUTE(AY$1,RIGHT(AY$1,2),""),VLOOKUP($D267,素材!$1:$1016,COLUMN($F$1),FALSE))),VLOOKUP($C267,武器!$1:$998,COLUMN($O$1),FALSE)*VLOOKUP($D267,素材!$1:$1016,COLUMN($E$1),FALSE)/(LEN(VLOOKUP($D267,素材!$1:$1016,COLUMN($F$1),FALSE))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AZ267">
        <f>IF(ISNUMBER(SEARCH(SUBSTITUTE(AZ$1,RIGHT(AZ$1,2),""),VLOOKUP($D267,素材!$1:$1016,COLUMN($F$1),FALSE))),VLOOKUP($C267,武器!$1:$998,COLUMN($O$1),FALSE)*VLOOKUP($D267,素材!$1:$1016,COLUMN($E$1),FALSE)/(LEN(VLOOKUP($D267,素材!$1:$1016,COLUMN($F$1),FALSE))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BA267">
        <f>IF(ISNUMBER(SEARCH(SUBSTITUTE(BA$1,RIGHT(BA$1,2),""),VLOOKUP($D267,素材!$1:$1016,COLUMN($F$1),FALSE))),VLOOKUP($C267,武器!$1:$998,COLUMN($O$1),FALSE)*VLOOKUP($D267,素材!$1:$1016,COLUMN($E$1),FALSE)/(LEN(VLOOKUP($D267,素材!$1:$1016,COLUMN($F$1),FALSE))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BB267">
        <f>IF(ISNUMBER(SEARCH(SUBSTITUTE(BB$1,RIGHT(BB$1,2),""),VLOOKUP($D267,素材!$1:$1016,COLUMN($F$1),FALSE))),VLOOKUP($C267,武器!$1:$998,COLUMN($O$1),FALSE)*VLOOKUP($D267,素材!$1:$1016,COLUMN($E$1),FALSE)/(LEN(VLOOKUP($D267,素材!$1:$1016,COLUMN($F$1),FALSE))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BC267">
        <f>IF(ISNUMBER(SEARCH(SUBSTITUTE(BC$1,RIGHT(BC$1,2),""),VLOOKUP($D267,素材!$1:$1016,COLUMN($F$1),FALSE))),VLOOKUP($C267,武器!$1:$998,COLUMN($O$1),FALSE)*VLOOKUP($D267,素材!$1:$1016,COLUMN($E$1),FALSE)/(LEN(VLOOKUP($D267,素材!$1:$1016,COLUMN($F$1),FALSE))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BD267">
        <f>IF(ISNUMBER(SEARCH(SUBSTITUTE(BD$1,RIGHT(BD$1,2),""),VLOOKUP($D267,素材!$1:$1016,COLUMN($F$1),FALSE))),VLOOKUP($C267,武器!$1:$998,COLUMN($O$1),FALSE)*VLOOKUP($D267,素材!$1:$1016,COLUMN($E$1),FALSE)/(LEN(VLOOKUP($D267,素材!$1:$1016,COLUMN($F$1),FALSE))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BE267">
        <f>IF(ISNUMBER(SEARCH(SUBSTITUTE(BE$1,RIGHT(BE$1,2),""),VLOOKUP($D267,素材!$1:$1016,COLUMN($F$1),FALSE))),VLOOKUP($C267,武器!$1:$998,COLUMN($O$1),FALSE)*VLOOKUP($D267,素材!$1:$1016,COLUMN($E$1),FALSE)/(LEN(VLOOKUP($D267,素材!$1:$1016,COLUMN($F$1),FALSE))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BF267">
        <f>IF(ISNUMBER(SEARCH(SUBSTITUTE(BF$1,RIGHT(BF$1,2),""),VLOOKUP($D267,素材!$1:$1016,COLUMN($F$1),FALSE))),VLOOKUP($C267,武器!$1:$998,COLUMN($O$1),FALSE)*VLOOKUP($D267,素材!$1:$1016,COLUMN($E$1),FALSE)/(LEN(VLOOKUP($D267,素材!$1:$1016,COLUMN($F$1),FALSE)) - LEN(SUBSTITUTE(VLOOKUP($D267,素材!$1:$1016,COLUMN($F$1),FALSE), "・", 0)) + 1), 0)</f>
        <v>0</v>
      </c>
      <c r="CM267">
        <f t="shared" si="36"/>
        <v>0</v>
      </c>
      <c r="CN267" s="22" t="str">
        <f>IF(E267="武器",IF(J267-1&gt;SUM(G267:I267),"盾",IF(MAX(G267:I267)=G267,"切断",IF(MAX(G267:I267)=H267,"貫通",IF(MAX(G267:I267)=I267,"打撃","射撃")))),E267)&amp;".webp"</f>
        <v>.webp</v>
      </c>
      <c r="CO267" t="str">
        <f>IFERROR(VLOOKUP($C267,武器!$1:$998,COLUMN(V$1),FALSE)*VLOOKUP($D267,素材!$1:$1016,COLUMN(N$1),FALSE)+IF(CJ267="",0,VLOOKUP($CJ267,装強!$1:$1008,COLUMN($CL$1),FALSE)),"")</f>
        <v/>
      </c>
      <c r="CP267" t="e">
        <f>VLOOKUP(D267,素材!$A:$O,COLUMN(素材!O$1),FALSE)</f>
        <v>#N/A</v>
      </c>
      <c r="CQ267" t="e">
        <f>VLOOKUP(C267,武器!$A:$W,COLUMN(武器!W$1),FALSE)</f>
        <v>#N/A</v>
      </c>
      <c r="CS267" t="str">
        <f t="shared" si="37"/>
        <v>e_267</v>
      </c>
      <c r="CT267" t="e">
        <f t="shared" ref="CT267:CT330" si="38">CO267*100</f>
        <v>#VALUE!</v>
      </c>
    </row>
    <row r="268" spans="1:98" x14ac:dyDescent="0.4">
      <c r="B268" t="str">
        <f>IFERROR(VLOOKUP($D268,素材!$1:$1016,COLUMN($B$1),FALSE)&amp;"・"&amp;VLOOKUP($C268,武器!$1:$998,COLUMN(B$1),FALSE),"")</f>
        <v/>
      </c>
      <c r="C268" s="24"/>
      <c r="D268" s="24"/>
      <c r="E268" t="str">
        <f>IFERROR(VLOOKUP(C268,武器!$1:$998,COLUMN(C$1),FALSE),"")</f>
        <v/>
      </c>
      <c r="F268" t="str">
        <f>IFERROR(ROUNDDOWN((VLOOKUP($C268,武器!$1:$998,COLUMN(D$1),FALSE)+IFERROR(VLOOKUP($CJ268,装強!$1:$999,COLUMN(F$1),FALSE),0))*VLOOKUP($D268,素材!$1:$1016,COLUMN(D$1),FALSE),0),"")</f>
        <v/>
      </c>
      <c r="G268" t="str">
        <f>IFERROR(ROUNDDOWN((VLOOKUP($C268,武器!$1:$998,COLUMN(E$1),FALSE)+IFERROR(VLOOKUP($CJ268,装強!$1:$999,COLUMN(G$1),FALSE),0))*VLOOKUP($D268,素材!$1:$1016,COLUMN($E$1),FALSE),0),"")</f>
        <v/>
      </c>
      <c r="H268" t="str">
        <f>IFERROR(ROUNDDOWN((VLOOKUP($C268,武器!$1:$998,COLUMN(F$1),FALSE)+IFERROR(VLOOKUP($CJ268,装強!$1:$999,COLUMN(H$1),FALSE),0))*VLOOKUP($D268,素材!$1:$1016,COLUMN($E$1),FALSE),0),"")</f>
        <v/>
      </c>
      <c r="I268" t="str">
        <f>IFERROR(ROUNDDOWN((VLOOKUP($C268,武器!$1:$998,COLUMN(G$1),FALSE)+IFERROR(VLOOKUP($CJ268,装強!$1:$999,COLUMN(I$1),FALSE),0))*VLOOKUP($D268,素材!$1:$1016,COLUMN($E$1),FALSE),0),"")</f>
        <v/>
      </c>
      <c r="J268" t="str">
        <f>IFERROR(ROUNDDOWN((VLOOKUP($C268,武器!$1:$998,COLUMN(H$1),FALSE)+IFERROR(VLOOKUP($CJ268,装強!$1:$999,COLUMN(J$1),FALSE),0))*VLOOKUP($D268,素材!$1:$1016,COLUMN($E$1),FALSE),0),"")</f>
        <v/>
      </c>
      <c r="K268" t="str">
        <f>IFERROR(ROUNDDOWN((VLOOKUP($C268,武器!$1:$998,COLUMN(I$1),FALSE)+IFERROR(VLOOKUP($CJ268,装強!$1:$999,COLUMN(K$1),FALSE),0))*VLOOKUP($D268,素材!$1:$1016,COLUMN($E$1),FALSE),0),"")</f>
        <v/>
      </c>
      <c r="L268" t="str">
        <f>IFERROR(VLOOKUP($D268,素材!$1:$1016,COLUMN($F$1),FALSE),"")</f>
        <v/>
      </c>
      <c r="M268" t="str">
        <f>IFERROR(VLOOKUP($C268,武器!$1:$998,COLUMN(AA$1),FALSE)*VLOOKUP($D268,素材!$1:$1016,COLUMN($G$1),FALSE),"")</f>
        <v/>
      </c>
      <c r="N268" t="str">
        <f>IFERROR(VLOOKUP($C268,武器!$1:$998,COLUMN(I$1),FALSE),"")</f>
        <v/>
      </c>
      <c r="O268" s="23" t="str">
        <f>IFERROR((VLOOKUP($C268,武器!$1:$998,COLUMN(K$1),FALSE)+VLOOKUP($D268,素材!$1:$1016,COLUMN(H$1),FALSE))*100+IFERROR(VLOOKUP($CJ268,装強!$1:$999,COLUMN(O$1),FALSE),0),"")</f>
        <v/>
      </c>
      <c r="P268" s="23" t="str">
        <f>IFERROR((VLOOKUP($C268,武器!$1:$998,COLUMN(L$1),FALSE)+VLOOKUP($D268,素材!$1:$1016,COLUMN(I$1),FALSE))*100+IFERROR(VLOOKUP($CJ268,装強!$1:$999,COLUMN(P$1),FALSE),0),"")</f>
        <v/>
      </c>
      <c r="Q268" t="str">
        <f>IFERROR(ROUNDUP(VLOOKUP($C268,武器!$1:$998,COLUMN(M$1),FALSE)*(VLOOKUP($D268,素材!$1:$1002,COLUMN(D$1),FALSE)/100),1),"")</f>
        <v/>
      </c>
      <c r="R268" t="str">
        <f>IFERROR(ROUNDUP(VLOOKUP($C268,武器!$1:$998,COLUMN(N$1),FALSE)*(VLOOKUP($D268,素材!$1:$1002,COLUMN(D$1),FALSE)/100),1),"")</f>
        <v/>
      </c>
      <c r="S268" t="str">
        <f>IFERROR(VLOOKUP($C268,武器!$1:$998,COLUMN(P$1),FALSE),"")</f>
        <v/>
      </c>
      <c r="T268" t="str">
        <f>IFERROR(VLOOKUP($C268,武器!$1:$998,COLUMN(Q$1),FALSE),"")</f>
        <v/>
      </c>
      <c r="U268" t="str">
        <f>IFERROR(VLOOKUP($C268,武器!$1:$998,COLUMN(R$1),FALSE),"")</f>
        <v/>
      </c>
      <c r="V268" t="str">
        <f>IFERROR(VLOOKUP($C268,武器!$1:$998,COLUMN(Q$1),FALSE),"")</f>
        <v/>
      </c>
      <c r="W268" t="str">
        <f>IFERROR(VLOOKUP($C268,武器!$1:$998,COLUMN(T$1),FALSE),"")</f>
        <v/>
      </c>
      <c r="Y268" t="str">
        <f>IFERROR(VLOOKUP($C268,武器!$1:$998,COLUMN(U$1),FALSE),"")</f>
        <v/>
      </c>
      <c r="Z268" t="str">
        <f>IFERROR(ROUNDUP(VLOOKUP($C268,武器!$1:$998,COLUMN(O$1),FALSE)*VLOOKUP($D268,素材!$1:$1016,COLUMN(E$1),FALSE),1),"")</f>
        <v/>
      </c>
      <c r="AA268">
        <f>IF(ISNUMBER(SEARCH(SUBSTITUTE(AA$1,RIGHT(AA$1,2),""),VLOOKUP($D268,素材!$1:$1016,COLUMN($F$1),FALSE))),VLOOKUP($C268,武器!$1:$998,COLUMN($O$1),FALSE)*VLOOKUP($D268,素材!$1:$1016,COLUMN($E$1),FALSE)/(LEN(VLOOKUP($D268,素材!$1:$1016,COLUMN($F$1),FALSE))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B268">
        <f>IF(ISNUMBER(SEARCH(SUBSTITUTE(AB$1,RIGHT(AB$1,2),""),VLOOKUP($D268,素材!$1:$1016,COLUMN($F$1),FALSE))),VLOOKUP($C268,武器!$1:$998,COLUMN($O$1),FALSE)*VLOOKUP($D268,素材!$1:$1016,COLUMN($E$1),FALSE)/(LEN(VLOOKUP($D268,素材!$1:$1016,COLUMN($F$1),FALSE))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C268">
        <f>IF(ISNUMBER(SEARCH(SUBSTITUTE(AC$1,RIGHT(AC$1,2),""),VLOOKUP($D268,素材!$1:$1016,COLUMN($F$1),FALSE))),VLOOKUP($C268,武器!$1:$998,COLUMN($O$1),FALSE)*VLOOKUP($D268,素材!$1:$1016,COLUMN($E$1),FALSE)/(LEN(VLOOKUP($D268,素材!$1:$1016,COLUMN($F$1),FALSE))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D268">
        <f>IF(ISNUMBER(SEARCH(SUBSTITUTE(AD$1,RIGHT(AD$1,2),""),VLOOKUP($D268,素材!$1:$1016,COLUMN($F$1),FALSE))),VLOOKUP($C268,武器!$1:$998,COLUMN($O$1),FALSE)*VLOOKUP($D268,素材!$1:$1016,COLUMN($E$1),FALSE)/(LEN(VLOOKUP($D268,素材!$1:$1016,COLUMN($F$1),FALSE))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E268">
        <f>IF(ISNUMBER(SEARCH(SUBSTITUTE(AE$1,RIGHT(AE$1,2),""),VLOOKUP($D268,素材!$1:$1016,COLUMN($F$1),FALSE))),VLOOKUP($C268,武器!$1:$998,COLUMN($O$1),FALSE)*VLOOKUP($D268,素材!$1:$1016,COLUMN($E$1),FALSE)/(LEN(VLOOKUP($D268,素材!$1:$1016,COLUMN($F$1),FALSE))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F268">
        <f>IF(ISNUMBER(SEARCH(SUBSTITUTE(AF$1,RIGHT(AF$1,2),""),VLOOKUP($D268,素材!$1:$1016,COLUMN($F$1),FALSE))),VLOOKUP($C268,武器!$1:$998,COLUMN($O$1),FALSE)*VLOOKUP($D268,素材!$1:$1016,COLUMN($E$1),FALSE)/(LEN(VLOOKUP($D268,素材!$1:$1016,COLUMN($F$1),FALSE))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G268">
        <f>IF(ISNUMBER(SEARCH(SUBSTITUTE(AG$1,RIGHT(AG$1,2),""),VLOOKUP($D268,素材!$1:$1016,COLUMN($F$1),FALSE))),VLOOKUP($C268,武器!$1:$998,COLUMN($O$1),FALSE)*VLOOKUP($D268,素材!$1:$1016,COLUMN($E$1),FALSE)/(LEN(VLOOKUP($D268,素材!$1:$1016,COLUMN($F$1),FALSE))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H268">
        <f>IF(ISNUMBER(SEARCH(SUBSTITUTE(AH$1,RIGHT(AH$1,2),""),VLOOKUP($D268,素材!$1:$1016,COLUMN($F$1),FALSE))),VLOOKUP($C268,武器!$1:$998,COLUMN($O$1),FALSE)*VLOOKUP($D268,素材!$1:$1016,COLUMN($E$1),FALSE)/(LEN(VLOOKUP($D268,素材!$1:$1016,COLUMN($F$1),FALSE))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I268">
        <f>IF(ISNUMBER(SEARCH(SUBSTITUTE(AI$1,RIGHT(AI$1,2),""),VLOOKUP($D268,素材!$1:$1016,COLUMN($F$1),FALSE))),VLOOKUP($C268,武器!$1:$998,COLUMN($O$1),FALSE)*VLOOKUP($D268,素材!$1:$1016,COLUMN($E$1),FALSE)/(LEN(VLOOKUP($D268,素材!$1:$1016,COLUMN($F$1),FALSE))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J268">
        <f>IF(ISNUMBER(SEARCH(SUBSTITUTE(AJ$1,RIGHT(AJ$1,2),""),VLOOKUP($D268,素材!$1:$1016,COLUMN($F$1),FALSE))),VLOOKUP($C268,武器!$1:$998,COLUMN($O$1),FALSE)*VLOOKUP($D268,素材!$1:$1016,COLUMN($E$1),FALSE)/(LEN(VLOOKUP($D268,素材!$1:$1016,COLUMN($F$1),FALSE))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K268">
        <f>IF(ISNUMBER(SEARCH(SUBSTITUTE(AK$1,RIGHT(AK$1,2),""),VLOOKUP($D268,素材!$1:$1016,COLUMN($F$1),FALSE))),VLOOKUP($C268,武器!$1:$998,COLUMN($O$1),FALSE)*VLOOKUP($D268,素材!$1:$1016,COLUMN($E$1),FALSE)/(LEN(VLOOKUP($D268,素材!$1:$1016,COLUMN($F$1),FALSE))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L268">
        <f>IF(ISNUMBER(SEARCH(SUBSTITUTE(AL$1,RIGHT(AL$1,2),""),VLOOKUP($D268,素材!$1:$1016,COLUMN($F$1),FALSE))),VLOOKUP($C268,武器!$1:$998,COLUMN($O$1),FALSE)*VLOOKUP($D268,素材!$1:$1016,COLUMN($E$1),FALSE)/(LEN(VLOOKUP($D268,素材!$1:$1016,COLUMN($F$1),FALSE))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M268">
        <f>IF(ISNUMBER(SEARCH(SUBSTITUTE(AM$1,RIGHT(AM$1,2),""),VLOOKUP($D268,素材!$1:$1016,COLUMN($F$1),FALSE))),VLOOKUP($C268,武器!$1:$998,COLUMN($O$1),FALSE)*VLOOKUP($D268,素材!$1:$1016,COLUMN($E$1),FALSE)/(LEN(VLOOKUP($D268,素材!$1:$1016,COLUMN($F$1),FALSE))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N268">
        <f>IF(ISNUMBER(SEARCH(SUBSTITUTE(AN$1,RIGHT(AN$1,2),""),VLOOKUP($D268,素材!$1:$1016,COLUMN($F$1),FALSE))),VLOOKUP($C268,武器!$1:$998,COLUMN($O$1),FALSE)*VLOOKUP($D268,素材!$1:$1016,COLUMN($E$1),FALSE)/(LEN(VLOOKUP($D268,素材!$1:$1016,COLUMN($F$1),FALSE))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O268">
        <f>IF(ISNUMBER(SEARCH(SUBSTITUTE(AO$1,RIGHT(AO$1,2),""),VLOOKUP($D268,素材!$1:$1016,COLUMN($F$1),FALSE))),VLOOKUP($C268,武器!$1:$998,COLUMN($O$1),FALSE)*VLOOKUP($D268,素材!$1:$1016,COLUMN($E$1),FALSE)/(LEN(VLOOKUP($D268,素材!$1:$1016,COLUMN($F$1),FALSE))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P268">
        <f>IF(ISNUMBER(SEARCH(SUBSTITUTE(AP$1,RIGHT(AP$1,2),""),VLOOKUP($D268,素材!$1:$1016,COLUMN($F$1),FALSE))),VLOOKUP($C268,武器!$1:$998,COLUMN($O$1),FALSE)*VLOOKUP($D268,素材!$1:$1016,COLUMN($E$1),FALSE)/(LEN(VLOOKUP($D268,素材!$1:$1016,COLUMN($F$1),FALSE))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Q268">
        <f>IF(ISNUMBER(SEARCH(SUBSTITUTE(AQ$1,RIGHT(AQ$1,2),""),VLOOKUP($D268,素材!$1:$1016,COLUMN($F$1),FALSE))),VLOOKUP($C268,武器!$1:$998,COLUMN($O$1),FALSE)*VLOOKUP($D268,素材!$1:$1016,COLUMN($E$1),FALSE)/(LEN(VLOOKUP($D268,素材!$1:$1016,COLUMN($F$1),FALSE))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R268">
        <f>IF(ISNUMBER(SEARCH(SUBSTITUTE(AR$1,RIGHT(AR$1,2),""),VLOOKUP($D268,素材!$1:$1016,COLUMN($F$1),FALSE))),VLOOKUP($C268,武器!$1:$998,COLUMN($O$1),FALSE)*VLOOKUP($D268,素材!$1:$1016,COLUMN($E$1),FALSE)/(LEN(VLOOKUP($D268,素材!$1:$1016,COLUMN($F$1),FALSE))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S268">
        <f>IF(ISNUMBER(SEARCH(SUBSTITUTE(AS$1,RIGHT(AS$1,2),""),VLOOKUP($D268,素材!$1:$1016,COLUMN($F$1),FALSE))),VLOOKUP($C268,武器!$1:$998,COLUMN($O$1),FALSE)*VLOOKUP($D268,素材!$1:$1016,COLUMN($E$1),FALSE)/(LEN(VLOOKUP($D268,素材!$1:$1016,COLUMN($F$1),FALSE))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T268">
        <f>IF(ISNUMBER(SEARCH(SUBSTITUTE(AT$1,RIGHT(AT$1,2),""),VLOOKUP($D268,素材!$1:$1016,COLUMN($F$1),FALSE))),VLOOKUP($C268,武器!$1:$998,COLUMN($O$1),FALSE)*VLOOKUP($D268,素材!$1:$1016,COLUMN($E$1),FALSE)/(LEN(VLOOKUP($D268,素材!$1:$1016,COLUMN($F$1),FALSE))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U268">
        <f>IF(ISNUMBER(SEARCH(SUBSTITUTE(AU$1,RIGHT(AU$1,2),""),VLOOKUP($D268,素材!$1:$1016,COLUMN($F$1),FALSE))),VLOOKUP($C268,武器!$1:$998,COLUMN($O$1),FALSE)*VLOOKUP($D268,素材!$1:$1016,COLUMN($E$1),FALSE)/(LEN(VLOOKUP($D268,素材!$1:$1016,COLUMN($F$1),FALSE))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V268">
        <f>IF(ISNUMBER(SEARCH(SUBSTITUTE(AV$1,RIGHT(AV$1,2),""),VLOOKUP($D268,素材!$1:$1016,COLUMN($F$1),FALSE))),VLOOKUP($C268,武器!$1:$998,COLUMN($O$1),FALSE)*VLOOKUP($D268,素材!$1:$1016,COLUMN($E$1),FALSE)/(LEN(VLOOKUP($D268,素材!$1:$1016,COLUMN($F$1),FALSE))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W268">
        <f>IF(ISNUMBER(SEARCH(SUBSTITUTE(AW$1,RIGHT(AW$1,2),""),VLOOKUP($D268,素材!$1:$1016,COLUMN($F$1),FALSE))),VLOOKUP($C268,武器!$1:$998,COLUMN($O$1),FALSE)*VLOOKUP($D268,素材!$1:$1016,COLUMN($E$1),FALSE)/(LEN(VLOOKUP($D268,素材!$1:$1016,COLUMN($F$1),FALSE))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X268">
        <f>IF(ISNUMBER(SEARCH(SUBSTITUTE(AX$1,RIGHT(AX$1,2),""),VLOOKUP($D268,素材!$1:$1016,COLUMN($F$1),FALSE))),VLOOKUP($C268,武器!$1:$998,COLUMN($O$1),FALSE)*VLOOKUP($D268,素材!$1:$1016,COLUMN($E$1),FALSE)/(LEN(VLOOKUP($D268,素材!$1:$1016,COLUMN($F$1),FALSE))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Y268">
        <f>IF(ISNUMBER(SEARCH(SUBSTITUTE(AY$1,RIGHT(AY$1,2),""),VLOOKUP($D268,素材!$1:$1016,COLUMN($F$1),FALSE))),VLOOKUP($C268,武器!$1:$998,COLUMN($O$1),FALSE)*VLOOKUP($D268,素材!$1:$1016,COLUMN($E$1),FALSE)/(LEN(VLOOKUP($D268,素材!$1:$1016,COLUMN($F$1),FALSE))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AZ268">
        <f>IF(ISNUMBER(SEARCH(SUBSTITUTE(AZ$1,RIGHT(AZ$1,2),""),VLOOKUP($D268,素材!$1:$1016,COLUMN($F$1),FALSE))),VLOOKUP($C268,武器!$1:$998,COLUMN($O$1),FALSE)*VLOOKUP($D268,素材!$1:$1016,COLUMN($E$1),FALSE)/(LEN(VLOOKUP($D268,素材!$1:$1016,COLUMN($F$1),FALSE))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BA268">
        <f>IF(ISNUMBER(SEARCH(SUBSTITUTE(BA$1,RIGHT(BA$1,2),""),VLOOKUP($D268,素材!$1:$1016,COLUMN($F$1),FALSE))),VLOOKUP($C268,武器!$1:$998,COLUMN($O$1),FALSE)*VLOOKUP($D268,素材!$1:$1016,COLUMN($E$1),FALSE)/(LEN(VLOOKUP($D268,素材!$1:$1016,COLUMN($F$1),FALSE))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BB268">
        <f>IF(ISNUMBER(SEARCH(SUBSTITUTE(BB$1,RIGHT(BB$1,2),""),VLOOKUP($D268,素材!$1:$1016,COLUMN($F$1),FALSE))),VLOOKUP($C268,武器!$1:$998,COLUMN($O$1),FALSE)*VLOOKUP($D268,素材!$1:$1016,COLUMN($E$1),FALSE)/(LEN(VLOOKUP($D268,素材!$1:$1016,COLUMN($F$1),FALSE))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BC268">
        <f>IF(ISNUMBER(SEARCH(SUBSTITUTE(BC$1,RIGHT(BC$1,2),""),VLOOKUP($D268,素材!$1:$1016,COLUMN($F$1),FALSE))),VLOOKUP($C268,武器!$1:$998,COLUMN($O$1),FALSE)*VLOOKUP($D268,素材!$1:$1016,COLUMN($E$1),FALSE)/(LEN(VLOOKUP($D268,素材!$1:$1016,COLUMN($F$1),FALSE))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BD268">
        <f>IF(ISNUMBER(SEARCH(SUBSTITUTE(BD$1,RIGHT(BD$1,2),""),VLOOKUP($D268,素材!$1:$1016,COLUMN($F$1),FALSE))),VLOOKUP($C268,武器!$1:$998,COLUMN($O$1),FALSE)*VLOOKUP($D268,素材!$1:$1016,COLUMN($E$1),FALSE)/(LEN(VLOOKUP($D268,素材!$1:$1016,COLUMN($F$1),FALSE))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BE268">
        <f>IF(ISNUMBER(SEARCH(SUBSTITUTE(BE$1,RIGHT(BE$1,2),""),VLOOKUP($D268,素材!$1:$1016,COLUMN($F$1),FALSE))),VLOOKUP($C268,武器!$1:$998,COLUMN($O$1),FALSE)*VLOOKUP($D268,素材!$1:$1016,COLUMN($E$1),FALSE)/(LEN(VLOOKUP($D268,素材!$1:$1016,COLUMN($F$1),FALSE))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BF268">
        <f>IF(ISNUMBER(SEARCH(SUBSTITUTE(BF$1,RIGHT(BF$1,2),""),VLOOKUP($D268,素材!$1:$1016,COLUMN($F$1),FALSE))),VLOOKUP($C268,武器!$1:$998,COLUMN($O$1),FALSE)*VLOOKUP($D268,素材!$1:$1016,COLUMN($E$1),FALSE)/(LEN(VLOOKUP($D268,素材!$1:$1016,COLUMN($F$1),FALSE)) - LEN(SUBSTITUTE(VLOOKUP($D268,素材!$1:$1016,COLUMN($F$1),FALSE), "・", 0)) + 1), 0)</f>
        <v>0</v>
      </c>
      <c r="CM268">
        <f t="shared" si="36"/>
        <v>0</v>
      </c>
      <c r="CN268" s="22" t="str">
        <f>IF(E268="武器",IF(J268-1&gt;SUM(G268:I268),"盾",IF(MAX(G268:I268)=G268,"切断",IF(MAX(G268:I268)=H268,"貫通",IF(MAX(G268:I268)=I268,"打撃","射撃")))),E268)&amp;".webp"</f>
        <v>.webp</v>
      </c>
      <c r="CO268" t="str">
        <f>IFERROR(VLOOKUP($C268,武器!$1:$998,COLUMN(V$1),FALSE)*VLOOKUP($D268,素材!$1:$1016,COLUMN(N$1),FALSE)+IF(CJ268="",0,VLOOKUP($CJ268,装強!$1:$1008,COLUMN($CL$1),FALSE)),"")</f>
        <v/>
      </c>
      <c r="CP268" t="e">
        <f>VLOOKUP(D268,素材!$A:$O,COLUMN(素材!O$1),FALSE)</f>
        <v>#N/A</v>
      </c>
      <c r="CQ268" t="e">
        <f>VLOOKUP(C268,武器!$A:$W,COLUMN(武器!W$1),FALSE)</f>
        <v>#N/A</v>
      </c>
      <c r="CS268" t="str">
        <f t="shared" si="37"/>
        <v>e_268</v>
      </c>
      <c r="CT268" t="e">
        <f t="shared" si="38"/>
        <v>#VALUE!</v>
      </c>
    </row>
    <row r="269" spans="1:98" x14ac:dyDescent="0.4">
      <c r="A269" t="str">
        <f>IF(CJ269="",D269&amp;"の"&amp;C269,CJ269&amp;"の"&amp;C269)</f>
        <v>魔獣皮の帯</v>
      </c>
      <c r="B269" t="str">
        <f>IFERROR(IF(CJ269="",VLOOKUP($D269,素材!$1:$1016,COLUMN($B$1),FALSE)&amp;"・"&amp;VLOOKUP($C269,武器!$1:$998,COLUMN(B$1),FALSE),VLOOKUP($CJ269,装強!$1:$1008,COLUMN($B$1),FALSE)&amp;"・"&amp;VLOOKUP($C269,武器!$1:$998,COLUMN(B$1),FALSE)),"")</f>
        <v>マジックレザー・ベルト</v>
      </c>
      <c r="C269" s="24" t="s">
        <v>204</v>
      </c>
      <c r="D269" s="24" t="s">
        <v>202</v>
      </c>
      <c r="E269" t="str">
        <f>IFERROR(VLOOKUP(C269,武器!$1:$998,COLUMN(C$1),FALSE),"")</f>
        <v>装飾</v>
      </c>
      <c r="F269">
        <f>IFERROR(ROUNDDOWN((VLOOKUP($C269,武器!$1:$998,COLUMN(D$1),FALSE)+IFERROR(VLOOKUP($CJ269,装強!$1:$999,COLUMN(F$1),FALSE),0))*VLOOKUP($D269,素材!$1:$1016,COLUMN(D$1),FALSE),0),"")</f>
        <v>0</v>
      </c>
      <c r="G269">
        <f>IFERROR(ROUNDDOWN((VLOOKUP($C269,武器!$1:$998,COLUMN(E$1),FALSE)+IFERROR(VLOOKUP($CJ269,装強!$1:$999,COLUMN(G$1),FALSE),0))*VLOOKUP($D269,素材!$1:$1016,COLUMN($E$1),FALSE),0),"")</f>
        <v>0</v>
      </c>
      <c r="H269">
        <f>IFERROR(ROUNDDOWN((VLOOKUP($C269,武器!$1:$998,COLUMN(F$1),FALSE)+IFERROR(VLOOKUP($CJ269,装強!$1:$999,COLUMN(H$1),FALSE),0))*VLOOKUP($D269,素材!$1:$1016,COLUMN($E$1),FALSE),0),"")</f>
        <v>0</v>
      </c>
      <c r="I269">
        <f>IFERROR(ROUNDDOWN((VLOOKUP($C269,武器!$1:$998,COLUMN(G$1),FALSE)+IFERROR(VLOOKUP($CJ269,装強!$1:$999,COLUMN(I$1),FALSE),0))*VLOOKUP($D269,素材!$1:$1016,COLUMN($E$1),FALSE),0),"")</f>
        <v>0</v>
      </c>
      <c r="J269">
        <f>IFERROR(ROUNDDOWN((VLOOKUP($C269,武器!$1:$998,COLUMN(H$1),FALSE)+IFERROR(VLOOKUP($CJ269,装強!$1:$999,COLUMN(J$1),FALSE),0))*VLOOKUP($D269,素材!$1:$1016,COLUMN($E$1),FALSE),0),"")</f>
        <v>0</v>
      </c>
      <c r="K269">
        <f>IFERROR(ROUNDDOWN((VLOOKUP($C269,武器!$1:$998,COLUMN(I$1),FALSE)+IFERROR(VLOOKUP($CJ269,装強!$1:$999,COLUMN(K$1),FALSE),0))*VLOOKUP($D269,素材!$1:$1016,COLUMN($E$1),FALSE),0),"")</f>
        <v>0</v>
      </c>
      <c r="L269" t="str">
        <f>IFERROR(VLOOKUP($D269,素材!$1:$1016,COLUMN($F$1),FALSE),"")</f>
        <v>魔法</v>
      </c>
      <c r="M269" t="str">
        <f>IFERROR(VLOOKUP($C269,武器!$1:$998,COLUMN(AA$1),FALSE)*VLOOKUP($D269,素材!$1:$1016,COLUMN($G$1),FALSE),"")</f>
        <v/>
      </c>
      <c r="N269">
        <f>IFERROR(VLOOKUP($C269,武器!$1:$998,COLUMN(I$1),FALSE),"")</f>
        <v>0</v>
      </c>
      <c r="O269" s="23" t="str">
        <f>IFERROR((VLOOKUP($C269,武器!$1:$998,COLUMN(K$1),FALSE)+VLOOKUP($D269,素材!$1:$1016,COLUMN(H$1),FALSE))*100+IFERROR(VLOOKUP($CJ269,装強!$1:$999,COLUMN(O$1),FALSE),0),"")</f>
        <v/>
      </c>
      <c r="P269" s="23" t="str">
        <f>IFERROR((VLOOKUP($C269,武器!$1:$998,COLUMN(L$1),FALSE)+VLOOKUP($D269,素材!$1:$1016,COLUMN(I$1),FALSE))*100+IFERROR(VLOOKUP($CJ269,装強!$1:$999,COLUMN(P$1),FALSE),0),"")</f>
        <v/>
      </c>
      <c r="Q269">
        <f>IFERROR(ROUNDUP(VLOOKUP($C269,武器!$1:$998,COLUMN(M$1),FALSE)*(VLOOKUP($D269,素材!$1:$1002,COLUMN(D$1),FALSE)/100),1),"")</f>
        <v>0</v>
      </c>
      <c r="R269">
        <f>IFERROR(ROUNDUP(VLOOKUP($C269,武器!$1:$998,COLUMN(N$1),FALSE)*(VLOOKUP($D269,素材!$1:$1002,COLUMN(D$1),FALSE)/100),1),"")</f>
        <v>0</v>
      </c>
      <c r="S269">
        <f>IFERROR(VLOOKUP($C269,武器!$1:$998,COLUMN(P$1),FALSE),"")</f>
        <v>0</v>
      </c>
      <c r="T269">
        <f>IFERROR(VLOOKUP($C269,武器!$1:$998,COLUMN(Q$1),FALSE),"")</f>
        <v>0</v>
      </c>
      <c r="U269">
        <f>IFERROR(VLOOKUP($C269,武器!$1:$998,COLUMN(R$1),FALSE),"")</f>
        <v>0</v>
      </c>
      <c r="V269">
        <f>IFERROR(VLOOKUP($C269,武器!$1:$998,COLUMN(Q$1),FALSE),"")</f>
        <v>0</v>
      </c>
      <c r="W269">
        <f>IFERROR(VLOOKUP($C269,武器!$1:$998,COLUMN(T$1),FALSE),"")</f>
        <v>0</v>
      </c>
      <c r="Y269">
        <f>IFERROR(VLOOKUP($C269,武器!$1:$998,COLUMN(U$1),FALSE),"")</f>
        <v>0</v>
      </c>
      <c r="Z269">
        <f>IFERROR(ROUNDUP(VLOOKUP($C269,武器!$1:$998,COLUMN(O$1),FALSE)*VLOOKUP($D269,素材!$1:$1016,COLUMN(E$1),FALSE),1),"")</f>
        <v>0</v>
      </c>
      <c r="AA269">
        <f>IF(ISNUMBER(SEARCH(SUBSTITUTE(AA$1,RIGHT(AA$1,2),""),VLOOKUP($D269,素材!$1:$1016,COLUMN($F$1),FALSE))),VLOOKUP($C269,武器!$1:$998,COLUMN($O$1),FALSE)*VLOOKUP($D269,素材!$1:$1016,COLUMN($E$1),FALSE)/(LEN(VLOOKUP($D269,素材!$1:$1016,COLUMN($F$1),FALSE))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B269">
        <f>IF(ISNUMBER(SEARCH(SUBSTITUTE(AB$1,RIGHT(AB$1,2),""),VLOOKUP($D269,素材!$1:$1016,COLUMN($F$1),FALSE))),VLOOKUP($C269,武器!$1:$998,COLUMN($O$1),FALSE)*VLOOKUP($D269,素材!$1:$1016,COLUMN($E$1),FALSE)/(LEN(VLOOKUP($D269,素材!$1:$1016,COLUMN($F$1),FALSE))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C269">
        <f>IF(ISNUMBER(SEARCH(SUBSTITUTE(AC$1,RIGHT(AC$1,2),""),VLOOKUP($D269,素材!$1:$1016,COLUMN($F$1),FALSE))),VLOOKUP($C269,武器!$1:$998,COLUMN($O$1),FALSE)*VLOOKUP($D269,素材!$1:$1016,COLUMN($E$1),FALSE)/(LEN(VLOOKUP($D269,素材!$1:$1016,COLUMN($F$1),FALSE))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D269">
        <f>IF(ISNUMBER(SEARCH(SUBSTITUTE(AD$1,RIGHT(AD$1,2),""),VLOOKUP($D269,素材!$1:$1016,COLUMN($F$1),FALSE))),VLOOKUP($C269,武器!$1:$998,COLUMN($O$1),FALSE)*VLOOKUP($D269,素材!$1:$1016,COLUMN($E$1),FALSE)/(LEN(VLOOKUP($D269,素材!$1:$1016,COLUMN($F$1),FALSE))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E269">
        <f>IF(ISNUMBER(SEARCH(SUBSTITUTE(AE$1,RIGHT(AE$1,2),""),VLOOKUP($D269,素材!$1:$1016,COLUMN($F$1),FALSE))),VLOOKUP($C269,武器!$1:$998,COLUMN($O$1),FALSE)*VLOOKUP($D269,素材!$1:$1016,COLUMN($E$1),FALSE)/(LEN(VLOOKUP($D269,素材!$1:$1016,COLUMN($F$1),FALSE))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F269">
        <f>IF(ISNUMBER(SEARCH(SUBSTITUTE(AF$1,RIGHT(AF$1,2),""),VLOOKUP($D269,素材!$1:$1016,COLUMN($F$1),FALSE))),VLOOKUP($C269,武器!$1:$998,COLUMN($O$1),FALSE)*VLOOKUP($D269,素材!$1:$1016,COLUMN($E$1),FALSE)/(LEN(VLOOKUP($D269,素材!$1:$1016,COLUMN($F$1),FALSE))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G269">
        <f>IF(ISNUMBER(SEARCH(SUBSTITUTE(AG$1,RIGHT(AG$1,2),""),VLOOKUP($D269,素材!$1:$1016,COLUMN($F$1),FALSE))),VLOOKUP($C269,武器!$1:$998,COLUMN($O$1),FALSE)*VLOOKUP($D269,素材!$1:$1016,COLUMN($E$1),FALSE)/(LEN(VLOOKUP($D269,素材!$1:$1016,COLUMN($F$1),FALSE))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H269">
        <f>IF(ISNUMBER(SEARCH(SUBSTITUTE(AH$1,RIGHT(AH$1,2),""),VLOOKUP($D269,素材!$1:$1016,COLUMN($F$1),FALSE))),VLOOKUP($C269,武器!$1:$998,COLUMN($O$1),FALSE)*VLOOKUP($D269,素材!$1:$1016,COLUMN($E$1),FALSE)/(LEN(VLOOKUP($D269,素材!$1:$1016,COLUMN($F$1),FALSE))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I269">
        <f>IF(ISNUMBER(SEARCH(SUBSTITUTE(AI$1,RIGHT(AI$1,2),""),VLOOKUP($D269,素材!$1:$1016,COLUMN($F$1),FALSE))),VLOOKUP($C269,武器!$1:$998,COLUMN($O$1),FALSE)*VLOOKUP($D269,素材!$1:$1016,COLUMN($E$1),FALSE)/(LEN(VLOOKUP($D269,素材!$1:$1016,COLUMN($F$1),FALSE))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J269">
        <f>IF(ISNUMBER(SEARCH(SUBSTITUTE(AJ$1,RIGHT(AJ$1,2),""),VLOOKUP($D269,素材!$1:$1016,COLUMN($F$1),FALSE))),VLOOKUP($C269,武器!$1:$998,COLUMN($O$1),FALSE)*VLOOKUP($D269,素材!$1:$1016,COLUMN($E$1),FALSE)/(LEN(VLOOKUP($D269,素材!$1:$1016,COLUMN($F$1),FALSE))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K269">
        <f>IF(ISNUMBER(SEARCH(SUBSTITUTE(AK$1,RIGHT(AK$1,2),""),VLOOKUP($D269,素材!$1:$1016,COLUMN($F$1),FALSE))),VLOOKUP($C269,武器!$1:$998,COLUMN($O$1),FALSE)*VLOOKUP($D269,素材!$1:$1016,COLUMN($E$1),FALSE)/(LEN(VLOOKUP($D269,素材!$1:$1016,COLUMN($F$1),FALSE))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L269">
        <f>IF(ISNUMBER(SEARCH(SUBSTITUTE(AL$1,RIGHT(AL$1,2),""),VLOOKUP($D269,素材!$1:$1016,COLUMN($F$1),FALSE))),VLOOKUP($C269,武器!$1:$998,COLUMN($O$1),FALSE)*VLOOKUP($D269,素材!$1:$1016,COLUMN($E$1),FALSE)/(LEN(VLOOKUP($D269,素材!$1:$1016,COLUMN($F$1),FALSE))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M269">
        <f>IF(ISNUMBER(SEARCH(SUBSTITUTE(AM$1,RIGHT(AM$1,2),""),VLOOKUP($D269,素材!$1:$1016,COLUMN($F$1),FALSE))),VLOOKUP($C269,武器!$1:$998,COLUMN($O$1),FALSE)*VLOOKUP($D269,素材!$1:$1016,COLUMN($E$1),FALSE)/(LEN(VLOOKUP($D269,素材!$1:$1016,COLUMN($F$1),FALSE))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N269">
        <f>IF(ISNUMBER(SEARCH(SUBSTITUTE(AN$1,RIGHT(AN$1,2),""),VLOOKUP($D269,素材!$1:$1016,COLUMN($F$1),FALSE))),VLOOKUP($C269,武器!$1:$998,COLUMN($O$1),FALSE)*VLOOKUP($D269,素材!$1:$1016,COLUMN($E$1),FALSE)/(LEN(VLOOKUP($D269,素材!$1:$1016,COLUMN($F$1),FALSE))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O269">
        <f>IF(ISNUMBER(SEARCH(SUBSTITUTE(AO$1,RIGHT(AO$1,2),""),VLOOKUP($D269,素材!$1:$1016,COLUMN($F$1),FALSE))),VLOOKUP($C269,武器!$1:$998,COLUMN($O$1),FALSE)*VLOOKUP($D269,素材!$1:$1016,COLUMN($E$1),FALSE)/(LEN(VLOOKUP($D269,素材!$1:$1016,COLUMN($F$1),FALSE))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P269">
        <f>IF(ISNUMBER(SEARCH(SUBSTITUTE(AP$1,RIGHT(AP$1,2),""),VLOOKUP($D269,素材!$1:$1016,COLUMN($F$1),FALSE))),VLOOKUP($C269,武器!$1:$998,COLUMN($O$1),FALSE)*VLOOKUP($D269,素材!$1:$1016,COLUMN($E$1),FALSE)/(LEN(VLOOKUP($D269,素材!$1:$1016,COLUMN($F$1),FALSE))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Q269">
        <f>IF(ISNUMBER(SEARCH(SUBSTITUTE(AQ$1,RIGHT(AQ$1,2),""),VLOOKUP($D269,素材!$1:$1016,COLUMN($F$1),FALSE))),VLOOKUP($C269,武器!$1:$998,COLUMN($O$1),FALSE)*VLOOKUP($D269,素材!$1:$1016,COLUMN($E$1),FALSE)/(LEN(VLOOKUP($D269,素材!$1:$1016,COLUMN($F$1),FALSE))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R269">
        <f>IF(ISNUMBER(SEARCH(SUBSTITUTE(AR$1,RIGHT(AR$1,2),""),VLOOKUP($D269,素材!$1:$1016,COLUMN($F$1),FALSE))),VLOOKUP($C269,武器!$1:$998,COLUMN($O$1),FALSE)*VLOOKUP($D269,素材!$1:$1016,COLUMN($E$1),FALSE)/(LEN(VLOOKUP($D269,素材!$1:$1016,COLUMN($F$1),FALSE))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S269">
        <f>IF(ISNUMBER(SEARCH(SUBSTITUTE(AS$1,RIGHT(AS$1,2),""),VLOOKUP($D269,素材!$1:$1016,COLUMN($F$1),FALSE))),VLOOKUP($C269,武器!$1:$998,COLUMN($O$1),FALSE)*VLOOKUP($D269,素材!$1:$1016,COLUMN($E$1),FALSE)/(LEN(VLOOKUP($D269,素材!$1:$1016,COLUMN($F$1),FALSE))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T269">
        <f>IF(ISNUMBER(SEARCH(SUBSTITUTE(AT$1,RIGHT(AT$1,2),""),VLOOKUP($D269,素材!$1:$1016,COLUMN($F$1),FALSE))),VLOOKUP($C269,武器!$1:$998,COLUMN($O$1),FALSE)*VLOOKUP($D269,素材!$1:$1016,COLUMN($E$1),FALSE)/(LEN(VLOOKUP($D269,素材!$1:$1016,COLUMN($F$1),FALSE))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U269">
        <f>IF(ISNUMBER(SEARCH(SUBSTITUTE(AU$1,RIGHT(AU$1,2),""),VLOOKUP($D269,素材!$1:$1016,COLUMN($F$1),FALSE))),VLOOKUP($C269,武器!$1:$998,COLUMN($O$1),FALSE)*VLOOKUP($D269,素材!$1:$1016,COLUMN($E$1),FALSE)/(LEN(VLOOKUP($D269,素材!$1:$1016,COLUMN($F$1),FALSE))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V269">
        <f>IF(ISNUMBER(SEARCH(SUBSTITUTE(AV$1,RIGHT(AV$1,2),""),VLOOKUP($D269,素材!$1:$1016,COLUMN($F$1),FALSE))),VLOOKUP($C269,武器!$1:$998,COLUMN($O$1),FALSE)*VLOOKUP($D269,素材!$1:$1016,COLUMN($E$1),FALSE)/(LEN(VLOOKUP($D269,素材!$1:$1016,COLUMN($F$1),FALSE))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W269">
        <f>IF(ISNUMBER(SEARCH(SUBSTITUTE(AW$1,RIGHT(AW$1,2),""),VLOOKUP($D269,素材!$1:$1016,COLUMN($F$1),FALSE))),VLOOKUP($C269,武器!$1:$998,COLUMN($O$1),FALSE)*VLOOKUP($D269,素材!$1:$1016,COLUMN($E$1),FALSE)/(LEN(VLOOKUP($D269,素材!$1:$1016,COLUMN($F$1),FALSE))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X269">
        <f>IF(ISNUMBER(SEARCH(SUBSTITUTE(AX$1,RIGHT(AX$1,2),""),VLOOKUP($D269,素材!$1:$1016,COLUMN($F$1),FALSE))),VLOOKUP($C269,武器!$1:$998,COLUMN($O$1),FALSE)*VLOOKUP($D269,素材!$1:$1016,COLUMN($E$1),FALSE)/(LEN(VLOOKUP($D269,素材!$1:$1016,COLUMN($F$1),FALSE))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Y269">
        <f>IF(ISNUMBER(SEARCH(SUBSTITUTE(AY$1,RIGHT(AY$1,2),""),VLOOKUP($D269,素材!$1:$1016,COLUMN($F$1),FALSE))),VLOOKUP($C269,武器!$1:$998,COLUMN($O$1),FALSE)*VLOOKUP($D269,素材!$1:$1016,COLUMN($E$1),FALSE)/(LEN(VLOOKUP($D269,素材!$1:$1016,COLUMN($F$1),FALSE))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AZ269">
        <f>IF(ISNUMBER(SEARCH(SUBSTITUTE(AZ$1,RIGHT(AZ$1,2),""),VLOOKUP($D269,素材!$1:$1016,COLUMN($F$1),FALSE))),VLOOKUP($C269,武器!$1:$998,COLUMN($O$1),FALSE)*VLOOKUP($D269,素材!$1:$1016,COLUMN($E$1),FALSE)/(LEN(VLOOKUP($D269,素材!$1:$1016,COLUMN($F$1),FALSE))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BA269">
        <f>IF(ISNUMBER(SEARCH(SUBSTITUTE(BA$1,RIGHT(BA$1,2),""),VLOOKUP($D269,素材!$1:$1016,COLUMN($F$1),FALSE))),VLOOKUP($C269,武器!$1:$998,COLUMN($O$1),FALSE)*VLOOKUP($D269,素材!$1:$1016,COLUMN($E$1),FALSE)/(LEN(VLOOKUP($D269,素材!$1:$1016,COLUMN($F$1),FALSE))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BB269">
        <f>IF(ISNUMBER(SEARCH(SUBSTITUTE(BB$1,RIGHT(BB$1,2),""),VLOOKUP($D269,素材!$1:$1016,COLUMN($F$1),FALSE))),VLOOKUP($C269,武器!$1:$998,COLUMN($O$1),FALSE)*VLOOKUP($D269,素材!$1:$1016,COLUMN($E$1),FALSE)/(LEN(VLOOKUP($D269,素材!$1:$1016,COLUMN($F$1),FALSE))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BC269">
        <f>IF(ISNUMBER(SEARCH(SUBSTITUTE(BC$1,RIGHT(BC$1,2),""),VLOOKUP($D269,素材!$1:$1016,COLUMN($F$1),FALSE))),VLOOKUP($C269,武器!$1:$998,COLUMN($O$1),FALSE)*VLOOKUP($D269,素材!$1:$1016,COLUMN($E$1),FALSE)/(LEN(VLOOKUP($D269,素材!$1:$1016,COLUMN($F$1),FALSE))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BD269">
        <f>IF(ISNUMBER(SEARCH(SUBSTITUTE(BD$1,RIGHT(BD$1,2),""),VLOOKUP($D269,素材!$1:$1016,COLUMN($F$1),FALSE))),VLOOKUP($C269,武器!$1:$998,COLUMN($O$1),FALSE)*VLOOKUP($D269,素材!$1:$1016,COLUMN($E$1),FALSE)/(LEN(VLOOKUP($D269,素材!$1:$1016,COLUMN($F$1),FALSE))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BE269">
        <f>IF(ISNUMBER(SEARCH(SUBSTITUTE(BE$1,RIGHT(BE$1,2),""),VLOOKUP($D269,素材!$1:$1016,COLUMN($F$1),FALSE))),VLOOKUP($C269,武器!$1:$998,COLUMN($O$1),FALSE)*VLOOKUP($D269,素材!$1:$1016,COLUMN($E$1),FALSE)/(LEN(VLOOKUP($D269,素材!$1:$1016,COLUMN($F$1),FALSE))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BF269">
        <f>IF(ISNUMBER(SEARCH(SUBSTITUTE(BF$1,RIGHT(BF$1,2),""),VLOOKUP($D269,素材!$1:$1016,COLUMN($F$1),FALSE))),VLOOKUP($C269,武器!$1:$998,COLUMN($O$1),FALSE)*VLOOKUP($D269,素材!$1:$1016,COLUMN($E$1),FALSE)/(LEN(VLOOKUP($D269,素材!$1:$1016,COLUMN($F$1),FALSE)) - LEN(SUBSTITUTE(VLOOKUP($D269,素材!$1:$1016,COLUMN($F$1),FALSE), "・", 0)) + 1), 0)</f>
        <v>0</v>
      </c>
      <c r="CM269">
        <f t="shared" si="36"/>
        <v>0</v>
      </c>
      <c r="CN269" s="22" t="str">
        <f>IF(E269="武器",IF(J269-1&gt;SUM(G269:I269),"盾",IF(MAX(G269:I269)=G269,"切断",IF(MAX(G269:I269)=H269,"貫通",IF(MAX(G269:I269)=I269,"打撃","射撃")))),E269)&amp;".webp"</f>
        <v>装飾.webp</v>
      </c>
      <c r="CO269">
        <f>IFERROR(VLOOKUP($C269,武器!$1:$998,COLUMN(V$1),FALSE)*VLOOKUP($D269,素材!$1:$1016,COLUMN(N$1),FALSE)+IF(CJ269="",0,VLOOKUP($CJ269,装強!$1:$1008,COLUMN($CL$1),FALSE)),"")</f>
        <v>1500</v>
      </c>
      <c r="CP269" t="str">
        <f>VLOOKUP(D269,素材!$A:$O,COLUMN(素材!O$1),FALSE)</f>
        <v>魔力を帯びた特殊な皮素材。魔法防御や属性耐性を強化する効果があり、高レベルの冒険者に重宝されます。</v>
      </c>
      <c r="CQ269" t="str">
        <f>VLOOKUP(C269,武器!$A:$W,COLUMN(武器!W$1),FALSE)</f>
        <v xml:space="preserve">HP ST 攻撃 防御 体幹 怯み 疲労 </v>
      </c>
      <c r="CS269" t="str">
        <f t="shared" si="37"/>
        <v>e_269</v>
      </c>
      <c r="CT269">
        <f t="shared" si="38"/>
        <v>150000</v>
      </c>
    </row>
    <row r="270" spans="1:98" hidden="1" outlineLevel="1" x14ac:dyDescent="0.4">
      <c r="A270" t="str">
        <f>IF(CJ270="",D270&amp;"の"&amp;C270,CJ270&amp;"の"&amp;C270)</f>
        <v>魔獣皮の帯</v>
      </c>
      <c r="B270" t="str">
        <f>IFERROR(IF(CJ270="",VLOOKUP($D270,素材!$1:$1016,COLUMN($B$1),FALSE)&amp;"・"&amp;VLOOKUP($C270,武器!$1:$998,COLUMN(B$1),FALSE),VLOOKUP($CJ270,装強!$1:$1008,COLUMN($B$1),FALSE)&amp;"・"&amp;VLOOKUP($C270,武器!$1:$998,COLUMN(B$1),FALSE)),"")</f>
        <v>マジックレザー・ベルト</v>
      </c>
      <c r="C270" s="24" t="s">
        <v>204</v>
      </c>
      <c r="D270" s="24" t="s">
        <v>202</v>
      </c>
      <c r="E270" t="str">
        <f>IFERROR(VLOOKUP(C270,武器!$1:$998,COLUMN(C$1),FALSE),"")</f>
        <v>装飾</v>
      </c>
      <c r="F270">
        <f>IFERROR(ROUNDDOWN((VLOOKUP($C270,武器!$1:$998,COLUMN(D$1),FALSE)+IFERROR(VLOOKUP($CJ270,装強!$1:$999,COLUMN(F$1),FALSE),0))*VLOOKUP($D270,素材!$1:$1016,COLUMN(D$1),FALSE),0),"")</f>
        <v>0</v>
      </c>
      <c r="G270">
        <f>IFERROR(ROUNDDOWN((VLOOKUP($C270,武器!$1:$998,COLUMN(E$1),FALSE)+IFERROR(VLOOKUP($CJ270,装強!$1:$999,COLUMN(G$1),FALSE),0))*VLOOKUP($D270,素材!$1:$1016,COLUMN($E$1),FALSE),0),"")</f>
        <v>0</v>
      </c>
      <c r="H270">
        <f>IFERROR(ROUNDDOWN((VLOOKUP($C270,武器!$1:$998,COLUMN(F$1),FALSE)+IFERROR(VLOOKUP($CJ270,装強!$1:$999,COLUMN(H$1),FALSE),0))*VLOOKUP($D270,素材!$1:$1016,COLUMN($E$1),FALSE),0),"")</f>
        <v>0</v>
      </c>
      <c r="I270">
        <f>IFERROR(ROUNDDOWN((VLOOKUP($C270,武器!$1:$998,COLUMN(G$1),FALSE)+IFERROR(VLOOKUP($CJ270,装強!$1:$999,COLUMN(I$1),FALSE),0))*VLOOKUP($D270,素材!$1:$1016,COLUMN($E$1),FALSE),0),"")</f>
        <v>0</v>
      </c>
      <c r="J270">
        <f>IFERROR(ROUNDDOWN((VLOOKUP($C270,武器!$1:$998,COLUMN(H$1),FALSE)+IFERROR(VLOOKUP($CJ270,装強!$1:$999,COLUMN(J$1),FALSE),0))*VLOOKUP($D270,素材!$1:$1016,COLUMN($E$1),FALSE),0),"")</f>
        <v>0</v>
      </c>
      <c r="K270">
        <f>IFERROR(ROUNDDOWN((VLOOKUP($C270,武器!$1:$998,COLUMN(I$1),FALSE)+IFERROR(VLOOKUP($CJ270,装強!$1:$999,COLUMN(K$1),FALSE),0))*VLOOKUP($D270,素材!$1:$1016,COLUMN($E$1),FALSE),0),"")</f>
        <v>0</v>
      </c>
      <c r="L270" t="str">
        <f>IFERROR(VLOOKUP($D270,素材!$1:$1016,COLUMN($F$1),FALSE),"")</f>
        <v>魔法</v>
      </c>
      <c r="M270" t="str">
        <f>IFERROR(VLOOKUP($C270,武器!$1:$998,COLUMN(AA$1),FALSE)*VLOOKUP($D270,素材!$1:$1016,COLUMN($G$1),FALSE),"")</f>
        <v/>
      </c>
      <c r="N270">
        <f>IFERROR(VLOOKUP($C270,武器!$1:$998,COLUMN(I$1),FALSE),"")</f>
        <v>0</v>
      </c>
      <c r="O270" s="23" t="str">
        <f>IFERROR((VLOOKUP($C270,武器!$1:$998,COLUMN(K$1),FALSE)+VLOOKUP($D270,素材!$1:$1016,COLUMN(H$1),FALSE))*100+IFERROR(VLOOKUP($CJ270,装強!$1:$999,COLUMN(O$1),FALSE),0),"")</f>
        <v/>
      </c>
      <c r="P270" s="23" t="str">
        <f>IFERROR((VLOOKUP($C270,武器!$1:$998,COLUMN(L$1),FALSE)+VLOOKUP($D270,素材!$1:$1016,COLUMN(I$1),FALSE))*100+IFERROR(VLOOKUP($CJ270,装強!$1:$999,COLUMN(P$1),FALSE),0),"")</f>
        <v/>
      </c>
      <c r="Q270">
        <f>IFERROR(ROUNDUP(VLOOKUP($C270,武器!$1:$998,COLUMN(M$1),FALSE)*(VLOOKUP($D270,素材!$1:$1002,COLUMN(D$1),FALSE)/100),1),"")</f>
        <v>0</v>
      </c>
      <c r="R270">
        <f>IFERROR(ROUNDUP(VLOOKUP($C270,武器!$1:$998,COLUMN(N$1),FALSE)*(VLOOKUP($D270,素材!$1:$1002,COLUMN(D$1),FALSE)/100),1),"")</f>
        <v>0</v>
      </c>
      <c r="S270">
        <f>IFERROR(VLOOKUP($C270,武器!$1:$998,COLUMN(P$1),FALSE),"")</f>
        <v>0</v>
      </c>
      <c r="T270">
        <f>IFERROR(VLOOKUP($C270,武器!$1:$998,COLUMN(Q$1),FALSE),"")</f>
        <v>0</v>
      </c>
      <c r="U270">
        <f>IFERROR(VLOOKUP($C270,武器!$1:$998,COLUMN(R$1),FALSE),"")</f>
        <v>0</v>
      </c>
      <c r="V270">
        <f>IFERROR(VLOOKUP($C270,武器!$1:$998,COLUMN(Q$1),FALSE),"")</f>
        <v>0</v>
      </c>
      <c r="W270">
        <f>IFERROR(VLOOKUP($C270,武器!$1:$998,COLUMN(T$1),FALSE),"")</f>
        <v>0</v>
      </c>
      <c r="Y270">
        <f>IFERROR(VLOOKUP($C270,武器!$1:$998,COLUMN(U$1),FALSE),"")</f>
        <v>0</v>
      </c>
      <c r="Z270">
        <f>IFERROR(ROUNDUP(VLOOKUP($C270,武器!$1:$998,COLUMN(O$1),FALSE)*VLOOKUP($D270,素材!$1:$1016,COLUMN(E$1),FALSE),1),"")</f>
        <v>0</v>
      </c>
      <c r="AA270">
        <f>IF(ISNUMBER(SEARCH(SUBSTITUTE(AA$1,RIGHT(AA$1,2),""),VLOOKUP($D270,素材!$1:$1016,COLUMN($F$1),FALSE))),VLOOKUP($C270,武器!$1:$998,COLUMN($O$1),FALSE)*VLOOKUP($D270,素材!$1:$1016,COLUMN($E$1),FALSE)/(LEN(VLOOKUP($D270,素材!$1:$1016,COLUMN($F$1),FALSE))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B270">
        <f>IF(ISNUMBER(SEARCH(SUBSTITUTE(AB$1,RIGHT(AB$1,2),""),VLOOKUP($D270,素材!$1:$1016,COLUMN($F$1),FALSE))),VLOOKUP($C270,武器!$1:$998,COLUMN($O$1),FALSE)*VLOOKUP($D270,素材!$1:$1016,COLUMN($E$1),FALSE)/(LEN(VLOOKUP($D270,素材!$1:$1016,COLUMN($F$1),FALSE))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C270">
        <f>IF(ISNUMBER(SEARCH(SUBSTITUTE(AC$1,RIGHT(AC$1,2),""),VLOOKUP($D270,素材!$1:$1016,COLUMN($F$1),FALSE))),VLOOKUP($C270,武器!$1:$998,COLUMN($O$1),FALSE)*VLOOKUP($D270,素材!$1:$1016,COLUMN($E$1),FALSE)/(LEN(VLOOKUP($D270,素材!$1:$1016,COLUMN($F$1),FALSE))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D270">
        <f>IF(ISNUMBER(SEARCH(SUBSTITUTE(AD$1,RIGHT(AD$1,2),""),VLOOKUP($D270,素材!$1:$1016,COLUMN($F$1),FALSE))),VLOOKUP($C270,武器!$1:$998,COLUMN($O$1),FALSE)*VLOOKUP($D270,素材!$1:$1016,COLUMN($E$1),FALSE)/(LEN(VLOOKUP($D270,素材!$1:$1016,COLUMN($F$1),FALSE))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E270">
        <f>IF(ISNUMBER(SEARCH(SUBSTITUTE(AE$1,RIGHT(AE$1,2),""),VLOOKUP($D270,素材!$1:$1016,COLUMN($F$1),FALSE))),VLOOKUP($C270,武器!$1:$998,COLUMN($O$1),FALSE)*VLOOKUP($D270,素材!$1:$1016,COLUMN($E$1),FALSE)/(LEN(VLOOKUP($D270,素材!$1:$1016,COLUMN($F$1),FALSE))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F270">
        <f>IF(ISNUMBER(SEARCH(SUBSTITUTE(AF$1,RIGHT(AF$1,2),""),VLOOKUP($D270,素材!$1:$1016,COLUMN($F$1),FALSE))),VLOOKUP($C270,武器!$1:$998,COLUMN($O$1),FALSE)*VLOOKUP($D270,素材!$1:$1016,COLUMN($E$1),FALSE)/(LEN(VLOOKUP($D270,素材!$1:$1016,COLUMN($F$1),FALSE))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G270">
        <f>IF(ISNUMBER(SEARCH(SUBSTITUTE(AG$1,RIGHT(AG$1,2),""),VLOOKUP($D270,素材!$1:$1016,COLUMN($F$1),FALSE))),VLOOKUP($C270,武器!$1:$998,COLUMN($O$1),FALSE)*VLOOKUP($D270,素材!$1:$1016,COLUMN($E$1),FALSE)/(LEN(VLOOKUP($D270,素材!$1:$1016,COLUMN($F$1),FALSE))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H270">
        <f>IF(ISNUMBER(SEARCH(SUBSTITUTE(AH$1,RIGHT(AH$1,2),""),VLOOKUP($D270,素材!$1:$1016,COLUMN($F$1),FALSE))),VLOOKUP($C270,武器!$1:$998,COLUMN($O$1),FALSE)*VLOOKUP($D270,素材!$1:$1016,COLUMN($E$1),FALSE)/(LEN(VLOOKUP($D270,素材!$1:$1016,COLUMN($F$1),FALSE))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I270">
        <f>IF(ISNUMBER(SEARCH(SUBSTITUTE(AI$1,RIGHT(AI$1,2),""),VLOOKUP($D270,素材!$1:$1016,COLUMN($F$1),FALSE))),VLOOKUP($C270,武器!$1:$998,COLUMN($O$1),FALSE)*VLOOKUP($D270,素材!$1:$1016,COLUMN($E$1),FALSE)/(LEN(VLOOKUP($D270,素材!$1:$1016,COLUMN($F$1),FALSE))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J270">
        <f>IF(ISNUMBER(SEARCH(SUBSTITUTE(AJ$1,RIGHT(AJ$1,2),""),VLOOKUP($D270,素材!$1:$1016,COLUMN($F$1),FALSE))),VLOOKUP($C270,武器!$1:$998,COLUMN($O$1),FALSE)*VLOOKUP($D270,素材!$1:$1016,COLUMN($E$1),FALSE)/(LEN(VLOOKUP($D270,素材!$1:$1016,COLUMN($F$1),FALSE))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K270">
        <f>IF(ISNUMBER(SEARCH(SUBSTITUTE(AK$1,RIGHT(AK$1,2),""),VLOOKUP($D270,素材!$1:$1016,COLUMN($F$1),FALSE))),VLOOKUP($C270,武器!$1:$998,COLUMN($O$1),FALSE)*VLOOKUP($D270,素材!$1:$1016,COLUMN($E$1),FALSE)/(LEN(VLOOKUP($D270,素材!$1:$1016,COLUMN($F$1),FALSE))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L270">
        <f>IF(ISNUMBER(SEARCH(SUBSTITUTE(AL$1,RIGHT(AL$1,2),""),VLOOKUP($D270,素材!$1:$1016,COLUMN($F$1),FALSE))),VLOOKUP($C270,武器!$1:$998,COLUMN($O$1),FALSE)*VLOOKUP($D270,素材!$1:$1016,COLUMN($E$1),FALSE)/(LEN(VLOOKUP($D270,素材!$1:$1016,COLUMN($F$1),FALSE))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M270">
        <f>IF(ISNUMBER(SEARCH(SUBSTITUTE(AM$1,RIGHT(AM$1,2),""),VLOOKUP($D270,素材!$1:$1016,COLUMN($F$1),FALSE))),VLOOKUP($C270,武器!$1:$998,COLUMN($O$1),FALSE)*VLOOKUP($D270,素材!$1:$1016,COLUMN($E$1),FALSE)/(LEN(VLOOKUP($D270,素材!$1:$1016,COLUMN($F$1),FALSE))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N270">
        <f>IF(ISNUMBER(SEARCH(SUBSTITUTE(AN$1,RIGHT(AN$1,2),""),VLOOKUP($D270,素材!$1:$1016,COLUMN($F$1),FALSE))),VLOOKUP($C270,武器!$1:$998,COLUMN($O$1),FALSE)*VLOOKUP($D270,素材!$1:$1016,COLUMN($E$1),FALSE)/(LEN(VLOOKUP($D270,素材!$1:$1016,COLUMN($F$1),FALSE))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O270">
        <f>IF(ISNUMBER(SEARCH(SUBSTITUTE(AO$1,RIGHT(AO$1,2),""),VLOOKUP($D270,素材!$1:$1016,COLUMN($F$1),FALSE))),VLOOKUP($C270,武器!$1:$998,COLUMN($O$1),FALSE)*VLOOKUP($D270,素材!$1:$1016,COLUMN($E$1),FALSE)/(LEN(VLOOKUP($D270,素材!$1:$1016,COLUMN($F$1),FALSE))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P270">
        <f>IF(ISNUMBER(SEARCH(SUBSTITUTE(AP$1,RIGHT(AP$1,2),""),VLOOKUP($D270,素材!$1:$1016,COLUMN($F$1),FALSE))),VLOOKUP($C270,武器!$1:$998,COLUMN($O$1),FALSE)*VLOOKUP($D270,素材!$1:$1016,COLUMN($E$1),FALSE)/(LEN(VLOOKUP($D270,素材!$1:$1016,COLUMN($F$1),FALSE))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Q270">
        <f>IF(ISNUMBER(SEARCH(SUBSTITUTE(AQ$1,RIGHT(AQ$1,2),""),VLOOKUP($D270,素材!$1:$1016,COLUMN($F$1),FALSE))),VLOOKUP($C270,武器!$1:$998,COLUMN($O$1),FALSE)*VLOOKUP($D270,素材!$1:$1016,COLUMN($E$1),FALSE)/(LEN(VLOOKUP($D270,素材!$1:$1016,COLUMN($F$1),FALSE))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R270">
        <f>IF(ISNUMBER(SEARCH(SUBSTITUTE(AR$1,RIGHT(AR$1,2),""),VLOOKUP($D270,素材!$1:$1016,COLUMN($F$1),FALSE))),VLOOKUP($C270,武器!$1:$998,COLUMN($O$1),FALSE)*VLOOKUP($D270,素材!$1:$1016,COLUMN($E$1),FALSE)/(LEN(VLOOKUP($D270,素材!$1:$1016,COLUMN($F$1),FALSE))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S270">
        <f>IF(ISNUMBER(SEARCH(SUBSTITUTE(AS$1,RIGHT(AS$1,2),""),VLOOKUP($D270,素材!$1:$1016,COLUMN($F$1),FALSE))),VLOOKUP($C270,武器!$1:$998,COLUMN($O$1),FALSE)*VLOOKUP($D270,素材!$1:$1016,COLUMN($E$1),FALSE)/(LEN(VLOOKUP($D270,素材!$1:$1016,COLUMN($F$1),FALSE))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T270">
        <f>IF(ISNUMBER(SEARCH(SUBSTITUTE(AT$1,RIGHT(AT$1,2),""),VLOOKUP($D270,素材!$1:$1016,COLUMN($F$1),FALSE))),VLOOKUP($C270,武器!$1:$998,COLUMN($O$1),FALSE)*VLOOKUP($D270,素材!$1:$1016,COLUMN($E$1),FALSE)/(LEN(VLOOKUP($D270,素材!$1:$1016,COLUMN($F$1),FALSE))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U270">
        <f>IF(ISNUMBER(SEARCH(SUBSTITUTE(AU$1,RIGHT(AU$1,2),""),VLOOKUP($D270,素材!$1:$1016,COLUMN($F$1),FALSE))),VLOOKUP($C270,武器!$1:$998,COLUMN($O$1),FALSE)*VLOOKUP($D270,素材!$1:$1016,COLUMN($E$1),FALSE)/(LEN(VLOOKUP($D270,素材!$1:$1016,COLUMN($F$1),FALSE))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V270">
        <f>IF(ISNUMBER(SEARCH(SUBSTITUTE(AV$1,RIGHT(AV$1,2),""),VLOOKUP($D270,素材!$1:$1016,COLUMN($F$1),FALSE))),VLOOKUP($C270,武器!$1:$998,COLUMN($O$1),FALSE)*VLOOKUP($D270,素材!$1:$1016,COLUMN($E$1),FALSE)/(LEN(VLOOKUP($D270,素材!$1:$1016,COLUMN($F$1),FALSE))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W270">
        <f>IF(ISNUMBER(SEARCH(SUBSTITUTE(AW$1,RIGHT(AW$1,2),""),VLOOKUP($D270,素材!$1:$1016,COLUMN($F$1),FALSE))),VLOOKUP($C270,武器!$1:$998,COLUMN($O$1),FALSE)*VLOOKUP($D270,素材!$1:$1016,COLUMN($E$1),FALSE)/(LEN(VLOOKUP($D270,素材!$1:$1016,COLUMN($F$1),FALSE))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X270">
        <f>IF(ISNUMBER(SEARCH(SUBSTITUTE(AX$1,RIGHT(AX$1,2),""),VLOOKUP($D270,素材!$1:$1016,COLUMN($F$1),FALSE))),VLOOKUP($C270,武器!$1:$998,COLUMN($O$1),FALSE)*VLOOKUP($D270,素材!$1:$1016,COLUMN($E$1),FALSE)/(LEN(VLOOKUP($D270,素材!$1:$1016,COLUMN($F$1),FALSE))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Y270">
        <f>IF(ISNUMBER(SEARCH(SUBSTITUTE(AY$1,RIGHT(AY$1,2),""),VLOOKUP($D270,素材!$1:$1016,COLUMN($F$1),FALSE))),VLOOKUP($C270,武器!$1:$998,COLUMN($O$1),FALSE)*VLOOKUP($D270,素材!$1:$1016,COLUMN($E$1),FALSE)/(LEN(VLOOKUP($D270,素材!$1:$1016,COLUMN($F$1),FALSE))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AZ270">
        <f>IF(ISNUMBER(SEARCH(SUBSTITUTE(AZ$1,RIGHT(AZ$1,2),""),VLOOKUP($D270,素材!$1:$1016,COLUMN($F$1),FALSE))),VLOOKUP($C270,武器!$1:$998,COLUMN($O$1),FALSE)*VLOOKUP($D270,素材!$1:$1016,COLUMN($E$1),FALSE)/(LEN(VLOOKUP($D270,素材!$1:$1016,COLUMN($F$1),FALSE))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BA270">
        <f>IF(ISNUMBER(SEARCH(SUBSTITUTE(BA$1,RIGHT(BA$1,2),""),VLOOKUP($D270,素材!$1:$1016,COLUMN($F$1),FALSE))),VLOOKUP($C270,武器!$1:$998,COLUMN($O$1),FALSE)*VLOOKUP($D270,素材!$1:$1016,COLUMN($E$1),FALSE)/(LEN(VLOOKUP($D270,素材!$1:$1016,COLUMN($F$1),FALSE))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BB270">
        <f>IF(ISNUMBER(SEARCH(SUBSTITUTE(BB$1,RIGHT(BB$1,2),""),VLOOKUP($D270,素材!$1:$1016,COLUMN($F$1),FALSE))),VLOOKUP($C270,武器!$1:$998,COLUMN($O$1),FALSE)*VLOOKUP($D270,素材!$1:$1016,COLUMN($E$1),FALSE)/(LEN(VLOOKUP($D270,素材!$1:$1016,COLUMN($F$1),FALSE))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BC270">
        <f>IF(ISNUMBER(SEARCH(SUBSTITUTE(BC$1,RIGHT(BC$1,2),""),VLOOKUP($D270,素材!$1:$1016,COLUMN($F$1),FALSE))),VLOOKUP($C270,武器!$1:$998,COLUMN($O$1),FALSE)*VLOOKUP($D270,素材!$1:$1016,COLUMN($E$1),FALSE)/(LEN(VLOOKUP($D270,素材!$1:$1016,COLUMN($F$1),FALSE))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BD270">
        <f>IF(ISNUMBER(SEARCH(SUBSTITUTE(BD$1,RIGHT(BD$1,2),""),VLOOKUP($D270,素材!$1:$1016,COLUMN($F$1),FALSE))),VLOOKUP($C270,武器!$1:$998,COLUMN($O$1),FALSE)*VLOOKUP($D270,素材!$1:$1016,COLUMN($E$1),FALSE)/(LEN(VLOOKUP($D270,素材!$1:$1016,COLUMN($F$1),FALSE))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BE270">
        <f>IF(ISNUMBER(SEARCH(SUBSTITUTE(BE$1,RIGHT(BE$1,2),""),VLOOKUP($D270,素材!$1:$1016,COLUMN($F$1),FALSE))),VLOOKUP($C270,武器!$1:$998,COLUMN($O$1),FALSE)*VLOOKUP($D270,素材!$1:$1016,COLUMN($E$1),FALSE)/(LEN(VLOOKUP($D270,素材!$1:$1016,COLUMN($F$1),FALSE))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BF270">
        <f>IF(ISNUMBER(SEARCH(SUBSTITUTE(BF$1,RIGHT(BF$1,2),""),VLOOKUP($D270,素材!$1:$1016,COLUMN($F$1),FALSE))),VLOOKUP($C270,武器!$1:$998,COLUMN($O$1),FALSE)*VLOOKUP($D270,素材!$1:$1016,COLUMN($E$1),FALSE)/(LEN(VLOOKUP($D270,素材!$1:$1016,COLUMN($F$1),FALSE)) - LEN(SUBSTITUTE(VLOOKUP($D270,素材!$1:$1016,COLUMN($F$1),FALSE), "・", 0)) + 1), 0)</f>
        <v>0</v>
      </c>
      <c r="CM270">
        <f t="shared" si="36"/>
        <v>0</v>
      </c>
      <c r="CN270" s="22" t="str">
        <f>IF(E270="武器",IF(J270-1&gt;SUM(G270:I270),"盾",IF(MAX(G270:I270)=G270,"切断",IF(MAX(G270:I270)=H270,"貫通",IF(MAX(G270:I270)=I270,"打撃","射撃")))),E270)&amp;".webp"</f>
        <v>装飾.webp</v>
      </c>
      <c r="CO270">
        <f>IFERROR(VLOOKUP($C270,武器!$1:$998,COLUMN(V$1),FALSE)*VLOOKUP($D270,素材!$1:$1016,COLUMN(N$1),FALSE)+IF(CJ270="",0,VLOOKUP($CJ270,装強!$1:$1008,COLUMN($CL$1),FALSE)),"")</f>
        <v>1500</v>
      </c>
      <c r="CP270" t="str">
        <f>VLOOKUP(D270,素材!$A:$O,COLUMN(素材!O$1),FALSE)</f>
        <v>魔力を帯びた特殊な皮素材。魔法防御や属性耐性を強化する効果があり、高レベルの冒険者に重宝されます。</v>
      </c>
      <c r="CQ270" t="str">
        <f>VLOOKUP(C270,武器!$A:$W,COLUMN(武器!W$1),FALSE)</f>
        <v xml:space="preserve">HP ST 攻撃 防御 体幹 怯み 疲労 </v>
      </c>
      <c r="CS270" t="str">
        <f t="shared" si="37"/>
        <v>e_270</v>
      </c>
      <c r="CT270">
        <f t="shared" si="38"/>
        <v>150000</v>
      </c>
    </row>
    <row r="271" spans="1:98" hidden="1" outlineLevel="1" x14ac:dyDescent="0.4">
      <c r="A271" t="str">
        <f>IF(CJ271="",D271&amp;"の"&amp;C271,CJ271&amp;"の"&amp;C271)</f>
        <v>魔獣皮の帯</v>
      </c>
      <c r="B271" t="str">
        <f>IFERROR(IF(CJ271="",VLOOKUP($D271,素材!$1:$1016,COLUMN($B$1),FALSE)&amp;"・"&amp;VLOOKUP($C271,武器!$1:$998,COLUMN(B$1),FALSE),VLOOKUP($CJ271,装強!$1:$1008,COLUMN($B$1),FALSE)&amp;"・"&amp;VLOOKUP($C271,武器!$1:$998,COLUMN(B$1),FALSE)),"")</f>
        <v>マジックレザー・ベルト</v>
      </c>
      <c r="C271" s="24" t="s">
        <v>204</v>
      </c>
      <c r="D271" s="24" t="s">
        <v>202</v>
      </c>
      <c r="E271" t="str">
        <f>IFERROR(VLOOKUP(C271,武器!$1:$998,COLUMN(C$1),FALSE),"")</f>
        <v>装飾</v>
      </c>
      <c r="F271">
        <f>IFERROR(ROUNDDOWN((VLOOKUP($C271,武器!$1:$998,COLUMN(D$1),FALSE)+IFERROR(VLOOKUP($CJ271,装強!$1:$999,COLUMN(F$1),FALSE),0))*VLOOKUP($D271,素材!$1:$1016,COLUMN(D$1),FALSE),0),"")</f>
        <v>0</v>
      </c>
      <c r="G271">
        <f>IFERROR(ROUNDDOWN((VLOOKUP($C271,武器!$1:$998,COLUMN(E$1),FALSE)+IFERROR(VLOOKUP($CJ271,装強!$1:$999,COLUMN(G$1),FALSE),0))*VLOOKUP($D271,素材!$1:$1016,COLUMN($E$1),FALSE),0),"")</f>
        <v>0</v>
      </c>
      <c r="H271">
        <f>IFERROR(ROUNDDOWN((VLOOKUP($C271,武器!$1:$998,COLUMN(F$1),FALSE)+IFERROR(VLOOKUP($CJ271,装強!$1:$999,COLUMN(H$1),FALSE),0))*VLOOKUP($D271,素材!$1:$1016,COLUMN($E$1),FALSE),0),"")</f>
        <v>0</v>
      </c>
      <c r="I271">
        <f>IFERROR(ROUNDDOWN((VLOOKUP($C271,武器!$1:$998,COLUMN(G$1),FALSE)+IFERROR(VLOOKUP($CJ271,装強!$1:$999,COLUMN(I$1),FALSE),0))*VLOOKUP($D271,素材!$1:$1016,COLUMN($E$1),FALSE),0),"")</f>
        <v>0</v>
      </c>
      <c r="J271">
        <f>IFERROR(ROUNDDOWN((VLOOKUP($C271,武器!$1:$998,COLUMN(H$1),FALSE)+IFERROR(VLOOKUP($CJ271,装強!$1:$999,COLUMN(J$1),FALSE),0))*VLOOKUP($D271,素材!$1:$1016,COLUMN($E$1),FALSE),0),"")</f>
        <v>0</v>
      </c>
      <c r="K271">
        <f>IFERROR(ROUNDDOWN((VLOOKUP($C271,武器!$1:$998,COLUMN(I$1),FALSE)+IFERROR(VLOOKUP($CJ271,装強!$1:$999,COLUMN(K$1),FALSE),0))*VLOOKUP($D271,素材!$1:$1016,COLUMN($E$1),FALSE),0),"")</f>
        <v>0</v>
      </c>
      <c r="L271" t="str">
        <f>IFERROR(VLOOKUP($D271,素材!$1:$1016,COLUMN($F$1),FALSE),"")</f>
        <v>魔法</v>
      </c>
      <c r="M271" t="str">
        <f>IFERROR(VLOOKUP($C271,武器!$1:$998,COLUMN(AA$1),FALSE)*VLOOKUP($D271,素材!$1:$1016,COLUMN($G$1),FALSE),"")</f>
        <v/>
      </c>
      <c r="N271">
        <f>IFERROR(VLOOKUP($C271,武器!$1:$998,COLUMN(I$1),FALSE),"")</f>
        <v>0</v>
      </c>
      <c r="O271" s="23" t="str">
        <f>IFERROR((VLOOKUP($C271,武器!$1:$998,COLUMN(K$1),FALSE)+VLOOKUP($D271,素材!$1:$1016,COLUMN(H$1),FALSE))*100+IFERROR(VLOOKUP($CJ271,装強!$1:$999,COLUMN(O$1),FALSE),0),"")</f>
        <v/>
      </c>
      <c r="P271" s="23" t="str">
        <f>IFERROR((VLOOKUP($C271,武器!$1:$998,COLUMN(L$1),FALSE)+VLOOKUP($D271,素材!$1:$1016,COLUMN(I$1),FALSE))*100+IFERROR(VLOOKUP($CJ271,装強!$1:$999,COLUMN(P$1),FALSE),0),"")</f>
        <v/>
      </c>
      <c r="Q271">
        <f>IFERROR(ROUNDUP(VLOOKUP($C271,武器!$1:$998,COLUMN(M$1),FALSE)*(VLOOKUP($D271,素材!$1:$1002,COLUMN(D$1),FALSE)/100),1),"")</f>
        <v>0</v>
      </c>
      <c r="R271">
        <f>IFERROR(ROUNDUP(VLOOKUP($C271,武器!$1:$998,COLUMN(N$1),FALSE)*(VLOOKUP($D271,素材!$1:$1002,COLUMN(D$1),FALSE)/100),1),"")</f>
        <v>0</v>
      </c>
      <c r="S271">
        <f>IFERROR(VLOOKUP($C271,武器!$1:$998,COLUMN(P$1),FALSE),"")</f>
        <v>0</v>
      </c>
      <c r="T271">
        <f>IFERROR(VLOOKUP($C271,武器!$1:$998,COLUMN(Q$1),FALSE),"")</f>
        <v>0</v>
      </c>
      <c r="U271">
        <f>IFERROR(VLOOKUP($C271,武器!$1:$998,COLUMN(R$1),FALSE),"")</f>
        <v>0</v>
      </c>
      <c r="V271">
        <f>IFERROR(VLOOKUP($C271,武器!$1:$998,COLUMN(Q$1),FALSE),"")</f>
        <v>0</v>
      </c>
      <c r="W271">
        <f>IFERROR(VLOOKUP($C271,武器!$1:$998,COLUMN(T$1),FALSE),"")</f>
        <v>0</v>
      </c>
      <c r="Y271">
        <f>IFERROR(VLOOKUP($C271,武器!$1:$998,COLUMN(U$1),FALSE),"")</f>
        <v>0</v>
      </c>
      <c r="Z271">
        <f>IFERROR(ROUNDUP(VLOOKUP($C271,武器!$1:$998,COLUMN(O$1),FALSE)*VLOOKUP($D271,素材!$1:$1016,COLUMN(E$1),FALSE),1),"")</f>
        <v>0</v>
      </c>
      <c r="AA271">
        <f>IF(ISNUMBER(SEARCH(SUBSTITUTE(AA$1,RIGHT(AA$1,2),""),VLOOKUP($D271,素材!$1:$1016,COLUMN($F$1),FALSE))),VLOOKUP($C271,武器!$1:$998,COLUMN($O$1),FALSE)*VLOOKUP($D271,素材!$1:$1016,COLUMN($E$1),FALSE)/(LEN(VLOOKUP($D271,素材!$1:$1016,COLUMN($F$1),FALSE))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B271">
        <f>IF(ISNUMBER(SEARCH(SUBSTITUTE(AB$1,RIGHT(AB$1,2),""),VLOOKUP($D271,素材!$1:$1016,COLUMN($F$1),FALSE))),VLOOKUP($C271,武器!$1:$998,COLUMN($O$1),FALSE)*VLOOKUP($D271,素材!$1:$1016,COLUMN($E$1),FALSE)/(LEN(VLOOKUP($D271,素材!$1:$1016,COLUMN($F$1),FALSE))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C271">
        <f>IF(ISNUMBER(SEARCH(SUBSTITUTE(AC$1,RIGHT(AC$1,2),""),VLOOKUP($D271,素材!$1:$1016,COLUMN($F$1),FALSE))),VLOOKUP($C271,武器!$1:$998,COLUMN($O$1),FALSE)*VLOOKUP($D271,素材!$1:$1016,COLUMN($E$1),FALSE)/(LEN(VLOOKUP($D271,素材!$1:$1016,COLUMN($F$1),FALSE))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D271">
        <f>IF(ISNUMBER(SEARCH(SUBSTITUTE(AD$1,RIGHT(AD$1,2),""),VLOOKUP($D271,素材!$1:$1016,COLUMN($F$1),FALSE))),VLOOKUP($C271,武器!$1:$998,COLUMN($O$1),FALSE)*VLOOKUP($D271,素材!$1:$1016,COLUMN($E$1),FALSE)/(LEN(VLOOKUP($D271,素材!$1:$1016,COLUMN($F$1),FALSE))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E271">
        <f>IF(ISNUMBER(SEARCH(SUBSTITUTE(AE$1,RIGHT(AE$1,2),""),VLOOKUP($D271,素材!$1:$1016,COLUMN($F$1),FALSE))),VLOOKUP($C271,武器!$1:$998,COLUMN($O$1),FALSE)*VLOOKUP($D271,素材!$1:$1016,COLUMN($E$1),FALSE)/(LEN(VLOOKUP($D271,素材!$1:$1016,COLUMN($F$1),FALSE))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F271">
        <f>IF(ISNUMBER(SEARCH(SUBSTITUTE(AF$1,RIGHT(AF$1,2),""),VLOOKUP($D271,素材!$1:$1016,COLUMN($F$1),FALSE))),VLOOKUP($C271,武器!$1:$998,COLUMN($O$1),FALSE)*VLOOKUP($D271,素材!$1:$1016,COLUMN($E$1),FALSE)/(LEN(VLOOKUP($D271,素材!$1:$1016,COLUMN($F$1),FALSE))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G271">
        <f>IF(ISNUMBER(SEARCH(SUBSTITUTE(AG$1,RIGHT(AG$1,2),""),VLOOKUP($D271,素材!$1:$1016,COLUMN($F$1),FALSE))),VLOOKUP($C271,武器!$1:$998,COLUMN($O$1),FALSE)*VLOOKUP($D271,素材!$1:$1016,COLUMN($E$1),FALSE)/(LEN(VLOOKUP($D271,素材!$1:$1016,COLUMN($F$1),FALSE))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H271">
        <f>IF(ISNUMBER(SEARCH(SUBSTITUTE(AH$1,RIGHT(AH$1,2),""),VLOOKUP($D271,素材!$1:$1016,COLUMN($F$1),FALSE))),VLOOKUP($C271,武器!$1:$998,COLUMN($O$1),FALSE)*VLOOKUP($D271,素材!$1:$1016,COLUMN($E$1),FALSE)/(LEN(VLOOKUP($D271,素材!$1:$1016,COLUMN($F$1),FALSE))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I271">
        <f>IF(ISNUMBER(SEARCH(SUBSTITUTE(AI$1,RIGHT(AI$1,2),""),VLOOKUP($D271,素材!$1:$1016,COLUMN($F$1),FALSE))),VLOOKUP($C271,武器!$1:$998,COLUMN($O$1),FALSE)*VLOOKUP($D271,素材!$1:$1016,COLUMN($E$1),FALSE)/(LEN(VLOOKUP($D271,素材!$1:$1016,COLUMN($F$1),FALSE))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J271">
        <f>IF(ISNUMBER(SEARCH(SUBSTITUTE(AJ$1,RIGHT(AJ$1,2),""),VLOOKUP($D271,素材!$1:$1016,COLUMN($F$1),FALSE))),VLOOKUP($C271,武器!$1:$998,COLUMN($O$1),FALSE)*VLOOKUP($D271,素材!$1:$1016,COLUMN($E$1),FALSE)/(LEN(VLOOKUP($D271,素材!$1:$1016,COLUMN($F$1),FALSE))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K271">
        <f>IF(ISNUMBER(SEARCH(SUBSTITUTE(AK$1,RIGHT(AK$1,2),""),VLOOKUP($D271,素材!$1:$1016,COLUMN($F$1),FALSE))),VLOOKUP($C271,武器!$1:$998,COLUMN($O$1),FALSE)*VLOOKUP($D271,素材!$1:$1016,COLUMN($E$1),FALSE)/(LEN(VLOOKUP($D271,素材!$1:$1016,COLUMN($F$1),FALSE))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L271">
        <f>IF(ISNUMBER(SEARCH(SUBSTITUTE(AL$1,RIGHT(AL$1,2),""),VLOOKUP($D271,素材!$1:$1016,COLUMN($F$1),FALSE))),VLOOKUP($C271,武器!$1:$998,COLUMN($O$1),FALSE)*VLOOKUP($D271,素材!$1:$1016,COLUMN($E$1),FALSE)/(LEN(VLOOKUP($D271,素材!$1:$1016,COLUMN($F$1),FALSE))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M271">
        <f>IF(ISNUMBER(SEARCH(SUBSTITUTE(AM$1,RIGHT(AM$1,2),""),VLOOKUP($D271,素材!$1:$1016,COLUMN($F$1),FALSE))),VLOOKUP($C271,武器!$1:$998,COLUMN($O$1),FALSE)*VLOOKUP($D271,素材!$1:$1016,COLUMN($E$1),FALSE)/(LEN(VLOOKUP($D271,素材!$1:$1016,COLUMN($F$1),FALSE))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N271">
        <f>IF(ISNUMBER(SEARCH(SUBSTITUTE(AN$1,RIGHT(AN$1,2),""),VLOOKUP($D271,素材!$1:$1016,COLUMN($F$1),FALSE))),VLOOKUP($C271,武器!$1:$998,COLUMN($O$1),FALSE)*VLOOKUP($D271,素材!$1:$1016,COLUMN($E$1),FALSE)/(LEN(VLOOKUP($D271,素材!$1:$1016,COLUMN($F$1),FALSE))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O271">
        <f>IF(ISNUMBER(SEARCH(SUBSTITUTE(AO$1,RIGHT(AO$1,2),""),VLOOKUP($D271,素材!$1:$1016,COLUMN($F$1),FALSE))),VLOOKUP($C271,武器!$1:$998,COLUMN($O$1),FALSE)*VLOOKUP($D271,素材!$1:$1016,COLUMN($E$1),FALSE)/(LEN(VLOOKUP($D271,素材!$1:$1016,COLUMN($F$1),FALSE))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P271">
        <f>IF(ISNUMBER(SEARCH(SUBSTITUTE(AP$1,RIGHT(AP$1,2),""),VLOOKUP($D271,素材!$1:$1016,COLUMN($F$1),FALSE))),VLOOKUP($C271,武器!$1:$998,COLUMN($O$1),FALSE)*VLOOKUP($D271,素材!$1:$1016,COLUMN($E$1),FALSE)/(LEN(VLOOKUP($D271,素材!$1:$1016,COLUMN($F$1),FALSE))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Q271">
        <f>IF(ISNUMBER(SEARCH(SUBSTITUTE(AQ$1,RIGHT(AQ$1,2),""),VLOOKUP($D271,素材!$1:$1016,COLUMN($F$1),FALSE))),VLOOKUP($C271,武器!$1:$998,COLUMN($O$1),FALSE)*VLOOKUP($D271,素材!$1:$1016,COLUMN($E$1),FALSE)/(LEN(VLOOKUP($D271,素材!$1:$1016,COLUMN($F$1),FALSE))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R271">
        <f>IF(ISNUMBER(SEARCH(SUBSTITUTE(AR$1,RIGHT(AR$1,2),""),VLOOKUP($D271,素材!$1:$1016,COLUMN($F$1),FALSE))),VLOOKUP($C271,武器!$1:$998,COLUMN($O$1),FALSE)*VLOOKUP($D271,素材!$1:$1016,COLUMN($E$1),FALSE)/(LEN(VLOOKUP($D271,素材!$1:$1016,COLUMN($F$1),FALSE))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S271">
        <f>IF(ISNUMBER(SEARCH(SUBSTITUTE(AS$1,RIGHT(AS$1,2),""),VLOOKUP($D271,素材!$1:$1016,COLUMN($F$1),FALSE))),VLOOKUP($C271,武器!$1:$998,COLUMN($O$1),FALSE)*VLOOKUP($D271,素材!$1:$1016,COLUMN($E$1),FALSE)/(LEN(VLOOKUP($D271,素材!$1:$1016,COLUMN($F$1),FALSE))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T271">
        <f>IF(ISNUMBER(SEARCH(SUBSTITUTE(AT$1,RIGHT(AT$1,2),""),VLOOKUP($D271,素材!$1:$1016,COLUMN($F$1),FALSE))),VLOOKUP($C271,武器!$1:$998,COLUMN($O$1),FALSE)*VLOOKUP($D271,素材!$1:$1016,COLUMN($E$1),FALSE)/(LEN(VLOOKUP($D271,素材!$1:$1016,COLUMN($F$1),FALSE))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U271">
        <f>IF(ISNUMBER(SEARCH(SUBSTITUTE(AU$1,RIGHT(AU$1,2),""),VLOOKUP($D271,素材!$1:$1016,COLUMN($F$1),FALSE))),VLOOKUP($C271,武器!$1:$998,COLUMN($O$1),FALSE)*VLOOKUP($D271,素材!$1:$1016,COLUMN($E$1),FALSE)/(LEN(VLOOKUP($D271,素材!$1:$1016,COLUMN($F$1),FALSE))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V271">
        <f>IF(ISNUMBER(SEARCH(SUBSTITUTE(AV$1,RIGHT(AV$1,2),""),VLOOKUP($D271,素材!$1:$1016,COLUMN($F$1),FALSE))),VLOOKUP($C271,武器!$1:$998,COLUMN($O$1),FALSE)*VLOOKUP($D271,素材!$1:$1016,COLUMN($E$1),FALSE)/(LEN(VLOOKUP($D271,素材!$1:$1016,COLUMN($F$1),FALSE))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W271">
        <f>IF(ISNUMBER(SEARCH(SUBSTITUTE(AW$1,RIGHT(AW$1,2),""),VLOOKUP($D271,素材!$1:$1016,COLUMN($F$1),FALSE))),VLOOKUP($C271,武器!$1:$998,COLUMN($O$1),FALSE)*VLOOKUP($D271,素材!$1:$1016,COLUMN($E$1),FALSE)/(LEN(VLOOKUP($D271,素材!$1:$1016,COLUMN($F$1),FALSE))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X271">
        <f>IF(ISNUMBER(SEARCH(SUBSTITUTE(AX$1,RIGHT(AX$1,2),""),VLOOKUP($D271,素材!$1:$1016,COLUMN($F$1),FALSE))),VLOOKUP($C271,武器!$1:$998,COLUMN($O$1),FALSE)*VLOOKUP($D271,素材!$1:$1016,COLUMN($E$1),FALSE)/(LEN(VLOOKUP($D271,素材!$1:$1016,COLUMN($F$1),FALSE))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Y271">
        <f>IF(ISNUMBER(SEARCH(SUBSTITUTE(AY$1,RIGHT(AY$1,2),""),VLOOKUP($D271,素材!$1:$1016,COLUMN($F$1),FALSE))),VLOOKUP($C271,武器!$1:$998,COLUMN($O$1),FALSE)*VLOOKUP($D271,素材!$1:$1016,COLUMN($E$1),FALSE)/(LEN(VLOOKUP($D271,素材!$1:$1016,COLUMN($F$1),FALSE))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AZ271">
        <f>IF(ISNUMBER(SEARCH(SUBSTITUTE(AZ$1,RIGHT(AZ$1,2),""),VLOOKUP($D271,素材!$1:$1016,COLUMN($F$1),FALSE))),VLOOKUP($C271,武器!$1:$998,COLUMN($O$1),FALSE)*VLOOKUP($D271,素材!$1:$1016,COLUMN($E$1),FALSE)/(LEN(VLOOKUP($D271,素材!$1:$1016,COLUMN($F$1),FALSE))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BA271">
        <f>IF(ISNUMBER(SEARCH(SUBSTITUTE(BA$1,RIGHT(BA$1,2),""),VLOOKUP($D271,素材!$1:$1016,COLUMN($F$1),FALSE))),VLOOKUP($C271,武器!$1:$998,COLUMN($O$1),FALSE)*VLOOKUP($D271,素材!$1:$1016,COLUMN($E$1),FALSE)/(LEN(VLOOKUP($D271,素材!$1:$1016,COLUMN($F$1),FALSE))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BB271">
        <f>IF(ISNUMBER(SEARCH(SUBSTITUTE(BB$1,RIGHT(BB$1,2),""),VLOOKUP($D271,素材!$1:$1016,COLUMN($F$1),FALSE))),VLOOKUP($C271,武器!$1:$998,COLUMN($O$1),FALSE)*VLOOKUP($D271,素材!$1:$1016,COLUMN($E$1),FALSE)/(LEN(VLOOKUP($D271,素材!$1:$1016,COLUMN($F$1),FALSE))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BC271">
        <f>IF(ISNUMBER(SEARCH(SUBSTITUTE(BC$1,RIGHT(BC$1,2),""),VLOOKUP($D271,素材!$1:$1016,COLUMN($F$1),FALSE))),VLOOKUP($C271,武器!$1:$998,COLUMN($O$1),FALSE)*VLOOKUP($D271,素材!$1:$1016,COLUMN($E$1),FALSE)/(LEN(VLOOKUP($D271,素材!$1:$1016,COLUMN($F$1),FALSE))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BD271">
        <f>IF(ISNUMBER(SEARCH(SUBSTITUTE(BD$1,RIGHT(BD$1,2),""),VLOOKUP($D271,素材!$1:$1016,COLUMN($F$1),FALSE))),VLOOKUP($C271,武器!$1:$998,COLUMN($O$1),FALSE)*VLOOKUP($D271,素材!$1:$1016,COLUMN($E$1),FALSE)/(LEN(VLOOKUP($D271,素材!$1:$1016,COLUMN($F$1),FALSE))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BE271">
        <f>IF(ISNUMBER(SEARCH(SUBSTITUTE(BE$1,RIGHT(BE$1,2),""),VLOOKUP($D271,素材!$1:$1016,COLUMN($F$1),FALSE))),VLOOKUP($C271,武器!$1:$998,COLUMN($O$1),FALSE)*VLOOKUP($D271,素材!$1:$1016,COLUMN($E$1),FALSE)/(LEN(VLOOKUP($D271,素材!$1:$1016,COLUMN($F$1),FALSE))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BF271">
        <f>IF(ISNUMBER(SEARCH(SUBSTITUTE(BF$1,RIGHT(BF$1,2),""),VLOOKUP($D271,素材!$1:$1016,COLUMN($F$1),FALSE))),VLOOKUP($C271,武器!$1:$998,COLUMN($O$1),FALSE)*VLOOKUP($D271,素材!$1:$1016,COLUMN($E$1),FALSE)/(LEN(VLOOKUP($D271,素材!$1:$1016,COLUMN($F$1),FALSE)) - LEN(SUBSTITUTE(VLOOKUP($D271,素材!$1:$1016,COLUMN($F$1),FALSE), "・", 0)) + 1), 0)</f>
        <v>0</v>
      </c>
      <c r="CM271">
        <f t="shared" si="36"/>
        <v>0</v>
      </c>
      <c r="CN271" s="22" t="str">
        <f>IF(E271="武器",IF(J271-1&gt;SUM(G271:I271),"盾",IF(MAX(G271:I271)=G271,"切断",IF(MAX(G271:I271)=H271,"貫通",IF(MAX(G271:I271)=I271,"打撃","射撃")))),E271)&amp;".webp"</f>
        <v>装飾.webp</v>
      </c>
      <c r="CO271">
        <f>IFERROR(VLOOKUP($C271,武器!$1:$998,COLUMN(V$1),FALSE)*VLOOKUP($D271,素材!$1:$1016,COLUMN(N$1),FALSE)+IF(CJ271="",0,VLOOKUP($CJ271,装強!$1:$1008,COLUMN($CL$1),FALSE)),"")</f>
        <v>1500</v>
      </c>
      <c r="CP271" t="str">
        <f>VLOOKUP(D271,素材!$A:$O,COLUMN(素材!O$1),FALSE)</f>
        <v>魔力を帯びた特殊な皮素材。魔法防御や属性耐性を強化する効果があり、高レベルの冒険者に重宝されます。</v>
      </c>
      <c r="CQ271" t="str">
        <f>VLOOKUP(C271,武器!$A:$W,COLUMN(武器!W$1),FALSE)</f>
        <v xml:space="preserve">HP ST 攻撃 防御 体幹 怯み 疲労 </v>
      </c>
      <c r="CS271" t="str">
        <f t="shared" si="37"/>
        <v>e_271</v>
      </c>
      <c r="CT271">
        <f t="shared" si="38"/>
        <v>150000</v>
      </c>
    </row>
    <row r="272" spans="1:98" hidden="1" outlineLevel="1" x14ac:dyDescent="0.4">
      <c r="A272" t="str">
        <f>IF(CJ272="",D272&amp;"の"&amp;C272,CJ272&amp;"の"&amp;C272)</f>
        <v>魔獣皮の帯</v>
      </c>
      <c r="B272" t="str">
        <f>IFERROR(IF(CJ272="",VLOOKUP($D272,素材!$1:$1016,COLUMN($B$1),FALSE)&amp;"・"&amp;VLOOKUP($C272,武器!$1:$998,COLUMN(B$1),FALSE),VLOOKUP($CJ272,装強!$1:$1008,COLUMN($B$1),FALSE)&amp;"・"&amp;VLOOKUP($C272,武器!$1:$998,COLUMN(B$1),FALSE)),"")</f>
        <v>マジックレザー・ベルト</v>
      </c>
      <c r="C272" s="24" t="s">
        <v>204</v>
      </c>
      <c r="D272" s="24" t="s">
        <v>202</v>
      </c>
      <c r="E272" t="str">
        <f>IFERROR(VLOOKUP(C272,武器!$1:$998,COLUMN(C$1),FALSE),"")</f>
        <v>装飾</v>
      </c>
      <c r="F272">
        <f>IFERROR(ROUNDDOWN((VLOOKUP($C272,武器!$1:$998,COLUMN(D$1),FALSE)+IFERROR(VLOOKUP($CJ272,装強!$1:$999,COLUMN(F$1),FALSE),0))*VLOOKUP($D272,素材!$1:$1016,COLUMN(D$1),FALSE),0),"")</f>
        <v>0</v>
      </c>
      <c r="G272">
        <f>IFERROR(ROUNDDOWN((VLOOKUP($C272,武器!$1:$998,COLUMN(E$1),FALSE)+IFERROR(VLOOKUP($CJ272,装強!$1:$999,COLUMN(G$1),FALSE),0))*VLOOKUP($D272,素材!$1:$1016,COLUMN($E$1),FALSE),0),"")</f>
        <v>0</v>
      </c>
      <c r="H272">
        <f>IFERROR(ROUNDDOWN((VLOOKUP($C272,武器!$1:$998,COLUMN(F$1),FALSE)+IFERROR(VLOOKUP($CJ272,装強!$1:$999,COLUMN(H$1),FALSE),0))*VLOOKUP($D272,素材!$1:$1016,COLUMN($E$1),FALSE),0),"")</f>
        <v>0</v>
      </c>
      <c r="I272">
        <f>IFERROR(ROUNDDOWN((VLOOKUP($C272,武器!$1:$998,COLUMN(G$1),FALSE)+IFERROR(VLOOKUP($CJ272,装強!$1:$999,COLUMN(I$1),FALSE),0))*VLOOKUP($D272,素材!$1:$1016,COLUMN($E$1),FALSE),0),"")</f>
        <v>0</v>
      </c>
      <c r="J272">
        <f>IFERROR(ROUNDDOWN((VLOOKUP($C272,武器!$1:$998,COLUMN(H$1),FALSE)+IFERROR(VLOOKUP($CJ272,装強!$1:$999,COLUMN(J$1),FALSE),0))*VLOOKUP($D272,素材!$1:$1016,COLUMN($E$1),FALSE),0),"")</f>
        <v>0</v>
      </c>
      <c r="K272">
        <f>IFERROR(ROUNDDOWN((VLOOKUP($C272,武器!$1:$998,COLUMN(I$1),FALSE)+IFERROR(VLOOKUP($CJ272,装強!$1:$999,COLUMN(K$1),FALSE),0))*VLOOKUP($D272,素材!$1:$1016,COLUMN($E$1),FALSE),0),"")</f>
        <v>0</v>
      </c>
      <c r="L272" t="str">
        <f>IFERROR(VLOOKUP($D272,素材!$1:$1016,COLUMN($F$1),FALSE),"")</f>
        <v>魔法</v>
      </c>
      <c r="M272" t="str">
        <f>IFERROR(VLOOKUP($C272,武器!$1:$998,COLUMN(AA$1),FALSE)*VLOOKUP($D272,素材!$1:$1016,COLUMN($G$1),FALSE),"")</f>
        <v/>
      </c>
      <c r="N272">
        <f>IFERROR(VLOOKUP($C272,武器!$1:$998,COLUMN(I$1),FALSE),"")</f>
        <v>0</v>
      </c>
      <c r="O272" s="23" t="str">
        <f>IFERROR((VLOOKUP($C272,武器!$1:$998,COLUMN(K$1),FALSE)+VLOOKUP($D272,素材!$1:$1016,COLUMN(H$1),FALSE))*100+IFERROR(VLOOKUP($CJ272,装強!$1:$999,COLUMN(O$1),FALSE),0),"")</f>
        <v/>
      </c>
      <c r="P272" s="23" t="str">
        <f>IFERROR((VLOOKUP($C272,武器!$1:$998,COLUMN(L$1),FALSE)+VLOOKUP($D272,素材!$1:$1016,COLUMN(I$1),FALSE))*100+IFERROR(VLOOKUP($CJ272,装強!$1:$999,COLUMN(P$1),FALSE),0),"")</f>
        <v/>
      </c>
      <c r="Q272">
        <f>IFERROR(ROUNDUP(VLOOKUP($C272,武器!$1:$998,COLUMN(M$1),FALSE)*(VLOOKUP($D272,素材!$1:$1002,COLUMN(D$1),FALSE)/100),1),"")</f>
        <v>0</v>
      </c>
      <c r="R272">
        <f>IFERROR(ROUNDUP(VLOOKUP($C272,武器!$1:$998,COLUMN(N$1),FALSE)*(VLOOKUP($D272,素材!$1:$1002,COLUMN(D$1),FALSE)/100),1),"")</f>
        <v>0</v>
      </c>
      <c r="S272">
        <f>IFERROR(VLOOKUP($C272,武器!$1:$998,COLUMN(P$1),FALSE),"")</f>
        <v>0</v>
      </c>
      <c r="T272">
        <f>IFERROR(VLOOKUP($C272,武器!$1:$998,COLUMN(Q$1),FALSE),"")</f>
        <v>0</v>
      </c>
      <c r="U272">
        <f>IFERROR(VLOOKUP($C272,武器!$1:$998,COLUMN(R$1),FALSE),"")</f>
        <v>0</v>
      </c>
      <c r="V272">
        <f>IFERROR(VLOOKUP($C272,武器!$1:$998,COLUMN(Q$1),FALSE),"")</f>
        <v>0</v>
      </c>
      <c r="W272">
        <f>IFERROR(VLOOKUP($C272,武器!$1:$998,COLUMN(T$1),FALSE),"")</f>
        <v>0</v>
      </c>
      <c r="Y272">
        <f>IFERROR(VLOOKUP($C272,武器!$1:$998,COLUMN(U$1),FALSE),"")</f>
        <v>0</v>
      </c>
      <c r="Z272">
        <f>IFERROR(ROUNDUP(VLOOKUP($C272,武器!$1:$998,COLUMN(O$1),FALSE)*VLOOKUP($D272,素材!$1:$1016,COLUMN(E$1),FALSE),1),"")</f>
        <v>0</v>
      </c>
      <c r="AA272">
        <f>IF(ISNUMBER(SEARCH(SUBSTITUTE(AA$1,RIGHT(AA$1,2),""),VLOOKUP($D272,素材!$1:$1016,COLUMN($F$1),FALSE))),VLOOKUP($C272,武器!$1:$998,COLUMN($O$1),FALSE)*VLOOKUP($D272,素材!$1:$1016,COLUMN($E$1),FALSE)/(LEN(VLOOKUP($D272,素材!$1:$1016,COLUMN($F$1),FALSE))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B272">
        <f>IF(ISNUMBER(SEARCH(SUBSTITUTE(AB$1,RIGHT(AB$1,2),""),VLOOKUP($D272,素材!$1:$1016,COLUMN($F$1),FALSE))),VLOOKUP($C272,武器!$1:$998,COLUMN($O$1),FALSE)*VLOOKUP($D272,素材!$1:$1016,COLUMN($E$1),FALSE)/(LEN(VLOOKUP($D272,素材!$1:$1016,COLUMN($F$1),FALSE))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C272">
        <f>IF(ISNUMBER(SEARCH(SUBSTITUTE(AC$1,RIGHT(AC$1,2),""),VLOOKUP($D272,素材!$1:$1016,COLUMN($F$1),FALSE))),VLOOKUP($C272,武器!$1:$998,COLUMN($O$1),FALSE)*VLOOKUP($D272,素材!$1:$1016,COLUMN($E$1),FALSE)/(LEN(VLOOKUP($D272,素材!$1:$1016,COLUMN($F$1),FALSE))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D272">
        <f>IF(ISNUMBER(SEARCH(SUBSTITUTE(AD$1,RIGHT(AD$1,2),""),VLOOKUP($D272,素材!$1:$1016,COLUMN($F$1),FALSE))),VLOOKUP($C272,武器!$1:$998,COLUMN($O$1),FALSE)*VLOOKUP($D272,素材!$1:$1016,COLUMN($E$1),FALSE)/(LEN(VLOOKUP($D272,素材!$1:$1016,COLUMN($F$1),FALSE))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E272">
        <f>IF(ISNUMBER(SEARCH(SUBSTITUTE(AE$1,RIGHT(AE$1,2),""),VLOOKUP($D272,素材!$1:$1016,COLUMN($F$1),FALSE))),VLOOKUP($C272,武器!$1:$998,COLUMN($O$1),FALSE)*VLOOKUP($D272,素材!$1:$1016,COLUMN($E$1),FALSE)/(LEN(VLOOKUP($D272,素材!$1:$1016,COLUMN($F$1),FALSE))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F272">
        <f>IF(ISNUMBER(SEARCH(SUBSTITUTE(AF$1,RIGHT(AF$1,2),""),VLOOKUP($D272,素材!$1:$1016,COLUMN($F$1),FALSE))),VLOOKUP($C272,武器!$1:$998,COLUMN($O$1),FALSE)*VLOOKUP($D272,素材!$1:$1016,COLUMN($E$1),FALSE)/(LEN(VLOOKUP($D272,素材!$1:$1016,COLUMN($F$1),FALSE))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G272">
        <f>IF(ISNUMBER(SEARCH(SUBSTITUTE(AG$1,RIGHT(AG$1,2),""),VLOOKUP($D272,素材!$1:$1016,COLUMN($F$1),FALSE))),VLOOKUP($C272,武器!$1:$998,COLUMN($O$1),FALSE)*VLOOKUP($D272,素材!$1:$1016,COLUMN($E$1),FALSE)/(LEN(VLOOKUP($D272,素材!$1:$1016,COLUMN($F$1),FALSE))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H272">
        <f>IF(ISNUMBER(SEARCH(SUBSTITUTE(AH$1,RIGHT(AH$1,2),""),VLOOKUP($D272,素材!$1:$1016,COLUMN($F$1),FALSE))),VLOOKUP($C272,武器!$1:$998,COLUMN($O$1),FALSE)*VLOOKUP($D272,素材!$1:$1016,COLUMN($E$1),FALSE)/(LEN(VLOOKUP($D272,素材!$1:$1016,COLUMN($F$1),FALSE))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I272">
        <f>IF(ISNUMBER(SEARCH(SUBSTITUTE(AI$1,RIGHT(AI$1,2),""),VLOOKUP($D272,素材!$1:$1016,COLUMN($F$1),FALSE))),VLOOKUP($C272,武器!$1:$998,COLUMN($O$1),FALSE)*VLOOKUP($D272,素材!$1:$1016,COLUMN($E$1),FALSE)/(LEN(VLOOKUP($D272,素材!$1:$1016,COLUMN($F$1),FALSE))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J272">
        <f>IF(ISNUMBER(SEARCH(SUBSTITUTE(AJ$1,RIGHT(AJ$1,2),""),VLOOKUP($D272,素材!$1:$1016,COLUMN($F$1),FALSE))),VLOOKUP($C272,武器!$1:$998,COLUMN($O$1),FALSE)*VLOOKUP($D272,素材!$1:$1016,COLUMN($E$1),FALSE)/(LEN(VLOOKUP($D272,素材!$1:$1016,COLUMN($F$1),FALSE))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K272">
        <f>IF(ISNUMBER(SEARCH(SUBSTITUTE(AK$1,RIGHT(AK$1,2),""),VLOOKUP($D272,素材!$1:$1016,COLUMN($F$1),FALSE))),VLOOKUP($C272,武器!$1:$998,COLUMN($O$1),FALSE)*VLOOKUP($D272,素材!$1:$1016,COLUMN($E$1),FALSE)/(LEN(VLOOKUP($D272,素材!$1:$1016,COLUMN($F$1),FALSE))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L272">
        <f>IF(ISNUMBER(SEARCH(SUBSTITUTE(AL$1,RIGHT(AL$1,2),""),VLOOKUP($D272,素材!$1:$1016,COLUMN($F$1),FALSE))),VLOOKUP($C272,武器!$1:$998,COLUMN($O$1),FALSE)*VLOOKUP($D272,素材!$1:$1016,COLUMN($E$1),FALSE)/(LEN(VLOOKUP($D272,素材!$1:$1016,COLUMN($F$1),FALSE))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M272">
        <f>IF(ISNUMBER(SEARCH(SUBSTITUTE(AM$1,RIGHT(AM$1,2),""),VLOOKUP($D272,素材!$1:$1016,COLUMN($F$1),FALSE))),VLOOKUP($C272,武器!$1:$998,COLUMN($O$1),FALSE)*VLOOKUP($D272,素材!$1:$1016,COLUMN($E$1),FALSE)/(LEN(VLOOKUP($D272,素材!$1:$1016,COLUMN($F$1),FALSE))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N272">
        <f>IF(ISNUMBER(SEARCH(SUBSTITUTE(AN$1,RIGHT(AN$1,2),""),VLOOKUP($D272,素材!$1:$1016,COLUMN($F$1),FALSE))),VLOOKUP($C272,武器!$1:$998,COLUMN($O$1),FALSE)*VLOOKUP($D272,素材!$1:$1016,COLUMN($E$1),FALSE)/(LEN(VLOOKUP($D272,素材!$1:$1016,COLUMN($F$1),FALSE))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O272">
        <f>IF(ISNUMBER(SEARCH(SUBSTITUTE(AO$1,RIGHT(AO$1,2),""),VLOOKUP($D272,素材!$1:$1016,COLUMN($F$1),FALSE))),VLOOKUP($C272,武器!$1:$998,COLUMN($O$1),FALSE)*VLOOKUP($D272,素材!$1:$1016,COLUMN($E$1),FALSE)/(LEN(VLOOKUP($D272,素材!$1:$1016,COLUMN($F$1),FALSE))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P272">
        <f>IF(ISNUMBER(SEARCH(SUBSTITUTE(AP$1,RIGHT(AP$1,2),""),VLOOKUP($D272,素材!$1:$1016,COLUMN($F$1),FALSE))),VLOOKUP($C272,武器!$1:$998,COLUMN($O$1),FALSE)*VLOOKUP($D272,素材!$1:$1016,COLUMN($E$1),FALSE)/(LEN(VLOOKUP($D272,素材!$1:$1016,COLUMN($F$1),FALSE))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Q272">
        <f>IF(ISNUMBER(SEARCH(SUBSTITUTE(AQ$1,RIGHT(AQ$1,2),""),VLOOKUP($D272,素材!$1:$1016,COLUMN($F$1),FALSE))),VLOOKUP($C272,武器!$1:$998,COLUMN($O$1),FALSE)*VLOOKUP($D272,素材!$1:$1016,COLUMN($E$1),FALSE)/(LEN(VLOOKUP($D272,素材!$1:$1016,COLUMN($F$1),FALSE))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R272">
        <f>IF(ISNUMBER(SEARCH(SUBSTITUTE(AR$1,RIGHT(AR$1,2),""),VLOOKUP($D272,素材!$1:$1016,COLUMN($F$1),FALSE))),VLOOKUP($C272,武器!$1:$998,COLUMN($O$1),FALSE)*VLOOKUP($D272,素材!$1:$1016,COLUMN($E$1),FALSE)/(LEN(VLOOKUP($D272,素材!$1:$1016,COLUMN($F$1),FALSE))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S272">
        <f>IF(ISNUMBER(SEARCH(SUBSTITUTE(AS$1,RIGHT(AS$1,2),""),VLOOKUP($D272,素材!$1:$1016,COLUMN($F$1),FALSE))),VLOOKUP($C272,武器!$1:$998,COLUMN($O$1),FALSE)*VLOOKUP($D272,素材!$1:$1016,COLUMN($E$1),FALSE)/(LEN(VLOOKUP($D272,素材!$1:$1016,COLUMN($F$1),FALSE))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T272">
        <f>IF(ISNUMBER(SEARCH(SUBSTITUTE(AT$1,RIGHT(AT$1,2),""),VLOOKUP($D272,素材!$1:$1016,COLUMN($F$1),FALSE))),VLOOKUP($C272,武器!$1:$998,COLUMN($O$1),FALSE)*VLOOKUP($D272,素材!$1:$1016,COLUMN($E$1),FALSE)/(LEN(VLOOKUP($D272,素材!$1:$1016,COLUMN($F$1),FALSE))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U272">
        <f>IF(ISNUMBER(SEARCH(SUBSTITUTE(AU$1,RIGHT(AU$1,2),""),VLOOKUP($D272,素材!$1:$1016,COLUMN($F$1),FALSE))),VLOOKUP($C272,武器!$1:$998,COLUMN($O$1),FALSE)*VLOOKUP($D272,素材!$1:$1016,COLUMN($E$1),FALSE)/(LEN(VLOOKUP($D272,素材!$1:$1016,COLUMN($F$1),FALSE))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V272">
        <f>IF(ISNUMBER(SEARCH(SUBSTITUTE(AV$1,RIGHT(AV$1,2),""),VLOOKUP($D272,素材!$1:$1016,COLUMN($F$1),FALSE))),VLOOKUP($C272,武器!$1:$998,COLUMN($O$1),FALSE)*VLOOKUP($D272,素材!$1:$1016,COLUMN($E$1),FALSE)/(LEN(VLOOKUP($D272,素材!$1:$1016,COLUMN($F$1),FALSE))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W272">
        <f>IF(ISNUMBER(SEARCH(SUBSTITUTE(AW$1,RIGHT(AW$1,2),""),VLOOKUP($D272,素材!$1:$1016,COLUMN($F$1),FALSE))),VLOOKUP($C272,武器!$1:$998,COLUMN($O$1),FALSE)*VLOOKUP($D272,素材!$1:$1016,COLUMN($E$1),FALSE)/(LEN(VLOOKUP($D272,素材!$1:$1016,COLUMN($F$1),FALSE))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X272">
        <f>IF(ISNUMBER(SEARCH(SUBSTITUTE(AX$1,RIGHT(AX$1,2),""),VLOOKUP($D272,素材!$1:$1016,COLUMN($F$1),FALSE))),VLOOKUP($C272,武器!$1:$998,COLUMN($O$1),FALSE)*VLOOKUP($D272,素材!$1:$1016,COLUMN($E$1),FALSE)/(LEN(VLOOKUP($D272,素材!$1:$1016,COLUMN($F$1),FALSE))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Y272">
        <f>IF(ISNUMBER(SEARCH(SUBSTITUTE(AY$1,RIGHT(AY$1,2),""),VLOOKUP($D272,素材!$1:$1016,COLUMN($F$1),FALSE))),VLOOKUP($C272,武器!$1:$998,COLUMN($O$1),FALSE)*VLOOKUP($D272,素材!$1:$1016,COLUMN($E$1),FALSE)/(LEN(VLOOKUP($D272,素材!$1:$1016,COLUMN($F$1),FALSE))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AZ272">
        <f>IF(ISNUMBER(SEARCH(SUBSTITUTE(AZ$1,RIGHT(AZ$1,2),""),VLOOKUP($D272,素材!$1:$1016,COLUMN($F$1),FALSE))),VLOOKUP($C272,武器!$1:$998,COLUMN($O$1),FALSE)*VLOOKUP($D272,素材!$1:$1016,COLUMN($E$1),FALSE)/(LEN(VLOOKUP($D272,素材!$1:$1016,COLUMN($F$1),FALSE))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BA272">
        <f>IF(ISNUMBER(SEARCH(SUBSTITUTE(BA$1,RIGHT(BA$1,2),""),VLOOKUP($D272,素材!$1:$1016,COLUMN($F$1),FALSE))),VLOOKUP($C272,武器!$1:$998,COLUMN($O$1),FALSE)*VLOOKUP($D272,素材!$1:$1016,COLUMN($E$1),FALSE)/(LEN(VLOOKUP($D272,素材!$1:$1016,COLUMN($F$1),FALSE))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BB272">
        <f>IF(ISNUMBER(SEARCH(SUBSTITUTE(BB$1,RIGHT(BB$1,2),""),VLOOKUP($D272,素材!$1:$1016,COLUMN($F$1),FALSE))),VLOOKUP($C272,武器!$1:$998,COLUMN($O$1),FALSE)*VLOOKUP($D272,素材!$1:$1016,COLUMN($E$1),FALSE)/(LEN(VLOOKUP($D272,素材!$1:$1016,COLUMN($F$1),FALSE))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BC272">
        <f>IF(ISNUMBER(SEARCH(SUBSTITUTE(BC$1,RIGHT(BC$1,2),""),VLOOKUP($D272,素材!$1:$1016,COLUMN($F$1),FALSE))),VLOOKUP($C272,武器!$1:$998,COLUMN($O$1),FALSE)*VLOOKUP($D272,素材!$1:$1016,COLUMN($E$1),FALSE)/(LEN(VLOOKUP($D272,素材!$1:$1016,COLUMN($F$1),FALSE))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BD272">
        <f>IF(ISNUMBER(SEARCH(SUBSTITUTE(BD$1,RIGHT(BD$1,2),""),VLOOKUP($D272,素材!$1:$1016,COLUMN($F$1),FALSE))),VLOOKUP($C272,武器!$1:$998,COLUMN($O$1),FALSE)*VLOOKUP($D272,素材!$1:$1016,COLUMN($E$1),FALSE)/(LEN(VLOOKUP($D272,素材!$1:$1016,COLUMN($F$1),FALSE))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BE272">
        <f>IF(ISNUMBER(SEARCH(SUBSTITUTE(BE$1,RIGHT(BE$1,2),""),VLOOKUP($D272,素材!$1:$1016,COLUMN($F$1),FALSE))),VLOOKUP($C272,武器!$1:$998,COLUMN($O$1),FALSE)*VLOOKUP($D272,素材!$1:$1016,COLUMN($E$1),FALSE)/(LEN(VLOOKUP($D272,素材!$1:$1016,COLUMN($F$1),FALSE))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BF272">
        <f>IF(ISNUMBER(SEARCH(SUBSTITUTE(BF$1,RIGHT(BF$1,2),""),VLOOKUP($D272,素材!$1:$1016,COLUMN($F$1),FALSE))),VLOOKUP($C272,武器!$1:$998,COLUMN($O$1),FALSE)*VLOOKUP($D272,素材!$1:$1016,COLUMN($E$1),FALSE)/(LEN(VLOOKUP($D272,素材!$1:$1016,COLUMN($F$1),FALSE)) - LEN(SUBSTITUTE(VLOOKUP($D272,素材!$1:$1016,COLUMN($F$1),FALSE), "・", 0)) + 1), 0)</f>
        <v>0</v>
      </c>
      <c r="CM272">
        <f t="shared" si="36"/>
        <v>0</v>
      </c>
      <c r="CN272" s="22" t="str">
        <f>IF(E272="武器",IF(J272-1&gt;SUM(G272:I272),"盾",IF(MAX(G272:I272)=G272,"切断",IF(MAX(G272:I272)=H272,"貫通",IF(MAX(G272:I272)=I272,"打撃","射撃")))),E272)&amp;".webp"</f>
        <v>装飾.webp</v>
      </c>
      <c r="CO272">
        <f>IFERROR(VLOOKUP($C272,武器!$1:$998,COLUMN(V$1),FALSE)*VLOOKUP($D272,素材!$1:$1016,COLUMN(N$1),FALSE)+IF(CJ272="",0,VLOOKUP($CJ272,装強!$1:$1008,COLUMN($CL$1),FALSE)),"")</f>
        <v>1500</v>
      </c>
      <c r="CP272" t="str">
        <f>VLOOKUP(D272,素材!$A:$O,COLUMN(素材!O$1),FALSE)</f>
        <v>魔力を帯びた特殊な皮素材。魔法防御や属性耐性を強化する効果があり、高レベルの冒険者に重宝されます。</v>
      </c>
      <c r="CQ272" t="str">
        <f>VLOOKUP(C272,武器!$A:$W,COLUMN(武器!W$1),FALSE)</f>
        <v xml:space="preserve">HP ST 攻撃 防御 体幹 怯み 疲労 </v>
      </c>
      <c r="CS272" t="str">
        <f t="shared" si="37"/>
        <v>e_272</v>
      </c>
      <c r="CT272">
        <f t="shared" si="38"/>
        <v>150000</v>
      </c>
    </row>
    <row r="273" spans="1:98" hidden="1" outlineLevel="1" x14ac:dyDescent="0.4">
      <c r="A273" t="str">
        <f>IF(CJ273="",D273&amp;"の"&amp;C273,CJ273&amp;"の"&amp;C273)</f>
        <v>魔獣皮の帯</v>
      </c>
      <c r="B273" t="str">
        <f>IFERROR(IF(CJ273="",VLOOKUP($D273,素材!$1:$1016,COLUMN($B$1),FALSE)&amp;"・"&amp;VLOOKUP($C273,武器!$1:$998,COLUMN(B$1),FALSE),VLOOKUP($CJ273,装強!$1:$1008,COLUMN($B$1),FALSE)&amp;"・"&amp;VLOOKUP($C273,武器!$1:$998,COLUMN(B$1),FALSE)),"")</f>
        <v>マジックレザー・ベルト</v>
      </c>
      <c r="C273" s="24" t="s">
        <v>204</v>
      </c>
      <c r="D273" s="24" t="s">
        <v>202</v>
      </c>
      <c r="E273" t="str">
        <f>IFERROR(VLOOKUP(C273,武器!$1:$998,COLUMN(C$1),FALSE),"")</f>
        <v>装飾</v>
      </c>
      <c r="F273">
        <f>IFERROR(ROUNDDOWN((VLOOKUP($C273,武器!$1:$998,COLUMN(D$1),FALSE)+IFERROR(VLOOKUP($CJ273,装強!$1:$999,COLUMN(F$1),FALSE),0))*VLOOKUP($D273,素材!$1:$1016,COLUMN(D$1),FALSE),0),"")</f>
        <v>0</v>
      </c>
      <c r="G273">
        <f>IFERROR(ROUNDDOWN((VLOOKUP($C273,武器!$1:$998,COLUMN(E$1),FALSE)+IFERROR(VLOOKUP($CJ273,装強!$1:$999,COLUMN(G$1),FALSE),0))*VLOOKUP($D273,素材!$1:$1016,COLUMN($E$1),FALSE),0),"")</f>
        <v>0</v>
      </c>
      <c r="H273">
        <f>IFERROR(ROUNDDOWN((VLOOKUP($C273,武器!$1:$998,COLUMN(F$1),FALSE)+IFERROR(VLOOKUP($CJ273,装強!$1:$999,COLUMN(H$1),FALSE),0))*VLOOKUP($D273,素材!$1:$1016,COLUMN($E$1),FALSE),0),"")</f>
        <v>0</v>
      </c>
      <c r="I273">
        <f>IFERROR(ROUNDDOWN((VLOOKUP($C273,武器!$1:$998,COLUMN(G$1),FALSE)+IFERROR(VLOOKUP($CJ273,装強!$1:$999,COLUMN(I$1),FALSE),0))*VLOOKUP($D273,素材!$1:$1016,COLUMN($E$1),FALSE),0),"")</f>
        <v>0</v>
      </c>
      <c r="J273">
        <f>IFERROR(ROUNDDOWN((VLOOKUP($C273,武器!$1:$998,COLUMN(H$1),FALSE)+IFERROR(VLOOKUP($CJ273,装強!$1:$999,COLUMN(J$1),FALSE),0))*VLOOKUP($D273,素材!$1:$1016,COLUMN($E$1),FALSE),0),"")</f>
        <v>0</v>
      </c>
      <c r="K273">
        <f>IFERROR(ROUNDDOWN((VLOOKUP($C273,武器!$1:$998,COLUMN(I$1),FALSE)+IFERROR(VLOOKUP($CJ273,装強!$1:$999,COLUMN(K$1),FALSE),0))*VLOOKUP($D273,素材!$1:$1016,COLUMN($E$1),FALSE),0),"")</f>
        <v>0</v>
      </c>
      <c r="L273" t="str">
        <f>IFERROR(VLOOKUP($D273,素材!$1:$1016,COLUMN($F$1),FALSE),"")</f>
        <v>魔法</v>
      </c>
      <c r="M273" t="str">
        <f>IFERROR(VLOOKUP($C273,武器!$1:$998,COLUMN(AA$1),FALSE)*VLOOKUP($D273,素材!$1:$1016,COLUMN($G$1),FALSE),"")</f>
        <v/>
      </c>
      <c r="N273">
        <f>IFERROR(VLOOKUP($C273,武器!$1:$998,COLUMN(I$1),FALSE),"")</f>
        <v>0</v>
      </c>
      <c r="O273" s="23" t="str">
        <f>IFERROR((VLOOKUP($C273,武器!$1:$998,COLUMN(K$1),FALSE)+VLOOKUP($D273,素材!$1:$1016,COLUMN(H$1),FALSE))*100+IFERROR(VLOOKUP($CJ273,装強!$1:$999,COLUMN(O$1),FALSE),0),"")</f>
        <v/>
      </c>
      <c r="P273" s="23" t="str">
        <f>IFERROR((VLOOKUP($C273,武器!$1:$998,COLUMN(L$1),FALSE)+VLOOKUP($D273,素材!$1:$1016,COLUMN(I$1),FALSE))*100+IFERROR(VLOOKUP($CJ273,装強!$1:$999,COLUMN(P$1),FALSE),0),"")</f>
        <v/>
      </c>
      <c r="Q273">
        <f>IFERROR(ROUNDUP(VLOOKUP($C273,武器!$1:$998,COLUMN(M$1),FALSE)*(VLOOKUP($D273,素材!$1:$1002,COLUMN(D$1),FALSE)/100),1),"")</f>
        <v>0</v>
      </c>
      <c r="R273">
        <f>IFERROR(ROUNDUP(VLOOKUP($C273,武器!$1:$998,COLUMN(N$1),FALSE)*(VLOOKUP($D273,素材!$1:$1002,COLUMN(D$1),FALSE)/100),1),"")</f>
        <v>0</v>
      </c>
      <c r="S273">
        <f>IFERROR(VLOOKUP($C273,武器!$1:$998,COLUMN(P$1),FALSE),"")</f>
        <v>0</v>
      </c>
      <c r="T273">
        <f>IFERROR(VLOOKUP($C273,武器!$1:$998,COLUMN(Q$1),FALSE),"")</f>
        <v>0</v>
      </c>
      <c r="U273">
        <f>IFERROR(VLOOKUP($C273,武器!$1:$998,COLUMN(R$1),FALSE),"")</f>
        <v>0</v>
      </c>
      <c r="V273">
        <f>IFERROR(VLOOKUP($C273,武器!$1:$998,COLUMN(Q$1),FALSE),"")</f>
        <v>0</v>
      </c>
      <c r="W273">
        <f>IFERROR(VLOOKUP($C273,武器!$1:$998,COLUMN(T$1),FALSE),"")</f>
        <v>0</v>
      </c>
      <c r="Y273">
        <f>IFERROR(VLOOKUP($C273,武器!$1:$998,COLUMN(U$1),FALSE),"")</f>
        <v>0</v>
      </c>
      <c r="Z273">
        <f>IFERROR(ROUNDUP(VLOOKUP($C273,武器!$1:$998,COLUMN(O$1),FALSE)*VLOOKUP($D273,素材!$1:$1016,COLUMN(E$1),FALSE),1),"")</f>
        <v>0</v>
      </c>
      <c r="AA273">
        <f>IF(ISNUMBER(SEARCH(SUBSTITUTE(AA$1,RIGHT(AA$1,2),""),VLOOKUP($D273,素材!$1:$1016,COLUMN($F$1),FALSE))),VLOOKUP($C273,武器!$1:$998,COLUMN($O$1),FALSE)*VLOOKUP($D273,素材!$1:$1016,COLUMN($E$1),FALSE)/(LEN(VLOOKUP($D273,素材!$1:$1016,COLUMN($F$1),FALSE))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B273">
        <f>IF(ISNUMBER(SEARCH(SUBSTITUTE(AB$1,RIGHT(AB$1,2),""),VLOOKUP($D273,素材!$1:$1016,COLUMN($F$1),FALSE))),VLOOKUP($C273,武器!$1:$998,COLUMN($O$1),FALSE)*VLOOKUP($D273,素材!$1:$1016,COLUMN($E$1),FALSE)/(LEN(VLOOKUP($D273,素材!$1:$1016,COLUMN($F$1),FALSE))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C273">
        <f>IF(ISNUMBER(SEARCH(SUBSTITUTE(AC$1,RIGHT(AC$1,2),""),VLOOKUP($D273,素材!$1:$1016,COLUMN($F$1),FALSE))),VLOOKUP($C273,武器!$1:$998,COLUMN($O$1),FALSE)*VLOOKUP($D273,素材!$1:$1016,COLUMN($E$1),FALSE)/(LEN(VLOOKUP($D273,素材!$1:$1016,COLUMN($F$1),FALSE))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D273">
        <f>IF(ISNUMBER(SEARCH(SUBSTITUTE(AD$1,RIGHT(AD$1,2),""),VLOOKUP($D273,素材!$1:$1016,COLUMN($F$1),FALSE))),VLOOKUP($C273,武器!$1:$998,COLUMN($O$1),FALSE)*VLOOKUP($D273,素材!$1:$1016,COLUMN($E$1),FALSE)/(LEN(VLOOKUP($D273,素材!$1:$1016,COLUMN($F$1),FALSE))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E273">
        <f>IF(ISNUMBER(SEARCH(SUBSTITUTE(AE$1,RIGHT(AE$1,2),""),VLOOKUP($D273,素材!$1:$1016,COLUMN($F$1),FALSE))),VLOOKUP($C273,武器!$1:$998,COLUMN($O$1),FALSE)*VLOOKUP($D273,素材!$1:$1016,COLUMN($E$1),FALSE)/(LEN(VLOOKUP($D273,素材!$1:$1016,COLUMN($F$1),FALSE))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F273">
        <f>IF(ISNUMBER(SEARCH(SUBSTITUTE(AF$1,RIGHT(AF$1,2),""),VLOOKUP($D273,素材!$1:$1016,COLUMN($F$1),FALSE))),VLOOKUP($C273,武器!$1:$998,COLUMN($O$1),FALSE)*VLOOKUP($D273,素材!$1:$1016,COLUMN($E$1),FALSE)/(LEN(VLOOKUP($D273,素材!$1:$1016,COLUMN($F$1),FALSE))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G273">
        <f>IF(ISNUMBER(SEARCH(SUBSTITUTE(AG$1,RIGHT(AG$1,2),""),VLOOKUP($D273,素材!$1:$1016,COLUMN($F$1),FALSE))),VLOOKUP($C273,武器!$1:$998,COLUMN($O$1),FALSE)*VLOOKUP($D273,素材!$1:$1016,COLUMN($E$1),FALSE)/(LEN(VLOOKUP($D273,素材!$1:$1016,COLUMN($F$1),FALSE))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H273">
        <f>IF(ISNUMBER(SEARCH(SUBSTITUTE(AH$1,RIGHT(AH$1,2),""),VLOOKUP($D273,素材!$1:$1016,COLUMN($F$1),FALSE))),VLOOKUP($C273,武器!$1:$998,COLUMN($O$1),FALSE)*VLOOKUP($D273,素材!$1:$1016,COLUMN($E$1),FALSE)/(LEN(VLOOKUP($D273,素材!$1:$1016,COLUMN($F$1),FALSE))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I273">
        <f>IF(ISNUMBER(SEARCH(SUBSTITUTE(AI$1,RIGHT(AI$1,2),""),VLOOKUP($D273,素材!$1:$1016,COLUMN($F$1),FALSE))),VLOOKUP($C273,武器!$1:$998,COLUMN($O$1),FALSE)*VLOOKUP($D273,素材!$1:$1016,COLUMN($E$1),FALSE)/(LEN(VLOOKUP($D273,素材!$1:$1016,COLUMN($F$1),FALSE))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J273">
        <f>IF(ISNUMBER(SEARCH(SUBSTITUTE(AJ$1,RIGHT(AJ$1,2),""),VLOOKUP($D273,素材!$1:$1016,COLUMN($F$1),FALSE))),VLOOKUP($C273,武器!$1:$998,COLUMN($O$1),FALSE)*VLOOKUP($D273,素材!$1:$1016,COLUMN($E$1),FALSE)/(LEN(VLOOKUP($D273,素材!$1:$1016,COLUMN($F$1),FALSE))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K273">
        <f>IF(ISNUMBER(SEARCH(SUBSTITUTE(AK$1,RIGHT(AK$1,2),""),VLOOKUP($D273,素材!$1:$1016,COLUMN($F$1),FALSE))),VLOOKUP($C273,武器!$1:$998,COLUMN($O$1),FALSE)*VLOOKUP($D273,素材!$1:$1016,COLUMN($E$1),FALSE)/(LEN(VLOOKUP($D273,素材!$1:$1016,COLUMN($F$1),FALSE))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L273">
        <f>IF(ISNUMBER(SEARCH(SUBSTITUTE(AL$1,RIGHT(AL$1,2),""),VLOOKUP($D273,素材!$1:$1016,COLUMN($F$1),FALSE))),VLOOKUP($C273,武器!$1:$998,COLUMN($O$1),FALSE)*VLOOKUP($D273,素材!$1:$1016,COLUMN($E$1),FALSE)/(LEN(VLOOKUP($D273,素材!$1:$1016,COLUMN($F$1),FALSE))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M273">
        <f>IF(ISNUMBER(SEARCH(SUBSTITUTE(AM$1,RIGHT(AM$1,2),""),VLOOKUP($D273,素材!$1:$1016,COLUMN($F$1),FALSE))),VLOOKUP($C273,武器!$1:$998,COLUMN($O$1),FALSE)*VLOOKUP($D273,素材!$1:$1016,COLUMN($E$1),FALSE)/(LEN(VLOOKUP($D273,素材!$1:$1016,COLUMN($F$1),FALSE))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N273">
        <f>IF(ISNUMBER(SEARCH(SUBSTITUTE(AN$1,RIGHT(AN$1,2),""),VLOOKUP($D273,素材!$1:$1016,COLUMN($F$1),FALSE))),VLOOKUP($C273,武器!$1:$998,COLUMN($O$1),FALSE)*VLOOKUP($D273,素材!$1:$1016,COLUMN($E$1),FALSE)/(LEN(VLOOKUP($D273,素材!$1:$1016,COLUMN($F$1),FALSE))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O273">
        <f>IF(ISNUMBER(SEARCH(SUBSTITUTE(AO$1,RIGHT(AO$1,2),""),VLOOKUP($D273,素材!$1:$1016,COLUMN($F$1),FALSE))),VLOOKUP($C273,武器!$1:$998,COLUMN($O$1),FALSE)*VLOOKUP($D273,素材!$1:$1016,COLUMN($E$1),FALSE)/(LEN(VLOOKUP($D273,素材!$1:$1016,COLUMN($F$1),FALSE))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P273">
        <f>IF(ISNUMBER(SEARCH(SUBSTITUTE(AP$1,RIGHT(AP$1,2),""),VLOOKUP($D273,素材!$1:$1016,COLUMN($F$1),FALSE))),VLOOKUP($C273,武器!$1:$998,COLUMN($O$1),FALSE)*VLOOKUP($D273,素材!$1:$1016,COLUMN($E$1),FALSE)/(LEN(VLOOKUP($D273,素材!$1:$1016,COLUMN($F$1),FALSE))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Q273">
        <f>IF(ISNUMBER(SEARCH(SUBSTITUTE(AQ$1,RIGHT(AQ$1,2),""),VLOOKUP($D273,素材!$1:$1016,COLUMN($F$1),FALSE))),VLOOKUP($C273,武器!$1:$998,COLUMN($O$1),FALSE)*VLOOKUP($D273,素材!$1:$1016,COLUMN($E$1),FALSE)/(LEN(VLOOKUP($D273,素材!$1:$1016,COLUMN($F$1),FALSE))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R273">
        <f>IF(ISNUMBER(SEARCH(SUBSTITUTE(AR$1,RIGHT(AR$1,2),""),VLOOKUP($D273,素材!$1:$1016,COLUMN($F$1),FALSE))),VLOOKUP($C273,武器!$1:$998,COLUMN($O$1),FALSE)*VLOOKUP($D273,素材!$1:$1016,COLUMN($E$1),FALSE)/(LEN(VLOOKUP($D273,素材!$1:$1016,COLUMN($F$1),FALSE))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S273">
        <f>IF(ISNUMBER(SEARCH(SUBSTITUTE(AS$1,RIGHT(AS$1,2),""),VLOOKUP($D273,素材!$1:$1016,COLUMN($F$1),FALSE))),VLOOKUP($C273,武器!$1:$998,COLUMN($O$1),FALSE)*VLOOKUP($D273,素材!$1:$1016,COLUMN($E$1),FALSE)/(LEN(VLOOKUP($D273,素材!$1:$1016,COLUMN($F$1),FALSE))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T273">
        <f>IF(ISNUMBER(SEARCH(SUBSTITUTE(AT$1,RIGHT(AT$1,2),""),VLOOKUP($D273,素材!$1:$1016,COLUMN($F$1),FALSE))),VLOOKUP($C273,武器!$1:$998,COLUMN($O$1),FALSE)*VLOOKUP($D273,素材!$1:$1016,COLUMN($E$1),FALSE)/(LEN(VLOOKUP($D273,素材!$1:$1016,COLUMN($F$1),FALSE))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U273">
        <f>IF(ISNUMBER(SEARCH(SUBSTITUTE(AU$1,RIGHT(AU$1,2),""),VLOOKUP($D273,素材!$1:$1016,COLUMN($F$1),FALSE))),VLOOKUP($C273,武器!$1:$998,COLUMN($O$1),FALSE)*VLOOKUP($D273,素材!$1:$1016,COLUMN($E$1),FALSE)/(LEN(VLOOKUP($D273,素材!$1:$1016,COLUMN($F$1),FALSE))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V273">
        <f>IF(ISNUMBER(SEARCH(SUBSTITUTE(AV$1,RIGHT(AV$1,2),""),VLOOKUP($D273,素材!$1:$1016,COLUMN($F$1),FALSE))),VLOOKUP($C273,武器!$1:$998,COLUMN($O$1),FALSE)*VLOOKUP($D273,素材!$1:$1016,COLUMN($E$1),FALSE)/(LEN(VLOOKUP($D273,素材!$1:$1016,COLUMN($F$1),FALSE))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W273">
        <f>IF(ISNUMBER(SEARCH(SUBSTITUTE(AW$1,RIGHT(AW$1,2),""),VLOOKUP($D273,素材!$1:$1016,COLUMN($F$1),FALSE))),VLOOKUP($C273,武器!$1:$998,COLUMN($O$1),FALSE)*VLOOKUP($D273,素材!$1:$1016,COLUMN($E$1),FALSE)/(LEN(VLOOKUP($D273,素材!$1:$1016,COLUMN($F$1),FALSE))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X273">
        <f>IF(ISNUMBER(SEARCH(SUBSTITUTE(AX$1,RIGHT(AX$1,2),""),VLOOKUP($D273,素材!$1:$1016,COLUMN($F$1),FALSE))),VLOOKUP($C273,武器!$1:$998,COLUMN($O$1),FALSE)*VLOOKUP($D273,素材!$1:$1016,COLUMN($E$1),FALSE)/(LEN(VLOOKUP($D273,素材!$1:$1016,COLUMN($F$1),FALSE))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Y273">
        <f>IF(ISNUMBER(SEARCH(SUBSTITUTE(AY$1,RIGHT(AY$1,2),""),VLOOKUP($D273,素材!$1:$1016,COLUMN($F$1),FALSE))),VLOOKUP($C273,武器!$1:$998,COLUMN($O$1),FALSE)*VLOOKUP($D273,素材!$1:$1016,COLUMN($E$1),FALSE)/(LEN(VLOOKUP($D273,素材!$1:$1016,COLUMN($F$1),FALSE))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AZ273">
        <f>IF(ISNUMBER(SEARCH(SUBSTITUTE(AZ$1,RIGHT(AZ$1,2),""),VLOOKUP($D273,素材!$1:$1016,COLUMN($F$1),FALSE))),VLOOKUP($C273,武器!$1:$998,COLUMN($O$1),FALSE)*VLOOKUP($D273,素材!$1:$1016,COLUMN($E$1),FALSE)/(LEN(VLOOKUP($D273,素材!$1:$1016,COLUMN($F$1),FALSE))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BA273">
        <f>IF(ISNUMBER(SEARCH(SUBSTITUTE(BA$1,RIGHT(BA$1,2),""),VLOOKUP($D273,素材!$1:$1016,COLUMN($F$1),FALSE))),VLOOKUP($C273,武器!$1:$998,COLUMN($O$1),FALSE)*VLOOKUP($D273,素材!$1:$1016,COLUMN($E$1),FALSE)/(LEN(VLOOKUP($D273,素材!$1:$1016,COLUMN($F$1),FALSE))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BB273">
        <f>IF(ISNUMBER(SEARCH(SUBSTITUTE(BB$1,RIGHT(BB$1,2),""),VLOOKUP($D273,素材!$1:$1016,COLUMN($F$1),FALSE))),VLOOKUP($C273,武器!$1:$998,COLUMN($O$1),FALSE)*VLOOKUP($D273,素材!$1:$1016,COLUMN($E$1),FALSE)/(LEN(VLOOKUP($D273,素材!$1:$1016,COLUMN($F$1),FALSE))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BC273">
        <f>IF(ISNUMBER(SEARCH(SUBSTITUTE(BC$1,RIGHT(BC$1,2),""),VLOOKUP($D273,素材!$1:$1016,COLUMN($F$1),FALSE))),VLOOKUP($C273,武器!$1:$998,COLUMN($O$1),FALSE)*VLOOKUP($D273,素材!$1:$1016,COLUMN($E$1),FALSE)/(LEN(VLOOKUP($D273,素材!$1:$1016,COLUMN($F$1),FALSE))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BD273">
        <f>IF(ISNUMBER(SEARCH(SUBSTITUTE(BD$1,RIGHT(BD$1,2),""),VLOOKUP($D273,素材!$1:$1016,COLUMN($F$1),FALSE))),VLOOKUP($C273,武器!$1:$998,COLUMN($O$1),FALSE)*VLOOKUP($D273,素材!$1:$1016,COLUMN($E$1),FALSE)/(LEN(VLOOKUP($D273,素材!$1:$1016,COLUMN($F$1),FALSE))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BE273">
        <f>IF(ISNUMBER(SEARCH(SUBSTITUTE(BE$1,RIGHT(BE$1,2),""),VLOOKUP($D273,素材!$1:$1016,COLUMN($F$1),FALSE))),VLOOKUP($C273,武器!$1:$998,COLUMN($O$1),FALSE)*VLOOKUP($D273,素材!$1:$1016,COLUMN($E$1),FALSE)/(LEN(VLOOKUP($D273,素材!$1:$1016,COLUMN($F$1),FALSE))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BF273">
        <f>IF(ISNUMBER(SEARCH(SUBSTITUTE(BF$1,RIGHT(BF$1,2),""),VLOOKUP($D273,素材!$1:$1016,COLUMN($F$1),FALSE))),VLOOKUP($C273,武器!$1:$998,COLUMN($O$1),FALSE)*VLOOKUP($D273,素材!$1:$1016,COLUMN($E$1),FALSE)/(LEN(VLOOKUP($D273,素材!$1:$1016,COLUMN($F$1),FALSE)) - LEN(SUBSTITUTE(VLOOKUP($D273,素材!$1:$1016,COLUMN($F$1),FALSE), "・", 0)) + 1), 0)</f>
        <v>0</v>
      </c>
      <c r="CM273">
        <f t="shared" si="36"/>
        <v>0</v>
      </c>
      <c r="CN273" s="22" t="str">
        <f>IF(E273="武器",IF(J273-1&gt;SUM(G273:I273),"盾",IF(MAX(G273:I273)=G273,"切断",IF(MAX(G273:I273)=H273,"貫通",IF(MAX(G273:I273)=I273,"打撃","射撃")))),E273)&amp;".webp"</f>
        <v>装飾.webp</v>
      </c>
      <c r="CO273">
        <f>IFERROR(VLOOKUP($C273,武器!$1:$998,COLUMN(V$1),FALSE)*VLOOKUP($D273,素材!$1:$1016,COLUMN(N$1),FALSE)+IF(CJ273="",0,VLOOKUP($CJ273,装強!$1:$1008,COLUMN($CL$1),FALSE)),"")</f>
        <v>1500</v>
      </c>
      <c r="CP273" t="str">
        <f>VLOOKUP(D273,素材!$A:$O,COLUMN(素材!O$1),FALSE)</f>
        <v>魔力を帯びた特殊な皮素材。魔法防御や属性耐性を強化する効果があり、高レベルの冒険者に重宝されます。</v>
      </c>
      <c r="CQ273" t="str">
        <f>VLOOKUP(C273,武器!$A:$W,COLUMN(武器!W$1),FALSE)</f>
        <v xml:space="preserve">HP ST 攻撃 防御 体幹 怯み 疲労 </v>
      </c>
      <c r="CS273" t="str">
        <f t="shared" si="37"/>
        <v>e_273</v>
      </c>
      <c r="CT273">
        <f t="shared" si="38"/>
        <v>150000</v>
      </c>
    </row>
    <row r="274" spans="1:98" hidden="1" outlineLevel="1" x14ac:dyDescent="0.4">
      <c r="A274" t="str">
        <f>IF(CJ274="",D274&amp;"の"&amp;C274,CJ274&amp;"の"&amp;C274)</f>
        <v>魔獣皮の帯</v>
      </c>
      <c r="B274" t="str">
        <f>IFERROR(IF(CJ274="",VLOOKUP($D274,素材!$1:$1016,COLUMN($B$1),FALSE)&amp;"・"&amp;VLOOKUP($C274,武器!$1:$998,COLUMN(B$1),FALSE),VLOOKUP($CJ274,装強!$1:$1008,COLUMN($B$1),FALSE)&amp;"・"&amp;VLOOKUP($C274,武器!$1:$998,COLUMN(B$1),FALSE)),"")</f>
        <v>マジックレザー・ベルト</v>
      </c>
      <c r="C274" s="24" t="s">
        <v>204</v>
      </c>
      <c r="D274" s="24" t="s">
        <v>202</v>
      </c>
      <c r="E274" t="str">
        <f>IFERROR(VLOOKUP(C274,武器!$1:$998,COLUMN(C$1),FALSE),"")</f>
        <v>装飾</v>
      </c>
      <c r="F274">
        <f>IFERROR(ROUNDDOWN((VLOOKUP($C274,武器!$1:$998,COLUMN(D$1),FALSE)+IFERROR(VLOOKUP($CJ274,装強!$1:$999,COLUMN(F$1),FALSE),0))*VLOOKUP($D274,素材!$1:$1016,COLUMN(D$1),FALSE),0),"")</f>
        <v>0</v>
      </c>
      <c r="G274">
        <f>IFERROR(ROUNDDOWN((VLOOKUP($C274,武器!$1:$998,COLUMN(E$1),FALSE)+IFERROR(VLOOKUP($CJ274,装強!$1:$999,COLUMN(G$1),FALSE),0))*VLOOKUP($D274,素材!$1:$1016,COLUMN($E$1),FALSE),0),"")</f>
        <v>0</v>
      </c>
      <c r="H274">
        <f>IFERROR(ROUNDDOWN((VLOOKUP($C274,武器!$1:$998,COLUMN(F$1),FALSE)+IFERROR(VLOOKUP($CJ274,装強!$1:$999,COLUMN(H$1),FALSE),0))*VLOOKUP($D274,素材!$1:$1016,COLUMN($E$1),FALSE),0),"")</f>
        <v>0</v>
      </c>
      <c r="I274">
        <f>IFERROR(ROUNDDOWN((VLOOKUP($C274,武器!$1:$998,COLUMN(G$1),FALSE)+IFERROR(VLOOKUP($CJ274,装強!$1:$999,COLUMN(I$1),FALSE),0))*VLOOKUP($D274,素材!$1:$1016,COLUMN($E$1),FALSE),0),"")</f>
        <v>0</v>
      </c>
      <c r="J274">
        <f>IFERROR(ROUNDDOWN((VLOOKUP($C274,武器!$1:$998,COLUMN(H$1),FALSE)+IFERROR(VLOOKUP($CJ274,装強!$1:$999,COLUMN(J$1),FALSE),0))*VLOOKUP($D274,素材!$1:$1016,COLUMN($E$1),FALSE),0),"")</f>
        <v>0</v>
      </c>
      <c r="K274">
        <f>IFERROR(ROUNDDOWN((VLOOKUP($C274,武器!$1:$998,COLUMN(I$1),FALSE)+IFERROR(VLOOKUP($CJ274,装強!$1:$999,COLUMN(K$1),FALSE),0))*VLOOKUP($D274,素材!$1:$1016,COLUMN($E$1),FALSE),0),"")</f>
        <v>0</v>
      </c>
      <c r="L274" t="str">
        <f>IFERROR(VLOOKUP($D274,素材!$1:$1016,COLUMN($F$1),FALSE),"")</f>
        <v>魔法</v>
      </c>
      <c r="M274" t="str">
        <f>IFERROR(VLOOKUP($C274,武器!$1:$998,COLUMN(AA$1),FALSE)*VLOOKUP($D274,素材!$1:$1016,COLUMN($G$1),FALSE),"")</f>
        <v/>
      </c>
      <c r="N274">
        <f>IFERROR(VLOOKUP($C274,武器!$1:$998,COLUMN(I$1),FALSE),"")</f>
        <v>0</v>
      </c>
      <c r="O274" s="23" t="str">
        <f>IFERROR((VLOOKUP($C274,武器!$1:$998,COLUMN(K$1),FALSE)+VLOOKUP($D274,素材!$1:$1016,COLUMN(H$1),FALSE))*100+IFERROR(VLOOKUP($CJ274,装強!$1:$999,COLUMN(O$1),FALSE),0),"")</f>
        <v/>
      </c>
      <c r="P274" s="23" t="str">
        <f>IFERROR((VLOOKUP($C274,武器!$1:$998,COLUMN(L$1),FALSE)+VLOOKUP($D274,素材!$1:$1016,COLUMN(I$1),FALSE))*100+IFERROR(VLOOKUP($CJ274,装強!$1:$999,COLUMN(P$1),FALSE),0),"")</f>
        <v/>
      </c>
      <c r="Q274">
        <f>IFERROR(ROUNDUP(VLOOKUP($C274,武器!$1:$998,COLUMN(M$1),FALSE)*(VLOOKUP($D274,素材!$1:$1002,COLUMN(D$1),FALSE)/100),1),"")</f>
        <v>0</v>
      </c>
      <c r="R274">
        <f>IFERROR(ROUNDUP(VLOOKUP($C274,武器!$1:$998,COLUMN(N$1),FALSE)*(VLOOKUP($D274,素材!$1:$1002,COLUMN(D$1),FALSE)/100),1),"")</f>
        <v>0</v>
      </c>
      <c r="S274">
        <f>IFERROR(VLOOKUP($C274,武器!$1:$998,COLUMN(P$1),FALSE),"")</f>
        <v>0</v>
      </c>
      <c r="T274">
        <f>IFERROR(VLOOKUP($C274,武器!$1:$998,COLUMN(Q$1),FALSE),"")</f>
        <v>0</v>
      </c>
      <c r="U274">
        <f>IFERROR(VLOOKUP($C274,武器!$1:$998,COLUMN(R$1),FALSE),"")</f>
        <v>0</v>
      </c>
      <c r="V274">
        <f>IFERROR(VLOOKUP($C274,武器!$1:$998,COLUMN(Q$1),FALSE),"")</f>
        <v>0</v>
      </c>
      <c r="W274">
        <f>IFERROR(VLOOKUP($C274,武器!$1:$998,COLUMN(T$1),FALSE),"")</f>
        <v>0</v>
      </c>
      <c r="Y274">
        <f>IFERROR(VLOOKUP($C274,武器!$1:$998,COLUMN(U$1),FALSE),"")</f>
        <v>0</v>
      </c>
      <c r="Z274">
        <f>IFERROR(ROUNDUP(VLOOKUP($C274,武器!$1:$998,COLUMN(O$1),FALSE)*VLOOKUP($D274,素材!$1:$1016,COLUMN(E$1),FALSE),1),"")</f>
        <v>0</v>
      </c>
      <c r="AA274">
        <f>IF(ISNUMBER(SEARCH(SUBSTITUTE(AA$1,RIGHT(AA$1,2),""),VLOOKUP($D274,素材!$1:$1016,COLUMN($F$1),FALSE))),VLOOKUP($C274,武器!$1:$998,COLUMN($O$1),FALSE)*VLOOKUP($D274,素材!$1:$1016,COLUMN($E$1),FALSE)/(LEN(VLOOKUP($D274,素材!$1:$1016,COLUMN($F$1),FALSE))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B274">
        <f>IF(ISNUMBER(SEARCH(SUBSTITUTE(AB$1,RIGHT(AB$1,2),""),VLOOKUP($D274,素材!$1:$1016,COLUMN($F$1),FALSE))),VLOOKUP($C274,武器!$1:$998,COLUMN($O$1),FALSE)*VLOOKUP($D274,素材!$1:$1016,COLUMN($E$1),FALSE)/(LEN(VLOOKUP($D274,素材!$1:$1016,COLUMN($F$1),FALSE))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C274">
        <f>IF(ISNUMBER(SEARCH(SUBSTITUTE(AC$1,RIGHT(AC$1,2),""),VLOOKUP($D274,素材!$1:$1016,COLUMN($F$1),FALSE))),VLOOKUP($C274,武器!$1:$998,COLUMN($O$1),FALSE)*VLOOKUP($D274,素材!$1:$1016,COLUMN($E$1),FALSE)/(LEN(VLOOKUP($D274,素材!$1:$1016,COLUMN($F$1),FALSE))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D274">
        <f>IF(ISNUMBER(SEARCH(SUBSTITUTE(AD$1,RIGHT(AD$1,2),""),VLOOKUP($D274,素材!$1:$1016,COLUMN($F$1),FALSE))),VLOOKUP($C274,武器!$1:$998,COLUMN($O$1),FALSE)*VLOOKUP($D274,素材!$1:$1016,COLUMN($E$1),FALSE)/(LEN(VLOOKUP($D274,素材!$1:$1016,COLUMN($F$1),FALSE))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E274">
        <f>IF(ISNUMBER(SEARCH(SUBSTITUTE(AE$1,RIGHT(AE$1,2),""),VLOOKUP($D274,素材!$1:$1016,COLUMN($F$1),FALSE))),VLOOKUP($C274,武器!$1:$998,COLUMN($O$1),FALSE)*VLOOKUP($D274,素材!$1:$1016,COLUMN($E$1),FALSE)/(LEN(VLOOKUP($D274,素材!$1:$1016,COLUMN($F$1),FALSE))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F274">
        <f>IF(ISNUMBER(SEARCH(SUBSTITUTE(AF$1,RIGHT(AF$1,2),""),VLOOKUP($D274,素材!$1:$1016,COLUMN($F$1),FALSE))),VLOOKUP($C274,武器!$1:$998,COLUMN($O$1),FALSE)*VLOOKUP($D274,素材!$1:$1016,COLUMN($E$1),FALSE)/(LEN(VLOOKUP($D274,素材!$1:$1016,COLUMN($F$1),FALSE))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G274">
        <f>IF(ISNUMBER(SEARCH(SUBSTITUTE(AG$1,RIGHT(AG$1,2),""),VLOOKUP($D274,素材!$1:$1016,COLUMN($F$1),FALSE))),VLOOKUP($C274,武器!$1:$998,COLUMN($O$1),FALSE)*VLOOKUP($D274,素材!$1:$1016,COLUMN($E$1),FALSE)/(LEN(VLOOKUP($D274,素材!$1:$1016,COLUMN($F$1),FALSE))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H274">
        <f>IF(ISNUMBER(SEARCH(SUBSTITUTE(AH$1,RIGHT(AH$1,2),""),VLOOKUP($D274,素材!$1:$1016,COLUMN($F$1),FALSE))),VLOOKUP($C274,武器!$1:$998,COLUMN($O$1),FALSE)*VLOOKUP($D274,素材!$1:$1016,COLUMN($E$1),FALSE)/(LEN(VLOOKUP($D274,素材!$1:$1016,COLUMN($F$1),FALSE))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I274">
        <f>IF(ISNUMBER(SEARCH(SUBSTITUTE(AI$1,RIGHT(AI$1,2),""),VLOOKUP($D274,素材!$1:$1016,COLUMN($F$1),FALSE))),VLOOKUP($C274,武器!$1:$998,COLUMN($O$1),FALSE)*VLOOKUP($D274,素材!$1:$1016,COLUMN($E$1),FALSE)/(LEN(VLOOKUP($D274,素材!$1:$1016,COLUMN($F$1),FALSE))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J274">
        <f>IF(ISNUMBER(SEARCH(SUBSTITUTE(AJ$1,RIGHT(AJ$1,2),""),VLOOKUP($D274,素材!$1:$1016,COLUMN($F$1),FALSE))),VLOOKUP($C274,武器!$1:$998,COLUMN($O$1),FALSE)*VLOOKUP($D274,素材!$1:$1016,COLUMN($E$1),FALSE)/(LEN(VLOOKUP($D274,素材!$1:$1016,COLUMN($F$1),FALSE))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K274">
        <f>IF(ISNUMBER(SEARCH(SUBSTITUTE(AK$1,RIGHT(AK$1,2),""),VLOOKUP($D274,素材!$1:$1016,COLUMN($F$1),FALSE))),VLOOKUP($C274,武器!$1:$998,COLUMN($O$1),FALSE)*VLOOKUP($D274,素材!$1:$1016,COLUMN($E$1),FALSE)/(LEN(VLOOKUP($D274,素材!$1:$1016,COLUMN($F$1),FALSE))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L274">
        <f>IF(ISNUMBER(SEARCH(SUBSTITUTE(AL$1,RIGHT(AL$1,2),""),VLOOKUP($D274,素材!$1:$1016,COLUMN($F$1),FALSE))),VLOOKUP($C274,武器!$1:$998,COLUMN($O$1),FALSE)*VLOOKUP($D274,素材!$1:$1016,COLUMN($E$1),FALSE)/(LEN(VLOOKUP($D274,素材!$1:$1016,COLUMN($F$1),FALSE))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M274">
        <f>IF(ISNUMBER(SEARCH(SUBSTITUTE(AM$1,RIGHT(AM$1,2),""),VLOOKUP($D274,素材!$1:$1016,COLUMN($F$1),FALSE))),VLOOKUP($C274,武器!$1:$998,COLUMN($O$1),FALSE)*VLOOKUP($D274,素材!$1:$1016,COLUMN($E$1),FALSE)/(LEN(VLOOKUP($D274,素材!$1:$1016,COLUMN($F$1),FALSE))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N274">
        <f>IF(ISNUMBER(SEARCH(SUBSTITUTE(AN$1,RIGHT(AN$1,2),""),VLOOKUP($D274,素材!$1:$1016,COLUMN($F$1),FALSE))),VLOOKUP($C274,武器!$1:$998,COLUMN($O$1),FALSE)*VLOOKUP($D274,素材!$1:$1016,COLUMN($E$1),FALSE)/(LEN(VLOOKUP($D274,素材!$1:$1016,COLUMN($F$1),FALSE))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O274">
        <f>IF(ISNUMBER(SEARCH(SUBSTITUTE(AO$1,RIGHT(AO$1,2),""),VLOOKUP($D274,素材!$1:$1016,COLUMN($F$1),FALSE))),VLOOKUP($C274,武器!$1:$998,COLUMN($O$1),FALSE)*VLOOKUP($D274,素材!$1:$1016,COLUMN($E$1),FALSE)/(LEN(VLOOKUP($D274,素材!$1:$1016,COLUMN($F$1),FALSE))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P274">
        <f>IF(ISNUMBER(SEARCH(SUBSTITUTE(AP$1,RIGHT(AP$1,2),""),VLOOKUP($D274,素材!$1:$1016,COLUMN($F$1),FALSE))),VLOOKUP($C274,武器!$1:$998,COLUMN($O$1),FALSE)*VLOOKUP($D274,素材!$1:$1016,COLUMN($E$1),FALSE)/(LEN(VLOOKUP($D274,素材!$1:$1016,COLUMN($F$1),FALSE))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Q274">
        <f>IF(ISNUMBER(SEARCH(SUBSTITUTE(AQ$1,RIGHT(AQ$1,2),""),VLOOKUP($D274,素材!$1:$1016,COLUMN($F$1),FALSE))),VLOOKUP($C274,武器!$1:$998,COLUMN($O$1),FALSE)*VLOOKUP($D274,素材!$1:$1016,COLUMN($E$1),FALSE)/(LEN(VLOOKUP($D274,素材!$1:$1016,COLUMN($F$1),FALSE))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R274">
        <f>IF(ISNUMBER(SEARCH(SUBSTITUTE(AR$1,RIGHT(AR$1,2),""),VLOOKUP($D274,素材!$1:$1016,COLUMN($F$1),FALSE))),VLOOKUP($C274,武器!$1:$998,COLUMN($O$1),FALSE)*VLOOKUP($D274,素材!$1:$1016,COLUMN($E$1),FALSE)/(LEN(VLOOKUP($D274,素材!$1:$1016,COLUMN($F$1),FALSE))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S274">
        <f>IF(ISNUMBER(SEARCH(SUBSTITUTE(AS$1,RIGHT(AS$1,2),""),VLOOKUP($D274,素材!$1:$1016,COLUMN($F$1),FALSE))),VLOOKUP($C274,武器!$1:$998,COLUMN($O$1),FALSE)*VLOOKUP($D274,素材!$1:$1016,COLUMN($E$1),FALSE)/(LEN(VLOOKUP($D274,素材!$1:$1016,COLUMN($F$1),FALSE))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T274">
        <f>IF(ISNUMBER(SEARCH(SUBSTITUTE(AT$1,RIGHT(AT$1,2),""),VLOOKUP($D274,素材!$1:$1016,COLUMN($F$1),FALSE))),VLOOKUP($C274,武器!$1:$998,COLUMN($O$1),FALSE)*VLOOKUP($D274,素材!$1:$1016,COLUMN($E$1),FALSE)/(LEN(VLOOKUP($D274,素材!$1:$1016,COLUMN($F$1),FALSE))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U274">
        <f>IF(ISNUMBER(SEARCH(SUBSTITUTE(AU$1,RIGHT(AU$1,2),""),VLOOKUP($D274,素材!$1:$1016,COLUMN($F$1),FALSE))),VLOOKUP($C274,武器!$1:$998,COLUMN($O$1),FALSE)*VLOOKUP($D274,素材!$1:$1016,COLUMN($E$1),FALSE)/(LEN(VLOOKUP($D274,素材!$1:$1016,COLUMN($F$1),FALSE))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V274">
        <f>IF(ISNUMBER(SEARCH(SUBSTITUTE(AV$1,RIGHT(AV$1,2),""),VLOOKUP($D274,素材!$1:$1016,COLUMN($F$1),FALSE))),VLOOKUP($C274,武器!$1:$998,COLUMN($O$1),FALSE)*VLOOKUP($D274,素材!$1:$1016,COLUMN($E$1),FALSE)/(LEN(VLOOKUP($D274,素材!$1:$1016,COLUMN($F$1),FALSE))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W274">
        <f>IF(ISNUMBER(SEARCH(SUBSTITUTE(AW$1,RIGHT(AW$1,2),""),VLOOKUP($D274,素材!$1:$1016,COLUMN($F$1),FALSE))),VLOOKUP($C274,武器!$1:$998,COLUMN($O$1),FALSE)*VLOOKUP($D274,素材!$1:$1016,COLUMN($E$1),FALSE)/(LEN(VLOOKUP($D274,素材!$1:$1016,COLUMN($F$1),FALSE))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X274">
        <f>IF(ISNUMBER(SEARCH(SUBSTITUTE(AX$1,RIGHT(AX$1,2),""),VLOOKUP($D274,素材!$1:$1016,COLUMN($F$1),FALSE))),VLOOKUP($C274,武器!$1:$998,COLUMN($O$1),FALSE)*VLOOKUP($D274,素材!$1:$1016,COLUMN($E$1),FALSE)/(LEN(VLOOKUP($D274,素材!$1:$1016,COLUMN($F$1),FALSE))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Y274">
        <f>IF(ISNUMBER(SEARCH(SUBSTITUTE(AY$1,RIGHT(AY$1,2),""),VLOOKUP($D274,素材!$1:$1016,COLUMN($F$1),FALSE))),VLOOKUP($C274,武器!$1:$998,COLUMN($O$1),FALSE)*VLOOKUP($D274,素材!$1:$1016,COLUMN($E$1),FALSE)/(LEN(VLOOKUP($D274,素材!$1:$1016,COLUMN($F$1),FALSE))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AZ274">
        <f>IF(ISNUMBER(SEARCH(SUBSTITUTE(AZ$1,RIGHT(AZ$1,2),""),VLOOKUP($D274,素材!$1:$1016,COLUMN($F$1),FALSE))),VLOOKUP($C274,武器!$1:$998,COLUMN($O$1),FALSE)*VLOOKUP($D274,素材!$1:$1016,COLUMN($E$1),FALSE)/(LEN(VLOOKUP($D274,素材!$1:$1016,COLUMN($F$1),FALSE))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BA274">
        <f>IF(ISNUMBER(SEARCH(SUBSTITUTE(BA$1,RIGHT(BA$1,2),""),VLOOKUP($D274,素材!$1:$1016,COLUMN($F$1),FALSE))),VLOOKUP($C274,武器!$1:$998,COLUMN($O$1),FALSE)*VLOOKUP($D274,素材!$1:$1016,COLUMN($E$1),FALSE)/(LEN(VLOOKUP($D274,素材!$1:$1016,COLUMN($F$1),FALSE))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BB274">
        <f>IF(ISNUMBER(SEARCH(SUBSTITUTE(BB$1,RIGHT(BB$1,2),""),VLOOKUP($D274,素材!$1:$1016,COLUMN($F$1),FALSE))),VLOOKUP($C274,武器!$1:$998,COLUMN($O$1),FALSE)*VLOOKUP($D274,素材!$1:$1016,COLUMN($E$1),FALSE)/(LEN(VLOOKUP($D274,素材!$1:$1016,COLUMN($F$1),FALSE))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BC274">
        <f>IF(ISNUMBER(SEARCH(SUBSTITUTE(BC$1,RIGHT(BC$1,2),""),VLOOKUP($D274,素材!$1:$1016,COLUMN($F$1),FALSE))),VLOOKUP($C274,武器!$1:$998,COLUMN($O$1),FALSE)*VLOOKUP($D274,素材!$1:$1016,COLUMN($E$1),FALSE)/(LEN(VLOOKUP($D274,素材!$1:$1016,COLUMN($F$1),FALSE))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BD274">
        <f>IF(ISNUMBER(SEARCH(SUBSTITUTE(BD$1,RIGHT(BD$1,2),""),VLOOKUP($D274,素材!$1:$1016,COLUMN($F$1),FALSE))),VLOOKUP($C274,武器!$1:$998,COLUMN($O$1),FALSE)*VLOOKUP($D274,素材!$1:$1016,COLUMN($E$1),FALSE)/(LEN(VLOOKUP($D274,素材!$1:$1016,COLUMN($F$1),FALSE))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BE274">
        <f>IF(ISNUMBER(SEARCH(SUBSTITUTE(BE$1,RIGHT(BE$1,2),""),VLOOKUP($D274,素材!$1:$1016,COLUMN($F$1),FALSE))),VLOOKUP($C274,武器!$1:$998,COLUMN($O$1),FALSE)*VLOOKUP($D274,素材!$1:$1016,COLUMN($E$1),FALSE)/(LEN(VLOOKUP($D274,素材!$1:$1016,COLUMN($F$1),FALSE))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BF274">
        <f>IF(ISNUMBER(SEARCH(SUBSTITUTE(BF$1,RIGHT(BF$1,2),""),VLOOKUP($D274,素材!$1:$1016,COLUMN($F$1),FALSE))),VLOOKUP($C274,武器!$1:$998,COLUMN($O$1),FALSE)*VLOOKUP($D274,素材!$1:$1016,COLUMN($E$1),FALSE)/(LEN(VLOOKUP($D274,素材!$1:$1016,COLUMN($F$1),FALSE)) - LEN(SUBSTITUTE(VLOOKUP($D274,素材!$1:$1016,COLUMN($F$1),FALSE), "・", 0)) + 1), 0)</f>
        <v>0</v>
      </c>
      <c r="CM274">
        <f t="shared" si="36"/>
        <v>0</v>
      </c>
      <c r="CN274" s="22" t="str">
        <f>IF(E274="武器",IF(J274-1&gt;SUM(G274:I274),"盾",IF(MAX(G274:I274)=G274,"切断",IF(MAX(G274:I274)=H274,"貫通",IF(MAX(G274:I274)=I274,"打撃","射撃")))),E274)&amp;".webp"</f>
        <v>装飾.webp</v>
      </c>
      <c r="CO274">
        <f>IFERROR(VLOOKUP($C274,武器!$1:$998,COLUMN(V$1),FALSE)*VLOOKUP($D274,素材!$1:$1016,COLUMN(N$1),FALSE)+IF(CJ274="",0,VLOOKUP($CJ274,装強!$1:$1008,COLUMN($CL$1),FALSE)),"")</f>
        <v>1500</v>
      </c>
      <c r="CP274" t="str">
        <f>VLOOKUP(D274,素材!$A:$O,COLUMN(素材!O$1),FALSE)</f>
        <v>魔力を帯びた特殊な皮素材。魔法防御や属性耐性を強化する効果があり、高レベルの冒険者に重宝されます。</v>
      </c>
      <c r="CQ274" t="str">
        <f>VLOOKUP(C274,武器!$A:$W,COLUMN(武器!W$1),FALSE)</f>
        <v xml:space="preserve">HP ST 攻撃 防御 体幹 怯み 疲労 </v>
      </c>
      <c r="CS274" t="str">
        <f t="shared" si="37"/>
        <v>e_274</v>
      </c>
      <c r="CT274">
        <f t="shared" si="38"/>
        <v>150000</v>
      </c>
    </row>
    <row r="275" spans="1:98" hidden="1" outlineLevel="1" x14ac:dyDescent="0.4">
      <c r="A275" t="str">
        <f>IF(CJ275="",D275&amp;"の"&amp;C275,CJ275&amp;"の"&amp;C275)</f>
        <v>魔獣皮の外套</v>
      </c>
      <c r="B275" t="str">
        <f>IFERROR(IF(CJ275="",VLOOKUP($D275,素材!$1:$1016,COLUMN($B$1),FALSE)&amp;"・"&amp;VLOOKUP($C275,武器!$1:$998,COLUMN(B$1),FALSE),VLOOKUP($CJ275,装強!$1:$1008,COLUMN($B$1),FALSE)&amp;"・"&amp;VLOOKUP($C275,武器!$1:$998,COLUMN(B$1),FALSE)),"")</f>
        <v>マジックレザー・マント</v>
      </c>
      <c r="C275" s="24" t="s">
        <v>203</v>
      </c>
      <c r="D275" s="24" t="s">
        <v>202</v>
      </c>
      <c r="E275" t="str">
        <f>IFERROR(VLOOKUP(C275,武器!$1:$998,COLUMN(C$1),FALSE),"")</f>
        <v>装飾</v>
      </c>
      <c r="F275">
        <f>IFERROR(ROUNDDOWN((VLOOKUP($C275,武器!$1:$998,COLUMN(D$1),FALSE)+IFERROR(VLOOKUP($CJ275,装強!$1:$999,COLUMN(F$1),FALSE),0))*VLOOKUP($D275,素材!$1:$1016,COLUMN(D$1),FALSE),0),"")</f>
        <v>0</v>
      </c>
      <c r="G275">
        <f>IFERROR(ROUNDDOWN((VLOOKUP($C275,武器!$1:$998,COLUMN(E$1),FALSE)+IFERROR(VLOOKUP($CJ275,装強!$1:$999,COLUMN(G$1),FALSE),0))*VLOOKUP($D275,素材!$1:$1016,COLUMN($E$1),FALSE),0),"")</f>
        <v>0</v>
      </c>
      <c r="H275">
        <f>IFERROR(ROUNDDOWN((VLOOKUP($C275,武器!$1:$998,COLUMN(F$1),FALSE)+IFERROR(VLOOKUP($CJ275,装強!$1:$999,COLUMN(H$1),FALSE),0))*VLOOKUP($D275,素材!$1:$1016,COLUMN($E$1),FALSE),0),"")</f>
        <v>0</v>
      </c>
      <c r="I275">
        <f>IFERROR(ROUNDDOWN((VLOOKUP($C275,武器!$1:$998,COLUMN(G$1),FALSE)+IFERROR(VLOOKUP($CJ275,装強!$1:$999,COLUMN(I$1),FALSE),0))*VLOOKUP($D275,素材!$1:$1016,COLUMN($E$1),FALSE),0),"")</f>
        <v>0</v>
      </c>
      <c r="J275">
        <f>IFERROR(ROUNDDOWN((VLOOKUP($C275,武器!$1:$998,COLUMN(H$1),FALSE)+IFERROR(VLOOKUP($CJ275,装強!$1:$999,COLUMN(J$1),FALSE),0))*VLOOKUP($D275,素材!$1:$1016,COLUMN($E$1),FALSE),0),"")</f>
        <v>0</v>
      </c>
      <c r="K275">
        <f>IFERROR(ROUNDDOWN((VLOOKUP($C275,武器!$1:$998,COLUMN(I$1),FALSE)+IFERROR(VLOOKUP($CJ275,装強!$1:$999,COLUMN(K$1),FALSE),0))*VLOOKUP($D275,素材!$1:$1016,COLUMN($E$1),FALSE),0),"")</f>
        <v>0</v>
      </c>
      <c r="L275" t="str">
        <f>IFERROR(VLOOKUP($D275,素材!$1:$1016,COLUMN($F$1),FALSE),"")</f>
        <v>魔法</v>
      </c>
      <c r="M275" t="str">
        <f>IFERROR(VLOOKUP($C275,武器!$1:$998,COLUMN(AA$1),FALSE)*VLOOKUP($D275,素材!$1:$1016,COLUMN($G$1),FALSE),"")</f>
        <v/>
      </c>
      <c r="N275">
        <f>IFERROR(VLOOKUP($C275,武器!$1:$998,COLUMN(I$1),FALSE),"")</f>
        <v>0</v>
      </c>
      <c r="O275" s="23" t="str">
        <f>IFERROR((VLOOKUP($C275,武器!$1:$998,COLUMN(K$1),FALSE)+VLOOKUP($D275,素材!$1:$1016,COLUMN(H$1),FALSE))*100+IFERROR(VLOOKUP($CJ275,装強!$1:$999,COLUMN(O$1),FALSE),0),"")</f>
        <v/>
      </c>
      <c r="P275" s="23" t="str">
        <f>IFERROR((VLOOKUP($C275,武器!$1:$998,COLUMN(L$1),FALSE)+VLOOKUP($D275,素材!$1:$1016,COLUMN(I$1),FALSE))*100+IFERROR(VLOOKUP($CJ275,装強!$1:$999,COLUMN(P$1),FALSE),0),"")</f>
        <v/>
      </c>
      <c r="Q275">
        <f>IFERROR(ROUNDUP(VLOOKUP($C275,武器!$1:$998,COLUMN(M$1),FALSE)*(VLOOKUP($D275,素材!$1:$1002,COLUMN(D$1),FALSE)/100),1),"")</f>
        <v>0</v>
      </c>
      <c r="R275">
        <f>IFERROR(ROUNDUP(VLOOKUP($C275,武器!$1:$998,COLUMN(N$1),FALSE)*(VLOOKUP($D275,素材!$1:$1002,COLUMN(D$1),FALSE)/100),1),"")</f>
        <v>0</v>
      </c>
      <c r="S275">
        <f>IFERROR(VLOOKUP($C275,武器!$1:$998,COLUMN(P$1),FALSE),"")</f>
        <v>0</v>
      </c>
      <c r="T275">
        <f>IFERROR(VLOOKUP($C275,武器!$1:$998,COLUMN(Q$1),FALSE),"")</f>
        <v>0</v>
      </c>
      <c r="U275">
        <f>IFERROR(VLOOKUP($C275,武器!$1:$998,COLUMN(R$1),FALSE),"")</f>
        <v>0</v>
      </c>
      <c r="V275">
        <f>IFERROR(VLOOKUP($C275,武器!$1:$998,COLUMN(Q$1),FALSE),"")</f>
        <v>0</v>
      </c>
      <c r="W275">
        <f>IFERROR(VLOOKUP($C275,武器!$1:$998,COLUMN(T$1),FALSE),"")</f>
        <v>0</v>
      </c>
      <c r="Y275">
        <f>IFERROR(VLOOKUP($C275,武器!$1:$998,COLUMN(U$1),FALSE),"")</f>
        <v>0</v>
      </c>
      <c r="Z275">
        <f>IFERROR(ROUNDUP(VLOOKUP($C275,武器!$1:$998,COLUMN(O$1),FALSE)*VLOOKUP($D275,素材!$1:$1016,COLUMN(E$1),FALSE),1),"")</f>
        <v>0</v>
      </c>
      <c r="AA275">
        <f>IF(ISNUMBER(SEARCH(SUBSTITUTE(AA$1,RIGHT(AA$1,2),""),VLOOKUP($D275,素材!$1:$1016,COLUMN($F$1),FALSE))),VLOOKUP($C275,武器!$1:$998,COLUMN($O$1),FALSE)*VLOOKUP($D275,素材!$1:$1016,COLUMN($E$1),FALSE)/(LEN(VLOOKUP($D275,素材!$1:$1016,COLUMN($F$1),FALSE))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B275">
        <f>IF(ISNUMBER(SEARCH(SUBSTITUTE(AB$1,RIGHT(AB$1,2),""),VLOOKUP($D275,素材!$1:$1016,COLUMN($F$1),FALSE))),VLOOKUP($C275,武器!$1:$998,COLUMN($O$1),FALSE)*VLOOKUP($D275,素材!$1:$1016,COLUMN($E$1),FALSE)/(LEN(VLOOKUP($D275,素材!$1:$1016,COLUMN($F$1),FALSE))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C275">
        <f>IF(ISNUMBER(SEARCH(SUBSTITUTE(AC$1,RIGHT(AC$1,2),""),VLOOKUP($D275,素材!$1:$1016,COLUMN($F$1),FALSE))),VLOOKUP($C275,武器!$1:$998,COLUMN($O$1),FALSE)*VLOOKUP($D275,素材!$1:$1016,COLUMN($E$1),FALSE)/(LEN(VLOOKUP($D275,素材!$1:$1016,COLUMN($F$1),FALSE))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D275">
        <f>IF(ISNUMBER(SEARCH(SUBSTITUTE(AD$1,RIGHT(AD$1,2),""),VLOOKUP($D275,素材!$1:$1016,COLUMN($F$1),FALSE))),VLOOKUP($C275,武器!$1:$998,COLUMN($O$1),FALSE)*VLOOKUP($D275,素材!$1:$1016,COLUMN($E$1),FALSE)/(LEN(VLOOKUP($D275,素材!$1:$1016,COLUMN($F$1),FALSE))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E275">
        <f>IF(ISNUMBER(SEARCH(SUBSTITUTE(AE$1,RIGHT(AE$1,2),""),VLOOKUP($D275,素材!$1:$1016,COLUMN($F$1),FALSE))),VLOOKUP($C275,武器!$1:$998,COLUMN($O$1),FALSE)*VLOOKUP($D275,素材!$1:$1016,COLUMN($E$1),FALSE)/(LEN(VLOOKUP($D275,素材!$1:$1016,COLUMN($F$1),FALSE))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F275">
        <f>IF(ISNUMBER(SEARCH(SUBSTITUTE(AF$1,RIGHT(AF$1,2),""),VLOOKUP($D275,素材!$1:$1016,COLUMN($F$1),FALSE))),VLOOKUP($C275,武器!$1:$998,COLUMN($O$1),FALSE)*VLOOKUP($D275,素材!$1:$1016,COLUMN($E$1),FALSE)/(LEN(VLOOKUP($D275,素材!$1:$1016,COLUMN($F$1),FALSE))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G275">
        <f>IF(ISNUMBER(SEARCH(SUBSTITUTE(AG$1,RIGHT(AG$1,2),""),VLOOKUP($D275,素材!$1:$1016,COLUMN($F$1),FALSE))),VLOOKUP($C275,武器!$1:$998,COLUMN($O$1),FALSE)*VLOOKUP($D275,素材!$1:$1016,COLUMN($E$1),FALSE)/(LEN(VLOOKUP($D275,素材!$1:$1016,COLUMN($F$1),FALSE))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H275">
        <f>IF(ISNUMBER(SEARCH(SUBSTITUTE(AH$1,RIGHT(AH$1,2),""),VLOOKUP($D275,素材!$1:$1016,COLUMN($F$1),FALSE))),VLOOKUP($C275,武器!$1:$998,COLUMN($O$1),FALSE)*VLOOKUP($D275,素材!$1:$1016,COLUMN($E$1),FALSE)/(LEN(VLOOKUP($D275,素材!$1:$1016,COLUMN($F$1),FALSE))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I275">
        <f>IF(ISNUMBER(SEARCH(SUBSTITUTE(AI$1,RIGHT(AI$1,2),""),VLOOKUP($D275,素材!$1:$1016,COLUMN($F$1),FALSE))),VLOOKUP($C275,武器!$1:$998,COLUMN($O$1),FALSE)*VLOOKUP($D275,素材!$1:$1016,COLUMN($E$1),FALSE)/(LEN(VLOOKUP($D275,素材!$1:$1016,COLUMN($F$1),FALSE))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J275">
        <f>IF(ISNUMBER(SEARCH(SUBSTITUTE(AJ$1,RIGHT(AJ$1,2),""),VLOOKUP($D275,素材!$1:$1016,COLUMN($F$1),FALSE))),VLOOKUP($C275,武器!$1:$998,COLUMN($O$1),FALSE)*VLOOKUP($D275,素材!$1:$1016,COLUMN($E$1),FALSE)/(LEN(VLOOKUP($D275,素材!$1:$1016,COLUMN($F$1),FALSE))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K275">
        <f>IF(ISNUMBER(SEARCH(SUBSTITUTE(AK$1,RIGHT(AK$1,2),""),VLOOKUP($D275,素材!$1:$1016,COLUMN($F$1),FALSE))),VLOOKUP($C275,武器!$1:$998,COLUMN($O$1),FALSE)*VLOOKUP($D275,素材!$1:$1016,COLUMN($E$1),FALSE)/(LEN(VLOOKUP($D275,素材!$1:$1016,COLUMN($F$1),FALSE))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L275">
        <f>IF(ISNUMBER(SEARCH(SUBSTITUTE(AL$1,RIGHT(AL$1,2),""),VLOOKUP($D275,素材!$1:$1016,COLUMN($F$1),FALSE))),VLOOKUP($C275,武器!$1:$998,COLUMN($O$1),FALSE)*VLOOKUP($D275,素材!$1:$1016,COLUMN($E$1),FALSE)/(LEN(VLOOKUP($D275,素材!$1:$1016,COLUMN($F$1),FALSE))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M275">
        <f>IF(ISNUMBER(SEARCH(SUBSTITUTE(AM$1,RIGHT(AM$1,2),""),VLOOKUP($D275,素材!$1:$1016,COLUMN($F$1),FALSE))),VLOOKUP($C275,武器!$1:$998,COLUMN($O$1),FALSE)*VLOOKUP($D275,素材!$1:$1016,COLUMN($E$1),FALSE)/(LEN(VLOOKUP($D275,素材!$1:$1016,COLUMN($F$1),FALSE))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N275">
        <f>IF(ISNUMBER(SEARCH(SUBSTITUTE(AN$1,RIGHT(AN$1,2),""),VLOOKUP($D275,素材!$1:$1016,COLUMN($F$1),FALSE))),VLOOKUP($C275,武器!$1:$998,COLUMN($O$1),FALSE)*VLOOKUP($D275,素材!$1:$1016,COLUMN($E$1),FALSE)/(LEN(VLOOKUP($D275,素材!$1:$1016,COLUMN($F$1),FALSE))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O275">
        <f>IF(ISNUMBER(SEARCH(SUBSTITUTE(AO$1,RIGHT(AO$1,2),""),VLOOKUP($D275,素材!$1:$1016,COLUMN($F$1),FALSE))),VLOOKUP($C275,武器!$1:$998,COLUMN($O$1),FALSE)*VLOOKUP($D275,素材!$1:$1016,COLUMN($E$1),FALSE)/(LEN(VLOOKUP($D275,素材!$1:$1016,COLUMN($F$1),FALSE))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P275">
        <f>IF(ISNUMBER(SEARCH(SUBSTITUTE(AP$1,RIGHT(AP$1,2),""),VLOOKUP($D275,素材!$1:$1016,COLUMN($F$1),FALSE))),VLOOKUP($C275,武器!$1:$998,COLUMN($O$1),FALSE)*VLOOKUP($D275,素材!$1:$1016,COLUMN($E$1),FALSE)/(LEN(VLOOKUP($D275,素材!$1:$1016,COLUMN($F$1),FALSE))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Q275">
        <f>IF(ISNUMBER(SEARCH(SUBSTITUTE(AQ$1,RIGHT(AQ$1,2),""),VLOOKUP($D275,素材!$1:$1016,COLUMN($F$1),FALSE))),VLOOKUP($C275,武器!$1:$998,COLUMN($O$1),FALSE)*VLOOKUP($D275,素材!$1:$1016,COLUMN($E$1),FALSE)/(LEN(VLOOKUP($D275,素材!$1:$1016,COLUMN($F$1),FALSE))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R275">
        <f>IF(ISNUMBER(SEARCH(SUBSTITUTE(AR$1,RIGHT(AR$1,2),""),VLOOKUP($D275,素材!$1:$1016,COLUMN($F$1),FALSE))),VLOOKUP($C275,武器!$1:$998,COLUMN($O$1),FALSE)*VLOOKUP($D275,素材!$1:$1016,COLUMN($E$1),FALSE)/(LEN(VLOOKUP($D275,素材!$1:$1016,COLUMN($F$1),FALSE))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S275">
        <f>IF(ISNUMBER(SEARCH(SUBSTITUTE(AS$1,RIGHT(AS$1,2),""),VLOOKUP($D275,素材!$1:$1016,COLUMN($F$1),FALSE))),VLOOKUP($C275,武器!$1:$998,COLUMN($O$1),FALSE)*VLOOKUP($D275,素材!$1:$1016,COLUMN($E$1),FALSE)/(LEN(VLOOKUP($D275,素材!$1:$1016,COLUMN($F$1),FALSE))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T275">
        <f>IF(ISNUMBER(SEARCH(SUBSTITUTE(AT$1,RIGHT(AT$1,2),""),VLOOKUP($D275,素材!$1:$1016,COLUMN($F$1),FALSE))),VLOOKUP($C275,武器!$1:$998,COLUMN($O$1),FALSE)*VLOOKUP($D275,素材!$1:$1016,COLUMN($E$1),FALSE)/(LEN(VLOOKUP($D275,素材!$1:$1016,COLUMN($F$1),FALSE))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U275">
        <f>IF(ISNUMBER(SEARCH(SUBSTITUTE(AU$1,RIGHT(AU$1,2),""),VLOOKUP($D275,素材!$1:$1016,COLUMN($F$1),FALSE))),VLOOKUP($C275,武器!$1:$998,COLUMN($O$1),FALSE)*VLOOKUP($D275,素材!$1:$1016,COLUMN($E$1),FALSE)/(LEN(VLOOKUP($D275,素材!$1:$1016,COLUMN($F$1),FALSE))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V275">
        <f>IF(ISNUMBER(SEARCH(SUBSTITUTE(AV$1,RIGHT(AV$1,2),""),VLOOKUP($D275,素材!$1:$1016,COLUMN($F$1),FALSE))),VLOOKUP($C275,武器!$1:$998,COLUMN($O$1),FALSE)*VLOOKUP($D275,素材!$1:$1016,COLUMN($E$1),FALSE)/(LEN(VLOOKUP($D275,素材!$1:$1016,COLUMN($F$1),FALSE))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W275">
        <f>IF(ISNUMBER(SEARCH(SUBSTITUTE(AW$1,RIGHT(AW$1,2),""),VLOOKUP($D275,素材!$1:$1016,COLUMN($F$1),FALSE))),VLOOKUP($C275,武器!$1:$998,COLUMN($O$1),FALSE)*VLOOKUP($D275,素材!$1:$1016,COLUMN($E$1),FALSE)/(LEN(VLOOKUP($D275,素材!$1:$1016,COLUMN($F$1),FALSE))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X275">
        <f>IF(ISNUMBER(SEARCH(SUBSTITUTE(AX$1,RIGHT(AX$1,2),""),VLOOKUP($D275,素材!$1:$1016,COLUMN($F$1),FALSE))),VLOOKUP($C275,武器!$1:$998,COLUMN($O$1),FALSE)*VLOOKUP($D275,素材!$1:$1016,COLUMN($E$1),FALSE)/(LEN(VLOOKUP($D275,素材!$1:$1016,COLUMN($F$1),FALSE))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Y275">
        <f>IF(ISNUMBER(SEARCH(SUBSTITUTE(AY$1,RIGHT(AY$1,2),""),VLOOKUP($D275,素材!$1:$1016,COLUMN($F$1),FALSE))),VLOOKUP($C275,武器!$1:$998,COLUMN($O$1),FALSE)*VLOOKUP($D275,素材!$1:$1016,COLUMN($E$1),FALSE)/(LEN(VLOOKUP($D275,素材!$1:$1016,COLUMN($F$1),FALSE))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AZ275">
        <f>IF(ISNUMBER(SEARCH(SUBSTITUTE(AZ$1,RIGHT(AZ$1,2),""),VLOOKUP($D275,素材!$1:$1016,COLUMN($F$1),FALSE))),VLOOKUP($C275,武器!$1:$998,COLUMN($O$1),FALSE)*VLOOKUP($D275,素材!$1:$1016,COLUMN($E$1),FALSE)/(LEN(VLOOKUP($D275,素材!$1:$1016,COLUMN($F$1),FALSE))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BA275">
        <f>IF(ISNUMBER(SEARCH(SUBSTITUTE(BA$1,RIGHT(BA$1,2),""),VLOOKUP($D275,素材!$1:$1016,COLUMN($F$1),FALSE))),VLOOKUP($C275,武器!$1:$998,COLUMN($O$1),FALSE)*VLOOKUP($D275,素材!$1:$1016,COLUMN($E$1),FALSE)/(LEN(VLOOKUP($D275,素材!$1:$1016,COLUMN($F$1),FALSE))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BB275">
        <f>IF(ISNUMBER(SEARCH(SUBSTITUTE(BB$1,RIGHT(BB$1,2),""),VLOOKUP($D275,素材!$1:$1016,COLUMN($F$1),FALSE))),VLOOKUP($C275,武器!$1:$998,COLUMN($O$1),FALSE)*VLOOKUP($D275,素材!$1:$1016,COLUMN($E$1),FALSE)/(LEN(VLOOKUP($D275,素材!$1:$1016,COLUMN($F$1),FALSE))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BC275">
        <f>IF(ISNUMBER(SEARCH(SUBSTITUTE(BC$1,RIGHT(BC$1,2),""),VLOOKUP($D275,素材!$1:$1016,COLUMN($F$1),FALSE))),VLOOKUP($C275,武器!$1:$998,COLUMN($O$1),FALSE)*VLOOKUP($D275,素材!$1:$1016,COLUMN($E$1),FALSE)/(LEN(VLOOKUP($D275,素材!$1:$1016,COLUMN($F$1),FALSE))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BD275">
        <f>IF(ISNUMBER(SEARCH(SUBSTITUTE(BD$1,RIGHT(BD$1,2),""),VLOOKUP($D275,素材!$1:$1016,COLUMN($F$1),FALSE))),VLOOKUP($C275,武器!$1:$998,COLUMN($O$1),FALSE)*VLOOKUP($D275,素材!$1:$1016,COLUMN($E$1),FALSE)/(LEN(VLOOKUP($D275,素材!$1:$1016,COLUMN($F$1),FALSE))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BE275">
        <f>IF(ISNUMBER(SEARCH(SUBSTITUTE(BE$1,RIGHT(BE$1,2),""),VLOOKUP($D275,素材!$1:$1016,COLUMN($F$1),FALSE))),VLOOKUP($C275,武器!$1:$998,COLUMN($O$1),FALSE)*VLOOKUP($D275,素材!$1:$1016,COLUMN($E$1),FALSE)/(LEN(VLOOKUP($D275,素材!$1:$1016,COLUMN($F$1),FALSE))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BF275">
        <f>IF(ISNUMBER(SEARCH(SUBSTITUTE(BF$1,RIGHT(BF$1,2),""),VLOOKUP($D275,素材!$1:$1016,COLUMN($F$1),FALSE))),VLOOKUP($C275,武器!$1:$998,COLUMN($O$1),FALSE)*VLOOKUP($D275,素材!$1:$1016,COLUMN($E$1),FALSE)/(LEN(VLOOKUP($D275,素材!$1:$1016,COLUMN($F$1),FALSE)) - LEN(SUBSTITUTE(VLOOKUP($D275,素材!$1:$1016,COLUMN($F$1),FALSE), "・", 0)) + 1), 0)</f>
        <v>0</v>
      </c>
      <c r="CM275">
        <f t="shared" si="36"/>
        <v>0</v>
      </c>
      <c r="CN275" s="22" t="str">
        <f>IF(E275="武器",IF(J275-1&gt;SUM(G275:I275),"盾",IF(MAX(G275:I275)=G275,"切断",IF(MAX(G275:I275)=H275,"貫通",IF(MAX(G275:I275)=I275,"打撃","射撃")))),E275)&amp;".webp"</f>
        <v>装飾.webp</v>
      </c>
      <c r="CO275">
        <f>IFERROR(VLOOKUP($C275,武器!$1:$998,COLUMN(V$1),FALSE)*VLOOKUP($D275,素材!$1:$1016,COLUMN(N$1),FALSE)+IF(CJ275="",0,VLOOKUP($CJ275,装強!$1:$1008,COLUMN($CL$1),FALSE)),"")</f>
        <v>1500</v>
      </c>
      <c r="CP275" t="str">
        <f>VLOOKUP(D275,素材!$A:$O,COLUMN(素材!O$1),FALSE)</f>
        <v>魔力を帯びた特殊な皮素材。魔法防御や属性耐性を強化する効果があり、高レベルの冒険者に重宝されます。</v>
      </c>
      <c r="CQ275" t="str">
        <f>VLOOKUP(C275,武器!$A:$W,COLUMN(武器!W$1),FALSE)</f>
        <v xml:space="preserve">防御 隠密 </v>
      </c>
      <c r="CS275" t="str">
        <f t="shared" si="37"/>
        <v>e_275</v>
      </c>
      <c r="CT275">
        <f t="shared" si="38"/>
        <v>150000</v>
      </c>
    </row>
    <row r="276" spans="1:98" hidden="1" outlineLevel="1" x14ac:dyDescent="0.4">
      <c r="A276" t="str">
        <f>IF(CJ276="",D276&amp;"の"&amp;C276,CJ276&amp;"の"&amp;C276)</f>
        <v>魔獣皮の外套</v>
      </c>
      <c r="B276" t="str">
        <f>IFERROR(IF(CJ276="",VLOOKUP($D276,素材!$1:$1016,COLUMN($B$1),FALSE)&amp;"・"&amp;VLOOKUP($C276,武器!$1:$998,COLUMN(B$1),FALSE),VLOOKUP($CJ276,装強!$1:$1008,COLUMN($B$1),FALSE)&amp;"・"&amp;VLOOKUP($C276,武器!$1:$998,COLUMN(B$1),FALSE)),"")</f>
        <v>マジックレザー・マント</v>
      </c>
      <c r="C276" s="24" t="s">
        <v>203</v>
      </c>
      <c r="D276" s="24" t="s">
        <v>202</v>
      </c>
      <c r="E276" t="str">
        <f>IFERROR(VLOOKUP(C276,武器!$1:$998,COLUMN(C$1),FALSE),"")</f>
        <v>装飾</v>
      </c>
      <c r="F276">
        <f>IFERROR(ROUNDDOWN((VLOOKUP($C276,武器!$1:$998,COLUMN(D$1),FALSE)+IFERROR(VLOOKUP($CJ276,装強!$1:$999,COLUMN(F$1),FALSE),0))*VLOOKUP($D276,素材!$1:$1016,COLUMN(D$1),FALSE),0),"")</f>
        <v>0</v>
      </c>
      <c r="G276">
        <f>IFERROR(ROUNDDOWN((VLOOKUP($C276,武器!$1:$998,COLUMN(E$1),FALSE)+IFERROR(VLOOKUP($CJ276,装強!$1:$999,COLUMN(G$1),FALSE),0))*VLOOKUP($D276,素材!$1:$1016,COLUMN($E$1),FALSE),0),"")</f>
        <v>0</v>
      </c>
      <c r="H276">
        <f>IFERROR(ROUNDDOWN((VLOOKUP($C276,武器!$1:$998,COLUMN(F$1),FALSE)+IFERROR(VLOOKUP($CJ276,装強!$1:$999,COLUMN(H$1),FALSE),0))*VLOOKUP($D276,素材!$1:$1016,COLUMN($E$1),FALSE),0),"")</f>
        <v>0</v>
      </c>
      <c r="I276">
        <f>IFERROR(ROUNDDOWN((VLOOKUP($C276,武器!$1:$998,COLUMN(G$1),FALSE)+IFERROR(VLOOKUP($CJ276,装強!$1:$999,COLUMN(I$1),FALSE),0))*VLOOKUP($D276,素材!$1:$1016,COLUMN($E$1),FALSE),0),"")</f>
        <v>0</v>
      </c>
      <c r="J276">
        <f>IFERROR(ROUNDDOWN((VLOOKUP($C276,武器!$1:$998,COLUMN(H$1),FALSE)+IFERROR(VLOOKUP($CJ276,装強!$1:$999,COLUMN(J$1),FALSE),0))*VLOOKUP($D276,素材!$1:$1016,COLUMN($E$1),FALSE),0),"")</f>
        <v>0</v>
      </c>
      <c r="K276">
        <f>IFERROR(ROUNDDOWN((VLOOKUP($C276,武器!$1:$998,COLUMN(I$1),FALSE)+IFERROR(VLOOKUP($CJ276,装強!$1:$999,COLUMN(K$1),FALSE),0))*VLOOKUP($D276,素材!$1:$1016,COLUMN($E$1),FALSE),0),"")</f>
        <v>0</v>
      </c>
      <c r="L276" t="str">
        <f>IFERROR(VLOOKUP($D276,素材!$1:$1016,COLUMN($F$1),FALSE),"")</f>
        <v>魔法</v>
      </c>
      <c r="M276" t="str">
        <f>IFERROR(VLOOKUP($C276,武器!$1:$998,COLUMN(AA$1),FALSE)*VLOOKUP($D276,素材!$1:$1016,COLUMN($G$1),FALSE),"")</f>
        <v/>
      </c>
      <c r="N276">
        <f>IFERROR(VLOOKUP($C276,武器!$1:$998,COLUMN(I$1),FALSE),"")</f>
        <v>0</v>
      </c>
      <c r="O276" s="23" t="str">
        <f>IFERROR((VLOOKUP($C276,武器!$1:$998,COLUMN(K$1),FALSE)+VLOOKUP($D276,素材!$1:$1016,COLUMN(H$1),FALSE))*100+IFERROR(VLOOKUP($CJ276,装強!$1:$999,COLUMN(O$1),FALSE),0),"")</f>
        <v/>
      </c>
      <c r="P276" s="23" t="str">
        <f>IFERROR((VLOOKUP($C276,武器!$1:$998,COLUMN(L$1),FALSE)+VLOOKUP($D276,素材!$1:$1016,COLUMN(I$1),FALSE))*100+IFERROR(VLOOKUP($CJ276,装強!$1:$999,COLUMN(P$1),FALSE),0),"")</f>
        <v/>
      </c>
      <c r="Q276">
        <f>IFERROR(ROUNDUP(VLOOKUP($C276,武器!$1:$998,COLUMN(M$1),FALSE)*(VLOOKUP($D276,素材!$1:$1002,COLUMN(D$1),FALSE)/100),1),"")</f>
        <v>0</v>
      </c>
      <c r="R276">
        <f>IFERROR(ROUNDUP(VLOOKUP($C276,武器!$1:$998,COLUMN(N$1),FALSE)*(VLOOKUP($D276,素材!$1:$1002,COLUMN(D$1),FALSE)/100),1),"")</f>
        <v>0</v>
      </c>
      <c r="S276">
        <f>IFERROR(VLOOKUP($C276,武器!$1:$998,COLUMN(P$1),FALSE),"")</f>
        <v>0</v>
      </c>
      <c r="T276">
        <f>IFERROR(VLOOKUP($C276,武器!$1:$998,COLUMN(Q$1),FALSE),"")</f>
        <v>0</v>
      </c>
      <c r="U276">
        <f>IFERROR(VLOOKUP($C276,武器!$1:$998,COLUMN(R$1),FALSE),"")</f>
        <v>0</v>
      </c>
      <c r="V276">
        <f>IFERROR(VLOOKUP($C276,武器!$1:$998,COLUMN(Q$1),FALSE),"")</f>
        <v>0</v>
      </c>
      <c r="W276">
        <f>IFERROR(VLOOKUP($C276,武器!$1:$998,COLUMN(T$1),FALSE),"")</f>
        <v>0</v>
      </c>
      <c r="Y276">
        <f>IFERROR(VLOOKUP($C276,武器!$1:$998,COLUMN(U$1),FALSE),"")</f>
        <v>0</v>
      </c>
      <c r="Z276">
        <f>IFERROR(ROUNDUP(VLOOKUP($C276,武器!$1:$998,COLUMN(O$1),FALSE)*VLOOKUP($D276,素材!$1:$1016,COLUMN(E$1),FALSE),1),"")</f>
        <v>0</v>
      </c>
      <c r="AA276">
        <f>IF(ISNUMBER(SEARCH(SUBSTITUTE(AA$1,RIGHT(AA$1,2),""),VLOOKUP($D276,素材!$1:$1016,COLUMN($F$1),FALSE))),VLOOKUP($C276,武器!$1:$998,COLUMN($O$1),FALSE)*VLOOKUP($D276,素材!$1:$1016,COLUMN($E$1),FALSE)/(LEN(VLOOKUP($D276,素材!$1:$1016,COLUMN($F$1),FALSE))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B276">
        <f>IF(ISNUMBER(SEARCH(SUBSTITUTE(AB$1,RIGHT(AB$1,2),""),VLOOKUP($D276,素材!$1:$1016,COLUMN($F$1),FALSE))),VLOOKUP($C276,武器!$1:$998,COLUMN($O$1),FALSE)*VLOOKUP($D276,素材!$1:$1016,COLUMN($E$1),FALSE)/(LEN(VLOOKUP($D276,素材!$1:$1016,COLUMN($F$1),FALSE))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C276">
        <f>IF(ISNUMBER(SEARCH(SUBSTITUTE(AC$1,RIGHT(AC$1,2),""),VLOOKUP($D276,素材!$1:$1016,COLUMN($F$1),FALSE))),VLOOKUP($C276,武器!$1:$998,COLUMN($O$1),FALSE)*VLOOKUP($D276,素材!$1:$1016,COLUMN($E$1),FALSE)/(LEN(VLOOKUP($D276,素材!$1:$1016,COLUMN($F$1),FALSE))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D276">
        <f>IF(ISNUMBER(SEARCH(SUBSTITUTE(AD$1,RIGHT(AD$1,2),""),VLOOKUP($D276,素材!$1:$1016,COLUMN($F$1),FALSE))),VLOOKUP($C276,武器!$1:$998,COLUMN($O$1),FALSE)*VLOOKUP($D276,素材!$1:$1016,COLUMN($E$1),FALSE)/(LEN(VLOOKUP($D276,素材!$1:$1016,COLUMN($F$1),FALSE))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E276">
        <f>IF(ISNUMBER(SEARCH(SUBSTITUTE(AE$1,RIGHT(AE$1,2),""),VLOOKUP($D276,素材!$1:$1016,COLUMN($F$1),FALSE))),VLOOKUP($C276,武器!$1:$998,COLUMN($O$1),FALSE)*VLOOKUP($D276,素材!$1:$1016,COLUMN($E$1),FALSE)/(LEN(VLOOKUP($D276,素材!$1:$1016,COLUMN($F$1),FALSE))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F276">
        <f>IF(ISNUMBER(SEARCH(SUBSTITUTE(AF$1,RIGHT(AF$1,2),""),VLOOKUP($D276,素材!$1:$1016,COLUMN($F$1),FALSE))),VLOOKUP($C276,武器!$1:$998,COLUMN($O$1),FALSE)*VLOOKUP($D276,素材!$1:$1016,COLUMN($E$1),FALSE)/(LEN(VLOOKUP($D276,素材!$1:$1016,COLUMN($F$1),FALSE))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G276">
        <f>IF(ISNUMBER(SEARCH(SUBSTITUTE(AG$1,RIGHT(AG$1,2),""),VLOOKUP($D276,素材!$1:$1016,COLUMN($F$1),FALSE))),VLOOKUP($C276,武器!$1:$998,COLUMN($O$1),FALSE)*VLOOKUP($D276,素材!$1:$1016,COLUMN($E$1),FALSE)/(LEN(VLOOKUP($D276,素材!$1:$1016,COLUMN($F$1),FALSE))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H276">
        <f>IF(ISNUMBER(SEARCH(SUBSTITUTE(AH$1,RIGHT(AH$1,2),""),VLOOKUP($D276,素材!$1:$1016,COLUMN($F$1),FALSE))),VLOOKUP($C276,武器!$1:$998,COLUMN($O$1),FALSE)*VLOOKUP($D276,素材!$1:$1016,COLUMN($E$1),FALSE)/(LEN(VLOOKUP($D276,素材!$1:$1016,COLUMN($F$1),FALSE))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I276">
        <f>IF(ISNUMBER(SEARCH(SUBSTITUTE(AI$1,RIGHT(AI$1,2),""),VLOOKUP($D276,素材!$1:$1016,COLUMN($F$1),FALSE))),VLOOKUP($C276,武器!$1:$998,COLUMN($O$1),FALSE)*VLOOKUP($D276,素材!$1:$1016,COLUMN($E$1),FALSE)/(LEN(VLOOKUP($D276,素材!$1:$1016,COLUMN($F$1),FALSE))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J276">
        <f>IF(ISNUMBER(SEARCH(SUBSTITUTE(AJ$1,RIGHT(AJ$1,2),""),VLOOKUP($D276,素材!$1:$1016,COLUMN($F$1),FALSE))),VLOOKUP($C276,武器!$1:$998,COLUMN($O$1),FALSE)*VLOOKUP($D276,素材!$1:$1016,COLUMN($E$1),FALSE)/(LEN(VLOOKUP($D276,素材!$1:$1016,COLUMN($F$1),FALSE))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K276">
        <f>IF(ISNUMBER(SEARCH(SUBSTITUTE(AK$1,RIGHT(AK$1,2),""),VLOOKUP($D276,素材!$1:$1016,COLUMN($F$1),FALSE))),VLOOKUP($C276,武器!$1:$998,COLUMN($O$1),FALSE)*VLOOKUP($D276,素材!$1:$1016,COLUMN($E$1),FALSE)/(LEN(VLOOKUP($D276,素材!$1:$1016,COLUMN($F$1),FALSE))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L276">
        <f>IF(ISNUMBER(SEARCH(SUBSTITUTE(AL$1,RIGHT(AL$1,2),""),VLOOKUP($D276,素材!$1:$1016,COLUMN($F$1),FALSE))),VLOOKUP($C276,武器!$1:$998,COLUMN($O$1),FALSE)*VLOOKUP($D276,素材!$1:$1016,COLUMN($E$1),FALSE)/(LEN(VLOOKUP($D276,素材!$1:$1016,COLUMN($F$1),FALSE))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M276">
        <f>IF(ISNUMBER(SEARCH(SUBSTITUTE(AM$1,RIGHT(AM$1,2),""),VLOOKUP($D276,素材!$1:$1016,COLUMN($F$1),FALSE))),VLOOKUP($C276,武器!$1:$998,COLUMN($O$1),FALSE)*VLOOKUP($D276,素材!$1:$1016,COLUMN($E$1),FALSE)/(LEN(VLOOKUP($D276,素材!$1:$1016,COLUMN($F$1),FALSE))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N276">
        <f>IF(ISNUMBER(SEARCH(SUBSTITUTE(AN$1,RIGHT(AN$1,2),""),VLOOKUP($D276,素材!$1:$1016,COLUMN($F$1),FALSE))),VLOOKUP($C276,武器!$1:$998,COLUMN($O$1),FALSE)*VLOOKUP($D276,素材!$1:$1016,COLUMN($E$1),FALSE)/(LEN(VLOOKUP($D276,素材!$1:$1016,COLUMN($F$1),FALSE))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O276">
        <f>IF(ISNUMBER(SEARCH(SUBSTITUTE(AO$1,RIGHT(AO$1,2),""),VLOOKUP($D276,素材!$1:$1016,COLUMN($F$1),FALSE))),VLOOKUP($C276,武器!$1:$998,COLUMN($O$1),FALSE)*VLOOKUP($D276,素材!$1:$1016,COLUMN($E$1),FALSE)/(LEN(VLOOKUP($D276,素材!$1:$1016,COLUMN($F$1),FALSE))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P276">
        <f>IF(ISNUMBER(SEARCH(SUBSTITUTE(AP$1,RIGHT(AP$1,2),""),VLOOKUP($D276,素材!$1:$1016,COLUMN($F$1),FALSE))),VLOOKUP($C276,武器!$1:$998,COLUMN($O$1),FALSE)*VLOOKUP($D276,素材!$1:$1016,COLUMN($E$1),FALSE)/(LEN(VLOOKUP($D276,素材!$1:$1016,COLUMN($F$1),FALSE))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Q276">
        <f>IF(ISNUMBER(SEARCH(SUBSTITUTE(AQ$1,RIGHT(AQ$1,2),""),VLOOKUP($D276,素材!$1:$1016,COLUMN($F$1),FALSE))),VLOOKUP($C276,武器!$1:$998,COLUMN($O$1),FALSE)*VLOOKUP($D276,素材!$1:$1016,COLUMN($E$1),FALSE)/(LEN(VLOOKUP($D276,素材!$1:$1016,COLUMN($F$1),FALSE))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R276">
        <f>IF(ISNUMBER(SEARCH(SUBSTITUTE(AR$1,RIGHT(AR$1,2),""),VLOOKUP($D276,素材!$1:$1016,COLUMN($F$1),FALSE))),VLOOKUP($C276,武器!$1:$998,COLUMN($O$1),FALSE)*VLOOKUP($D276,素材!$1:$1016,COLUMN($E$1),FALSE)/(LEN(VLOOKUP($D276,素材!$1:$1016,COLUMN($F$1),FALSE))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S276">
        <f>IF(ISNUMBER(SEARCH(SUBSTITUTE(AS$1,RIGHT(AS$1,2),""),VLOOKUP($D276,素材!$1:$1016,COLUMN($F$1),FALSE))),VLOOKUP($C276,武器!$1:$998,COLUMN($O$1),FALSE)*VLOOKUP($D276,素材!$1:$1016,COLUMN($E$1),FALSE)/(LEN(VLOOKUP($D276,素材!$1:$1016,COLUMN($F$1),FALSE))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T276">
        <f>IF(ISNUMBER(SEARCH(SUBSTITUTE(AT$1,RIGHT(AT$1,2),""),VLOOKUP($D276,素材!$1:$1016,COLUMN($F$1),FALSE))),VLOOKUP($C276,武器!$1:$998,COLUMN($O$1),FALSE)*VLOOKUP($D276,素材!$1:$1016,COLUMN($E$1),FALSE)/(LEN(VLOOKUP($D276,素材!$1:$1016,COLUMN($F$1),FALSE))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U276">
        <f>IF(ISNUMBER(SEARCH(SUBSTITUTE(AU$1,RIGHT(AU$1,2),""),VLOOKUP($D276,素材!$1:$1016,COLUMN($F$1),FALSE))),VLOOKUP($C276,武器!$1:$998,COLUMN($O$1),FALSE)*VLOOKUP($D276,素材!$1:$1016,COLUMN($E$1),FALSE)/(LEN(VLOOKUP($D276,素材!$1:$1016,COLUMN($F$1),FALSE))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V276">
        <f>IF(ISNUMBER(SEARCH(SUBSTITUTE(AV$1,RIGHT(AV$1,2),""),VLOOKUP($D276,素材!$1:$1016,COLUMN($F$1),FALSE))),VLOOKUP($C276,武器!$1:$998,COLUMN($O$1),FALSE)*VLOOKUP($D276,素材!$1:$1016,COLUMN($E$1),FALSE)/(LEN(VLOOKUP($D276,素材!$1:$1016,COLUMN($F$1),FALSE))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W276">
        <f>IF(ISNUMBER(SEARCH(SUBSTITUTE(AW$1,RIGHT(AW$1,2),""),VLOOKUP($D276,素材!$1:$1016,COLUMN($F$1),FALSE))),VLOOKUP($C276,武器!$1:$998,COLUMN($O$1),FALSE)*VLOOKUP($D276,素材!$1:$1016,COLUMN($E$1),FALSE)/(LEN(VLOOKUP($D276,素材!$1:$1016,COLUMN($F$1),FALSE))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X276">
        <f>IF(ISNUMBER(SEARCH(SUBSTITUTE(AX$1,RIGHT(AX$1,2),""),VLOOKUP($D276,素材!$1:$1016,COLUMN($F$1),FALSE))),VLOOKUP($C276,武器!$1:$998,COLUMN($O$1),FALSE)*VLOOKUP($D276,素材!$1:$1016,COLUMN($E$1),FALSE)/(LEN(VLOOKUP($D276,素材!$1:$1016,COLUMN($F$1),FALSE))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Y276">
        <f>IF(ISNUMBER(SEARCH(SUBSTITUTE(AY$1,RIGHT(AY$1,2),""),VLOOKUP($D276,素材!$1:$1016,COLUMN($F$1),FALSE))),VLOOKUP($C276,武器!$1:$998,COLUMN($O$1),FALSE)*VLOOKUP($D276,素材!$1:$1016,COLUMN($E$1),FALSE)/(LEN(VLOOKUP($D276,素材!$1:$1016,COLUMN($F$1),FALSE))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AZ276">
        <f>IF(ISNUMBER(SEARCH(SUBSTITUTE(AZ$1,RIGHT(AZ$1,2),""),VLOOKUP($D276,素材!$1:$1016,COLUMN($F$1),FALSE))),VLOOKUP($C276,武器!$1:$998,COLUMN($O$1),FALSE)*VLOOKUP($D276,素材!$1:$1016,COLUMN($E$1),FALSE)/(LEN(VLOOKUP($D276,素材!$1:$1016,COLUMN($F$1),FALSE))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BA276">
        <f>IF(ISNUMBER(SEARCH(SUBSTITUTE(BA$1,RIGHT(BA$1,2),""),VLOOKUP($D276,素材!$1:$1016,COLUMN($F$1),FALSE))),VLOOKUP($C276,武器!$1:$998,COLUMN($O$1),FALSE)*VLOOKUP($D276,素材!$1:$1016,COLUMN($E$1),FALSE)/(LEN(VLOOKUP($D276,素材!$1:$1016,COLUMN($F$1),FALSE))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BB276">
        <f>IF(ISNUMBER(SEARCH(SUBSTITUTE(BB$1,RIGHT(BB$1,2),""),VLOOKUP($D276,素材!$1:$1016,COLUMN($F$1),FALSE))),VLOOKUP($C276,武器!$1:$998,COLUMN($O$1),FALSE)*VLOOKUP($D276,素材!$1:$1016,COLUMN($E$1),FALSE)/(LEN(VLOOKUP($D276,素材!$1:$1016,COLUMN($F$1),FALSE))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BC276">
        <f>IF(ISNUMBER(SEARCH(SUBSTITUTE(BC$1,RIGHT(BC$1,2),""),VLOOKUP($D276,素材!$1:$1016,COLUMN($F$1),FALSE))),VLOOKUP($C276,武器!$1:$998,COLUMN($O$1),FALSE)*VLOOKUP($D276,素材!$1:$1016,COLUMN($E$1),FALSE)/(LEN(VLOOKUP($D276,素材!$1:$1016,COLUMN($F$1),FALSE))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BD276">
        <f>IF(ISNUMBER(SEARCH(SUBSTITUTE(BD$1,RIGHT(BD$1,2),""),VLOOKUP($D276,素材!$1:$1016,COLUMN($F$1),FALSE))),VLOOKUP($C276,武器!$1:$998,COLUMN($O$1),FALSE)*VLOOKUP($D276,素材!$1:$1016,COLUMN($E$1),FALSE)/(LEN(VLOOKUP($D276,素材!$1:$1016,COLUMN($F$1),FALSE))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BE276">
        <f>IF(ISNUMBER(SEARCH(SUBSTITUTE(BE$1,RIGHT(BE$1,2),""),VLOOKUP($D276,素材!$1:$1016,COLUMN($F$1),FALSE))),VLOOKUP($C276,武器!$1:$998,COLUMN($O$1),FALSE)*VLOOKUP($D276,素材!$1:$1016,COLUMN($E$1),FALSE)/(LEN(VLOOKUP($D276,素材!$1:$1016,COLUMN($F$1),FALSE))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BF276">
        <f>IF(ISNUMBER(SEARCH(SUBSTITUTE(BF$1,RIGHT(BF$1,2),""),VLOOKUP($D276,素材!$1:$1016,COLUMN($F$1),FALSE))),VLOOKUP($C276,武器!$1:$998,COLUMN($O$1),FALSE)*VLOOKUP($D276,素材!$1:$1016,COLUMN($E$1),FALSE)/(LEN(VLOOKUP($D276,素材!$1:$1016,COLUMN($F$1),FALSE)) - LEN(SUBSTITUTE(VLOOKUP($D276,素材!$1:$1016,COLUMN($F$1),FALSE), "・", 0)) + 1), 0)</f>
        <v>0</v>
      </c>
      <c r="CM276">
        <f t="shared" si="36"/>
        <v>0</v>
      </c>
      <c r="CN276" s="22" t="str">
        <f>IF(E276="武器",IF(J276-1&gt;SUM(G276:I276),"盾",IF(MAX(G276:I276)=G276,"切断",IF(MAX(G276:I276)=H276,"貫通",IF(MAX(G276:I276)=I276,"打撃","射撃")))),E276)&amp;".webp"</f>
        <v>装飾.webp</v>
      </c>
      <c r="CO276">
        <f>IFERROR(VLOOKUP($C276,武器!$1:$998,COLUMN(V$1),FALSE)*VLOOKUP($D276,素材!$1:$1016,COLUMN(N$1),FALSE)+IF(CJ276="",0,VLOOKUP($CJ276,装強!$1:$1008,COLUMN($CL$1),FALSE)),"")</f>
        <v>1500</v>
      </c>
      <c r="CP276" t="str">
        <f>VLOOKUP(D276,素材!$A:$O,COLUMN(素材!O$1),FALSE)</f>
        <v>魔力を帯びた特殊な皮素材。魔法防御や属性耐性を強化する効果があり、高レベルの冒険者に重宝されます。</v>
      </c>
      <c r="CQ276" t="str">
        <f>VLOOKUP(C276,武器!$A:$W,COLUMN(武器!W$1),FALSE)</f>
        <v xml:space="preserve">防御 隠密 </v>
      </c>
      <c r="CS276" t="str">
        <f t="shared" si="37"/>
        <v>e_276</v>
      </c>
      <c r="CT276">
        <f t="shared" si="38"/>
        <v>150000</v>
      </c>
    </row>
    <row r="277" spans="1:98" hidden="1" outlineLevel="1" x14ac:dyDescent="0.4">
      <c r="A277" t="str">
        <f>IF(CJ277="",D277&amp;"の"&amp;C277,CJ277&amp;"の"&amp;C277)</f>
        <v>魔獣皮の外套</v>
      </c>
      <c r="B277" t="str">
        <f>IFERROR(IF(CJ277="",VLOOKUP($D277,素材!$1:$1016,COLUMN($B$1),FALSE)&amp;"・"&amp;VLOOKUP($C277,武器!$1:$998,COLUMN(B$1),FALSE),VLOOKUP($CJ277,装強!$1:$1008,COLUMN($B$1),FALSE)&amp;"・"&amp;VLOOKUP($C277,武器!$1:$998,COLUMN(B$1),FALSE)),"")</f>
        <v>マジックレザー・マント</v>
      </c>
      <c r="C277" s="24" t="s">
        <v>203</v>
      </c>
      <c r="D277" s="24" t="s">
        <v>202</v>
      </c>
      <c r="E277" t="str">
        <f>IFERROR(VLOOKUP(C277,武器!$1:$998,COLUMN(C$1),FALSE),"")</f>
        <v>装飾</v>
      </c>
      <c r="F277">
        <f>IFERROR(ROUNDDOWN((VLOOKUP($C277,武器!$1:$998,COLUMN(D$1),FALSE)+IFERROR(VLOOKUP($CJ277,装強!$1:$999,COLUMN(F$1),FALSE),0))*VLOOKUP($D277,素材!$1:$1016,COLUMN(D$1),FALSE),0),"")</f>
        <v>0</v>
      </c>
      <c r="G277">
        <f>IFERROR(ROUNDDOWN((VLOOKUP($C277,武器!$1:$998,COLUMN(E$1),FALSE)+IFERROR(VLOOKUP($CJ277,装強!$1:$999,COLUMN(G$1),FALSE),0))*VLOOKUP($D277,素材!$1:$1016,COLUMN($E$1),FALSE),0),"")</f>
        <v>0</v>
      </c>
      <c r="H277">
        <f>IFERROR(ROUNDDOWN((VLOOKUP($C277,武器!$1:$998,COLUMN(F$1),FALSE)+IFERROR(VLOOKUP($CJ277,装強!$1:$999,COLUMN(H$1),FALSE),0))*VLOOKUP($D277,素材!$1:$1016,COLUMN($E$1),FALSE),0),"")</f>
        <v>0</v>
      </c>
      <c r="I277">
        <f>IFERROR(ROUNDDOWN((VLOOKUP($C277,武器!$1:$998,COLUMN(G$1),FALSE)+IFERROR(VLOOKUP($CJ277,装強!$1:$999,COLUMN(I$1),FALSE),0))*VLOOKUP($D277,素材!$1:$1016,COLUMN($E$1),FALSE),0),"")</f>
        <v>0</v>
      </c>
      <c r="J277">
        <f>IFERROR(ROUNDDOWN((VLOOKUP($C277,武器!$1:$998,COLUMN(H$1),FALSE)+IFERROR(VLOOKUP($CJ277,装強!$1:$999,COLUMN(J$1),FALSE),0))*VLOOKUP($D277,素材!$1:$1016,COLUMN($E$1),FALSE),0),"")</f>
        <v>0</v>
      </c>
      <c r="K277">
        <f>IFERROR(ROUNDDOWN((VLOOKUP($C277,武器!$1:$998,COLUMN(I$1),FALSE)+IFERROR(VLOOKUP($CJ277,装強!$1:$999,COLUMN(K$1),FALSE),0))*VLOOKUP($D277,素材!$1:$1016,COLUMN($E$1),FALSE),0),"")</f>
        <v>0</v>
      </c>
      <c r="L277" t="str">
        <f>IFERROR(VLOOKUP($D277,素材!$1:$1016,COLUMN($F$1),FALSE),"")</f>
        <v>魔法</v>
      </c>
      <c r="M277" t="str">
        <f>IFERROR(VLOOKUP($C277,武器!$1:$998,COLUMN(AA$1),FALSE)*VLOOKUP($D277,素材!$1:$1016,COLUMN($G$1),FALSE),"")</f>
        <v/>
      </c>
      <c r="N277">
        <f>IFERROR(VLOOKUP($C277,武器!$1:$998,COLUMN(I$1),FALSE),"")</f>
        <v>0</v>
      </c>
      <c r="O277" s="23" t="str">
        <f>IFERROR((VLOOKUP($C277,武器!$1:$998,COLUMN(K$1),FALSE)+VLOOKUP($D277,素材!$1:$1016,COLUMN(H$1),FALSE))*100+IFERROR(VLOOKUP($CJ277,装強!$1:$999,COLUMN(O$1),FALSE),0),"")</f>
        <v/>
      </c>
      <c r="P277" s="23" t="str">
        <f>IFERROR((VLOOKUP($C277,武器!$1:$998,COLUMN(L$1),FALSE)+VLOOKUP($D277,素材!$1:$1016,COLUMN(I$1),FALSE))*100+IFERROR(VLOOKUP($CJ277,装強!$1:$999,COLUMN(P$1),FALSE),0),"")</f>
        <v/>
      </c>
      <c r="Q277">
        <f>IFERROR(ROUNDUP(VLOOKUP($C277,武器!$1:$998,COLUMN(M$1),FALSE)*(VLOOKUP($D277,素材!$1:$1002,COLUMN(D$1),FALSE)/100),1),"")</f>
        <v>0</v>
      </c>
      <c r="R277">
        <f>IFERROR(ROUNDUP(VLOOKUP($C277,武器!$1:$998,COLUMN(N$1),FALSE)*(VLOOKUP($D277,素材!$1:$1002,COLUMN(D$1),FALSE)/100),1),"")</f>
        <v>0</v>
      </c>
      <c r="S277">
        <f>IFERROR(VLOOKUP($C277,武器!$1:$998,COLUMN(P$1),FALSE),"")</f>
        <v>0</v>
      </c>
      <c r="T277">
        <f>IFERROR(VLOOKUP($C277,武器!$1:$998,COLUMN(Q$1),FALSE),"")</f>
        <v>0</v>
      </c>
      <c r="U277">
        <f>IFERROR(VLOOKUP($C277,武器!$1:$998,COLUMN(R$1),FALSE),"")</f>
        <v>0</v>
      </c>
      <c r="V277">
        <f>IFERROR(VLOOKUP($C277,武器!$1:$998,COLUMN(Q$1),FALSE),"")</f>
        <v>0</v>
      </c>
      <c r="W277">
        <f>IFERROR(VLOOKUP($C277,武器!$1:$998,COLUMN(T$1),FALSE),"")</f>
        <v>0</v>
      </c>
      <c r="Y277">
        <f>IFERROR(VLOOKUP($C277,武器!$1:$998,COLUMN(U$1),FALSE),"")</f>
        <v>0</v>
      </c>
      <c r="Z277">
        <f>IFERROR(ROUNDUP(VLOOKUP($C277,武器!$1:$998,COLUMN(O$1),FALSE)*VLOOKUP($D277,素材!$1:$1016,COLUMN(E$1),FALSE),1),"")</f>
        <v>0</v>
      </c>
      <c r="AA277">
        <f>IF(ISNUMBER(SEARCH(SUBSTITUTE(AA$1,RIGHT(AA$1,2),""),VLOOKUP($D277,素材!$1:$1016,COLUMN($F$1),FALSE))),VLOOKUP($C277,武器!$1:$998,COLUMN($O$1),FALSE)*VLOOKUP($D277,素材!$1:$1016,COLUMN($E$1),FALSE)/(LEN(VLOOKUP($D277,素材!$1:$1016,COLUMN($F$1),FALSE))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B277">
        <f>IF(ISNUMBER(SEARCH(SUBSTITUTE(AB$1,RIGHT(AB$1,2),""),VLOOKUP($D277,素材!$1:$1016,COLUMN($F$1),FALSE))),VLOOKUP($C277,武器!$1:$998,COLUMN($O$1),FALSE)*VLOOKUP($D277,素材!$1:$1016,COLUMN($E$1),FALSE)/(LEN(VLOOKUP($D277,素材!$1:$1016,COLUMN($F$1),FALSE))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C277">
        <f>IF(ISNUMBER(SEARCH(SUBSTITUTE(AC$1,RIGHT(AC$1,2),""),VLOOKUP($D277,素材!$1:$1016,COLUMN($F$1),FALSE))),VLOOKUP($C277,武器!$1:$998,COLUMN($O$1),FALSE)*VLOOKUP($D277,素材!$1:$1016,COLUMN($E$1),FALSE)/(LEN(VLOOKUP($D277,素材!$1:$1016,COLUMN($F$1),FALSE))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D277">
        <f>IF(ISNUMBER(SEARCH(SUBSTITUTE(AD$1,RIGHT(AD$1,2),""),VLOOKUP($D277,素材!$1:$1016,COLUMN($F$1),FALSE))),VLOOKUP($C277,武器!$1:$998,COLUMN($O$1),FALSE)*VLOOKUP($D277,素材!$1:$1016,COLUMN($E$1),FALSE)/(LEN(VLOOKUP($D277,素材!$1:$1016,COLUMN($F$1),FALSE))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E277">
        <f>IF(ISNUMBER(SEARCH(SUBSTITUTE(AE$1,RIGHT(AE$1,2),""),VLOOKUP($D277,素材!$1:$1016,COLUMN($F$1),FALSE))),VLOOKUP($C277,武器!$1:$998,COLUMN($O$1),FALSE)*VLOOKUP($D277,素材!$1:$1016,COLUMN($E$1),FALSE)/(LEN(VLOOKUP($D277,素材!$1:$1016,COLUMN($F$1),FALSE))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F277">
        <f>IF(ISNUMBER(SEARCH(SUBSTITUTE(AF$1,RIGHT(AF$1,2),""),VLOOKUP($D277,素材!$1:$1016,COLUMN($F$1),FALSE))),VLOOKUP($C277,武器!$1:$998,COLUMN($O$1),FALSE)*VLOOKUP($D277,素材!$1:$1016,COLUMN($E$1),FALSE)/(LEN(VLOOKUP($D277,素材!$1:$1016,COLUMN($F$1),FALSE))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G277">
        <f>IF(ISNUMBER(SEARCH(SUBSTITUTE(AG$1,RIGHT(AG$1,2),""),VLOOKUP($D277,素材!$1:$1016,COLUMN($F$1),FALSE))),VLOOKUP($C277,武器!$1:$998,COLUMN($O$1),FALSE)*VLOOKUP($D277,素材!$1:$1016,COLUMN($E$1),FALSE)/(LEN(VLOOKUP($D277,素材!$1:$1016,COLUMN($F$1),FALSE))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H277">
        <f>IF(ISNUMBER(SEARCH(SUBSTITUTE(AH$1,RIGHT(AH$1,2),""),VLOOKUP($D277,素材!$1:$1016,COLUMN($F$1),FALSE))),VLOOKUP($C277,武器!$1:$998,COLUMN($O$1),FALSE)*VLOOKUP($D277,素材!$1:$1016,COLUMN($E$1),FALSE)/(LEN(VLOOKUP($D277,素材!$1:$1016,COLUMN($F$1),FALSE))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I277">
        <f>IF(ISNUMBER(SEARCH(SUBSTITUTE(AI$1,RIGHT(AI$1,2),""),VLOOKUP($D277,素材!$1:$1016,COLUMN($F$1),FALSE))),VLOOKUP($C277,武器!$1:$998,COLUMN($O$1),FALSE)*VLOOKUP($D277,素材!$1:$1016,COLUMN($E$1),FALSE)/(LEN(VLOOKUP($D277,素材!$1:$1016,COLUMN($F$1),FALSE))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J277">
        <f>IF(ISNUMBER(SEARCH(SUBSTITUTE(AJ$1,RIGHT(AJ$1,2),""),VLOOKUP($D277,素材!$1:$1016,COLUMN($F$1),FALSE))),VLOOKUP($C277,武器!$1:$998,COLUMN($O$1),FALSE)*VLOOKUP($D277,素材!$1:$1016,COLUMN($E$1),FALSE)/(LEN(VLOOKUP($D277,素材!$1:$1016,COLUMN($F$1),FALSE))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K277">
        <f>IF(ISNUMBER(SEARCH(SUBSTITUTE(AK$1,RIGHT(AK$1,2),""),VLOOKUP($D277,素材!$1:$1016,COLUMN($F$1),FALSE))),VLOOKUP($C277,武器!$1:$998,COLUMN($O$1),FALSE)*VLOOKUP($D277,素材!$1:$1016,COLUMN($E$1),FALSE)/(LEN(VLOOKUP($D277,素材!$1:$1016,COLUMN($F$1),FALSE))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L277">
        <f>IF(ISNUMBER(SEARCH(SUBSTITUTE(AL$1,RIGHT(AL$1,2),""),VLOOKUP($D277,素材!$1:$1016,COLUMN($F$1),FALSE))),VLOOKUP($C277,武器!$1:$998,COLUMN($O$1),FALSE)*VLOOKUP($D277,素材!$1:$1016,COLUMN($E$1),FALSE)/(LEN(VLOOKUP($D277,素材!$1:$1016,COLUMN($F$1),FALSE))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M277">
        <f>IF(ISNUMBER(SEARCH(SUBSTITUTE(AM$1,RIGHT(AM$1,2),""),VLOOKUP($D277,素材!$1:$1016,COLUMN($F$1),FALSE))),VLOOKUP($C277,武器!$1:$998,COLUMN($O$1),FALSE)*VLOOKUP($D277,素材!$1:$1016,COLUMN($E$1),FALSE)/(LEN(VLOOKUP($D277,素材!$1:$1016,COLUMN($F$1),FALSE))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N277">
        <f>IF(ISNUMBER(SEARCH(SUBSTITUTE(AN$1,RIGHT(AN$1,2),""),VLOOKUP($D277,素材!$1:$1016,COLUMN($F$1),FALSE))),VLOOKUP($C277,武器!$1:$998,COLUMN($O$1),FALSE)*VLOOKUP($D277,素材!$1:$1016,COLUMN($E$1),FALSE)/(LEN(VLOOKUP($D277,素材!$1:$1016,COLUMN($F$1),FALSE))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O277">
        <f>IF(ISNUMBER(SEARCH(SUBSTITUTE(AO$1,RIGHT(AO$1,2),""),VLOOKUP($D277,素材!$1:$1016,COLUMN($F$1),FALSE))),VLOOKUP($C277,武器!$1:$998,COLUMN($O$1),FALSE)*VLOOKUP($D277,素材!$1:$1016,COLUMN($E$1),FALSE)/(LEN(VLOOKUP($D277,素材!$1:$1016,COLUMN($F$1),FALSE))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P277">
        <f>IF(ISNUMBER(SEARCH(SUBSTITUTE(AP$1,RIGHT(AP$1,2),""),VLOOKUP($D277,素材!$1:$1016,COLUMN($F$1),FALSE))),VLOOKUP($C277,武器!$1:$998,COLUMN($O$1),FALSE)*VLOOKUP($D277,素材!$1:$1016,COLUMN($E$1),FALSE)/(LEN(VLOOKUP($D277,素材!$1:$1016,COLUMN($F$1),FALSE))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Q277">
        <f>IF(ISNUMBER(SEARCH(SUBSTITUTE(AQ$1,RIGHT(AQ$1,2),""),VLOOKUP($D277,素材!$1:$1016,COLUMN($F$1),FALSE))),VLOOKUP($C277,武器!$1:$998,COLUMN($O$1),FALSE)*VLOOKUP($D277,素材!$1:$1016,COLUMN($E$1),FALSE)/(LEN(VLOOKUP($D277,素材!$1:$1016,COLUMN($F$1),FALSE))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R277">
        <f>IF(ISNUMBER(SEARCH(SUBSTITUTE(AR$1,RIGHT(AR$1,2),""),VLOOKUP($D277,素材!$1:$1016,COLUMN($F$1),FALSE))),VLOOKUP($C277,武器!$1:$998,COLUMN($O$1),FALSE)*VLOOKUP($D277,素材!$1:$1016,COLUMN($E$1),FALSE)/(LEN(VLOOKUP($D277,素材!$1:$1016,COLUMN($F$1),FALSE))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S277">
        <f>IF(ISNUMBER(SEARCH(SUBSTITUTE(AS$1,RIGHT(AS$1,2),""),VLOOKUP($D277,素材!$1:$1016,COLUMN($F$1),FALSE))),VLOOKUP($C277,武器!$1:$998,COLUMN($O$1),FALSE)*VLOOKUP($D277,素材!$1:$1016,COLUMN($E$1),FALSE)/(LEN(VLOOKUP($D277,素材!$1:$1016,COLUMN($F$1),FALSE))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T277">
        <f>IF(ISNUMBER(SEARCH(SUBSTITUTE(AT$1,RIGHT(AT$1,2),""),VLOOKUP($D277,素材!$1:$1016,COLUMN($F$1),FALSE))),VLOOKUP($C277,武器!$1:$998,COLUMN($O$1),FALSE)*VLOOKUP($D277,素材!$1:$1016,COLUMN($E$1),FALSE)/(LEN(VLOOKUP($D277,素材!$1:$1016,COLUMN($F$1),FALSE))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U277">
        <f>IF(ISNUMBER(SEARCH(SUBSTITUTE(AU$1,RIGHT(AU$1,2),""),VLOOKUP($D277,素材!$1:$1016,COLUMN($F$1),FALSE))),VLOOKUP($C277,武器!$1:$998,COLUMN($O$1),FALSE)*VLOOKUP($D277,素材!$1:$1016,COLUMN($E$1),FALSE)/(LEN(VLOOKUP($D277,素材!$1:$1016,COLUMN($F$1),FALSE))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V277">
        <f>IF(ISNUMBER(SEARCH(SUBSTITUTE(AV$1,RIGHT(AV$1,2),""),VLOOKUP($D277,素材!$1:$1016,COLUMN($F$1),FALSE))),VLOOKUP($C277,武器!$1:$998,COLUMN($O$1),FALSE)*VLOOKUP($D277,素材!$1:$1016,COLUMN($E$1),FALSE)/(LEN(VLOOKUP($D277,素材!$1:$1016,COLUMN($F$1),FALSE))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W277">
        <f>IF(ISNUMBER(SEARCH(SUBSTITUTE(AW$1,RIGHT(AW$1,2),""),VLOOKUP($D277,素材!$1:$1016,COLUMN($F$1),FALSE))),VLOOKUP($C277,武器!$1:$998,COLUMN($O$1),FALSE)*VLOOKUP($D277,素材!$1:$1016,COLUMN($E$1),FALSE)/(LEN(VLOOKUP($D277,素材!$1:$1016,COLUMN($F$1),FALSE))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X277">
        <f>IF(ISNUMBER(SEARCH(SUBSTITUTE(AX$1,RIGHT(AX$1,2),""),VLOOKUP($D277,素材!$1:$1016,COLUMN($F$1),FALSE))),VLOOKUP($C277,武器!$1:$998,COLUMN($O$1),FALSE)*VLOOKUP($D277,素材!$1:$1016,COLUMN($E$1),FALSE)/(LEN(VLOOKUP($D277,素材!$1:$1016,COLUMN($F$1),FALSE))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Y277">
        <f>IF(ISNUMBER(SEARCH(SUBSTITUTE(AY$1,RIGHT(AY$1,2),""),VLOOKUP($D277,素材!$1:$1016,COLUMN($F$1),FALSE))),VLOOKUP($C277,武器!$1:$998,COLUMN($O$1),FALSE)*VLOOKUP($D277,素材!$1:$1016,COLUMN($E$1),FALSE)/(LEN(VLOOKUP($D277,素材!$1:$1016,COLUMN($F$1),FALSE))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AZ277">
        <f>IF(ISNUMBER(SEARCH(SUBSTITUTE(AZ$1,RIGHT(AZ$1,2),""),VLOOKUP($D277,素材!$1:$1016,COLUMN($F$1),FALSE))),VLOOKUP($C277,武器!$1:$998,COLUMN($O$1),FALSE)*VLOOKUP($D277,素材!$1:$1016,COLUMN($E$1),FALSE)/(LEN(VLOOKUP($D277,素材!$1:$1016,COLUMN($F$1),FALSE))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BA277">
        <f>IF(ISNUMBER(SEARCH(SUBSTITUTE(BA$1,RIGHT(BA$1,2),""),VLOOKUP($D277,素材!$1:$1016,COLUMN($F$1),FALSE))),VLOOKUP($C277,武器!$1:$998,COLUMN($O$1),FALSE)*VLOOKUP($D277,素材!$1:$1016,COLUMN($E$1),FALSE)/(LEN(VLOOKUP($D277,素材!$1:$1016,COLUMN($F$1),FALSE))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BB277">
        <f>IF(ISNUMBER(SEARCH(SUBSTITUTE(BB$1,RIGHT(BB$1,2),""),VLOOKUP($D277,素材!$1:$1016,COLUMN($F$1),FALSE))),VLOOKUP($C277,武器!$1:$998,COLUMN($O$1),FALSE)*VLOOKUP($D277,素材!$1:$1016,COLUMN($E$1),FALSE)/(LEN(VLOOKUP($D277,素材!$1:$1016,COLUMN($F$1),FALSE))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BC277">
        <f>IF(ISNUMBER(SEARCH(SUBSTITUTE(BC$1,RIGHT(BC$1,2),""),VLOOKUP($D277,素材!$1:$1016,COLUMN($F$1),FALSE))),VLOOKUP($C277,武器!$1:$998,COLUMN($O$1),FALSE)*VLOOKUP($D277,素材!$1:$1016,COLUMN($E$1),FALSE)/(LEN(VLOOKUP($D277,素材!$1:$1016,COLUMN($F$1),FALSE))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BD277">
        <f>IF(ISNUMBER(SEARCH(SUBSTITUTE(BD$1,RIGHT(BD$1,2),""),VLOOKUP($D277,素材!$1:$1016,COLUMN($F$1),FALSE))),VLOOKUP($C277,武器!$1:$998,COLUMN($O$1),FALSE)*VLOOKUP($D277,素材!$1:$1016,COLUMN($E$1),FALSE)/(LEN(VLOOKUP($D277,素材!$1:$1016,COLUMN($F$1),FALSE))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BE277">
        <f>IF(ISNUMBER(SEARCH(SUBSTITUTE(BE$1,RIGHT(BE$1,2),""),VLOOKUP($D277,素材!$1:$1016,COLUMN($F$1),FALSE))),VLOOKUP($C277,武器!$1:$998,COLUMN($O$1),FALSE)*VLOOKUP($D277,素材!$1:$1016,COLUMN($E$1),FALSE)/(LEN(VLOOKUP($D277,素材!$1:$1016,COLUMN($F$1),FALSE))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BF277">
        <f>IF(ISNUMBER(SEARCH(SUBSTITUTE(BF$1,RIGHT(BF$1,2),""),VLOOKUP($D277,素材!$1:$1016,COLUMN($F$1),FALSE))),VLOOKUP($C277,武器!$1:$998,COLUMN($O$1),FALSE)*VLOOKUP($D277,素材!$1:$1016,COLUMN($E$1),FALSE)/(LEN(VLOOKUP($D277,素材!$1:$1016,COLUMN($F$1),FALSE)) - LEN(SUBSTITUTE(VLOOKUP($D277,素材!$1:$1016,COLUMN($F$1),FALSE), "・", 0)) + 1), 0)</f>
        <v>0</v>
      </c>
      <c r="CM277">
        <f t="shared" si="36"/>
        <v>0</v>
      </c>
      <c r="CN277" s="22" t="str">
        <f>IF(E277="武器",IF(J277-1&gt;SUM(G277:I277),"盾",IF(MAX(G277:I277)=G277,"切断",IF(MAX(G277:I277)=H277,"貫通",IF(MAX(G277:I277)=I277,"打撃","射撃")))),E277)&amp;".webp"</f>
        <v>装飾.webp</v>
      </c>
      <c r="CO277">
        <f>IFERROR(VLOOKUP($C277,武器!$1:$998,COLUMN(V$1),FALSE)*VLOOKUP($D277,素材!$1:$1016,COLUMN(N$1),FALSE)+IF(CJ277="",0,VLOOKUP($CJ277,装強!$1:$1008,COLUMN($CL$1),FALSE)),"")</f>
        <v>1500</v>
      </c>
      <c r="CP277" t="str">
        <f>VLOOKUP(D277,素材!$A:$O,COLUMN(素材!O$1),FALSE)</f>
        <v>魔力を帯びた特殊な皮素材。魔法防御や属性耐性を強化する効果があり、高レベルの冒険者に重宝されます。</v>
      </c>
      <c r="CQ277" t="str">
        <f>VLOOKUP(C277,武器!$A:$W,COLUMN(武器!W$1),FALSE)</f>
        <v xml:space="preserve">防御 隠密 </v>
      </c>
      <c r="CS277" t="str">
        <f t="shared" si="37"/>
        <v>e_277</v>
      </c>
      <c r="CT277">
        <f t="shared" si="38"/>
        <v>150000</v>
      </c>
    </row>
    <row r="278" spans="1:98" hidden="1" outlineLevel="1" x14ac:dyDescent="0.4">
      <c r="A278" t="str">
        <f>IF(CJ278="",D278&amp;"の"&amp;C278,CJ278&amp;"の"&amp;C278)</f>
        <v>魔獣皮の外套</v>
      </c>
      <c r="B278" t="str">
        <f>IFERROR(IF(CJ278="",VLOOKUP($D278,素材!$1:$1016,COLUMN($B$1),FALSE)&amp;"・"&amp;VLOOKUP($C278,武器!$1:$998,COLUMN(B$1),FALSE),VLOOKUP($CJ278,装強!$1:$1008,COLUMN($B$1),FALSE)&amp;"・"&amp;VLOOKUP($C278,武器!$1:$998,COLUMN(B$1),FALSE)),"")</f>
        <v>マジックレザー・マント</v>
      </c>
      <c r="C278" s="24" t="s">
        <v>203</v>
      </c>
      <c r="D278" s="24" t="s">
        <v>202</v>
      </c>
      <c r="E278" t="str">
        <f>IFERROR(VLOOKUP(C278,武器!$1:$998,COLUMN(C$1),FALSE),"")</f>
        <v>装飾</v>
      </c>
      <c r="F278">
        <f>IFERROR(ROUNDDOWN((VLOOKUP($C278,武器!$1:$998,COLUMN(D$1),FALSE)+IFERROR(VLOOKUP($CJ278,装強!$1:$999,COLUMN(F$1),FALSE),0))*VLOOKUP($D278,素材!$1:$1016,COLUMN(D$1),FALSE),0),"")</f>
        <v>0</v>
      </c>
      <c r="G278">
        <f>IFERROR(ROUNDDOWN((VLOOKUP($C278,武器!$1:$998,COLUMN(E$1),FALSE)+IFERROR(VLOOKUP($CJ278,装強!$1:$999,COLUMN(G$1),FALSE),0))*VLOOKUP($D278,素材!$1:$1016,COLUMN($E$1),FALSE),0),"")</f>
        <v>0</v>
      </c>
      <c r="H278">
        <f>IFERROR(ROUNDDOWN((VLOOKUP($C278,武器!$1:$998,COLUMN(F$1),FALSE)+IFERROR(VLOOKUP($CJ278,装強!$1:$999,COLUMN(H$1),FALSE),0))*VLOOKUP($D278,素材!$1:$1016,COLUMN($E$1),FALSE),0),"")</f>
        <v>0</v>
      </c>
      <c r="I278">
        <f>IFERROR(ROUNDDOWN((VLOOKUP($C278,武器!$1:$998,COLUMN(G$1),FALSE)+IFERROR(VLOOKUP($CJ278,装強!$1:$999,COLUMN(I$1),FALSE),0))*VLOOKUP($D278,素材!$1:$1016,COLUMN($E$1),FALSE),0),"")</f>
        <v>0</v>
      </c>
      <c r="J278">
        <f>IFERROR(ROUNDDOWN((VLOOKUP($C278,武器!$1:$998,COLUMN(H$1),FALSE)+IFERROR(VLOOKUP($CJ278,装強!$1:$999,COLUMN(J$1),FALSE),0))*VLOOKUP($D278,素材!$1:$1016,COLUMN($E$1),FALSE),0),"")</f>
        <v>0</v>
      </c>
      <c r="K278">
        <f>IFERROR(ROUNDDOWN((VLOOKUP($C278,武器!$1:$998,COLUMN(I$1),FALSE)+IFERROR(VLOOKUP($CJ278,装強!$1:$999,COLUMN(K$1),FALSE),0))*VLOOKUP($D278,素材!$1:$1016,COLUMN($E$1),FALSE),0),"")</f>
        <v>0</v>
      </c>
      <c r="L278" t="str">
        <f>IFERROR(VLOOKUP($D278,素材!$1:$1016,COLUMN($F$1),FALSE),"")</f>
        <v>魔法</v>
      </c>
      <c r="M278" t="str">
        <f>IFERROR(VLOOKUP($C278,武器!$1:$998,COLUMN(AA$1),FALSE)*VLOOKUP($D278,素材!$1:$1016,COLUMN($G$1),FALSE),"")</f>
        <v/>
      </c>
      <c r="N278">
        <f>IFERROR(VLOOKUP($C278,武器!$1:$998,COLUMN(I$1),FALSE),"")</f>
        <v>0</v>
      </c>
      <c r="O278" s="23" t="str">
        <f>IFERROR((VLOOKUP($C278,武器!$1:$998,COLUMN(K$1),FALSE)+VLOOKUP($D278,素材!$1:$1016,COLUMN(H$1),FALSE))*100+IFERROR(VLOOKUP($CJ278,装強!$1:$999,COLUMN(O$1),FALSE),0),"")</f>
        <v/>
      </c>
      <c r="P278" s="23" t="str">
        <f>IFERROR((VLOOKUP($C278,武器!$1:$998,COLUMN(L$1),FALSE)+VLOOKUP($D278,素材!$1:$1016,COLUMN(I$1),FALSE))*100+IFERROR(VLOOKUP($CJ278,装強!$1:$999,COLUMN(P$1),FALSE),0),"")</f>
        <v/>
      </c>
      <c r="Q278">
        <f>IFERROR(ROUNDUP(VLOOKUP($C278,武器!$1:$998,COLUMN(M$1),FALSE)*(VLOOKUP($D278,素材!$1:$1002,COLUMN(D$1),FALSE)/100),1),"")</f>
        <v>0</v>
      </c>
      <c r="R278">
        <f>IFERROR(ROUNDUP(VLOOKUP($C278,武器!$1:$998,COLUMN(N$1),FALSE)*(VLOOKUP($D278,素材!$1:$1002,COLUMN(D$1),FALSE)/100),1),"")</f>
        <v>0</v>
      </c>
      <c r="S278">
        <f>IFERROR(VLOOKUP($C278,武器!$1:$998,COLUMN(P$1),FALSE),"")</f>
        <v>0</v>
      </c>
      <c r="T278">
        <f>IFERROR(VLOOKUP($C278,武器!$1:$998,COLUMN(Q$1),FALSE),"")</f>
        <v>0</v>
      </c>
      <c r="U278">
        <f>IFERROR(VLOOKUP($C278,武器!$1:$998,COLUMN(R$1),FALSE),"")</f>
        <v>0</v>
      </c>
      <c r="V278">
        <f>IFERROR(VLOOKUP($C278,武器!$1:$998,COLUMN(Q$1),FALSE),"")</f>
        <v>0</v>
      </c>
      <c r="W278">
        <f>IFERROR(VLOOKUP($C278,武器!$1:$998,COLUMN(T$1),FALSE),"")</f>
        <v>0</v>
      </c>
      <c r="Y278">
        <f>IFERROR(VLOOKUP($C278,武器!$1:$998,COLUMN(U$1),FALSE),"")</f>
        <v>0</v>
      </c>
      <c r="Z278">
        <f>IFERROR(ROUNDUP(VLOOKUP($C278,武器!$1:$998,COLUMN(O$1),FALSE)*VLOOKUP($D278,素材!$1:$1016,COLUMN(E$1),FALSE),1),"")</f>
        <v>0</v>
      </c>
      <c r="AA278">
        <f>IF(ISNUMBER(SEARCH(SUBSTITUTE(AA$1,RIGHT(AA$1,2),""),VLOOKUP($D278,素材!$1:$1016,COLUMN($F$1),FALSE))),VLOOKUP($C278,武器!$1:$998,COLUMN($O$1),FALSE)*VLOOKUP($D278,素材!$1:$1016,COLUMN($E$1),FALSE)/(LEN(VLOOKUP($D278,素材!$1:$1016,COLUMN($F$1),FALSE))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B278">
        <f>IF(ISNUMBER(SEARCH(SUBSTITUTE(AB$1,RIGHT(AB$1,2),""),VLOOKUP($D278,素材!$1:$1016,COLUMN($F$1),FALSE))),VLOOKUP($C278,武器!$1:$998,COLUMN($O$1),FALSE)*VLOOKUP($D278,素材!$1:$1016,COLUMN($E$1),FALSE)/(LEN(VLOOKUP($D278,素材!$1:$1016,COLUMN($F$1),FALSE))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C278">
        <f>IF(ISNUMBER(SEARCH(SUBSTITUTE(AC$1,RIGHT(AC$1,2),""),VLOOKUP($D278,素材!$1:$1016,COLUMN($F$1),FALSE))),VLOOKUP($C278,武器!$1:$998,COLUMN($O$1),FALSE)*VLOOKUP($D278,素材!$1:$1016,COLUMN($E$1),FALSE)/(LEN(VLOOKUP($D278,素材!$1:$1016,COLUMN($F$1),FALSE))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D278">
        <f>IF(ISNUMBER(SEARCH(SUBSTITUTE(AD$1,RIGHT(AD$1,2),""),VLOOKUP($D278,素材!$1:$1016,COLUMN($F$1),FALSE))),VLOOKUP($C278,武器!$1:$998,COLUMN($O$1),FALSE)*VLOOKUP($D278,素材!$1:$1016,COLUMN($E$1),FALSE)/(LEN(VLOOKUP($D278,素材!$1:$1016,COLUMN($F$1),FALSE))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E278">
        <f>IF(ISNUMBER(SEARCH(SUBSTITUTE(AE$1,RIGHT(AE$1,2),""),VLOOKUP($D278,素材!$1:$1016,COLUMN($F$1),FALSE))),VLOOKUP($C278,武器!$1:$998,COLUMN($O$1),FALSE)*VLOOKUP($D278,素材!$1:$1016,COLUMN($E$1),FALSE)/(LEN(VLOOKUP($D278,素材!$1:$1016,COLUMN($F$1),FALSE))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F278">
        <f>IF(ISNUMBER(SEARCH(SUBSTITUTE(AF$1,RIGHT(AF$1,2),""),VLOOKUP($D278,素材!$1:$1016,COLUMN($F$1),FALSE))),VLOOKUP($C278,武器!$1:$998,COLUMN($O$1),FALSE)*VLOOKUP($D278,素材!$1:$1016,COLUMN($E$1),FALSE)/(LEN(VLOOKUP($D278,素材!$1:$1016,COLUMN($F$1),FALSE))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G278">
        <f>IF(ISNUMBER(SEARCH(SUBSTITUTE(AG$1,RIGHT(AG$1,2),""),VLOOKUP($D278,素材!$1:$1016,COLUMN($F$1),FALSE))),VLOOKUP($C278,武器!$1:$998,COLUMN($O$1),FALSE)*VLOOKUP($D278,素材!$1:$1016,COLUMN($E$1),FALSE)/(LEN(VLOOKUP($D278,素材!$1:$1016,COLUMN($F$1),FALSE))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H278">
        <f>IF(ISNUMBER(SEARCH(SUBSTITUTE(AH$1,RIGHT(AH$1,2),""),VLOOKUP($D278,素材!$1:$1016,COLUMN($F$1),FALSE))),VLOOKUP($C278,武器!$1:$998,COLUMN($O$1),FALSE)*VLOOKUP($D278,素材!$1:$1016,COLUMN($E$1),FALSE)/(LEN(VLOOKUP($D278,素材!$1:$1016,COLUMN($F$1),FALSE))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I278">
        <f>IF(ISNUMBER(SEARCH(SUBSTITUTE(AI$1,RIGHT(AI$1,2),""),VLOOKUP($D278,素材!$1:$1016,COLUMN($F$1),FALSE))),VLOOKUP($C278,武器!$1:$998,COLUMN($O$1),FALSE)*VLOOKUP($D278,素材!$1:$1016,COLUMN($E$1),FALSE)/(LEN(VLOOKUP($D278,素材!$1:$1016,COLUMN($F$1),FALSE))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J278">
        <f>IF(ISNUMBER(SEARCH(SUBSTITUTE(AJ$1,RIGHT(AJ$1,2),""),VLOOKUP($D278,素材!$1:$1016,COLUMN($F$1),FALSE))),VLOOKUP($C278,武器!$1:$998,COLUMN($O$1),FALSE)*VLOOKUP($D278,素材!$1:$1016,COLUMN($E$1),FALSE)/(LEN(VLOOKUP($D278,素材!$1:$1016,COLUMN($F$1),FALSE))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K278">
        <f>IF(ISNUMBER(SEARCH(SUBSTITUTE(AK$1,RIGHT(AK$1,2),""),VLOOKUP($D278,素材!$1:$1016,COLUMN($F$1),FALSE))),VLOOKUP($C278,武器!$1:$998,COLUMN($O$1),FALSE)*VLOOKUP($D278,素材!$1:$1016,COLUMN($E$1),FALSE)/(LEN(VLOOKUP($D278,素材!$1:$1016,COLUMN($F$1),FALSE))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L278">
        <f>IF(ISNUMBER(SEARCH(SUBSTITUTE(AL$1,RIGHT(AL$1,2),""),VLOOKUP($D278,素材!$1:$1016,COLUMN($F$1),FALSE))),VLOOKUP($C278,武器!$1:$998,COLUMN($O$1),FALSE)*VLOOKUP($D278,素材!$1:$1016,COLUMN($E$1),FALSE)/(LEN(VLOOKUP($D278,素材!$1:$1016,COLUMN($F$1),FALSE))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M278">
        <f>IF(ISNUMBER(SEARCH(SUBSTITUTE(AM$1,RIGHT(AM$1,2),""),VLOOKUP($D278,素材!$1:$1016,COLUMN($F$1),FALSE))),VLOOKUP($C278,武器!$1:$998,COLUMN($O$1),FALSE)*VLOOKUP($D278,素材!$1:$1016,COLUMN($E$1),FALSE)/(LEN(VLOOKUP($D278,素材!$1:$1016,COLUMN($F$1),FALSE))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N278">
        <f>IF(ISNUMBER(SEARCH(SUBSTITUTE(AN$1,RIGHT(AN$1,2),""),VLOOKUP($D278,素材!$1:$1016,COLUMN($F$1),FALSE))),VLOOKUP($C278,武器!$1:$998,COLUMN($O$1),FALSE)*VLOOKUP($D278,素材!$1:$1016,COLUMN($E$1),FALSE)/(LEN(VLOOKUP($D278,素材!$1:$1016,COLUMN($F$1),FALSE))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O278">
        <f>IF(ISNUMBER(SEARCH(SUBSTITUTE(AO$1,RIGHT(AO$1,2),""),VLOOKUP($D278,素材!$1:$1016,COLUMN($F$1),FALSE))),VLOOKUP($C278,武器!$1:$998,COLUMN($O$1),FALSE)*VLOOKUP($D278,素材!$1:$1016,COLUMN($E$1),FALSE)/(LEN(VLOOKUP($D278,素材!$1:$1016,COLUMN($F$1),FALSE))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P278">
        <f>IF(ISNUMBER(SEARCH(SUBSTITUTE(AP$1,RIGHT(AP$1,2),""),VLOOKUP($D278,素材!$1:$1016,COLUMN($F$1),FALSE))),VLOOKUP($C278,武器!$1:$998,COLUMN($O$1),FALSE)*VLOOKUP($D278,素材!$1:$1016,COLUMN($E$1),FALSE)/(LEN(VLOOKUP($D278,素材!$1:$1016,COLUMN($F$1),FALSE))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Q278">
        <f>IF(ISNUMBER(SEARCH(SUBSTITUTE(AQ$1,RIGHT(AQ$1,2),""),VLOOKUP($D278,素材!$1:$1016,COLUMN($F$1),FALSE))),VLOOKUP($C278,武器!$1:$998,COLUMN($O$1),FALSE)*VLOOKUP($D278,素材!$1:$1016,COLUMN($E$1),FALSE)/(LEN(VLOOKUP($D278,素材!$1:$1016,COLUMN($F$1),FALSE))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R278">
        <f>IF(ISNUMBER(SEARCH(SUBSTITUTE(AR$1,RIGHT(AR$1,2),""),VLOOKUP($D278,素材!$1:$1016,COLUMN($F$1),FALSE))),VLOOKUP($C278,武器!$1:$998,COLUMN($O$1),FALSE)*VLOOKUP($D278,素材!$1:$1016,COLUMN($E$1),FALSE)/(LEN(VLOOKUP($D278,素材!$1:$1016,COLUMN($F$1),FALSE))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S278">
        <f>IF(ISNUMBER(SEARCH(SUBSTITUTE(AS$1,RIGHT(AS$1,2),""),VLOOKUP($D278,素材!$1:$1016,COLUMN($F$1),FALSE))),VLOOKUP($C278,武器!$1:$998,COLUMN($O$1),FALSE)*VLOOKUP($D278,素材!$1:$1016,COLUMN($E$1),FALSE)/(LEN(VLOOKUP($D278,素材!$1:$1016,COLUMN($F$1),FALSE))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T278">
        <f>IF(ISNUMBER(SEARCH(SUBSTITUTE(AT$1,RIGHT(AT$1,2),""),VLOOKUP($D278,素材!$1:$1016,COLUMN($F$1),FALSE))),VLOOKUP($C278,武器!$1:$998,COLUMN($O$1),FALSE)*VLOOKUP($D278,素材!$1:$1016,COLUMN($E$1),FALSE)/(LEN(VLOOKUP($D278,素材!$1:$1016,COLUMN($F$1),FALSE))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U278">
        <f>IF(ISNUMBER(SEARCH(SUBSTITUTE(AU$1,RIGHT(AU$1,2),""),VLOOKUP($D278,素材!$1:$1016,COLUMN($F$1),FALSE))),VLOOKUP($C278,武器!$1:$998,COLUMN($O$1),FALSE)*VLOOKUP($D278,素材!$1:$1016,COLUMN($E$1),FALSE)/(LEN(VLOOKUP($D278,素材!$1:$1016,COLUMN($F$1),FALSE))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V278">
        <f>IF(ISNUMBER(SEARCH(SUBSTITUTE(AV$1,RIGHT(AV$1,2),""),VLOOKUP($D278,素材!$1:$1016,COLUMN($F$1),FALSE))),VLOOKUP($C278,武器!$1:$998,COLUMN($O$1),FALSE)*VLOOKUP($D278,素材!$1:$1016,COLUMN($E$1),FALSE)/(LEN(VLOOKUP($D278,素材!$1:$1016,COLUMN($F$1),FALSE))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W278">
        <f>IF(ISNUMBER(SEARCH(SUBSTITUTE(AW$1,RIGHT(AW$1,2),""),VLOOKUP($D278,素材!$1:$1016,COLUMN($F$1),FALSE))),VLOOKUP($C278,武器!$1:$998,COLUMN($O$1),FALSE)*VLOOKUP($D278,素材!$1:$1016,COLUMN($E$1),FALSE)/(LEN(VLOOKUP($D278,素材!$1:$1016,COLUMN($F$1),FALSE))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X278">
        <f>IF(ISNUMBER(SEARCH(SUBSTITUTE(AX$1,RIGHT(AX$1,2),""),VLOOKUP($D278,素材!$1:$1016,COLUMN($F$1),FALSE))),VLOOKUP($C278,武器!$1:$998,COLUMN($O$1),FALSE)*VLOOKUP($D278,素材!$1:$1016,COLUMN($E$1),FALSE)/(LEN(VLOOKUP($D278,素材!$1:$1016,COLUMN($F$1),FALSE))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Y278">
        <f>IF(ISNUMBER(SEARCH(SUBSTITUTE(AY$1,RIGHT(AY$1,2),""),VLOOKUP($D278,素材!$1:$1016,COLUMN($F$1),FALSE))),VLOOKUP($C278,武器!$1:$998,COLUMN($O$1),FALSE)*VLOOKUP($D278,素材!$1:$1016,COLUMN($E$1),FALSE)/(LEN(VLOOKUP($D278,素材!$1:$1016,COLUMN($F$1),FALSE))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AZ278">
        <f>IF(ISNUMBER(SEARCH(SUBSTITUTE(AZ$1,RIGHT(AZ$1,2),""),VLOOKUP($D278,素材!$1:$1016,COLUMN($F$1),FALSE))),VLOOKUP($C278,武器!$1:$998,COLUMN($O$1),FALSE)*VLOOKUP($D278,素材!$1:$1016,COLUMN($E$1),FALSE)/(LEN(VLOOKUP($D278,素材!$1:$1016,COLUMN($F$1),FALSE))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BA278">
        <f>IF(ISNUMBER(SEARCH(SUBSTITUTE(BA$1,RIGHT(BA$1,2),""),VLOOKUP($D278,素材!$1:$1016,COLUMN($F$1),FALSE))),VLOOKUP($C278,武器!$1:$998,COLUMN($O$1),FALSE)*VLOOKUP($D278,素材!$1:$1016,COLUMN($E$1),FALSE)/(LEN(VLOOKUP($D278,素材!$1:$1016,COLUMN($F$1),FALSE))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BB278">
        <f>IF(ISNUMBER(SEARCH(SUBSTITUTE(BB$1,RIGHT(BB$1,2),""),VLOOKUP($D278,素材!$1:$1016,COLUMN($F$1),FALSE))),VLOOKUP($C278,武器!$1:$998,COLUMN($O$1),FALSE)*VLOOKUP($D278,素材!$1:$1016,COLUMN($E$1),FALSE)/(LEN(VLOOKUP($D278,素材!$1:$1016,COLUMN($F$1),FALSE))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BC278">
        <f>IF(ISNUMBER(SEARCH(SUBSTITUTE(BC$1,RIGHT(BC$1,2),""),VLOOKUP($D278,素材!$1:$1016,COLUMN($F$1),FALSE))),VLOOKUP($C278,武器!$1:$998,COLUMN($O$1),FALSE)*VLOOKUP($D278,素材!$1:$1016,COLUMN($E$1),FALSE)/(LEN(VLOOKUP($D278,素材!$1:$1016,COLUMN($F$1),FALSE))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BD278">
        <f>IF(ISNUMBER(SEARCH(SUBSTITUTE(BD$1,RIGHT(BD$1,2),""),VLOOKUP($D278,素材!$1:$1016,COLUMN($F$1),FALSE))),VLOOKUP($C278,武器!$1:$998,COLUMN($O$1),FALSE)*VLOOKUP($D278,素材!$1:$1016,COLUMN($E$1),FALSE)/(LEN(VLOOKUP($D278,素材!$1:$1016,COLUMN($F$1),FALSE))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BE278">
        <f>IF(ISNUMBER(SEARCH(SUBSTITUTE(BE$1,RIGHT(BE$1,2),""),VLOOKUP($D278,素材!$1:$1016,COLUMN($F$1),FALSE))),VLOOKUP($C278,武器!$1:$998,COLUMN($O$1),FALSE)*VLOOKUP($D278,素材!$1:$1016,COLUMN($E$1),FALSE)/(LEN(VLOOKUP($D278,素材!$1:$1016,COLUMN($F$1),FALSE))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BF278">
        <f>IF(ISNUMBER(SEARCH(SUBSTITUTE(BF$1,RIGHT(BF$1,2),""),VLOOKUP($D278,素材!$1:$1016,COLUMN($F$1),FALSE))),VLOOKUP($C278,武器!$1:$998,COLUMN($O$1),FALSE)*VLOOKUP($D278,素材!$1:$1016,COLUMN($E$1),FALSE)/(LEN(VLOOKUP($D278,素材!$1:$1016,COLUMN($F$1),FALSE)) - LEN(SUBSTITUTE(VLOOKUP($D278,素材!$1:$1016,COLUMN($F$1),FALSE), "・", 0)) + 1), 0)</f>
        <v>0</v>
      </c>
      <c r="CM278">
        <f t="shared" si="36"/>
        <v>0</v>
      </c>
      <c r="CN278" s="22" t="str">
        <f>IF(E278="武器",IF(J278-1&gt;SUM(G278:I278),"盾",IF(MAX(G278:I278)=G278,"切断",IF(MAX(G278:I278)=H278,"貫通",IF(MAX(G278:I278)=I278,"打撃","射撃")))),E278)&amp;".webp"</f>
        <v>装飾.webp</v>
      </c>
      <c r="CO278">
        <f>IFERROR(VLOOKUP($C278,武器!$1:$998,COLUMN(V$1),FALSE)*VLOOKUP($D278,素材!$1:$1016,COLUMN(N$1),FALSE)+IF(CJ278="",0,VLOOKUP($CJ278,装強!$1:$1008,COLUMN($CL$1),FALSE)),"")</f>
        <v>1500</v>
      </c>
      <c r="CP278" t="str">
        <f>VLOOKUP(D278,素材!$A:$O,COLUMN(素材!O$1),FALSE)</f>
        <v>魔力を帯びた特殊な皮素材。魔法防御や属性耐性を強化する効果があり、高レベルの冒険者に重宝されます。</v>
      </c>
      <c r="CQ278" t="str">
        <f>VLOOKUP(C278,武器!$A:$W,COLUMN(武器!W$1),FALSE)</f>
        <v xml:space="preserve">防御 隠密 </v>
      </c>
      <c r="CS278" t="str">
        <f t="shared" si="37"/>
        <v>e_278</v>
      </c>
      <c r="CT278">
        <f t="shared" si="38"/>
        <v>150000</v>
      </c>
    </row>
    <row r="279" spans="1:98" hidden="1" outlineLevel="1" x14ac:dyDescent="0.4">
      <c r="A279" t="str">
        <f>IF(CJ279="",D279&amp;"の"&amp;C279,CJ279&amp;"の"&amp;C279)</f>
        <v>魔獣皮の外套</v>
      </c>
      <c r="B279" t="str">
        <f>IFERROR(IF(CJ279="",VLOOKUP($D279,素材!$1:$1016,COLUMN($B$1),FALSE)&amp;"・"&amp;VLOOKUP($C279,武器!$1:$998,COLUMN(B$1),FALSE),VLOOKUP($CJ279,装強!$1:$1008,COLUMN($B$1),FALSE)&amp;"・"&amp;VLOOKUP($C279,武器!$1:$998,COLUMN(B$1),FALSE)),"")</f>
        <v>マジックレザー・マント</v>
      </c>
      <c r="C279" s="24" t="s">
        <v>203</v>
      </c>
      <c r="D279" s="24" t="s">
        <v>202</v>
      </c>
      <c r="E279" t="str">
        <f>IFERROR(VLOOKUP(C279,武器!$1:$998,COLUMN(C$1),FALSE),"")</f>
        <v>装飾</v>
      </c>
      <c r="F279">
        <f>IFERROR(ROUNDDOWN((VLOOKUP($C279,武器!$1:$998,COLUMN(D$1),FALSE)+IFERROR(VLOOKUP($CJ279,装強!$1:$999,COLUMN(F$1),FALSE),0))*VLOOKUP($D279,素材!$1:$1016,COLUMN(D$1),FALSE),0),"")</f>
        <v>0</v>
      </c>
      <c r="G279">
        <f>IFERROR(ROUNDDOWN((VLOOKUP($C279,武器!$1:$998,COLUMN(E$1),FALSE)+IFERROR(VLOOKUP($CJ279,装強!$1:$999,COLUMN(G$1),FALSE),0))*VLOOKUP($D279,素材!$1:$1016,COLUMN($E$1),FALSE),0),"")</f>
        <v>0</v>
      </c>
      <c r="H279">
        <f>IFERROR(ROUNDDOWN((VLOOKUP($C279,武器!$1:$998,COLUMN(F$1),FALSE)+IFERROR(VLOOKUP($CJ279,装強!$1:$999,COLUMN(H$1),FALSE),0))*VLOOKUP($D279,素材!$1:$1016,COLUMN($E$1),FALSE),0),"")</f>
        <v>0</v>
      </c>
      <c r="I279">
        <f>IFERROR(ROUNDDOWN((VLOOKUP($C279,武器!$1:$998,COLUMN(G$1),FALSE)+IFERROR(VLOOKUP($CJ279,装強!$1:$999,COLUMN(I$1),FALSE),0))*VLOOKUP($D279,素材!$1:$1016,COLUMN($E$1),FALSE),0),"")</f>
        <v>0</v>
      </c>
      <c r="J279">
        <f>IFERROR(ROUNDDOWN((VLOOKUP($C279,武器!$1:$998,COLUMN(H$1),FALSE)+IFERROR(VLOOKUP($CJ279,装強!$1:$999,COLUMN(J$1),FALSE),0))*VLOOKUP($D279,素材!$1:$1016,COLUMN($E$1),FALSE),0),"")</f>
        <v>0</v>
      </c>
      <c r="K279">
        <f>IFERROR(ROUNDDOWN((VLOOKUP($C279,武器!$1:$998,COLUMN(I$1),FALSE)+IFERROR(VLOOKUP($CJ279,装強!$1:$999,COLUMN(K$1),FALSE),0))*VLOOKUP($D279,素材!$1:$1016,COLUMN($E$1),FALSE),0),"")</f>
        <v>0</v>
      </c>
      <c r="L279" t="str">
        <f>IFERROR(VLOOKUP($D279,素材!$1:$1016,COLUMN($F$1),FALSE),"")</f>
        <v>魔法</v>
      </c>
      <c r="M279" t="str">
        <f>IFERROR(VLOOKUP($C279,武器!$1:$998,COLUMN(AA$1),FALSE)*VLOOKUP($D279,素材!$1:$1016,COLUMN($G$1),FALSE),"")</f>
        <v/>
      </c>
      <c r="N279">
        <f>IFERROR(VLOOKUP($C279,武器!$1:$998,COLUMN(I$1),FALSE),"")</f>
        <v>0</v>
      </c>
      <c r="O279" s="23" t="str">
        <f>IFERROR((VLOOKUP($C279,武器!$1:$998,COLUMN(K$1),FALSE)+VLOOKUP($D279,素材!$1:$1016,COLUMN(H$1),FALSE))*100+IFERROR(VLOOKUP($CJ279,装強!$1:$999,COLUMN(O$1),FALSE),0),"")</f>
        <v/>
      </c>
      <c r="P279" s="23" t="str">
        <f>IFERROR((VLOOKUP($C279,武器!$1:$998,COLUMN(L$1),FALSE)+VLOOKUP($D279,素材!$1:$1016,COLUMN(I$1),FALSE))*100+IFERROR(VLOOKUP($CJ279,装強!$1:$999,COLUMN(P$1),FALSE),0),"")</f>
        <v/>
      </c>
      <c r="Q279">
        <f>IFERROR(ROUNDUP(VLOOKUP($C279,武器!$1:$998,COLUMN(M$1),FALSE)*(VLOOKUP($D279,素材!$1:$1002,COLUMN(D$1),FALSE)/100),1),"")</f>
        <v>0</v>
      </c>
      <c r="R279">
        <f>IFERROR(ROUNDUP(VLOOKUP($C279,武器!$1:$998,COLUMN(N$1),FALSE)*(VLOOKUP($D279,素材!$1:$1002,COLUMN(D$1),FALSE)/100),1),"")</f>
        <v>0</v>
      </c>
      <c r="S279">
        <f>IFERROR(VLOOKUP($C279,武器!$1:$998,COLUMN(P$1),FALSE),"")</f>
        <v>0</v>
      </c>
      <c r="T279">
        <f>IFERROR(VLOOKUP($C279,武器!$1:$998,COLUMN(Q$1),FALSE),"")</f>
        <v>0</v>
      </c>
      <c r="U279">
        <f>IFERROR(VLOOKUP($C279,武器!$1:$998,COLUMN(R$1),FALSE),"")</f>
        <v>0</v>
      </c>
      <c r="V279">
        <f>IFERROR(VLOOKUP($C279,武器!$1:$998,COLUMN(Q$1),FALSE),"")</f>
        <v>0</v>
      </c>
      <c r="W279">
        <f>IFERROR(VLOOKUP($C279,武器!$1:$998,COLUMN(T$1),FALSE),"")</f>
        <v>0</v>
      </c>
      <c r="Y279">
        <f>IFERROR(VLOOKUP($C279,武器!$1:$998,COLUMN(U$1),FALSE),"")</f>
        <v>0</v>
      </c>
      <c r="Z279">
        <f>IFERROR(ROUNDUP(VLOOKUP($C279,武器!$1:$998,COLUMN(O$1),FALSE)*VLOOKUP($D279,素材!$1:$1016,COLUMN(E$1),FALSE),1),"")</f>
        <v>0</v>
      </c>
      <c r="AA279">
        <f>IF(ISNUMBER(SEARCH(SUBSTITUTE(AA$1,RIGHT(AA$1,2),""),VLOOKUP($D279,素材!$1:$1016,COLUMN($F$1),FALSE))),VLOOKUP($C279,武器!$1:$998,COLUMN($O$1),FALSE)*VLOOKUP($D279,素材!$1:$1016,COLUMN($E$1),FALSE)/(LEN(VLOOKUP($D279,素材!$1:$1016,COLUMN($F$1),FALSE))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B279">
        <f>IF(ISNUMBER(SEARCH(SUBSTITUTE(AB$1,RIGHT(AB$1,2),""),VLOOKUP($D279,素材!$1:$1016,COLUMN($F$1),FALSE))),VLOOKUP($C279,武器!$1:$998,COLUMN($O$1),FALSE)*VLOOKUP($D279,素材!$1:$1016,COLUMN($E$1),FALSE)/(LEN(VLOOKUP($D279,素材!$1:$1016,COLUMN($F$1),FALSE))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C279">
        <f>IF(ISNUMBER(SEARCH(SUBSTITUTE(AC$1,RIGHT(AC$1,2),""),VLOOKUP($D279,素材!$1:$1016,COLUMN($F$1),FALSE))),VLOOKUP($C279,武器!$1:$998,COLUMN($O$1),FALSE)*VLOOKUP($D279,素材!$1:$1016,COLUMN($E$1),FALSE)/(LEN(VLOOKUP($D279,素材!$1:$1016,COLUMN($F$1),FALSE))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D279">
        <f>IF(ISNUMBER(SEARCH(SUBSTITUTE(AD$1,RIGHT(AD$1,2),""),VLOOKUP($D279,素材!$1:$1016,COLUMN($F$1),FALSE))),VLOOKUP($C279,武器!$1:$998,COLUMN($O$1),FALSE)*VLOOKUP($D279,素材!$1:$1016,COLUMN($E$1),FALSE)/(LEN(VLOOKUP($D279,素材!$1:$1016,COLUMN($F$1),FALSE))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E279">
        <f>IF(ISNUMBER(SEARCH(SUBSTITUTE(AE$1,RIGHT(AE$1,2),""),VLOOKUP($D279,素材!$1:$1016,COLUMN($F$1),FALSE))),VLOOKUP($C279,武器!$1:$998,COLUMN($O$1),FALSE)*VLOOKUP($D279,素材!$1:$1016,COLUMN($E$1),FALSE)/(LEN(VLOOKUP($D279,素材!$1:$1016,COLUMN($F$1),FALSE))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F279">
        <f>IF(ISNUMBER(SEARCH(SUBSTITUTE(AF$1,RIGHT(AF$1,2),""),VLOOKUP($D279,素材!$1:$1016,COLUMN($F$1),FALSE))),VLOOKUP($C279,武器!$1:$998,COLUMN($O$1),FALSE)*VLOOKUP($D279,素材!$1:$1016,COLUMN($E$1),FALSE)/(LEN(VLOOKUP($D279,素材!$1:$1016,COLUMN($F$1),FALSE))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G279">
        <f>IF(ISNUMBER(SEARCH(SUBSTITUTE(AG$1,RIGHT(AG$1,2),""),VLOOKUP($D279,素材!$1:$1016,COLUMN($F$1),FALSE))),VLOOKUP($C279,武器!$1:$998,COLUMN($O$1),FALSE)*VLOOKUP($D279,素材!$1:$1016,COLUMN($E$1),FALSE)/(LEN(VLOOKUP($D279,素材!$1:$1016,COLUMN($F$1),FALSE))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H279">
        <f>IF(ISNUMBER(SEARCH(SUBSTITUTE(AH$1,RIGHT(AH$1,2),""),VLOOKUP($D279,素材!$1:$1016,COLUMN($F$1),FALSE))),VLOOKUP($C279,武器!$1:$998,COLUMN($O$1),FALSE)*VLOOKUP($D279,素材!$1:$1016,COLUMN($E$1),FALSE)/(LEN(VLOOKUP($D279,素材!$1:$1016,COLUMN($F$1),FALSE))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I279">
        <f>IF(ISNUMBER(SEARCH(SUBSTITUTE(AI$1,RIGHT(AI$1,2),""),VLOOKUP($D279,素材!$1:$1016,COLUMN($F$1),FALSE))),VLOOKUP($C279,武器!$1:$998,COLUMN($O$1),FALSE)*VLOOKUP($D279,素材!$1:$1016,COLUMN($E$1),FALSE)/(LEN(VLOOKUP($D279,素材!$1:$1016,COLUMN($F$1),FALSE))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J279">
        <f>IF(ISNUMBER(SEARCH(SUBSTITUTE(AJ$1,RIGHT(AJ$1,2),""),VLOOKUP($D279,素材!$1:$1016,COLUMN($F$1),FALSE))),VLOOKUP($C279,武器!$1:$998,COLUMN($O$1),FALSE)*VLOOKUP($D279,素材!$1:$1016,COLUMN($E$1),FALSE)/(LEN(VLOOKUP($D279,素材!$1:$1016,COLUMN($F$1),FALSE))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K279">
        <f>IF(ISNUMBER(SEARCH(SUBSTITUTE(AK$1,RIGHT(AK$1,2),""),VLOOKUP($D279,素材!$1:$1016,COLUMN($F$1),FALSE))),VLOOKUP($C279,武器!$1:$998,COLUMN($O$1),FALSE)*VLOOKUP($D279,素材!$1:$1016,COLUMN($E$1),FALSE)/(LEN(VLOOKUP($D279,素材!$1:$1016,COLUMN($F$1),FALSE))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L279">
        <f>IF(ISNUMBER(SEARCH(SUBSTITUTE(AL$1,RIGHT(AL$1,2),""),VLOOKUP($D279,素材!$1:$1016,COLUMN($F$1),FALSE))),VLOOKUP($C279,武器!$1:$998,COLUMN($O$1),FALSE)*VLOOKUP($D279,素材!$1:$1016,COLUMN($E$1),FALSE)/(LEN(VLOOKUP($D279,素材!$1:$1016,COLUMN($F$1),FALSE))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M279">
        <f>IF(ISNUMBER(SEARCH(SUBSTITUTE(AM$1,RIGHT(AM$1,2),""),VLOOKUP($D279,素材!$1:$1016,COLUMN($F$1),FALSE))),VLOOKUP($C279,武器!$1:$998,COLUMN($O$1),FALSE)*VLOOKUP($D279,素材!$1:$1016,COLUMN($E$1),FALSE)/(LEN(VLOOKUP($D279,素材!$1:$1016,COLUMN($F$1),FALSE))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N279">
        <f>IF(ISNUMBER(SEARCH(SUBSTITUTE(AN$1,RIGHT(AN$1,2),""),VLOOKUP($D279,素材!$1:$1016,COLUMN($F$1),FALSE))),VLOOKUP($C279,武器!$1:$998,COLUMN($O$1),FALSE)*VLOOKUP($D279,素材!$1:$1016,COLUMN($E$1),FALSE)/(LEN(VLOOKUP($D279,素材!$1:$1016,COLUMN($F$1),FALSE))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O279">
        <f>IF(ISNUMBER(SEARCH(SUBSTITUTE(AO$1,RIGHT(AO$1,2),""),VLOOKUP($D279,素材!$1:$1016,COLUMN($F$1),FALSE))),VLOOKUP($C279,武器!$1:$998,COLUMN($O$1),FALSE)*VLOOKUP($D279,素材!$1:$1016,COLUMN($E$1),FALSE)/(LEN(VLOOKUP($D279,素材!$1:$1016,COLUMN($F$1),FALSE))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P279">
        <f>IF(ISNUMBER(SEARCH(SUBSTITUTE(AP$1,RIGHT(AP$1,2),""),VLOOKUP($D279,素材!$1:$1016,COLUMN($F$1),FALSE))),VLOOKUP($C279,武器!$1:$998,COLUMN($O$1),FALSE)*VLOOKUP($D279,素材!$1:$1016,COLUMN($E$1),FALSE)/(LEN(VLOOKUP($D279,素材!$1:$1016,COLUMN($F$1),FALSE))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Q279">
        <f>IF(ISNUMBER(SEARCH(SUBSTITUTE(AQ$1,RIGHT(AQ$1,2),""),VLOOKUP($D279,素材!$1:$1016,COLUMN($F$1),FALSE))),VLOOKUP($C279,武器!$1:$998,COLUMN($O$1),FALSE)*VLOOKUP($D279,素材!$1:$1016,COLUMN($E$1),FALSE)/(LEN(VLOOKUP($D279,素材!$1:$1016,COLUMN($F$1),FALSE))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R279">
        <f>IF(ISNUMBER(SEARCH(SUBSTITUTE(AR$1,RIGHT(AR$1,2),""),VLOOKUP($D279,素材!$1:$1016,COLUMN($F$1),FALSE))),VLOOKUP($C279,武器!$1:$998,COLUMN($O$1),FALSE)*VLOOKUP($D279,素材!$1:$1016,COLUMN($E$1),FALSE)/(LEN(VLOOKUP($D279,素材!$1:$1016,COLUMN($F$1),FALSE))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S279">
        <f>IF(ISNUMBER(SEARCH(SUBSTITUTE(AS$1,RIGHT(AS$1,2),""),VLOOKUP($D279,素材!$1:$1016,COLUMN($F$1),FALSE))),VLOOKUP($C279,武器!$1:$998,COLUMN($O$1),FALSE)*VLOOKUP($D279,素材!$1:$1016,COLUMN($E$1),FALSE)/(LEN(VLOOKUP($D279,素材!$1:$1016,COLUMN($F$1),FALSE))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T279">
        <f>IF(ISNUMBER(SEARCH(SUBSTITUTE(AT$1,RIGHT(AT$1,2),""),VLOOKUP($D279,素材!$1:$1016,COLUMN($F$1),FALSE))),VLOOKUP($C279,武器!$1:$998,COLUMN($O$1),FALSE)*VLOOKUP($D279,素材!$1:$1016,COLUMN($E$1),FALSE)/(LEN(VLOOKUP($D279,素材!$1:$1016,COLUMN($F$1),FALSE))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U279">
        <f>IF(ISNUMBER(SEARCH(SUBSTITUTE(AU$1,RIGHT(AU$1,2),""),VLOOKUP($D279,素材!$1:$1016,COLUMN($F$1),FALSE))),VLOOKUP($C279,武器!$1:$998,COLUMN($O$1),FALSE)*VLOOKUP($D279,素材!$1:$1016,COLUMN($E$1),FALSE)/(LEN(VLOOKUP($D279,素材!$1:$1016,COLUMN($F$1),FALSE))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V279">
        <f>IF(ISNUMBER(SEARCH(SUBSTITUTE(AV$1,RIGHT(AV$1,2),""),VLOOKUP($D279,素材!$1:$1016,COLUMN($F$1),FALSE))),VLOOKUP($C279,武器!$1:$998,COLUMN($O$1),FALSE)*VLOOKUP($D279,素材!$1:$1016,COLUMN($E$1),FALSE)/(LEN(VLOOKUP($D279,素材!$1:$1016,COLUMN($F$1),FALSE))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W279">
        <f>IF(ISNUMBER(SEARCH(SUBSTITUTE(AW$1,RIGHT(AW$1,2),""),VLOOKUP($D279,素材!$1:$1016,COLUMN($F$1),FALSE))),VLOOKUP($C279,武器!$1:$998,COLUMN($O$1),FALSE)*VLOOKUP($D279,素材!$1:$1016,COLUMN($E$1),FALSE)/(LEN(VLOOKUP($D279,素材!$1:$1016,COLUMN($F$1),FALSE))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X279">
        <f>IF(ISNUMBER(SEARCH(SUBSTITUTE(AX$1,RIGHT(AX$1,2),""),VLOOKUP($D279,素材!$1:$1016,COLUMN($F$1),FALSE))),VLOOKUP($C279,武器!$1:$998,COLUMN($O$1),FALSE)*VLOOKUP($D279,素材!$1:$1016,COLUMN($E$1),FALSE)/(LEN(VLOOKUP($D279,素材!$1:$1016,COLUMN($F$1),FALSE))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Y279">
        <f>IF(ISNUMBER(SEARCH(SUBSTITUTE(AY$1,RIGHT(AY$1,2),""),VLOOKUP($D279,素材!$1:$1016,COLUMN($F$1),FALSE))),VLOOKUP($C279,武器!$1:$998,COLUMN($O$1),FALSE)*VLOOKUP($D279,素材!$1:$1016,COLUMN($E$1),FALSE)/(LEN(VLOOKUP($D279,素材!$1:$1016,COLUMN($F$1),FALSE))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AZ279">
        <f>IF(ISNUMBER(SEARCH(SUBSTITUTE(AZ$1,RIGHT(AZ$1,2),""),VLOOKUP($D279,素材!$1:$1016,COLUMN($F$1),FALSE))),VLOOKUP($C279,武器!$1:$998,COLUMN($O$1),FALSE)*VLOOKUP($D279,素材!$1:$1016,COLUMN($E$1),FALSE)/(LEN(VLOOKUP($D279,素材!$1:$1016,COLUMN($F$1),FALSE))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BA279">
        <f>IF(ISNUMBER(SEARCH(SUBSTITUTE(BA$1,RIGHT(BA$1,2),""),VLOOKUP($D279,素材!$1:$1016,COLUMN($F$1),FALSE))),VLOOKUP($C279,武器!$1:$998,COLUMN($O$1),FALSE)*VLOOKUP($D279,素材!$1:$1016,COLUMN($E$1),FALSE)/(LEN(VLOOKUP($D279,素材!$1:$1016,COLUMN($F$1),FALSE))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BB279">
        <f>IF(ISNUMBER(SEARCH(SUBSTITUTE(BB$1,RIGHT(BB$1,2),""),VLOOKUP($D279,素材!$1:$1016,COLUMN($F$1),FALSE))),VLOOKUP($C279,武器!$1:$998,COLUMN($O$1),FALSE)*VLOOKUP($D279,素材!$1:$1016,COLUMN($E$1),FALSE)/(LEN(VLOOKUP($D279,素材!$1:$1016,COLUMN($F$1),FALSE))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BC279">
        <f>IF(ISNUMBER(SEARCH(SUBSTITUTE(BC$1,RIGHT(BC$1,2),""),VLOOKUP($D279,素材!$1:$1016,COLUMN($F$1),FALSE))),VLOOKUP($C279,武器!$1:$998,COLUMN($O$1),FALSE)*VLOOKUP($D279,素材!$1:$1016,COLUMN($E$1),FALSE)/(LEN(VLOOKUP($D279,素材!$1:$1016,COLUMN($F$1),FALSE))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BD279">
        <f>IF(ISNUMBER(SEARCH(SUBSTITUTE(BD$1,RIGHT(BD$1,2),""),VLOOKUP($D279,素材!$1:$1016,COLUMN($F$1),FALSE))),VLOOKUP($C279,武器!$1:$998,COLUMN($O$1),FALSE)*VLOOKUP($D279,素材!$1:$1016,COLUMN($E$1),FALSE)/(LEN(VLOOKUP($D279,素材!$1:$1016,COLUMN($F$1),FALSE))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BE279">
        <f>IF(ISNUMBER(SEARCH(SUBSTITUTE(BE$1,RIGHT(BE$1,2),""),VLOOKUP($D279,素材!$1:$1016,COLUMN($F$1),FALSE))),VLOOKUP($C279,武器!$1:$998,COLUMN($O$1),FALSE)*VLOOKUP($D279,素材!$1:$1016,COLUMN($E$1),FALSE)/(LEN(VLOOKUP($D279,素材!$1:$1016,COLUMN($F$1),FALSE))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BF279">
        <f>IF(ISNUMBER(SEARCH(SUBSTITUTE(BF$1,RIGHT(BF$1,2),""),VLOOKUP($D279,素材!$1:$1016,COLUMN($F$1),FALSE))),VLOOKUP($C279,武器!$1:$998,COLUMN($O$1),FALSE)*VLOOKUP($D279,素材!$1:$1016,COLUMN($E$1),FALSE)/(LEN(VLOOKUP($D279,素材!$1:$1016,COLUMN($F$1),FALSE)) - LEN(SUBSTITUTE(VLOOKUP($D279,素材!$1:$1016,COLUMN($F$1),FALSE), "・", 0)) + 1), 0)</f>
        <v>0</v>
      </c>
      <c r="CM279">
        <f t="shared" si="36"/>
        <v>0</v>
      </c>
      <c r="CN279" s="22" t="str">
        <f>IF(E279="武器",IF(J279-1&gt;SUM(G279:I279),"盾",IF(MAX(G279:I279)=G279,"切断",IF(MAX(G279:I279)=H279,"貫通",IF(MAX(G279:I279)=I279,"打撃","射撃")))),E279)&amp;".webp"</f>
        <v>装飾.webp</v>
      </c>
      <c r="CO279">
        <f>IFERROR(VLOOKUP($C279,武器!$1:$998,COLUMN(V$1),FALSE)*VLOOKUP($D279,素材!$1:$1016,COLUMN(N$1),FALSE)+IF(CJ279="",0,VLOOKUP($CJ279,装強!$1:$1008,COLUMN($CL$1),FALSE)),"")</f>
        <v>1500</v>
      </c>
      <c r="CP279" t="str">
        <f>VLOOKUP(D279,素材!$A:$O,COLUMN(素材!O$1),FALSE)</f>
        <v>魔力を帯びた特殊な皮素材。魔法防御や属性耐性を強化する効果があり、高レベルの冒険者に重宝されます。</v>
      </c>
      <c r="CQ279" t="str">
        <f>VLOOKUP(C279,武器!$A:$W,COLUMN(武器!W$1),FALSE)</f>
        <v xml:space="preserve">防御 隠密 </v>
      </c>
      <c r="CS279" t="str">
        <f t="shared" si="37"/>
        <v>e_279</v>
      </c>
      <c r="CT279">
        <f t="shared" si="38"/>
        <v>150000</v>
      </c>
    </row>
    <row r="280" spans="1:98" hidden="1" outlineLevel="1" x14ac:dyDescent="0.4">
      <c r="A280" t="str">
        <f>IF(CJ280="",D280&amp;"の"&amp;C280,CJ280&amp;"の"&amp;C280)</f>
        <v>の</v>
      </c>
      <c r="B280" t="str">
        <f>IFERROR(IF(CJ280="",VLOOKUP($D280,素材!$1:$1016,COLUMN($B$1),FALSE)&amp;"・"&amp;VLOOKUP($C280,武器!$1:$998,COLUMN(B$1),FALSE),VLOOKUP($CJ280,装強!$1:$1008,COLUMN($B$1),FALSE)&amp;"・"&amp;VLOOKUP($C280,武器!$1:$998,COLUMN(B$1),FALSE)),"")</f>
        <v/>
      </c>
      <c r="C280" s="24"/>
      <c r="D280" s="24"/>
      <c r="E280" t="str">
        <f>IFERROR(VLOOKUP(C280,武器!$1:$998,COLUMN(C$1),FALSE),"")</f>
        <v/>
      </c>
      <c r="F280" t="str">
        <f>IFERROR(ROUNDDOWN((VLOOKUP($C280,武器!$1:$998,COLUMN(D$1),FALSE)+IFERROR(VLOOKUP($CJ280,装強!$1:$999,COLUMN(F$1),FALSE),0))*VLOOKUP($D280,素材!$1:$1016,COLUMN(D$1),FALSE),0),"")</f>
        <v/>
      </c>
      <c r="G280" t="str">
        <f>IFERROR(ROUNDDOWN((VLOOKUP($C280,武器!$1:$998,COLUMN(E$1),FALSE)+IFERROR(VLOOKUP($CJ280,装強!$1:$999,COLUMN(G$1),FALSE),0))*VLOOKUP($D280,素材!$1:$1016,COLUMN($E$1),FALSE),0),"")</f>
        <v/>
      </c>
      <c r="H280" t="str">
        <f>IFERROR(ROUNDDOWN((VLOOKUP($C280,武器!$1:$998,COLUMN(F$1),FALSE)+IFERROR(VLOOKUP($CJ280,装強!$1:$999,COLUMN(H$1),FALSE),0))*VLOOKUP($D280,素材!$1:$1016,COLUMN($E$1),FALSE),0),"")</f>
        <v/>
      </c>
      <c r="I280" t="str">
        <f>IFERROR(ROUNDDOWN((VLOOKUP($C280,武器!$1:$998,COLUMN(G$1),FALSE)+IFERROR(VLOOKUP($CJ280,装強!$1:$999,COLUMN(I$1),FALSE),0))*VLOOKUP($D280,素材!$1:$1016,COLUMN($E$1),FALSE),0),"")</f>
        <v/>
      </c>
      <c r="J280" t="str">
        <f>IFERROR(ROUNDDOWN((VLOOKUP($C280,武器!$1:$998,COLUMN(H$1),FALSE)+IFERROR(VLOOKUP($CJ280,装強!$1:$999,COLUMN(J$1),FALSE),0))*VLOOKUP($D280,素材!$1:$1016,COLUMN($E$1),FALSE),0),"")</f>
        <v/>
      </c>
      <c r="K280" t="str">
        <f>IFERROR(ROUNDDOWN((VLOOKUP($C280,武器!$1:$998,COLUMN(I$1),FALSE)+IFERROR(VLOOKUP($CJ280,装強!$1:$999,COLUMN(K$1),FALSE),0))*VLOOKUP($D280,素材!$1:$1016,COLUMN($E$1),FALSE),0),"")</f>
        <v/>
      </c>
      <c r="L280" t="str">
        <f>IFERROR(VLOOKUP($D280,素材!$1:$1016,COLUMN($F$1),FALSE),"")</f>
        <v/>
      </c>
      <c r="M280" t="str">
        <f>IFERROR(VLOOKUP($C280,武器!$1:$998,COLUMN(AA$1),FALSE)*VLOOKUP($D280,素材!$1:$1016,COLUMN($G$1),FALSE),"")</f>
        <v/>
      </c>
      <c r="N280" t="str">
        <f>IFERROR(VLOOKUP($C280,武器!$1:$998,COLUMN(I$1),FALSE),"")</f>
        <v/>
      </c>
      <c r="O280" s="23" t="str">
        <f>IFERROR((VLOOKUP($C280,武器!$1:$998,COLUMN(K$1),FALSE)+VLOOKUP($D280,素材!$1:$1016,COLUMN(H$1),FALSE))*100+IFERROR(VLOOKUP($CJ280,装強!$1:$999,COLUMN(O$1),FALSE),0),"")</f>
        <v/>
      </c>
      <c r="P280" s="23" t="str">
        <f>IFERROR((VLOOKUP($C280,武器!$1:$998,COLUMN(L$1),FALSE)+VLOOKUP($D280,素材!$1:$1016,COLUMN(I$1),FALSE))*100+IFERROR(VLOOKUP($CJ280,装強!$1:$999,COLUMN(P$1),FALSE),0),"")</f>
        <v/>
      </c>
      <c r="Q280" t="str">
        <f>IFERROR(ROUNDUP(VLOOKUP($C280,武器!$1:$998,COLUMN(M$1),FALSE)*(VLOOKUP($D280,素材!$1:$1002,COLUMN(D$1),FALSE)/100),1),"")</f>
        <v/>
      </c>
      <c r="R280" t="str">
        <f>IFERROR(ROUNDUP(VLOOKUP($C280,武器!$1:$998,COLUMN(N$1),FALSE)*(VLOOKUP($D280,素材!$1:$1002,COLUMN(D$1),FALSE)/100),1),"")</f>
        <v/>
      </c>
      <c r="S280" t="str">
        <f>IFERROR(VLOOKUP($C280,武器!$1:$998,COLUMN(P$1),FALSE),"")</f>
        <v/>
      </c>
      <c r="T280" t="str">
        <f>IFERROR(VLOOKUP($C280,武器!$1:$998,COLUMN(Q$1),FALSE),"")</f>
        <v/>
      </c>
      <c r="U280" t="str">
        <f>IFERROR(VLOOKUP($C280,武器!$1:$998,COLUMN(R$1),FALSE),"")</f>
        <v/>
      </c>
      <c r="V280" t="str">
        <f>IFERROR(VLOOKUP($C280,武器!$1:$998,COLUMN(Q$1),FALSE),"")</f>
        <v/>
      </c>
      <c r="W280" t="str">
        <f>IFERROR(VLOOKUP($C280,武器!$1:$998,COLUMN(T$1),FALSE),"")</f>
        <v/>
      </c>
      <c r="Y280" t="str">
        <f>IFERROR(VLOOKUP($C280,武器!$1:$998,COLUMN(U$1),FALSE),"")</f>
        <v/>
      </c>
      <c r="Z280" t="str">
        <f>IFERROR(ROUNDUP(VLOOKUP($C280,武器!$1:$998,COLUMN(O$1),FALSE)*VLOOKUP($D280,素材!$1:$1016,COLUMN(E$1),FALSE),1),"")</f>
        <v/>
      </c>
      <c r="AA280">
        <f>IF(ISNUMBER(SEARCH(SUBSTITUTE(AA$1,RIGHT(AA$1,2),""),VLOOKUP($D280,素材!$1:$1016,COLUMN($F$1),FALSE))),VLOOKUP($C280,武器!$1:$998,COLUMN($O$1),FALSE)*VLOOKUP($D280,素材!$1:$1016,COLUMN($E$1),FALSE)/(LEN(VLOOKUP($D280,素材!$1:$1016,COLUMN($F$1),FALSE))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B280">
        <f>IF(ISNUMBER(SEARCH(SUBSTITUTE(AB$1,RIGHT(AB$1,2),""),VLOOKUP($D280,素材!$1:$1016,COLUMN($F$1),FALSE))),VLOOKUP($C280,武器!$1:$998,COLUMN($O$1),FALSE)*VLOOKUP($D280,素材!$1:$1016,COLUMN($E$1),FALSE)/(LEN(VLOOKUP($D280,素材!$1:$1016,COLUMN($F$1),FALSE))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C280">
        <f>IF(ISNUMBER(SEARCH(SUBSTITUTE(AC$1,RIGHT(AC$1,2),""),VLOOKUP($D280,素材!$1:$1016,COLUMN($F$1),FALSE))),VLOOKUP($C280,武器!$1:$998,COLUMN($O$1),FALSE)*VLOOKUP($D280,素材!$1:$1016,COLUMN($E$1),FALSE)/(LEN(VLOOKUP($D280,素材!$1:$1016,COLUMN($F$1),FALSE))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D280">
        <f>IF(ISNUMBER(SEARCH(SUBSTITUTE(AD$1,RIGHT(AD$1,2),""),VLOOKUP($D280,素材!$1:$1016,COLUMN($F$1),FALSE))),VLOOKUP($C280,武器!$1:$998,COLUMN($O$1),FALSE)*VLOOKUP($D280,素材!$1:$1016,COLUMN($E$1),FALSE)/(LEN(VLOOKUP($D280,素材!$1:$1016,COLUMN($F$1),FALSE))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E280">
        <f>IF(ISNUMBER(SEARCH(SUBSTITUTE(AE$1,RIGHT(AE$1,2),""),VLOOKUP($D280,素材!$1:$1016,COLUMN($F$1),FALSE))),VLOOKUP($C280,武器!$1:$998,COLUMN($O$1),FALSE)*VLOOKUP($D280,素材!$1:$1016,COLUMN($E$1),FALSE)/(LEN(VLOOKUP($D280,素材!$1:$1016,COLUMN($F$1),FALSE))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F280">
        <f>IF(ISNUMBER(SEARCH(SUBSTITUTE(AF$1,RIGHT(AF$1,2),""),VLOOKUP($D280,素材!$1:$1016,COLUMN($F$1),FALSE))),VLOOKUP($C280,武器!$1:$998,COLUMN($O$1),FALSE)*VLOOKUP($D280,素材!$1:$1016,COLUMN($E$1),FALSE)/(LEN(VLOOKUP($D280,素材!$1:$1016,COLUMN($F$1),FALSE))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G280">
        <f>IF(ISNUMBER(SEARCH(SUBSTITUTE(AG$1,RIGHT(AG$1,2),""),VLOOKUP($D280,素材!$1:$1016,COLUMN($F$1),FALSE))),VLOOKUP($C280,武器!$1:$998,COLUMN($O$1),FALSE)*VLOOKUP($D280,素材!$1:$1016,COLUMN($E$1),FALSE)/(LEN(VLOOKUP($D280,素材!$1:$1016,COLUMN($F$1),FALSE))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H280">
        <f>IF(ISNUMBER(SEARCH(SUBSTITUTE(AH$1,RIGHT(AH$1,2),""),VLOOKUP($D280,素材!$1:$1016,COLUMN($F$1),FALSE))),VLOOKUP($C280,武器!$1:$998,COLUMN($O$1),FALSE)*VLOOKUP($D280,素材!$1:$1016,COLUMN($E$1),FALSE)/(LEN(VLOOKUP($D280,素材!$1:$1016,COLUMN($F$1),FALSE))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I280">
        <f>IF(ISNUMBER(SEARCH(SUBSTITUTE(AI$1,RIGHT(AI$1,2),""),VLOOKUP($D280,素材!$1:$1016,COLUMN($F$1),FALSE))),VLOOKUP($C280,武器!$1:$998,COLUMN($O$1),FALSE)*VLOOKUP($D280,素材!$1:$1016,COLUMN($E$1),FALSE)/(LEN(VLOOKUP($D280,素材!$1:$1016,COLUMN($F$1),FALSE))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J280">
        <f>IF(ISNUMBER(SEARCH(SUBSTITUTE(AJ$1,RIGHT(AJ$1,2),""),VLOOKUP($D280,素材!$1:$1016,COLUMN($F$1),FALSE))),VLOOKUP($C280,武器!$1:$998,COLUMN($O$1),FALSE)*VLOOKUP($D280,素材!$1:$1016,COLUMN($E$1),FALSE)/(LEN(VLOOKUP($D280,素材!$1:$1016,COLUMN($F$1),FALSE))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K280">
        <f>IF(ISNUMBER(SEARCH(SUBSTITUTE(AK$1,RIGHT(AK$1,2),""),VLOOKUP($D280,素材!$1:$1016,COLUMN($F$1),FALSE))),VLOOKUP($C280,武器!$1:$998,COLUMN($O$1),FALSE)*VLOOKUP($D280,素材!$1:$1016,COLUMN($E$1),FALSE)/(LEN(VLOOKUP($D280,素材!$1:$1016,COLUMN($F$1),FALSE))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L280">
        <f>IF(ISNUMBER(SEARCH(SUBSTITUTE(AL$1,RIGHT(AL$1,2),""),VLOOKUP($D280,素材!$1:$1016,COLUMN($F$1),FALSE))),VLOOKUP($C280,武器!$1:$998,COLUMN($O$1),FALSE)*VLOOKUP($D280,素材!$1:$1016,COLUMN($E$1),FALSE)/(LEN(VLOOKUP($D280,素材!$1:$1016,COLUMN($F$1),FALSE))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M280">
        <f>IF(ISNUMBER(SEARCH(SUBSTITUTE(AM$1,RIGHT(AM$1,2),""),VLOOKUP($D280,素材!$1:$1016,COLUMN($F$1),FALSE))),VLOOKUP($C280,武器!$1:$998,COLUMN($O$1),FALSE)*VLOOKUP($D280,素材!$1:$1016,COLUMN($E$1),FALSE)/(LEN(VLOOKUP($D280,素材!$1:$1016,COLUMN($F$1),FALSE))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N280">
        <f>IF(ISNUMBER(SEARCH(SUBSTITUTE(AN$1,RIGHT(AN$1,2),""),VLOOKUP($D280,素材!$1:$1016,COLUMN($F$1),FALSE))),VLOOKUP($C280,武器!$1:$998,COLUMN($O$1),FALSE)*VLOOKUP($D280,素材!$1:$1016,COLUMN($E$1),FALSE)/(LEN(VLOOKUP($D280,素材!$1:$1016,COLUMN($F$1),FALSE))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O280">
        <f>IF(ISNUMBER(SEARCH(SUBSTITUTE(AO$1,RIGHT(AO$1,2),""),VLOOKUP($D280,素材!$1:$1016,COLUMN($F$1),FALSE))),VLOOKUP($C280,武器!$1:$998,COLUMN($O$1),FALSE)*VLOOKUP($D280,素材!$1:$1016,COLUMN($E$1),FALSE)/(LEN(VLOOKUP($D280,素材!$1:$1016,COLUMN($F$1),FALSE))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P280">
        <f>IF(ISNUMBER(SEARCH(SUBSTITUTE(AP$1,RIGHT(AP$1,2),""),VLOOKUP($D280,素材!$1:$1016,COLUMN($F$1),FALSE))),VLOOKUP($C280,武器!$1:$998,COLUMN($O$1),FALSE)*VLOOKUP($D280,素材!$1:$1016,COLUMN($E$1),FALSE)/(LEN(VLOOKUP($D280,素材!$1:$1016,COLUMN($F$1),FALSE))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Q280">
        <f>IF(ISNUMBER(SEARCH(SUBSTITUTE(AQ$1,RIGHT(AQ$1,2),""),VLOOKUP($D280,素材!$1:$1016,COLUMN($F$1),FALSE))),VLOOKUP($C280,武器!$1:$998,COLUMN($O$1),FALSE)*VLOOKUP($D280,素材!$1:$1016,COLUMN($E$1),FALSE)/(LEN(VLOOKUP($D280,素材!$1:$1016,COLUMN($F$1),FALSE))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R280">
        <f>IF(ISNUMBER(SEARCH(SUBSTITUTE(AR$1,RIGHT(AR$1,2),""),VLOOKUP($D280,素材!$1:$1016,COLUMN($F$1),FALSE))),VLOOKUP($C280,武器!$1:$998,COLUMN($O$1),FALSE)*VLOOKUP($D280,素材!$1:$1016,COLUMN($E$1),FALSE)/(LEN(VLOOKUP($D280,素材!$1:$1016,COLUMN($F$1),FALSE))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S280">
        <f>IF(ISNUMBER(SEARCH(SUBSTITUTE(AS$1,RIGHT(AS$1,2),""),VLOOKUP($D280,素材!$1:$1016,COLUMN($F$1),FALSE))),VLOOKUP($C280,武器!$1:$998,COLUMN($O$1),FALSE)*VLOOKUP($D280,素材!$1:$1016,COLUMN($E$1),FALSE)/(LEN(VLOOKUP($D280,素材!$1:$1016,COLUMN($F$1),FALSE))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T280">
        <f>IF(ISNUMBER(SEARCH(SUBSTITUTE(AT$1,RIGHT(AT$1,2),""),VLOOKUP($D280,素材!$1:$1016,COLUMN($F$1),FALSE))),VLOOKUP($C280,武器!$1:$998,COLUMN($O$1),FALSE)*VLOOKUP($D280,素材!$1:$1016,COLUMN($E$1),FALSE)/(LEN(VLOOKUP($D280,素材!$1:$1016,COLUMN($F$1),FALSE))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U280">
        <f>IF(ISNUMBER(SEARCH(SUBSTITUTE(AU$1,RIGHT(AU$1,2),""),VLOOKUP($D280,素材!$1:$1016,COLUMN($F$1),FALSE))),VLOOKUP($C280,武器!$1:$998,COLUMN($O$1),FALSE)*VLOOKUP($D280,素材!$1:$1016,COLUMN($E$1),FALSE)/(LEN(VLOOKUP($D280,素材!$1:$1016,COLUMN($F$1),FALSE))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V280">
        <f>IF(ISNUMBER(SEARCH(SUBSTITUTE(AV$1,RIGHT(AV$1,2),""),VLOOKUP($D280,素材!$1:$1016,COLUMN($F$1),FALSE))),VLOOKUP($C280,武器!$1:$998,COLUMN($O$1),FALSE)*VLOOKUP($D280,素材!$1:$1016,COLUMN($E$1),FALSE)/(LEN(VLOOKUP($D280,素材!$1:$1016,COLUMN($F$1),FALSE))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W280">
        <f>IF(ISNUMBER(SEARCH(SUBSTITUTE(AW$1,RIGHT(AW$1,2),""),VLOOKUP($D280,素材!$1:$1016,COLUMN($F$1),FALSE))),VLOOKUP($C280,武器!$1:$998,COLUMN($O$1),FALSE)*VLOOKUP($D280,素材!$1:$1016,COLUMN($E$1),FALSE)/(LEN(VLOOKUP($D280,素材!$1:$1016,COLUMN($F$1),FALSE))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X280">
        <f>IF(ISNUMBER(SEARCH(SUBSTITUTE(AX$1,RIGHT(AX$1,2),""),VLOOKUP($D280,素材!$1:$1016,COLUMN($F$1),FALSE))),VLOOKUP($C280,武器!$1:$998,COLUMN($O$1),FALSE)*VLOOKUP($D280,素材!$1:$1016,COLUMN($E$1),FALSE)/(LEN(VLOOKUP($D280,素材!$1:$1016,COLUMN($F$1),FALSE))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Y280">
        <f>IF(ISNUMBER(SEARCH(SUBSTITUTE(AY$1,RIGHT(AY$1,2),""),VLOOKUP($D280,素材!$1:$1016,COLUMN($F$1),FALSE))),VLOOKUP($C280,武器!$1:$998,COLUMN($O$1),FALSE)*VLOOKUP($D280,素材!$1:$1016,COLUMN($E$1),FALSE)/(LEN(VLOOKUP($D280,素材!$1:$1016,COLUMN($F$1),FALSE))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AZ280">
        <f>IF(ISNUMBER(SEARCH(SUBSTITUTE(AZ$1,RIGHT(AZ$1,2),""),VLOOKUP($D280,素材!$1:$1016,COLUMN($F$1),FALSE))),VLOOKUP($C280,武器!$1:$998,COLUMN($O$1),FALSE)*VLOOKUP($D280,素材!$1:$1016,COLUMN($E$1),FALSE)/(LEN(VLOOKUP($D280,素材!$1:$1016,COLUMN($F$1),FALSE))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BA280">
        <f>IF(ISNUMBER(SEARCH(SUBSTITUTE(BA$1,RIGHT(BA$1,2),""),VLOOKUP($D280,素材!$1:$1016,COLUMN($F$1),FALSE))),VLOOKUP($C280,武器!$1:$998,COLUMN($O$1),FALSE)*VLOOKUP($D280,素材!$1:$1016,COLUMN($E$1),FALSE)/(LEN(VLOOKUP($D280,素材!$1:$1016,COLUMN($F$1),FALSE))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BB280">
        <f>IF(ISNUMBER(SEARCH(SUBSTITUTE(BB$1,RIGHT(BB$1,2),""),VLOOKUP($D280,素材!$1:$1016,COLUMN($F$1),FALSE))),VLOOKUP($C280,武器!$1:$998,COLUMN($O$1),FALSE)*VLOOKUP($D280,素材!$1:$1016,COLUMN($E$1),FALSE)/(LEN(VLOOKUP($D280,素材!$1:$1016,COLUMN($F$1),FALSE))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BC280">
        <f>IF(ISNUMBER(SEARCH(SUBSTITUTE(BC$1,RIGHT(BC$1,2),""),VLOOKUP($D280,素材!$1:$1016,COLUMN($F$1),FALSE))),VLOOKUP($C280,武器!$1:$998,COLUMN($O$1),FALSE)*VLOOKUP($D280,素材!$1:$1016,COLUMN($E$1),FALSE)/(LEN(VLOOKUP($D280,素材!$1:$1016,COLUMN($F$1),FALSE))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BD280">
        <f>IF(ISNUMBER(SEARCH(SUBSTITUTE(BD$1,RIGHT(BD$1,2),""),VLOOKUP($D280,素材!$1:$1016,COLUMN($F$1),FALSE))),VLOOKUP($C280,武器!$1:$998,COLUMN($O$1),FALSE)*VLOOKUP($D280,素材!$1:$1016,COLUMN($E$1),FALSE)/(LEN(VLOOKUP($D280,素材!$1:$1016,COLUMN($F$1),FALSE))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BE280">
        <f>IF(ISNUMBER(SEARCH(SUBSTITUTE(BE$1,RIGHT(BE$1,2),""),VLOOKUP($D280,素材!$1:$1016,COLUMN($F$1),FALSE))),VLOOKUP($C280,武器!$1:$998,COLUMN($O$1),FALSE)*VLOOKUP($D280,素材!$1:$1016,COLUMN($E$1),FALSE)/(LEN(VLOOKUP($D280,素材!$1:$1016,COLUMN($F$1),FALSE))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BF280">
        <f>IF(ISNUMBER(SEARCH(SUBSTITUTE(BF$1,RIGHT(BF$1,2),""),VLOOKUP($D280,素材!$1:$1016,COLUMN($F$1),FALSE))),VLOOKUP($C280,武器!$1:$998,COLUMN($O$1),FALSE)*VLOOKUP($D280,素材!$1:$1016,COLUMN($E$1),FALSE)/(LEN(VLOOKUP($D280,素材!$1:$1016,COLUMN($F$1),FALSE)) - LEN(SUBSTITUTE(VLOOKUP($D280,素材!$1:$1016,COLUMN($F$1),FALSE), "・", 0)) + 1), 0)</f>
        <v>0</v>
      </c>
      <c r="CM280">
        <f t="shared" si="36"/>
        <v>0</v>
      </c>
      <c r="CN280" s="22" t="str">
        <f>IF(E280="武器",IF(J280-1&gt;SUM(G280:I280),"盾",IF(MAX(G280:I280)=G280,"切断",IF(MAX(G280:I280)=H280,"貫通",IF(MAX(G280:I280)=I280,"打撃","射撃")))),E280)&amp;".webp"</f>
        <v>.webp</v>
      </c>
      <c r="CO280" t="str">
        <f>IFERROR(VLOOKUP($C280,武器!$1:$998,COLUMN(V$1),FALSE)*VLOOKUP($D280,素材!$1:$1016,COLUMN(N$1),FALSE)+IF(CJ280="",0,VLOOKUP($CJ280,装強!$1:$1008,COLUMN($CL$1),FALSE)),"")</f>
        <v/>
      </c>
      <c r="CP280" t="e">
        <f>VLOOKUP(D280,素材!$A:$O,COLUMN(素材!O$1),FALSE)</f>
        <v>#N/A</v>
      </c>
      <c r="CQ280" t="e">
        <f>VLOOKUP(C280,武器!$A:$W,COLUMN(武器!W$1),FALSE)</f>
        <v>#N/A</v>
      </c>
      <c r="CS280" t="str">
        <f t="shared" si="37"/>
        <v>e_280</v>
      </c>
      <c r="CT280" t="e">
        <f t="shared" si="38"/>
        <v>#VALUE!</v>
      </c>
    </row>
    <row r="281" spans="1:98" hidden="1" outlineLevel="1" x14ac:dyDescent="0.4">
      <c r="A281" t="str">
        <f>IF(CJ281="",D281&amp;"の"&amp;C281,CJ281&amp;"の"&amp;C281)</f>
        <v>の</v>
      </c>
      <c r="B281" t="str">
        <f>IFERROR(IF(CJ281="",VLOOKUP($D281,素材!$1:$1016,COLUMN($B$1),FALSE)&amp;"・"&amp;VLOOKUP($C281,武器!$1:$998,COLUMN(B$1),FALSE),VLOOKUP($CJ281,装強!$1:$1008,COLUMN($B$1),FALSE)&amp;"・"&amp;VLOOKUP($C281,武器!$1:$998,COLUMN(B$1),FALSE)),"")</f>
        <v/>
      </c>
      <c r="C281" s="24"/>
      <c r="D281" s="24"/>
      <c r="E281" t="str">
        <f>IFERROR(VLOOKUP(C281,武器!$1:$998,COLUMN(C$1),FALSE),"")</f>
        <v/>
      </c>
      <c r="F281" t="str">
        <f>IFERROR(ROUNDDOWN((VLOOKUP($C281,武器!$1:$998,COLUMN(D$1),FALSE)+IFERROR(VLOOKUP($CJ281,装強!$1:$999,COLUMN(F$1),FALSE),0))*VLOOKUP($D281,素材!$1:$1016,COLUMN(D$1),FALSE),0),"")</f>
        <v/>
      </c>
      <c r="G281" t="str">
        <f>IFERROR(ROUNDDOWN((VLOOKUP($C281,武器!$1:$998,COLUMN(E$1),FALSE)+IFERROR(VLOOKUP($CJ281,装強!$1:$999,COLUMN(G$1),FALSE),0))*VLOOKUP($D281,素材!$1:$1016,COLUMN($E$1),FALSE),0),"")</f>
        <v/>
      </c>
      <c r="H281" t="str">
        <f>IFERROR(ROUNDDOWN((VLOOKUP($C281,武器!$1:$998,COLUMN(F$1),FALSE)+IFERROR(VLOOKUP($CJ281,装強!$1:$999,COLUMN(H$1),FALSE),0))*VLOOKUP($D281,素材!$1:$1016,COLUMN($E$1),FALSE),0),"")</f>
        <v/>
      </c>
      <c r="I281" t="str">
        <f>IFERROR(ROUNDDOWN((VLOOKUP($C281,武器!$1:$998,COLUMN(G$1),FALSE)+IFERROR(VLOOKUP($CJ281,装強!$1:$999,COLUMN(I$1),FALSE),0))*VLOOKUP($D281,素材!$1:$1016,COLUMN($E$1),FALSE),0),"")</f>
        <v/>
      </c>
      <c r="J281" t="str">
        <f>IFERROR(ROUNDDOWN((VLOOKUP($C281,武器!$1:$998,COLUMN(H$1),FALSE)+IFERROR(VLOOKUP($CJ281,装強!$1:$999,COLUMN(J$1),FALSE),0))*VLOOKUP($D281,素材!$1:$1016,COLUMN($E$1),FALSE),0),"")</f>
        <v/>
      </c>
      <c r="K281" t="str">
        <f>IFERROR(ROUNDDOWN((VLOOKUP($C281,武器!$1:$998,COLUMN(I$1),FALSE)+IFERROR(VLOOKUP($CJ281,装強!$1:$999,COLUMN(K$1),FALSE),0))*VLOOKUP($D281,素材!$1:$1016,COLUMN($E$1),FALSE),0),"")</f>
        <v/>
      </c>
      <c r="L281" t="str">
        <f>IFERROR(VLOOKUP($D281,素材!$1:$1016,COLUMN($F$1),FALSE),"")</f>
        <v/>
      </c>
      <c r="M281" t="str">
        <f>IFERROR(VLOOKUP($C281,武器!$1:$998,COLUMN(AA$1),FALSE)*VLOOKUP($D281,素材!$1:$1016,COLUMN($G$1),FALSE),"")</f>
        <v/>
      </c>
      <c r="N281" t="str">
        <f>IFERROR(VLOOKUP($C281,武器!$1:$998,COLUMN(I$1),FALSE),"")</f>
        <v/>
      </c>
      <c r="O281" s="23" t="str">
        <f>IFERROR((VLOOKUP($C281,武器!$1:$998,COLUMN(K$1),FALSE)+VLOOKUP($D281,素材!$1:$1016,COLUMN(H$1),FALSE))*100+IFERROR(VLOOKUP($CJ281,装強!$1:$999,COLUMN(O$1),FALSE),0),"")</f>
        <v/>
      </c>
      <c r="P281" s="23" t="str">
        <f>IFERROR((VLOOKUP($C281,武器!$1:$998,COLUMN(L$1),FALSE)+VLOOKUP($D281,素材!$1:$1016,COLUMN(I$1),FALSE))*100+IFERROR(VLOOKUP($CJ281,装強!$1:$999,COLUMN(P$1),FALSE),0),"")</f>
        <v/>
      </c>
      <c r="Q281" t="str">
        <f>IFERROR(ROUNDUP(VLOOKUP($C281,武器!$1:$998,COLUMN(M$1),FALSE)*(VLOOKUP($D281,素材!$1:$1002,COLUMN(D$1),FALSE)/100),1),"")</f>
        <v/>
      </c>
      <c r="R281" t="str">
        <f>IFERROR(ROUNDUP(VLOOKUP($C281,武器!$1:$998,COLUMN(N$1),FALSE)*(VLOOKUP($D281,素材!$1:$1002,COLUMN(D$1),FALSE)/100),1),"")</f>
        <v/>
      </c>
      <c r="S281" t="str">
        <f>IFERROR(VLOOKUP($C281,武器!$1:$998,COLUMN(P$1),FALSE),"")</f>
        <v/>
      </c>
      <c r="T281" t="str">
        <f>IFERROR(VLOOKUP($C281,武器!$1:$998,COLUMN(Q$1),FALSE),"")</f>
        <v/>
      </c>
      <c r="U281" t="str">
        <f>IFERROR(VLOOKUP($C281,武器!$1:$998,COLUMN(R$1),FALSE),"")</f>
        <v/>
      </c>
      <c r="V281" t="str">
        <f>IFERROR(VLOOKUP($C281,武器!$1:$998,COLUMN(Q$1),FALSE),"")</f>
        <v/>
      </c>
      <c r="W281" t="str">
        <f>IFERROR(VLOOKUP($C281,武器!$1:$998,COLUMN(T$1),FALSE),"")</f>
        <v/>
      </c>
      <c r="Y281" t="str">
        <f>IFERROR(VLOOKUP($C281,武器!$1:$998,COLUMN(U$1),FALSE),"")</f>
        <v/>
      </c>
      <c r="Z281" t="str">
        <f>IFERROR(ROUNDUP(VLOOKUP($C281,武器!$1:$998,COLUMN(O$1),FALSE)*VLOOKUP($D281,素材!$1:$1016,COLUMN(E$1),FALSE),1),"")</f>
        <v/>
      </c>
      <c r="AA281">
        <f>IF(ISNUMBER(SEARCH(SUBSTITUTE(AA$1,RIGHT(AA$1,2),""),VLOOKUP($D281,素材!$1:$1016,COLUMN($F$1),FALSE))),VLOOKUP($C281,武器!$1:$998,COLUMN($O$1),FALSE)*VLOOKUP($D281,素材!$1:$1016,COLUMN($E$1),FALSE)/(LEN(VLOOKUP($D281,素材!$1:$1016,COLUMN($F$1),FALSE))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B281">
        <f>IF(ISNUMBER(SEARCH(SUBSTITUTE(AB$1,RIGHT(AB$1,2),""),VLOOKUP($D281,素材!$1:$1016,COLUMN($F$1),FALSE))),VLOOKUP($C281,武器!$1:$998,COLUMN($O$1),FALSE)*VLOOKUP($D281,素材!$1:$1016,COLUMN($E$1),FALSE)/(LEN(VLOOKUP($D281,素材!$1:$1016,COLUMN($F$1),FALSE))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C281">
        <f>IF(ISNUMBER(SEARCH(SUBSTITUTE(AC$1,RIGHT(AC$1,2),""),VLOOKUP($D281,素材!$1:$1016,COLUMN($F$1),FALSE))),VLOOKUP($C281,武器!$1:$998,COLUMN($O$1),FALSE)*VLOOKUP($D281,素材!$1:$1016,COLUMN($E$1),FALSE)/(LEN(VLOOKUP($D281,素材!$1:$1016,COLUMN($F$1),FALSE))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D281">
        <f>IF(ISNUMBER(SEARCH(SUBSTITUTE(AD$1,RIGHT(AD$1,2),""),VLOOKUP($D281,素材!$1:$1016,COLUMN($F$1),FALSE))),VLOOKUP($C281,武器!$1:$998,COLUMN($O$1),FALSE)*VLOOKUP($D281,素材!$1:$1016,COLUMN($E$1),FALSE)/(LEN(VLOOKUP($D281,素材!$1:$1016,COLUMN($F$1),FALSE))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E281">
        <f>IF(ISNUMBER(SEARCH(SUBSTITUTE(AE$1,RIGHT(AE$1,2),""),VLOOKUP($D281,素材!$1:$1016,COLUMN($F$1),FALSE))),VLOOKUP($C281,武器!$1:$998,COLUMN($O$1),FALSE)*VLOOKUP($D281,素材!$1:$1016,COLUMN($E$1),FALSE)/(LEN(VLOOKUP($D281,素材!$1:$1016,COLUMN($F$1),FALSE))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F281">
        <f>IF(ISNUMBER(SEARCH(SUBSTITUTE(AF$1,RIGHT(AF$1,2),""),VLOOKUP($D281,素材!$1:$1016,COLUMN($F$1),FALSE))),VLOOKUP($C281,武器!$1:$998,COLUMN($O$1),FALSE)*VLOOKUP($D281,素材!$1:$1016,COLUMN($E$1),FALSE)/(LEN(VLOOKUP($D281,素材!$1:$1016,COLUMN($F$1),FALSE))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G281">
        <f>IF(ISNUMBER(SEARCH(SUBSTITUTE(AG$1,RIGHT(AG$1,2),""),VLOOKUP($D281,素材!$1:$1016,COLUMN($F$1),FALSE))),VLOOKUP($C281,武器!$1:$998,COLUMN($O$1),FALSE)*VLOOKUP($D281,素材!$1:$1016,COLUMN($E$1),FALSE)/(LEN(VLOOKUP($D281,素材!$1:$1016,COLUMN($F$1),FALSE))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H281">
        <f>IF(ISNUMBER(SEARCH(SUBSTITUTE(AH$1,RIGHT(AH$1,2),""),VLOOKUP($D281,素材!$1:$1016,COLUMN($F$1),FALSE))),VLOOKUP($C281,武器!$1:$998,COLUMN($O$1),FALSE)*VLOOKUP($D281,素材!$1:$1016,COLUMN($E$1),FALSE)/(LEN(VLOOKUP($D281,素材!$1:$1016,COLUMN($F$1),FALSE))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I281">
        <f>IF(ISNUMBER(SEARCH(SUBSTITUTE(AI$1,RIGHT(AI$1,2),""),VLOOKUP($D281,素材!$1:$1016,COLUMN($F$1),FALSE))),VLOOKUP($C281,武器!$1:$998,COLUMN($O$1),FALSE)*VLOOKUP($D281,素材!$1:$1016,COLUMN($E$1),FALSE)/(LEN(VLOOKUP($D281,素材!$1:$1016,COLUMN($F$1),FALSE))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J281">
        <f>IF(ISNUMBER(SEARCH(SUBSTITUTE(AJ$1,RIGHT(AJ$1,2),""),VLOOKUP($D281,素材!$1:$1016,COLUMN($F$1),FALSE))),VLOOKUP($C281,武器!$1:$998,COLUMN($O$1),FALSE)*VLOOKUP($D281,素材!$1:$1016,COLUMN($E$1),FALSE)/(LEN(VLOOKUP($D281,素材!$1:$1016,COLUMN($F$1),FALSE))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K281">
        <f>IF(ISNUMBER(SEARCH(SUBSTITUTE(AK$1,RIGHT(AK$1,2),""),VLOOKUP($D281,素材!$1:$1016,COLUMN($F$1),FALSE))),VLOOKUP($C281,武器!$1:$998,COLUMN($O$1),FALSE)*VLOOKUP($D281,素材!$1:$1016,COLUMN($E$1),FALSE)/(LEN(VLOOKUP($D281,素材!$1:$1016,COLUMN($F$1),FALSE))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L281">
        <f>IF(ISNUMBER(SEARCH(SUBSTITUTE(AL$1,RIGHT(AL$1,2),""),VLOOKUP($D281,素材!$1:$1016,COLUMN($F$1),FALSE))),VLOOKUP($C281,武器!$1:$998,COLUMN($O$1),FALSE)*VLOOKUP($D281,素材!$1:$1016,COLUMN($E$1),FALSE)/(LEN(VLOOKUP($D281,素材!$1:$1016,COLUMN($F$1),FALSE))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M281">
        <f>IF(ISNUMBER(SEARCH(SUBSTITUTE(AM$1,RIGHT(AM$1,2),""),VLOOKUP($D281,素材!$1:$1016,COLUMN($F$1),FALSE))),VLOOKUP($C281,武器!$1:$998,COLUMN($O$1),FALSE)*VLOOKUP($D281,素材!$1:$1016,COLUMN($E$1),FALSE)/(LEN(VLOOKUP($D281,素材!$1:$1016,COLUMN($F$1),FALSE))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N281">
        <f>IF(ISNUMBER(SEARCH(SUBSTITUTE(AN$1,RIGHT(AN$1,2),""),VLOOKUP($D281,素材!$1:$1016,COLUMN($F$1),FALSE))),VLOOKUP($C281,武器!$1:$998,COLUMN($O$1),FALSE)*VLOOKUP($D281,素材!$1:$1016,COLUMN($E$1),FALSE)/(LEN(VLOOKUP($D281,素材!$1:$1016,COLUMN($F$1),FALSE))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O281">
        <f>IF(ISNUMBER(SEARCH(SUBSTITUTE(AO$1,RIGHT(AO$1,2),""),VLOOKUP($D281,素材!$1:$1016,COLUMN($F$1),FALSE))),VLOOKUP($C281,武器!$1:$998,COLUMN($O$1),FALSE)*VLOOKUP($D281,素材!$1:$1016,COLUMN($E$1),FALSE)/(LEN(VLOOKUP($D281,素材!$1:$1016,COLUMN($F$1),FALSE))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P281">
        <f>IF(ISNUMBER(SEARCH(SUBSTITUTE(AP$1,RIGHT(AP$1,2),""),VLOOKUP($D281,素材!$1:$1016,COLUMN($F$1),FALSE))),VLOOKUP($C281,武器!$1:$998,COLUMN($O$1),FALSE)*VLOOKUP($D281,素材!$1:$1016,COLUMN($E$1),FALSE)/(LEN(VLOOKUP($D281,素材!$1:$1016,COLUMN($F$1),FALSE))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Q281">
        <f>IF(ISNUMBER(SEARCH(SUBSTITUTE(AQ$1,RIGHT(AQ$1,2),""),VLOOKUP($D281,素材!$1:$1016,COLUMN($F$1),FALSE))),VLOOKUP($C281,武器!$1:$998,COLUMN($O$1),FALSE)*VLOOKUP($D281,素材!$1:$1016,COLUMN($E$1),FALSE)/(LEN(VLOOKUP($D281,素材!$1:$1016,COLUMN($F$1),FALSE))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R281">
        <f>IF(ISNUMBER(SEARCH(SUBSTITUTE(AR$1,RIGHT(AR$1,2),""),VLOOKUP($D281,素材!$1:$1016,COLUMN($F$1),FALSE))),VLOOKUP($C281,武器!$1:$998,COLUMN($O$1),FALSE)*VLOOKUP($D281,素材!$1:$1016,COLUMN($E$1),FALSE)/(LEN(VLOOKUP($D281,素材!$1:$1016,COLUMN($F$1),FALSE))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S281">
        <f>IF(ISNUMBER(SEARCH(SUBSTITUTE(AS$1,RIGHT(AS$1,2),""),VLOOKUP($D281,素材!$1:$1016,COLUMN($F$1),FALSE))),VLOOKUP($C281,武器!$1:$998,COLUMN($O$1),FALSE)*VLOOKUP($D281,素材!$1:$1016,COLUMN($E$1),FALSE)/(LEN(VLOOKUP($D281,素材!$1:$1016,COLUMN($F$1),FALSE))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T281">
        <f>IF(ISNUMBER(SEARCH(SUBSTITUTE(AT$1,RIGHT(AT$1,2),""),VLOOKUP($D281,素材!$1:$1016,COLUMN($F$1),FALSE))),VLOOKUP($C281,武器!$1:$998,COLUMN($O$1),FALSE)*VLOOKUP($D281,素材!$1:$1016,COLUMN($E$1),FALSE)/(LEN(VLOOKUP($D281,素材!$1:$1016,COLUMN($F$1),FALSE))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U281">
        <f>IF(ISNUMBER(SEARCH(SUBSTITUTE(AU$1,RIGHT(AU$1,2),""),VLOOKUP($D281,素材!$1:$1016,COLUMN($F$1),FALSE))),VLOOKUP($C281,武器!$1:$998,COLUMN($O$1),FALSE)*VLOOKUP($D281,素材!$1:$1016,COLUMN($E$1),FALSE)/(LEN(VLOOKUP($D281,素材!$1:$1016,COLUMN($F$1),FALSE))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V281">
        <f>IF(ISNUMBER(SEARCH(SUBSTITUTE(AV$1,RIGHT(AV$1,2),""),VLOOKUP($D281,素材!$1:$1016,COLUMN($F$1),FALSE))),VLOOKUP($C281,武器!$1:$998,COLUMN($O$1),FALSE)*VLOOKUP($D281,素材!$1:$1016,COLUMN($E$1),FALSE)/(LEN(VLOOKUP($D281,素材!$1:$1016,COLUMN($F$1),FALSE))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W281">
        <f>IF(ISNUMBER(SEARCH(SUBSTITUTE(AW$1,RIGHT(AW$1,2),""),VLOOKUP($D281,素材!$1:$1016,COLUMN($F$1),FALSE))),VLOOKUP($C281,武器!$1:$998,COLUMN($O$1),FALSE)*VLOOKUP($D281,素材!$1:$1016,COLUMN($E$1),FALSE)/(LEN(VLOOKUP($D281,素材!$1:$1016,COLUMN($F$1),FALSE))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X281">
        <f>IF(ISNUMBER(SEARCH(SUBSTITUTE(AX$1,RIGHT(AX$1,2),""),VLOOKUP($D281,素材!$1:$1016,COLUMN($F$1),FALSE))),VLOOKUP($C281,武器!$1:$998,COLUMN($O$1),FALSE)*VLOOKUP($D281,素材!$1:$1016,COLUMN($E$1),FALSE)/(LEN(VLOOKUP($D281,素材!$1:$1016,COLUMN($F$1),FALSE))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Y281">
        <f>IF(ISNUMBER(SEARCH(SUBSTITUTE(AY$1,RIGHT(AY$1,2),""),VLOOKUP($D281,素材!$1:$1016,COLUMN($F$1),FALSE))),VLOOKUP($C281,武器!$1:$998,COLUMN($O$1),FALSE)*VLOOKUP($D281,素材!$1:$1016,COLUMN($E$1),FALSE)/(LEN(VLOOKUP($D281,素材!$1:$1016,COLUMN($F$1),FALSE))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AZ281">
        <f>IF(ISNUMBER(SEARCH(SUBSTITUTE(AZ$1,RIGHT(AZ$1,2),""),VLOOKUP($D281,素材!$1:$1016,COLUMN($F$1),FALSE))),VLOOKUP($C281,武器!$1:$998,COLUMN($O$1),FALSE)*VLOOKUP($D281,素材!$1:$1016,COLUMN($E$1),FALSE)/(LEN(VLOOKUP($D281,素材!$1:$1016,COLUMN($F$1),FALSE))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BA281">
        <f>IF(ISNUMBER(SEARCH(SUBSTITUTE(BA$1,RIGHT(BA$1,2),""),VLOOKUP($D281,素材!$1:$1016,COLUMN($F$1),FALSE))),VLOOKUP($C281,武器!$1:$998,COLUMN($O$1),FALSE)*VLOOKUP($D281,素材!$1:$1016,COLUMN($E$1),FALSE)/(LEN(VLOOKUP($D281,素材!$1:$1016,COLUMN($F$1),FALSE))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BB281">
        <f>IF(ISNUMBER(SEARCH(SUBSTITUTE(BB$1,RIGHT(BB$1,2),""),VLOOKUP($D281,素材!$1:$1016,COLUMN($F$1),FALSE))),VLOOKUP($C281,武器!$1:$998,COLUMN($O$1),FALSE)*VLOOKUP($D281,素材!$1:$1016,COLUMN($E$1),FALSE)/(LEN(VLOOKUP($D281,素材!$1:$1016,COLUMN($F$1),FALSE))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BC281">
        <f>IF(ISNUMBER(SEARCH(SUBSTITUTE(BC$1,RIGHT(BC$1,2),""),VLOOKUP($D281,素材!$1:$1016,COLUMN($F$1),FALSE))),VLOOKUP($C281,武器!$1:$998,COLUMN($O$1),FALSE)*VLOOKUP($D281,素材!$1:$1016,COLUMN($E$1),FALSE)/(LEN(VLOOKUP($D281,素材!$1:$1016,COLUMN($F$1),FALSE))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BD281">
        <f>IF(ISNUMBER(SEARCH(SUBSTITUTE(BD$1,RIGHT(BD$1,2),""),VLOOKUP($D281,素材!$1:$1016,COLUMN($F$1),FALSE))),VLOOKUP($C281,武器!$1:$998,COLUMN($O$1),FALSE)*VLOOKUP($D281,素材!$1:$1016,COLUMN($E$1),FALSE)/(LEN(VLOOKUP($D281,素材!$1:$1016,COLUMN($F$1),FALSE))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BE281">
        <f>IF(ISNUMBER(SEARCH(SUBSTITUTE(BE$1,RIGHT(BE$1,2),""),VLOOKUP($D281,素材!$1:$1016,COLUMN($F$1),FALSE))),VLOOKUP($C281,武器!$1:$998,COLUMN($O$1),FALSE)*VLOOKUP($D281,素材!$1:$1016,COLUMN($E$1),FALSE)/(LEN(VLOOKUP($D281,素材!$1:$1016,COLUMN($F$1),FALSE))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BF281">
        <f>IF(ISNUMBER(SEARCH(SUBSTITUTE(BF$1,RIGHT(BF$1,2),""),VLOOKUP($D281,素材!$1:$1016,COLUMN($F$1),FALSE))),VLOOKUP($C281,武器!$1:$998,COLUMN($O$1),FALSE)*VLOOKUP($D281,素材!$1:$1016,COLUMN($E$1),FALSE)/(LEN(VLOOKUP($D281,素材!$1:$1016,COLUMN($F$1),FALSE)) - LEN(SUBSTITUTE(VLOOKUP($D281,素材!$1:$1016,COLUMN($F$1),FALSE), "・", 0)) + 1), 0)</f>
        <v>0</v>
      </c>
      <c r="CM281">
        <f t="shared" si="36"/>
        <v>0</v>
      </c>
      <c r="CN281" s="22" t="str">
        <f>IF(E281="武器",IF(J281-1&gt;SUM(G281:I281),"盾",IF(MAX(G281:I281)=G281,"切断",IF(MAX(G281:I281)=H281,"貫通",IF(MAX(G281:I281)=I281,"打撃","射撃")))),E281)&amp;".webp"</f>
        <v>.webp</v>
      </c>
      <c r="CO281" t="str">
        <f>IFERROR(VLOOKUP($C281,武器!$1:$998,COLUMN(V$1),FALSE)*VLOOKUP($D281,素材!$1:$1016,COLUMN(N$1),FALSE)+IF(CJ281="",0,VLOOKUP($CJ281,装強!$1:$1008,COLUMN($CL$1),FALSE)),"")</f>
        <v/>
      </c>
      <c r="CP281" t="e">
        <f>VLOOKUP(D281,素材!$A:$O,COLUMN(素材!O$1),FALSE)</f>
        <v>#N/A</v>
      </c>
      <c r="CQ281" t="e">
        <f>VLOOKUP(C281,武器!$A:$W,COLUMN(武器!W$1),FALSE)</f>
        <v>#N/A</v>
      </c>
      <c r="CS281" t="str">
        <f t="shared" si="37"/>
        <v>e_281</v>
      </c>
      <c r="CT281" t="e">
        <f t="shared" si="38"/>
        <v>#VALUE!</v>
      </c>
    </row>
    <row r="282" spans="1:98" hidden="1" outlineLevel="1" x14ac:dyDescent="0.4">
      <c r="A282" t="str">
        <f>IF(CJ282="",D282&amp;"の"&amp;C282,CJ282&amp;"の"&amp;C282)</f>
        <v>の</v>
      </c>
      <c r="B282" t="str">
        <f>IFERROR(IF(CJ282="",VLOOKUP($D282,素材!$1:$1016,COLUMN($B$1),FALSE)&amp;"・"&amp;VLOOKUP($C282,武器!$1:$998,COLUMN(B$1),FALSE),VLOOKUP($CJ282,装強!$1:$1008,COLUMN($B$1),FALSE)&amp;"・"&amp;VLOOKUP($C282,武器!$1:$998,COLUMN(B$1),FALSE)),"")</f>
        <v/>
      </c>
      <c r="C282" s="24"/>
      <c r="D282" s="24"/>
      <c r="E282" t="str">
        <f>IFERROR(VLOOKUP(C282,武器!$1:$998,COLUMN(C$1),FALSE),"")</f>
        <v/>
      </c>
      <c r="F282" t="str">
        <f>IFERROR(ROUNDDOWN((VLOOKUP($C282,武器!$1:$998,COLUMN(D$1),FALSE)+IFERROR(VLOOKUP($CJ282,装強!$1:$999,COLUMN(F$1),FALSE),0))*VLOOKUP($D282,素材!$1:$1016,COLUMN(D$1),FALSE),0),"")</f>
        <v/>
      </c>
      <c r="G282" t="str">
        <f>IFERROR(ROUNDDOWN((VLOOKUP($C282,武器!$1:$998,COLUMN(E$1),FALSE)+IFERROR(VLOOKUP($CJ282,装強!$1:$999,COLUMN(G$1),FALSE),0))*VLOOKUP($D282,素材!$1:$1016,COLUMN($E$1),FALSE),0),"")</f>
        <v/>
      </c>
      <c r="H282" t="str">
        <f>IFERROR(ROUNDDOWN((VLOOKUP($C282,武器!$1:$998,COLUMN(F$1),FALSE)+IFERROR(VLOOKUP($CJ282,装強!$1:$999,COLUMN(H$1),FALSE),0))*VLOOKUP($D282,素材!$1:$1016,COLUMN($E$1),FALSE),0),"")</f>
        <v/>
      </c>
      <c r="I282" t="str">
        <f>IFERROR(ROUNDDOWN((VLOOKUP($C282,武器!$1:$998,COLUMN(G$1),FALSE)+IFERROR(VLOOKUP($CJ282,装強!$1:$999,COLUMN(I$1),FALSE),0))*VLOOKUP($D282,素材!$1:$1016,COLUMN($E$1),FALSE),0),"")</f>
        <v/>
      </c>
      <c r="J282" t="str">
        <f>IFERROR(ROUNDDOWN((VLOOKUP($C282,武器!$1:$998,COLUMN(H$1),FALSE)+IFERROR(VLOOKUP($CJ282,装強!$1:$999,COLUMN(J$1),FALSE),0))*VLOOKUP($D282,素材!$1:$1016,COLUMN($E$1),FALSE),0),"")</f>
        <v/>
      </c>
      <c r="K282" t="str">
        <f>IFERROR(ROUNDDOWN((VLOOKUP($C282,武器!$1:$998,COLUMN(I$1),FALSE)+IFERROR(VLOOKUP($CJ282,装強!$1:$999,COLUMN(K$1),FALSE),0))*VLOOKUP($D282,素材!$1:$1016,COLUMN($E$1),FALSE),0),"")</f>
        <v/>
      </c>
      <c r="L282" t="str">
        <f>IFERROR(VLOOKUP($D282,素材!$1:$1016,COLUMN($F$1),FALSE),"")</f>
        <v/>
      </c>
      <c r="M282" t="str">
        <f>IFERROR(VLOOKUP($C282,武器!$1:$998,COLUMN(AA$1),FALSE)*VLOOKUP($D282,素材!$1:$1016,COLUMN($G$1),FALSE),"")</f>
        <v/>
      </c>
      <c r="N282" t="str">
        <f>IFERROR(VLOOKUP($C282,武器!$1:$998,COLUMN(I$1),FALSE),"")</f>
        <v/>
      </c>
      <c r="O282" s="23" t="str">
        <f>IFERROR((VLOOKUP($C282,武器!$1:$998,COLUMN(K$1),FALSE)+VLOOKUP($D282,素材!$1:$1016,COLUMN(H$1),FALSE))*100+IFERROR(VLOOKUP($CJ282,装強!$1:$999,COLUMN(O$1),FALSE),0),"")</f>
        <v/>
      </c>
      <c r="P282" s="23" t="str">
        <f>IFERROR((VLOOKUP($C282,武器!$1:$998,COLUMN(L$1),FALSE)+VLOOKUP($D282,素材!$1:$1016,COLUMN(I$1),FALSE))*100+IFERROR(VLOOKUP($CJ282,装強!$1:$999,COLUMN(P$1),FALSE),0),"")</f>
        <v/>
      </c>
      <c r="Q282" t="str">
        <f>IFERROR(ROUNDUP(VLOOKUP($C282,武器!$1:$998,COLUMN(M$1),FALSE)*(VLOOKUP($D282,素材!$1:$1002,COLUMN(D$1),FALSE)/100),1),"")</f>
        <v/>
      </c>
      <c r="R282" t="str">
        <f>IFERROR(ROUNDUP(VLOOKUP($C282,武器!$1:$998,COLUMN(N$1),FALSE)*(VLOOKUP($D282,素材!$1:$1002,COLUMN(D$1),FALSE)/100),1),"")</f>
        <v/>
      </c>
      <c r="S282" t="str">
        <f>IFERROR(VLOOKUP($C282,武器!$1:$998,COLUMN(P$1),FALSE),"")</f>
        <v/>
      </c>
      <c r="T282" t="str">
        <f>IFERROR(VLOOKUP($C282,武器!$1:$998,COLUMN(Q$1),FALSE),"")</f>
        <v/>
      </c>
      <c r="U282" t="str">
        <f>IFERROR(VLOOKUP($C282,武器!$1:$998,COLUMN(R$1),FALSE),"")</f>
        <v/>
      </c>
      <c r="V282" t="str">
        <f>IFERROR(VLOOKUP($C282,武器!$1:$998,COLUMN(Q$1),FALSE),"")</f>
        <v/>
      </c>
      <c r="W282" t="str">
        <f>IFERROR(VLOOKUP($C282,武器!$1:$998,COLUMN(T$1),FALSE),"")</f>
        <v/>
      </c>
      <c r="Y282" t="str">
        <f>IFERROR(VLOOKUP($C282,武器!$1:$998,COLUMN(U$1),FALSE),"")</f>
        <v/>
      </c>
      <c r="Z282" t="str">
        <f>IFERROR(ROUNDUP(VLOOKUP($C282,武器!$1:$998,COLUMN(O$1),FALSE)*VLOOKUP($D282,素材!$1:$1016,COLUMN(E$1),FALSE),1),"")</f>
        <v/>
      </c>
      <c r="AA282">
        <f>IF(ISNUMBER(SEARCH(SUBSTITUTE(AA$1,RIGHT(AA$1,2),""),VLOOKUP($D282,素材!$1:$1016,COLUMN($F$1),FALSE))),VLOOKUP($C282,武器!$1:$998,COLUMN($O$1),FALSE)*VLOOKUP($D282,素材!$1:$1016,COLUMN($E$1),FALSE)/(LEN(VLOOKUP($D282,素材!$1:$1016,COLUMN($F$1),FALSE))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B282">
        <f>IF(ISNUMBER(SEARCH(SUBSTITUTE(AB$1,RIGHT(AB$1,2),""),VLOOKUP($D282,素材!$1:$1016,COLUMN($F$1),FALSE))),VLOOKUP($C282,武器!$1:$998,COLUMN($O$1),FALSE)*VLOOKUP($D282,素材!$1:$1016,COLUMN($E$1),FALSE)/(LEN(VLOOKUP($D282,素材!$1:$1016,COLUMN($F$1),FALSE))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C282">
        <f>IF(ISNUMBER(SEARCH(SUBSTITUTE(AC$1,RIGHT(AC$1,2),""),VLOOKUP($D282,素材!$1:$1016,COLUMN($F$1),FALSE))),VLOOKUP($C282,武器!$1:$998,COLUMN($O$1),FALSE)*VLOOKUP($D282,素材!$1:$1016,COLUMN($E$1),FALSE)/(LEN(VLOOKUP($D282,素材!$1:$1016,COLUMN($F$1),FALSE))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D282">
        <f>IF(ISNUMBER(SEARCH(SUBSTITUTE(AD$1,RIGHT(AD$1,2),""),VLOOKUP($D282,素材!$1:$1016,COLUMN($F$1),FALSE))),VLOOKUP($C282,武器!$1:$998,COLUMN($O$1),FALSE)*VLOOKUP($D282,素材!$1:$1016,COLUMN($E$1),FALSE)/(LEN(VLOOKUP($D282,素材!$1:$1016,COLUMN($F$1),FALSE))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E282">
        <f>IF(ISNUMBER(SEARCH(SUBSTITUTE(AE$1,RIGHT(AE$1,2),""),VLOOKUP($D282,素材!$1:$1016,COLUMN($F$1),FALSE))),VLOOKUP($C282,武器!$1:$998,COLUMN($O$1),FALSE)*VLOOKUP($D282,素材!$1:$1016,COLUMN($E$1),FALSE)/(LEN(VLOOKUP($D282,素材!$1:$1016,COLUMN($F$1),FALSE))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F282">
        <f>IF(ISNUMBER(SEARCH(SUBSTITUTE(AF$1,RIGHT(AF$1,2),""),VLOOKUP($D282,素材!$1:$1016,COLUMN($F$1),FALSE))),VLOOKUP($C282,武器!$1:$998,COLUMN($O$1),FALSE)*VLOOKUP($D282,素材!$1:$1016,COLUMN($E$1),FALSE)/(LEN(VLOOKUP($D282,素材!$1:$1016,COLUMN($F$1),FALSE))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G282">
        <f>IF(ISNUMBER(SEARCH(SUBSTITUTE(AG$1,RIGHT(AG$1,2),""),VLOOKUP($D282,素材!$1:$1016,COLUMN($F$1),FALSE))),VLOOKUP($C282,武器!$1:$998,COLUMN($O$1),FALSE)*VLOOKUP($D282,素材!$1:$1016,COLUMN($E$1),FALSE)/(LEN(VLOOKUP($D282,素材!$1:$1016,COLUMN($F$1),FALSE))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H282">
        <f>IF(ISNUMBER(SEARCH(SUBSTITUTE(AH$1,RIGHT(AH$1,2),""),VLOOKUP($D282,素材!$1:$1016,COLUMN($F$1),FALSE))),VLOOKUP($C282,武器!$1:$998,COLUMN($O$1),FALSE)*VLOOKUP($D282,素材!$1:$1016,COLUMN($E$1),FALSE)/(LEN(VLOOKUP($D282,素材!$1:$1016,COLUMN($F$1),FALSE))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I282">
        <f>IF(ISNUMBER(SEARCH(SUBSTITUTE(AI$1,RIGHT(AI$1,2),""),VLOOKUP($D282,素材!$1:$1016,COLUMN($F$1),FALSE))),VLOOKUP($C282,武器!$1:$998,COLUMN($O$1),FALSE)*VLOOKUP($D282,素材!$1:$1016,COLUMN($E$1),FALSE)/(LEN(VLOOKUP($D282,素材!$1:$1016,COLUMN($F$1),FALSE))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J282">
        <f>IF(ISNUMBER(SEARCH(SUBSTITUTE(AJ$1,RIGHT(AJ$1,2),""),VLOOKUP($D282,素材!$1:$1016,COLUMN($F$1),FALSE))),VLOOKUP($C282,武器!$1:$998,COLUMN($O$1),FALSE)*VLOOKUP($D282,素材!$1:$1016,COLUMN($E$1),FALSE)/(LEN(VLOOKUP($D282,素材!$1:$1016,COLUMN($F$1),FALSE))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K282">
        <f>IF(ISNUMBER(SEARCH(SUBSTITUTE(AK$1,RIGHT(AK$1,2),""),VLOOKUP($D282,素材!$1:$1016,COLUMN($F$1),FALSE))),VLOOKUP($C282,武器!$1:$998,COLUMN($O$1),FALSE)*VLOOKUP($D282,素材!$1:$1016,COLUMN($E$1),FALSE)/(LEN(VLOOKUP($D282,素材!$1:$1016,COLUMN($F$1),FALSE))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L282">
        <f>IF(ISNUMBER(SEARCH(SUBSTITUTE(AL$1,RIGHT(AL$1,2),""),VLOOKUP($D282,素材!$1:$1016,COLUMN($F$1),FALSE))),VLOOKUP($C282,武器!$1:$998,COLUMN($O$1),FALSE)*VLOOKUP($D282,素材!$1:$1016,COLUMN($E$1),FALSE)/(LEN(VLOOKUP($D282,素材!$1:$1016,COLUMN($F$1),FALSE))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M282">
        <f>IF(ISNUMBER(SEARCH(SUBSTITUTE(AM$1,RIGHT(AM$1,2),""),VLOOKUP($D282,素材!$1:$1016,COLUMN($F$1),FALSE))),VLOOKUP($C282,武器!$1:$998,COLUMN($O$1),FALSE)*VLOOKUP($D282,素材!$1:$1016,COLUMN($E$1),FALSE)/(LEN(VLOOKUP($D282,素材!$1:$1016,COLUMN($F$1),FALSE))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N282">
        <f>IF(ISNUMBER(SEARCH(SUBSTITUTE(AN$1,RIGHT(AN$1,2),""),VLOOKUP($D282,素材!$1:$1016,COLUMN($F$1),FALSE))),VLOOKUP($C282,武器!$1:$998,COLUMN($O$1),FALSE)*VLOOKUP($D282,素材!$1:$1016,COLUMN($E$1),FALSE)/(LEN(VLOOKUP($D282,素材!$1:$1016,COLUMN($F$1),FALSE))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O282">
        <f>IF(ISNUMBER(SEARCH(SUBSTITUTE(AO$1,RIGHT(AO$1,2),""),VLOOKUP($D282,素材!$1:$1016,COLUMN($F$1),FALSE))),VLOOKUP($C282,武器!$1:$998,COLUMN($O$1),FALSE)*VLOOKUP($D282,素材!$1:$1016,COLUMN($E$1),FALSE)/(LEN(VLOOKUP($D282,素材!$1:$1016,COLUMN($F$1),FALSE))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P282">
        <f>IF(ISNUMBER(SEARCH(SUBSTITUTE(AP$1,RIGHT(AP$1,2),""),VLOOKUP($D282,素材!$1:$1016,COLUMN($F$1),FALSE))),VLOOKUP($C282,武器!$1:$998,COLUMN($O$1),FALSE)*VLOOKUP($D282,素材!$1:$1016,COLUMN($E$1),FALSE)/(LEN(VLOOKUP($D282,素材!$1:$1016,COLUMN($F$1),FALSE))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Q282">
        <f>IF(ISNUMBER(SEARCH(SUBSTITUTE(AQ$1,RIGHT(AQ$1,2),""),VLOOKUP($D282,素材!$1:$1016,COLUMN($F$1),FALSE))),VLOOKUP($C282,武器!$1:$998,COLUMN($O$1),FALSE)*VLOOKUP($D282,素材!$1:$1016,COLUMN($E$1),FALSE)/(LEN(VLOOKUP($D282,素材!$1:$1016,COLUMN($F$1),FALSE))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R282">
        <f>IF(ISNUMBER(SEARCH(SUBSTITUTE(AR$1,RIGHT(AR$1,2),""),VLOOKUP($D282,素材!$1:$1016,COLUMN($F$1),FALSE))),VLOOKUP($C282,武器!$1:$998,COLUMN($O$1),FALSE)*VLOOKUP($D282,素材!$1:$1016,COLUMN($E$1),FALSE)/(LEN(VLOOKUP($D282,素材!$1:$1016,COLUMN($F$1),FALSE))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S282">
        <f>IF(ISNUMBER(SEARCH(SUBSTITUTE(AS$1,RIGHT(AS$1,2),""),VLOOKUP($D282,素材!$1:$1016,COLUMN($F$1),FALSE))),VLOOKUP($C282,武器!$1:$998,COLUMN($O$1),FALSE)*VLOOKUP($D282,素材!$1:$1016,COLUMN($E$1),FALSE)/(LEN(VLOOKUP($D282,素材!$1:$1016,COLUMN($F$1),FALSE))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T282">
        <f>IF(ISNUMBER(SEARCH(SUBSTITUTE(AT$1,RIGHT(AT$1,2),""),VLOOKUP($D282,素材!$1:$1016,COLUMN($F$1),FALSE))),VLOOKUP($C282,武器!$1:$998,COLUMN($O$1),FALSE)*VLOOKUP($D282,素材!$1:$1016,COLUMN($E$1),FALSE)/(LEN(VLOOKUP($D282,素材!$1:$1016,COLUMN($F$1),FALSE))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U282">
        <f>IF(ISNUMBER(SEARCH(SUBSTITUTE(AU$1,RIGHT(AU$1,2),""),VLOOKUP($D282,素材!$1:$1016,COLUMN($F$1),FALSE))),VLOOKUP($C282,武器!$1:$998,COLUMN($O$1),FALSE)*VLOOKUP($D282,素材!$1:$1016,COLUMN($E$1),FALSE)/(LEN(VLOOKUP($D282,素材!$1:$1016,COLUMN($F$1),FALSE))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V282">
        <f>IF(ISNUMBER(SEARCH(SUBSTITUTE(AV$1,RIGHT(AV$1,2),""),VLOOKUP($D282,素材!$1:$1016,COLUMN($F$1),FALSE))),VLOOKUP($C282,武器!$1:$998,COLUMN($O$1),FALSE)*VLOOKUP($D282,素材!$1:$1016,COLUMN($E$1),FALSE)/(LEN(VLOOKUP($D282,素材!$1:$1016,COLUMN($F$1),FALSE))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W282">
        <f>IF(ISNUMBER(SEARCH(SUBSTITUTE(AW$1,RIGHT(AW$1,2),""),VLOOKUP($D282,素材!$1:$1016,COLUMN($F$1),FALSE))),VLOOKUP($C282,武器!$1:$998,COLUMN($O$1),FALSE)*VLOOKUP($D282,素材!$1:$1016,COLUMN($E$1),FALSE)/(LEN(VLOOKUP($D282,素材!$1:$1016,COLUMN($F$1),FALSE))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X282">
        <f>IF(ISNUMBER(SEARCH(SUBSTITUTE(AX$1,RIGHT(AX$1,2),""),VLOOKUP($D282,素材!$1:$1016,COLUMN($F$1),FALSE))),VLOOKUP($C282,武器!$1:$998,COLUMN($O$1),FALSE)*VLOOKUP($D282,素材!$1:$1016,COLUMN($E$1),FALSE)/(LEN(VLOOKUP($D282,素材!$1:$1016,COLUMN($F$1),FALSE))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Y282">
        <f>IF(ISNUMBER(SEARCH(SUBSTITUTE(AY$1,RIGHT(AY$1,2),""),VLOOKUP($D282,素材!$1:$1016,COLUMN($F$1),FALSE))),VLOOKUP($C282,武器!$1:$998,COLUMN($O$1),FALSE)*VLOOKUP($D282,素材!$1:$1016,COLUMN($E$1),FALSE)/(LEN(VLOOKUP($D282,素材!$1:$1016,COLUMN($F$1),FALSE))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AZ282">
        <f>IF(ISNUMBER(SEARCH(SUBSTITUTE(AZ$1,RIGHT(AZ$1,2),""),VLOOKUP($D282,素材!$1:$1016,COLUMN($F$1),FALSE))),VLOOKUP($C282,武器!$1:$998,COLUMN($O$1),FALSE)*VLOOKUP($D282,素材!$1:$1016,COLUMN($E$1),FALSE)/(LEN(VLOOKUP($D282,素材!$1:$1016,COLUMN($F$1),FALSE))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BA282">
        <f>IF(ISNUMBER(SEARCH(SUBSTITUTE(BA$1,RIGHT(BA$1,2),""),VLOOKUP($D282,素材!$1:$1016,COLUMN($F$1),FALSE))),VLOOKUP($C282,武器!$1:$998,COLUMN($O$1),FALSE)*VLOOKUP($D282,素材!$1:$1016,COLUMN($E$1),FALSE)/(LEN(VLOOKUP($D282,素材!$1:$1016,COLUMN($F$1),FALSE))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BB282">
        <f>IF(ISNUMBER(SEARCH(SUBSTITUTE(BB$1,RIGHT(BB$1,2),""),VLOOKUP($D282,素材!$1:$1016,COLUMN($F$1),FALSE))),VLOOKUP($C282,武器!$1:$998,COLUMN($O$1),FALSE)*VLOOKUP($D282,素材!$1:$1016,COLUMN($E$1),FALSE)/(LEN(VLOOKUP($D282,素材!$1:$1016,COLUMN($F$1),FALSE))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BC282">
        <f>IF(ISNUMBER(SEARCH(SUBSTITUTE(BC$1,RIGHT(BC$1,2),""),VLOOKUP($D282,素材!$1:$1016,COLUMN($F$1),FALSE))),VLOOKUP($C282,武器!$1:$998,COLUMN($O$1),FALSE)*VLOOKUP($D282,素材!$1:$1016,COLUMN($E$1),FALSE)/(LEN(VLOOKUP($D282,素材!$1:$1016,COLUMN($F$1),FALSE))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BD282">
        <f>IF(ISNUMBER(SEARCH(SUBSTITUTE(BD$1,RIGHT(BD$1,2),""),VLOOKUP($D282,素材!$1:$1016,COLUMN($F$1),FALSE))),VLOOKUP($C282,武器!$1:$998,COLUMN($O$1),FALSE)*VLOOKUP($D282,素材!$1:$1016,COLUMN($E$1),FALSE)/(LEN(VLOOKUP($D282,素材!$1:$1016,COLUMN($F$1),FALSE))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BE282">
        <f>IF(ISNUMBER(SEARCH(SUBSTITUTE(BE$1,RIGHT(BE$1,2),""),VLOOKUP($D282,素材!$1:$1016,COLUMN($F$1),FALSE))),VLOOKUP($C282,武器!$1:$998,COLUMN($O$1),FALSE)*VLOOKUP($D282,素材!$1:$1016,COLUMN($E$1),FALSE)/(LEN(VLOOKUP($D282,素材!$1:$1016,COLUMN($F$1),FALSE))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BF282">
        <f>IF(ISNUMBER(SEARCH(SUBSTITUTE(BF$1,RIGHT(BF$1,2),""),VLOOKUP($D282,素材!$1:$1016,COLUMN($F$1),FALSE))),VLOOKUP($C282,武器!$1:$998,COLUMN($O$1),FALSE)*VLOOKUP($D282,素材!$1:$1016,COLUMN($E$1),FALSE)/(LEN(VLOOKUP($D282,素材!$1:$1016,COLUMN($F$1),FALSE)) - LEN(SUBSTITUTE(VLOOKUP($D282,素材!$1:$1016,COLUMN($F$1),FALSE), "・", 0)) + 1), 0)</f>
        <v>0</v>
      </c>
      <c r="CM282">
        <f t="shared" si="36"/>
        <v>0</v>
      </c>
      <c r="CN282" s="22" t="str">
        <f>IF(E282="武器",IF(J282-1&gt;SUM(G282:I282),"盾",IF(MAX(G282:I282)=G282,"切断",IF(MAX(G282:I282)=H282,"貫通",IF(MAX(G282:I282)=I282,"打撃","射撃")))),E282)&amp;".webp"</f>
        <v>.webp</v>
      </c>
      <c r="CO282" t="str">
        <f>IFERROR(VLOOKUP($C282,武器!$1:$998,COLUMN(V$1),FALSE)*VLOOKUP($D282,素材!$1:$1016,COLUMN(N$1),FALSE)+IF(CJ282="",0,VLOOKUP($CJ282,装強!$1:$1008,COLUMN($CL$1),FALSE)),"")</f>
        <v/>
      </c>
      <c r="CP282" t="e">
        <f>VLOOKUP(D282,素材!$A:$O,COLUMN(素材!O$1),FALSE)</f>
        <v>#N/A</v>
      </c>
      <c r="CQ282" t="e">
        <f>VLOOKUP(C282,武器!$A:$W,COLUMN(武器!W$1),FALSE)</f>
        <v>#N/A</v>
      </c>
      <c r="CS282" t="str">
        <f t="shared" si="37"/>
        <v>e_282</v>
      </c>
      <c r="CT282" t="e">
        <f t="shared" si="38"/>
        <v>#VALUE!</v>
      </c>
    </row>
    <row r="283" spans="1:98" hidden="1" outlineLevel="1" x14ac:dyDescent="0.4">
      <c r="A283" t="str">
        <f>IF(CJ283="",D283&amp;"の"&amp;C283,CJ283&amp;"の"&amp;C283)</f>
        <v>の</v>
      </c>
      <c r="B283" t="str">
        <f>IFERROR(IF(CJ283="",VLOOKUP($D283,素材!$1:$1016,COLUMN($B$1),FALSE)&amp;"・"&amp;VLOOKUP($C283,武器!$1:$998,COLUMN(B$1),FALSE),VLOOKUP($CJ283,装強!$1:$1008,COLUMN($B$1),FALSE)&amp;"・"&amp;VLOOKUP($C283,武器!$1:$998,COLUMN(B$1),FALSE)),"")</f>
        <v/>
      </c>
      <c r="C283" s="24"/>
      <c r="D283" s="24"/>
      <c r="E283" t="str">
        <f>IFERROR(VLOOKUP(C283,武器!$1:$998,COLUMN(C$1),FALSE),"")</f>
        <v/>
      </c>
      <c r="F283" t="str">
        <f>IFERROR(ROUNDDOWN((VLOOKUP($C283,武器!$1:$998,COLUMN(D$1),FALSE)+IFERROR(VLOOKUP($CJ283,装強!$1:$999,COLUMN(F$1),FALSE),0))*VLOOKUP($D283,素材!$1:$1016,COLUMN(D$1),FALSE),0),"")</f>
        <v/>
      </c>
      <c r="G283" t="str">
        <f>IFERROR(ROUNDDOWN((VLOOKUP($C283,武器!$1:$998,COLUMN(E$1),FALSE)+IFERROR(VLOOKUP($CJ283,装強!$1:$999,COLUMN(G$1),FALSE),0))*VLOOKUP($D283,素材!$1:$1016,COLUMN($E$1),FALSE),0),"")</f>
        <v/>
      </c>
      <c r="H283" t="str">
        <f>IFERROR(ROUNDDOWN((VLOOKUP($C283,武器!$1:$998,COLUMN(F$1),FALSE)+IFERROR(VLOOKUP($CJ283,装強!$1:$999,COLUMN(H$1),FALSE),0))*VLOOKUP($D283,素材!$1:$1016,COLUMN($E$1),FALSE),0),"")</f>
        <v/>
      </c>
      <c r="I283" t="str">
        <f>IFERROR(ROUNDDOWN((VLOOKUP($C283,武器!$1:$998,COLUMN(G$1),FALSE)+IFERROR(VLOOKUP($CJ283,装強!$1:$999,COLUMN(I$1),FALSE),0))*VLOOKUP($D283,素材!$1:$1016,COLUMN($E$1),FALSE),0),"")</f>
        <v/>
      </c>
      <c r="J283" t="str">
        <f>IFERROR(ROUNDDOWN((VLOOKUP($C283,武器!$1:$998,COLUMN(H$1),FALSE)+IFERROR(VLOOKUP($CJ283,装強!$1:$999,COLUMN(J$1),FALSE),0))*VLOOKUP($D283,素材!$1:$1016,COLUMN($E$1),FALSE),0),"")</f>
        <v/>
      </c>
      <c r="K283" t="str">
        <f>IFERROR(ROUNDDOWN((VLOOKUP($C283,武器!$1:$998,COLUMN(I$1),FALSE)+IFERROR(VLOOKUP($CJ283,装強!$1:$999,COLUMN(K$1),FALSE),0))*VLOOKUP($D283,素材!$1:$1016,COLUMN($E$1),FALSE),0),"")</f>
        <v/>
      </c>
      <c r="L283" t="str">
        <f>IFERROR(VLOOKUP($D283,素材!$1:$1016,COLUMN($F$1),FALSE),"")</f>
        <v/>
      </c>
      <c r="M283" t="str">
        <f>IFERROR(VLOOKUP($C283,武器!$1:$998,COLUMN(AA$1),FALSE)*VLOOKUP($D283,素材!$1:$1016,COLUMN($G$1),FALSE),"")</f>
        <v/>
      </c>
      <c r="N283" t="str">
        <f>IFERROR(VLOOKUP($C283,武器!$1:$998,COLUMN(I$1),FALSE),"")</f>
        <v/>
      </c>
      <c r="O283" s="23" t="str">
        <f>IFERROR((VLOOKUP($C283,武器!$1:$998,COLUMN(K$1),FALSE)+VLOOKUP($D283,素材!$1:$1016,COLUMN(H$1),FALSE))*100+IFERROR(VLOOKUP($CJ283,装強!$1:$999,COLUMN(O$1),FALSE),0),"")</f>
        <v/>
      </c>
      <c r="P283" s="23" t="str">
        <f>IFERROR((VLOOKUP($C283,武器!$1:$998,COLUMN(L$1),FALSE)+VLOOKUP($D283,素材!$1:$1016,COLUMN(I$1),FALSE))*100+IFERROR(VLOOKUP($CJ283,装強!$1:$999,COLUMN(P$1),FALSE),0),"")</f>
        <v/>
      </c>
      <c r="Q283" t="str">
        <f>IFERROR(ROUNDUP(VLOOKUP($C283,武器!$1:$998,COLUMN(M$1),FALSE)*(VLOOKUP($D283,素材!$1:$1002,COLUMN(D$1),FALSE)/100),1),"")</f>
        <v/>
      </c>
      <c r="R283" t="str">
        <f>IFERROR(ROUNDUP(VLOOKUP($C283,武器!$1:$998,COLUMN(N$1),FALSE)*(VLOOKUP($D283,素材!$1:$1002,COLUMN(D$1),FALSE)/100),1),"")</f>
        <v/>
      </c>
      <c r="S283" t="str">
        <f>IFERROR(VLOOKUP($C283,武器!$1:$998,COLUMN(P$1),FALSE),"")</f>
        <v/>
      </c>
      <c r="T283" t="str">
        <f>IFERROR(VLOOKUP($C283,武器!$1:$998,COLUMN(Q$1),FALSE),"")</f>
        <v/>
      </c>
      <c r="U283" t="str">
        <f>IFERROR(VLOOKUP($C283,武器!$1:$998,COLUMN(R$1),FALSE),"")</f>
        <v/>
      </c>
      <c r="V283" t="str">
        <f>IFERROR(VLOOKUP($C283,武器!$1:$998,COLUMN(Q$1),FALSE),"")</f>
        <v/>
      </c>
      <c r="W283" t="str">
        <f>IFERROR(VLOOKUP($C283,武器!$1:$998,COLUMN(T$1),FALSE),"")</f>
        <v/>
      </c>
      <c r="Y283" t="str">
        <f>IFERROR(VLOOKUP($C283,武器!$1:$998,COLUMN(U$1),FALSE),"")</f>
        <v/>
      </c>
      <c r="Z283" t="str">
        <f>IFERROR(ROUNDUP(VLOOKUP($C283,武器!$1:$998,COLUMN(O$1),FALSE)*VLOOKUP($D283,素材!$1:$1016,COLUMN(E$1),FALSE),1),"")</f>
        <v/>
      </c>
      <c r="AA283">
        <f>IF(ISNUMBER(SEARCH(SUBSTITUTE(AA$1,RIGHT(AA$1,2),""),VLOOKUP($D283,素材!$1:$1016,COLUMN($F$1),FALSE))),VLOOKUP($C283,武器!$1:$998,COLUMN($O$1),FALSE)*VLOOKUP($D283,素材!$1:$1016,COLUMN($E$1),FALSE)/(LEN(VLOOKUP($D283,素材!$1:$1016,COLUMN($F$1),FALSE))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B283">
        <f>IF(ISNUMBER(SEARCH(SUBSTITUTE(AB$1,RIGHT(AB$1,2),""),VLOOKUP($D283,素材!$1:$1016,COLUMN($F$1),FALSE))),VLOOKUP($C283,武器!$1:$998,COLUMN($O$1),FALSE)*VLOOKUP($D283,素材!$1:$1016,COLUMN($E$1),FALSE)/(LEN(VLOOKUP($D283,素材!$1:$1016,COLUMN($F$1),FALSE))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C283">
        <f>IF(ISNUMBER(SEARCH(SUBSTITUTE(AC$1,RIGHT(AC$1,2),""),VLOOKUP($D283,素材!$1:$1016,COLUMN($F$1),FALSE))),VLOOKUP($C283,武器!$1:$998,COLUMN($O$1),FALSE)*VLOOKUP($D283,素材!$1:$1016,COLUMN($E$1),FALSE)/(LEN(VLOOKUP($D283,素材!$1:$1016,COLUMN($F$1),FALSE))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D283">
        <f>IF(ISNUMBER(SEARCH(SUBSTITUTE(AD$1,RIGHT(AD$1,2),""),VLOOKUP($D283,素材!$1:$1016,COLUMN($F$1),FALSE))),VLOOKUP($C283,武器!$1:$998,COLUMN($O$1),FALSE)*VLOOKUP($D283,素材!$1:$1016,COLUMN($E$1),FALSE)/(LEN(VLOOKUP($D283,素材!$1:$1016,COLUMN($F$1),FALSE))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E283">
        <f>IF(ISNUMBER(SEARCH(SUBSTITUTE(AE$1,RIGHT(AE$1,2),""),VLOOKUP($D283,素材!$1:$1016,COLUMN($F$1),FALSE))),VLOOKUP($C283,武器!$1:$998,COLUMN($O$1),FALSE)*VLOOKUP($D283,素材!$1:$1016,COLUMN($E$1),FALSE)/(LEN(VLOOKUP($D283,素材!$1:$1016,COLUMN($F$1),FALSE))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F283">
        <f>IF(ISNUMBER(SEARCH(SUBSTITUTE(AF$1,RIGHT(AF$1,2),""),VLOOKUP($D283,素材!$1:$1016,COLUMN($F$1),FALSE))),VLOOKUP($C283,武器!$1:$998,COLUMN($O$1),FALSE)*VLOOKUP($D283,素材!$1:$1016,COLUMN($E$1),FALSE)/(LEN(VLOOKUP($D283,素材!$1:$1016,COLUMN($F$1),FALSE))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G283">
        <f>IF(ISNUMBER(SEARCH(SUBSTITUTE(AG$1,RIGHT(AG$1,2),""),VLOOKUP($D283,素材!$1:$1016,COLUMN($F$1),FALSE))),VLOOKUP($C283,武器!$1:$998,COLUMN($O$1),FALSE)*VLOOKUP($D283,素材!$1:$1016,COLUMN($E$1),FALSE)/(LEN(VLOOKUP($D283,素材!$1:$1016,COLUMN($F$1),FALSE))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H283">
        <f>IF(ISNUMBER(SEARCH(SUBSTITUTE(AH$1,RIGHT(AH$1,2),""),VLOOKUP($D283,素材!$1:$1016,COLUMN($F$1),FALSE))),VLOOKUP($C283,武器!$1:$998,COLUMN($O$1),FALSE)*VLOOKUP($D283,素材!$1:$1016,COLUMN($E$1),FALSE)/(LEN(VLOOKUP($D283,素材!$1:$1016,COLUMN($F$1),FALSE))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I283">
        <f>IF(ISNUMBER(SEARCH(SUBSTITUTE(AI$1,RIGHT(AI$1,2),""),VLOOKUP($D283,素材!$1:$1016,COLUMN($F$1),FALSE))),VLOOKUP($C283,武器!$1:$998,COLUMN($O$1),FALSE)*VLOOKUP($D283,素材!$1:$1016,COLUMN($E$1),FALSE)/(LEN(VLOOKUP($D283,素材!$1:$1016,COLUMN($F$1),FALSE))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J283">
        <f>IF(ISNUMBER(SEARCH(SUBSTITUTE(AJ$1,RIGHT(AJ$1,2),""),VLOOKUP($D283,素材!$1:$1016,COLUMN($F$1),FALSE))),VLOOKUP($C283,武器!$1:$998,COLUMN($O$1),FALSE)*VLOOKUP($D283,素材!$1:$1016,COLUMN($E$1),FALSE)/(LEN(VLOOKUP($D283,素材!$1:$1016,COLUMN($F$1),FALSE))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K283">
        <f>IF(ISNUMBER(SEARCH(SUBSTITUTE(AK$1,RIGHT(AK$1,2),""),VLOOKUP($D283,素材!$1:$1016,COLUMN($F$1),FALSE))),VLOOKUP($C283,武器!$1:$998,COLUMN($O$1),FALSE)*VLOOKUP($D283,素材!$1:$1016,COLUMN($E$1),FALSE)/(LEN(VLOOKUP($D283,素材!$1:$1016,COLUMN($F$1),FALSE))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L283">
        <f>IF(ISNUMBER(SEARCH(SUBSTITUTE(AL$1,RIGHT(AL$1,2),""),VLOOKUP($D283,素材!$1:$1016,COLUMN($F$1),FALSE))),VLOOKUP($C283,武器!$1:$998,COLUMN($O$1),FALSE)*VLOOKUP($D283,素材!$1:$1016,COLUMN($E$1),FALSE)/(LEN(VLOOKUP($D283,素材!$1:$1016,COLUMN($F$1),FALSE))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M283">
        <f>IF(ISNUMBER(SEARCH(SUBSTITUTE(AM$1,RIGHT(AM$1,2),""),VLOOKUP($D283,素材!$1:$1016,COLUMN($F$1),FALSE))),VLOOKUP($C283,武器!$1:$998,COLUMN($O$1),FALSE)*VLOOKUP($D283,素材!$1:$1016,COLUMN($E$1),FALSE)/(LEN(VLOOKUP($D283,素材!$1:$1016,COLUMN($F$1),FALSE))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N283">
        <f>IF(ISNUMBER(SEARCH(SUBSTITUTE(AN$1,RIGHT(AN$1,2),""),VLOOKUP($D283,素材!$1:$1016,COLUMN($F$1),FALSE))),VLOOKUP($C283,武器!$1:$998,COLUMN($O$1),FALSE)*VLOOKUP($D283,素材!$1:$1016,COLUMN($E$1),FALSE)/(LEN(VLOOKUP($D283,素材!$1:$1016,COLUMN($F$1),FALSE))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O283">
        <f>IF(ISNUMBER(SEARCH(SUBSTITUTE(AO$1,RIGHT(AO$1,2),""),VLOOKUP($D283,素材!$1:$1016,COLUMN($F$1),FALSE))),VLOOKUP($C283,武器!$1:$998,COLUMN($O$1),FALSE)*VLOOKUP($D283,素材!$1:$1016,COLUMN($E$1),FALSE)/(LEN(VLOOKUP($D283,素材!$1:$1016,COLUMN($F$1),FALSE))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P283">
        <f>IF(ISNUMBER(SEARCH(SUBSTITUTE(AP$1,RIGHT(AP$1,2),""),VLOOKUP($D283,素材!$1:$1016,COLUMN($F$1),FALSE))),VLOOKUP($C283,武器!$1:$998,COLUMN($O$1),FALSE)*VLOOKUP($D283,素材!$1:$1016,COLUMN($E$1),FALSE)/(LEN(VLOOKUP($D283,素材!$1:$1016,COLUMN($F$1),FALSE))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Q283">
        <f>IF(ISNUMBER(SEARCH(SUBSTITUTE(AQ$1,RIGHT(AQ$1,2),""),VLOOKUP($D283,素材!$1:$1016,COLUMN($F$1),FALSE))),VLOOKUP($C283,武器!$1:$998,COLUMN($O$1),FALSE)*VLOOKUP($D283,素材!$1:$1016,COLUMN($E$1),FALSE)/(LEN(VLOOKUP($D283,素材!$1:$1016,COLUMN($F$1),FALSE))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R283">
        <f>IF(ISNUMBER(SEARCH(SUBSTITUTE(AR$1,RIGHT(AR$1,2),""),VLOOKUP($D283,素材!$1:$1016,COLUMN($F$1),FALSE))),VLOOKUP($C283,武器!$1:$998,COLUMN($O$1),FALSE)*VLOOKUP($D283,素材!$1:$1016,COLUMN($E$1),FALSE)/(LEN(VLOOKUP($D283,素材!$1:$1016,COLUMN($F$1),FALSE))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S283">
        <f>IF(ISNUMBER(SEARCH(SUBSTITUTE(AS$1,RIGHT(AS$1,2),""),VLOOKUP($D283,素材!$1:$1016,COLUMN($F$1),FALSE))),VLOOKUP($C283,武器!$1:$998,COLUMN($O$1),FALSE)*VLOOKUP($D283,素材!$1:$1016,COLUMN($E$1),FALSE)/(LEN(VLOOKUP($D283,素材!$1:$1016,COLUMN($F$1),FALSE))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T283">
        <f>IF(ISNUMBER(SEARCH(SUBSTITUTE(AT$1,RIGHT(AT$1,2),""),VLOOKUP($D283,素材!$1:$1016,COLUMN($F$1),FALSE))),VLOOKUP($C283,武器!$1:$998,COLUMN($O$1),FALSE)*VLOOKUP($D283,素材!$1:$1016,COLUMN($E$1),FALSE)/(LEN(VLOOKUP($D283,素材!$1:$1016,COLUMN($F$1),FALSE))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U283">
        <f>IF(ISNUMBER(SEARCH(SUBSTITUTE(AU$1,RIGHT(AU$1,2),""),VLOOKUP($D283,素材!$1:$1016,COLUMN($F$1),FALSE))),VLOOKUP($C283,武器!$1:$998,COLUMN($O$1),FALSE)*VLOOKUP($D283,素材!$1:$1016,COLUMN($E$1),FALSE)/(LEN(VLOOKUP($D283,素材!$1:$1016,COLUMN($F$1),FALSE))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V283">
        <f>IF(ISNUMBER(SEARCH(SUBSTITUTE(AV$1,RIGHT(AV$1,2),""),VLOOKUP($D283,素材!$1:$1016,COLUMN($F$1),FALSE))),VLOOKUP($C283,武器!$1:$998,COLUMN($O$1),FALSE)*VLOOKUP($D283,素材!$1:$1016,COLUMN($E$1),FALSE)/(LEN(VLOOKUP($D283,素材!$1:$1016,COLUMN($F$1),FALSE))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W283">
        <f>IF(ISNUMBER(SEARCH(SUBSTITUTE(AW$1,RIGHT(AW$1,2),""),VLOOKUP($D283,素材!$1:$1016,COLUMN($F$1),FALSE))),VLOOKUP($C283,武器!$1:$998,COLUMN($O$1),FALSE)*VLOOKUP($D283,素材!$1:$1016,COLUMN($E$1),FALSE)/(LEN(VLOOKUP($D283,素材!$1:$1016,COLUMN($F$1),FALSE))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X283">
        <f>IF(ISNUMBER(SEARCH(SUBSTITUTE(AX$1,RIGHT(AX$1,2),""),VLOOKUP($D283,素材!$1:$1016,COLUMN($F$1),FALSE))),VLOOKUP($C283,武器!$1:$998,COLUMN($O$1),FALSE)*VLOOKUP($D283,素材!$1:$1016,COLUMN($E$1),FALSE)/(LEN(VLOOKUP($D283,素材!$1:$1016,COLUMN($F$1),FALSE))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Y283">
        <f>IF(ISNUMBER(SEARCH(SUBSTITUTE(AY$1,RIGHT(AY$1,2),""),VLOOKUP($D283,素材!$1:$1016,COLUMN($F$1),FALSE))),VLOOKUP($C283,武器!$1:$998,COLUMN($O$1),FALSE)*VLOOKUP($D283,素材!$1:$1016,COLUMN($E$1),FALSE)/(LEN(VLOOKUP($D283,素材!$1:$1016,COLUMN($F$1),FALSE))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AZ283">
        <f>IF(ISNUMBER(SEARCH(SUBSTITUTE(AZ$1,RIGHT(AZ$1,2),""),VLOOKUP($D283,素材!$1:$1016,COLUMN($F$1),FALSE))),VLOOKUP($C283,武器!$1:$998,COLUMN($O$1),FALSE)*VLOOKUP($D283,素材!$1:$1016,COLUMN($E$1),FALSE)/(LEN(VLOOKUP($D283,素材!$1:$1016,COLUMN($F$1),FALSE))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BA283">
        <f>IF(ISNUMBER(SEARCH(SUBSTITUTE(BA$1,RIGHT(BA$1,2),""),VLOOKUP($D283,素材!$1:$1016,COLUMN($F$1),FALSE))),VLOOKUP($C283,武器!$1:$998,COLUMN($O$1),FALSE)*VLOOKUP($D283,素材!$1:$1016,COLUMN($E$1),FALSE)/(LEN(VLOOKUP($D283,素材!$1:$1016,COLUMN($F$1),FALSE))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BB283">
        <f>IF(ISNUMBER(SEARCH(SUBSTITUTE(BB$1,RIGHT(BB$1,2),""),VLOOKUP($D283,素材!$1:$1016,COLUMN($F$1),FALSE))),VLOOKUP($C283,武器!$1:$998,COLUMN($O$1),FALSE)*VLOOKUP($D283,素材!$1:$1016,COLUMN($E$1),FALSE)/(LEN(VLOOKUP($D283,素材!$1:$1016,COLUMN($F$1),FALSE))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BC283">
        <f>IF(ISNUMBER(SEARCH(SUBSTITUTE(BC$1,RIGHT(BC$1,2),""),VLOOKUP($D283,素材!$1:$1016,COLUMN($F$1),FALSE))),VLOOKUP($C283,武器!$1:$998,COLUMN($O$1),FALSE)*VLOOKUP($D283,素材!$1:$1016,COLUMN($E$1),FALSE)/(LEN(VLOOKUP($D283,素材!$1:$1016,COLUMN($F$1),FALSE))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BD283">
        <f>IF(ISNUMBER(SEARCH(SUBSTITUTE(BD$1,RIGHT(BD$1,2),""),VLOOKUP($D283,素材!$1:$1016,COLUMN($F$1),FALSE))),VLOOKUP($C283,武器!$1:$998,COLUMN($O$1),FALSE)*VLOOKUP($D283,素材!$1:$1016,COLUMN($E$1),FALSE)/(LEN(VLOOKUP($D283,素材!$1:$1016,COLUMN($F$1),FALSE))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BE283">
        <f>IF(ISNUMBER(SEARCH(SUBSTITUTE(BE$1,RIGHT(BE$1,2),""),VLOOKUP($D283,素材!$1:$1016,COLUMN($F$1),FALSE))),VLOOKUP($C283,武器!$1:$998,COLUMN($O$1),FALSE)*VLOOKUP($D283,素材!$1:$1016,COLUMN($E$1),FALSE)/(LEN(VLOOKUP($D283,素材!$1:$1016,COLUMN($F$1),FALSE))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BF283">
        <f>IF(ISNUMBER(SEARCH(SUBSTITUTE(BF$1,RIGHT(BF$1,2),""),VLOOKUP($D283,素材!$1:$1016,COLUMN($F$1),FALSE))),VLOOKUP($C283,武器!$1:$998,COLUMN($O$1),FALSE)*VLOOKUP($D283,素材!$1:$1016,COLUMN($E$1),FALSE)/(LEN(VLOOKUP($D283,素材!$1:$1016,COLUMN($F$1),FALSE)) - LEN(SUBSTITUTE(VLOOKUP($D283,素材!$1:$1016,COLUMN($F$1),FALSE), "・", 0)) + 1), 0)</f>
        <v>0</v>
      </c>
      <c r="CM283">
        <f t="shared" si="36"/>
        <v>0</v>
      </c>
      <c r="CN283" s="22" t="str">
        <f>IF(E283="武器",IF(J283-1&gt;SUM(G283:I283),"盾",IF(MAX(G283:I283)=G283,"切断",IF(MAX(G283:I283)=H283,"貫通",IF(MAX(G283:I283)=I283,"打撃","射撃")))),E283)&amp;".webp"</f>
        <v>.webp</v>
      </c>
      <c r="CO283" t="str">
        <f>IFERROR(VLOOKUP($C283,武器!$1:$998,COLUMN(V$1),FALSE)*VLOOKUP($D283,素材!$1:$1016,COLUMN(N$1),FALSE)+IF(CJ283="",0,VLOOKUP($CJ283,装強!$1:$1008,COLUMN($CL$1),FALSE)),"")</f>
        <v/>
      </c>
      <c r="CP283" t="e">
        <f>VLOOKUP(D283,素材!$A:$O,COLUMN(素材!O$1),FALSE)</f>
        <v>#N/A</v>
      </c>
      <c r="CQ283" t="e">
        <f>VLOOKUP(C283,武器!$A:$W,COLUMN(武器!W$1),FALSE)</f>
        <v>#N/A</v>
      </c>
      <c r="CS283" t="str">
        <f t="shared" si="37"/>
        <v>e_283</v>
      </c>
      <c r="CT283" t="e">
        <f t="shared" si="38"/>
        <v>#VALUE!</v>
      </c>
    </row>
    <row r="284" spans="1:98" hidden="1" outlineLevel="1" x14ac:dyDescent="0.4">
      <c r="A284" t="str">
        <f>IF(CJ284="",D284&amp;"の"&amp;C284,CJ284&amp;"の"&amp;C284)</f>
        <v>の</v>
      </c>
      <c r="B284" t="str">
        <f>IFERROR(IF(CJ284="",VLOOKUP($D284,素材!$1:$1016,COLUMN($B$1),FALSE)&amp;"・"&amp;VLOOKUP($C284,武器!$1:$998,COLUMN(B$1),FALSE),VLOOKUP($CJ284,装強!$1:$1008,COLUMN($B$1),FALSE)&amp;"・"&amp;VLOOKUP($C284,武器!$1:$998,COLUMN(B$1),FALSE)),"")</f>
        <v/>
      </c>
      <c r="C284" s="24"/>
      <c r="D284" s="24"/>
      <c r="E284" t="str">
        <f>IFERROR(VLOOKUP(C284,武器!$1:$998,COLUMN(C$1),FALSE),"")</f>
        <v/>
      </c>
      <c r="F284" t="str">
        <f>IFERROR(ROUNDDOWN((VLOOKUP($C284,武器!$1:$998,COLUMN(D$1),FALSE)+IFERROR(VLOOKUP($CJ284,装強!$1:$999,COLUMN(F$1),FALSE),0))*VLOOKUP($D284,素材!$1:$1016,COLUMN(D$1),FALSE),0),"")</f>
        <v/>
      </c>
      <c r="G284" t="str">
        <f>IFERROR(ROUNDDOWN((VLOOKUP($C284,武器!$1:$998,COLUMN(E$1),FALSE)+IFERROR(VLOOKUP($CJ284,装強!$1:$999,COLUMN(G$1),FALSE),0))*VLOOKUP($D284,素材!$1:$1016,COLUMN($E$1),FALSE),0),"")</f>
        <v/>
      </c>
      <c r="H284" t="str">
        <f>IFERROR(ROUNDDOWN((VLOOKUP($C284,武器!$1:$998,COLUMN(F$1),FALSE)+IFERROR(VLOOKUP($CJ284,装強!$1:$999,COLUMN(H$1),FALSE),0))*VLOOKUP($D284,素材!$1:$1016,COLUMN($E$1),FALSE),0),"")</f>
        <v/>
      </c>
      <c r="I284" t="str">
        <f>IFERROR(ROUNDDOWN((VLOOKUP($C284,武器!$1:$998,COLUMN(G$1),FALSE)+IFERROR(VLOOKUP($CJ284,装強!$1:$999,COLUMN(I$1),FALSE),0))*VLOOKUP($D284,素材!$1:$1016,COLUMN($E$1),FALSE),0),"")</f>
        <v/>
      </c>
      <c r="J284" t="str">
        <f>IFERROR(ROUNDDOWN((VLOOKUP($C284,武器!$1:$998,COLUMN(H$1),FALSE)+IFERROR(VLOOKUP($CJ284,装強!$1:$999,COLUMN(J$1),FALSE),0))*VLOOKUP($D284,素材!$1:$1016,COLUMN($E$1),FALSE),0),"")</f>
        <v/>
      </c>
      <c r="K284" t="str">
        <f>IFERROR(ROUNDDOWN((VLOOKUP($C284,武器!$1:$998,COLUMN(I$1),FALSE)+IFERROR(VLOOKUP($CJ284,装強!$1:$999,COLUMN(K$1),FALSE),0))*VLOOKUP($D284,素材!$1:$1016,COLUMN($E$1),FALSE),0),"")</f>
        <v/>
      </c>
      <c r="L284" t="str">
        <f>IFERROR(VLOOKUP($D284,素材!$1:$1016,COLUMN($F$1),FALSE),"")</f>
        <v/>
      </c>
      <c r="M284" t="str">
        <f>IFERROR(VLOOKUP($C284,武器!$1:$998,COLUMN(AA$1),FALSE)*VLOOKUP($D284,素材!$1:$1016,COLUMN($G$1),FALSE),"")</f>
        <v/>
      </c>
      <c r="N284" t="str">
        <f>IFERROR(VLOOKUP($C284,武器!$1:$998,COLUMN(I$1),FALSE),"")</f>
        <v/>
      </c>
      <c r="O284" s="23" t="str">
        <f>IFERROR((VLOOKUP($C284,武器!$1:$998,COLUMN(K$1),FALSE)+VLOOKUP($D284,素材!$1:$1016,COLUMN(H$1),FALSE))*100+IFERROR(VLOOKUP($CJ284,装強!$1:$999,COLUMN(O$1),FALSE),0),"")</f>
        <v/>
      </c>
      <c r="P284" s="23" t="str">
        <f>IFERROR((VLOOKUP($C284,武器!$1:$998,COLUMN(L$1),FALSE)+VLOOKUP($D284,素材!$1:$1016,COLUMN(I$1),FALSE))*100+IFERROR(VLOOKUP($CJ284,装強!$1:$999,COLUMN(P$1),FALSE),0),"")</f>
        <v/>
      </c>
      <c r="Q284" t="str">
        <f>IFERROR(ROUNDUP(VLOOKUP($C284,武器!$1:$998,COLUMN(M$1),FALSE)*(VLOOKUP($D284,素材!$1:$1002,COLUMN(D$1),FALSE)/100),1),"")</f>
        <v/>
      </c>
      <c r="R284" t="str">
        <f>IFERROR(ROUNDUP(VLOOKUP($C284,武器!$1:$998,COLUMN(N$1),FALSE)*(VLOOKUP($D284,素材!$1:$1002,COLUMN(D$1),FALSE)/100),1),"")</f>
        <v/>
      </c>
      <c r="S284" t="str">
        <f>IFERROR(VLOOKUP($C284,武器!$1:$998,COLUMN(P$1),FALSE),"")</f>
        <v/>
      </c>
      <c r="T284" t="str">
        <f>IFERROR(VLOOKUP($C284,武器!$1:$998,COLUMN(Q$1),FALSE),"")</f>
        <v/>
      </c>
      <c r="U284" t="str">
        <f>IFERROR(VLOOKUP($C284,武器!$1:$998,COLUMN(R$1),FALSE),"")</f>
        <v/>
      </c>
      <c r="V284" t="str">
        <f>IFERROR(VLOOKUP($C284,武器!$1:$998,COLUMN(Q$1),FALSE),"")</f>
        <v/>
      </c>
      <c r="W284" t="str">
        <f>IFERROR(VLOOKUP($C284,武器!$1:$998,COLUMN(T$1),FALSE),"")</f>
        <v/>
      </c>
      <c r="Y284" t="str">
        <f>IFERROR(VLOOKUP($C284,武器!$1:$998,COLUMN(U$1),FALSE),"")</f>
        <v/>
      </c>
      <c r="Z284" t="str">
        <f>IFERROR(ROUNDUP(VLOOKUP($C284,武器!$1:$998,COLUMN(O$1),FALSE)*VLOOKUP($D284,素材!$1:$1016,COLUMN(E$1),FALSE),1),"")</f>
        <v/>
      </c>
      <c r="AA284">
        <f>IF(ISNUMBER(SEARCH(SUBSTITUTE(AA$1,RIGHT(AA$1,2),""),VLOOKUP($D284,素材!$1:$1016,COLUMN($F$1),FALSE))),VLOOKUP($C284,武器!$1:$998,COLUMN($O$1),FALSE)*VLOOKUP($D284,素材!$1:$1016,COLUMN($E$1),FALSE)/(LEN(VLOOKUP($D284,素材!$1:$1016,COLUMN($F$1),FALSE))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B284">
        <f>IF(ISNUMBER(SEARCH(SUBSTITUTE(AB$1,RIGHT(AB$1,2),""),VLOOKUP($D284,素材!$1:$1016,COLUMN($F$1),FALSE))),VLOOKUP($C284,武器!$1:$998,COLUMN($O$1),FALSE)*VLOOKUP($D284,素材!$1:$1016,COLUMN($E$1),FALSE)/(LEN(VLOOKUP($D284,素材!$1:$1016,COLUMN($F$1),FALSE))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C284">
        <f>IF(ISNUMBER(SEARCH(SUBSTITUTE(AC$1,RIGHT(AC$1,2),""),VLOOKUP($D284,素材!$1:$1016,COLUMN($F$1),FALSE))),VLOOKUP($C284,武器!$1:$998,COLUMN($O$1),FALSE)*VLOOKUP($D284,素材!$1:$1016,COLUMN($E$1),FALSE)/(LEN(VLOOKUP($D284,素材!$1:$1016,COLUMN($F$1),FALSE))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D284">
        <f>IF(ISNUMBER(SEARCH(SUBSTITUTE(AD$1,RIGHT(AD$1,2),""),VLOOKUP($D284,素材!$1:$1016,COLUMN($F$1),FALSE))),VLOOKUP($C284,武器!$1:$998,COLUMN($O$1),FALSE)*VLOOKUP($D284,素材!$1:$1016,COLUMN($E$1),FALSE)/(LEN(VLOOKUP($D284,素材!$1:$1016,COLUMN($F$1),FALSE))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E284">
        <f>IF(ISNUMBER(SEARCH(SUBSTITUTE(AE$1,RIGHT(AE$1,2),""),VLOOKUP($D284,素材!$1:$1016,COLUMN($F$1),FALSE))),VLOOKUP($C284,武器!$1:$998,COLUMN($O$1),FALSE)*VLOOKUP($D284,素材!$1:$1016,COLUMN($E$1),FALSE)/(LEN(VLOOKUP($D284,素材!$1:$1016,COLUMN($F$1),FALSE))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F284">
        <f>IF(ISNUMBER(SEARCH(SUBSTITUTE(AF$1,RIGHT(AF$1,2),""),VLOOKUP($D284,素材!$1:$1016,COLUMN($F$1),FALSE))),VLOOKUP($C284,武器!$1:$998,COLUMN($O$1),FALSE)*VLOOKUP($D284,素材!$1:$1016,COLUMN($E$1),FALSE)/(LEN(VLOOKUP($D284,素材!$1:$1016,COLUMN($F$1),FALSE))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G284">
        <f>IF(ISNUMBER(SEARCH(SUBSTITUTE(AG$1,RIGHT(AG$1,2),""),VLOOKUP($D284,素材!$1:$1016,COLUMN($F$1),FALSE))),VLOOKUP($C284,武器!$1:$998,COLUMN($O$1),FALSE)*VLOOKUP($D284,素材!$1:$1016,COLUMN($E$1),FALSE)/(LEN(VLOOKUP($D284,素材!$1:$1016,COLUMN($F$1),FALSE))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H284">
        <f>IF(ISNUMBER(SEARCH(SUBSTITUTE(AH$1,RIGHT(AH$1,2),""),VLOOKUP($D284,素材!$1:$1016,COLUMN($F$1),FALSE))),VLOOKUP($C284,武器!$1:$998,COLUMN($O$1),FALSE)*VLOOKUP($D284,素材!$1:$1016,COLUMN($E$1),FALSE)/(LEN(VLOOKUP($D284,素材!$1:$1016,COLUMN($F$1),FALSE))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I284">
        <f>IF(ISNUMBER(SEARCH(SUBSTITUTE(AI$1,RIGHT(AI$1,2),""),VLOOKUP($D284,素材!$1:$1016,COLUMN($F$1),FALSE))),VLOOKUP($C284,武器!$1:$998,COLUMN($O$1),FALSE)*VLOOKUP($D284,素材!$1:$1016,COLUMN($E$1),FALSE)/(LEN(VLOOKUP($D284,素材!$1:$1016,COLUMN($F$1),FALSE))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J284">
        <f>IF(ISNUMBER(SEARCH(SUBSTITUTE(AJ$1,RIGHT(AJ$1,2),""),VLOOKUP($D284,素材!$1:$1016,COLUMN($F$1),FALSE))),VLOOKUP($C284,武器!$1:$998,COLUMN($O$1),FALSE)*VLOOKUP($D284,素材!$1:$1016,COLUMN($E$1),FALSE)/(LEN(VLOOKUP($D284,素材!$1:$1016,COLUMN($F$1),FALSE))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K284">
        <f>IF(ISNUMBER(SEARCH(SUBSTITUTE(AK$1,RIGHT(AK$1,2),""),VLOOKUP($D284,素材!$1:$1016,COLUMN($F$1),FALSE))),VLOOKUP($C284,武器!$1:$998,COLUMN($O$1),FALSE)*VLOOKUP($D284,素材!$1:$1016,COLUMN($E$1),FALSE)/(LEN(VLOOKUP($D284,素材!$1:$1016,COLUMN($F$1),FALSE))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L284">
        <f>IF(ISNUMBER(SEARCH(SUBSTITUTE(AL$1,RIGHT(AL$1,2),""),VLOOKUP($D284,素材!$1:$1016,COLUMN($F$1),FALSE))),VLOOKUP($C284,武器!$1:$998,COLUMN($O$1),FALSE)*VLOOKUP($D284,素材!$1:$1016,COLUMN($E$1),FALSE)/(LEN(VLOOKUP($D284,素材!$1:$1016,COLUMN($F$1),FALSE))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M284">
        <f>IF(ISNUMBER(SEARCH(SUBSTITUTE(AM$1,RIGHT(AM$1,2),""),VLOOKUP($D284,素材!$1:$1016,COLUMN($F$1),FALSE))),VLOOKUP($C284,武器!$1:$998,COLUMN($O$1),FALSE)*VLOOKUP($D284,素材!$1:$1016,COLUMN($E$1),FALSE)/(LEN(VLOOKUP($D284,素材!$1:$1016,COLUMN($F$1),FALSE))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N284">
        <f>IF(ISNUMBER(SEARCH(SUBSTITUTE(AN$1,RIGHT(AN$1,2),""),VLOOKUP($D284,素材!$1:$1016,COLUMN($F$1),FALSE))),VLOOKUP($C284,武器!$1:$998,COLUMN($O$1),FALSE)*VLOOKUP($D284,素材!$1:$1016,COLUMN($E$1),FALSE)/(LEN(VLOOKUP($D284,素材!$1:$1016,COLUMN($F$1),FALSE))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O284">
        <f>IF(ISNUMBER(SEARCH(SUBSTITUTE(AO$1,RIGHT(AO$1,2),""),VLOOKUP($D284,素材!$1:$1016,COLUMN($F$1),FALSE))),VLOOKUP($C284,武器!$1:$998,COLUMN($O$1),FALSE)*VLOOKUP($D284,素材!$1:$1016,COLUMN($E$1),FALSE)/(LEN(VLOOKUP($D284,素材!$1:$1016,COLUMN($F$1),FALSE))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P284">
        <f>IF(ISNUMBER(SEARCH(SUBSTITUTE(AP$1,RIGHT(AP$1,2),""),VLOOKUP($D284,素材!$1:$1016,COLUMN($F$1),FALSE))),VLOOKUP($C284,武器!$1:$998,COLUMN($O$1),FALSE)*VLOOKUP($D284,素材!$1:$1016,COLUMN($E$1),FALSE)/(LEN(VLOOKUP($D284,素材!$1:$1016,COLUMN($F$1),FALSE))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Q284">
        <f>IF(ISNUMBER(SEARCH(SUBSTITUTE(AQ$1,RIGHT(AQ$1,2),""),VLOOKUP($D284,素材!$1:$1016,COLUMN($F$1),FALSE))),VLOOKUP($C284,武器!$1:$998,COLUMN($O$1),FALSE)*VLOOKUP($D284,素材!$1:$1016,COLUMN($E$1),FALSE)/(LEN(VLOOKUP($D284,素材!$1:$1016,COLUMN($F$1),FALSE))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R284">
        <f>IF(ISNUMBER(SEARCH(SUBSTITUTE(AR$1,RIGHT(AR$1,2),""),VLOOKUP($D284,素材!$1:$1016,COLUMN($F$1),FALSE))),VLOOKUP($C284,武器!$1:$998,COLUMN($O$1),FALSE)*VLOOKUP($D284,素材!$1:$1016,COLUMN($E$1),FALSE)/(LEN(VLOOKUP($D284,素材!$1:$1016,COLUMN($F$1),FALSE))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S284">
        <f>IF(ISNUMBER(SEARCH(SUBSTITUTE(AS$1,RIGHT(AS$1,2),""),VLOOKUP($D284,素材!$1:$1016,COLUMN($F$1),FALSE))),VLOOKUP($C284,武器!$1:$998,COLUMN($O$1),FALSE)*VLOOKUP($D284,素材!$1:$1016,COLUMN($E$1),FALSE)/(LEN(VLOOKUP($D284,素材!$1:$1016,COLUMN($F$1),FALSE))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T284">
        <f>IF(ISNUMBER(SEARCH(SUBSTITUTE(AT$1,RIGHT(AT$1,2),""),VLOOKUP($D284,素材!$1:$1016,COLUMN($F$1),FALSE))),VLOOKUP($C284,武器!$1:$998,COLUMN($O$1),FALSE)*VLOOKUP($D284,素材!$1:$1016,COLUMN($E$1),FALSE)/(LEN(VLOOKUP($D284,素材!$1:$1016,COLUMN($F$1),FALSE))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U284">
        <f>IF(ISNUMBER(SEARCH(SUBSTITUTE(AU$1,RIGHT(AU$1,2),""),VLOOKUP($D284,素材!$1:$1016,COLUMN($F$1),FALSE))),VLOOKUP($C284,武器!$1:$998,COLUMN($O$1),FALSE)*VLOOKUP($D284,素材!$1:$1016,COLUMN($E$1),FALSE)/(LEN(VLOOKUP($D284,素材!$1:$1016,COLUMN($F$1),FALSE))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V284">
        <f>IF(ISNUMBER(SEARCH(SUBSTITUTE(AV$1,RIGHT(AV$1,2),""),VLOOKUP($D284,素材!$1:$1016,COLUMN($F$1),FALSE))),VLOOKUP($C284,武器!$1:$998,COLUMN($O$1),FALSE)*VLOOKUP($D284,素材!$1:$1016,COLUMN($E$1),FALSE)/(LEN(VLOOKUP($D284,素材!$1:$1016,COLUMN($F$1),FALSE))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W284">
        <f>IF(ISNUMBER(SEARCH(SUBSTITUTE(AW$1,RIGHT(AW$1,2),""),VLOOKUP($D284,素材!$1:$1016,COLUMN($F$1),FALSE))),VLOOKUP($C284,武器!$1:$998,COLUMN($O$1),FALSE)*VLOOKUP($D284,素材!$1:$1016,COLUMN($E$1),FALSE)/(LEN(VLOOKUP($D284,素材!$1:$1016,COLUMN($F$1),FALSE))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X284">
        <f>IF(ISNUMBER(SEARCH(SUBSTITUTE(AX$1,RIGHT(AX$1,2),""),VLOOKUP($D284,素材!$1:$1016,COLUMN($F$1),FALSE))),VLOOKUP($C284,武器!$1:$998,COLUMN($O$1),FALSE)*VLOOKUP($D284,素材!$1:$1016,COLUMN($E$1),FALSE)/(LEN(VLOOKUP($D284,素材!$1:$1016,COLUMN($F$1),FALSE))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Y284">
        <f>IF(ISNUMBER(SEARCH(SUBSTITUTE(AY$1,RIGHT(AY$1,2),""),VLOOKUP($D284,素材!$1:$1016,COLUMN($F$1),FALSE))),VLOOKUP($C284,武器!$1:$998,COLUMN($O$1),FALSE)*VLOOKUP($D284,素材!$1:$1016,COLUMN($E$1),FALSE)/(LEN(VLOOKUP($D284,素材!$1:$1016,COLUMN($F$1),FALSE))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AZ284">
        <f>IF(ISNUMBER(SEARCH(SUBSTITUTE(AZ$1,RIGHT(AZ$1,2),""),VLOOKUP($D284,素材!$1:$1016,COLUMN($F$1),FALSE))),VLOOKUP($C284,武器!$1:$998,COLUMN($O$1),FALSE)*VLOOKUP($D284,素材!$1:$1016,COLUMN($E$1),FALSE)/(LEN(VLOOKUP($D284,素材!$1:$1016,COLUMN($F$1),FALSE))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BA284">
        <f>IF(ISNUMBER(SEARCH(SUBSTITUTE(BA$1,RIGHT(BA$1,2),""),VLOOKUP($D284,素材!$1:$1016,COLUMN($F$1),FALSE))),VLOOKUP($C284,武器!$1:$998,COLUMN($O$1),FALSE)*VLOOKUP($D284,素材!$1:$1016,COLUMN($E$1),FALSE)/(LEN(VLOOKUP($D284,素材!$1:$1016,COLUMN($F$1),FALSE))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BB284">
        <f>IF(ISNUMBER(SEARCH(SUBSTITUTE(BB$1,RIGHT(BB$1,2),""),VLOOKUP($D284,素材!$1:$1016,COLUMN($F$1),FALSE))),VLOOKUP($C284,武器!$1:$998,COLUMN($O$1),FALSE)*VLOOKUP($D284,素材!$1:$1016,COLUMN($E$1),FALSE)/(LEN(VLOOKUP($D284,素材!$1:$1016,COLUMN($F$1),FALSE))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BC284">
        <f>IF(ISNUMBER(SEARCH(SUBSTITUTE(BC$1,RIGHT(BC$1,2),""),VLOOKUP($D284,素材!$1:$1016,COLUMN($F$1),FALSE))),VLOOKUP($C284,武器!$1:$998,COLUMN($O$1),FALSE)*VLOOKUP($D284,素材!$1:$1016,COLUMN($E$1),FALSE)/(LEN(VLOOKUP($D284,素材!$1:$1016,COLUMN($F$1),FALSE))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BD284">
        <f>IF(ISNUMBER(SEARCH(SUBSTITUTE(BD$1,RIGHT(BD$1,2),""),VLOOKUP($D284,素材!$1:$1016,COLUMN($F$1),FALSE))),VLOOKUP($C284,武器!$1:$998,COLUMN($O$1),FALSE)*VLOOKUP($D284,素材!$1:$1016,COLUMN($E$1),FALSE)/(LEN(VLOOKUP($D284,素材!$1:$1016,COLUMN($F$1),FALSE))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BE284">
        <f>IF(ISNUMBER(SEARCH(SUBSTITUTE(BE$1,RIGHT(BE$1,2),""),VLOOKUP($D284,素材!$1:$1016,COLUMN($F$1),FALSE))),VLOOKUP($C284,武器!$1:$998,COLUMN($O$1),FALSE)*VLOOKUP($D284,素材!$1:$1016,COLUMN($E$1),FALSE)/(LEN(VLOOKUP($D284,素材!$1:$1016,COLUMN($F$1),FALSE))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BF284">
        <f>IF(ISNUMBER(SEARCH(SUBSTITUTE(BF$1,RIGHT(BF$1,2),""),VLOOKUP($D284,素材!$1:$1016,COLUMN($F$1),FALSE))),VLOOKUP($C284,武器!$1:$998,COLUMN($O$1),FALSE)*VLOOKUP($D284,素材!$1:$1016,COLUMN($E$1),FALSE)/(LEN(VLOOKUP($D284,素材!$1:$1016,COLUMN($F$1),FALSE)) - LEN(SUBSTITUTE(VLOOKUP($D284,素材!$1:$1016,COLUMN($F$1),FALSE), "・", 0)) + 1), 0)</f>
        <v>0</v>
      </c>
      <c r="CM284">
        <f t="shared" si="36"/>
        <v>0</v>
      </c>
      <c r="CN284" s="22" t="str">
        <f>IF(E284="武器",IF(J284-1&gt;SUM(G284:I284),"盾",IF(MAX(G284:I284)=G284,"切断",IF(MAX(G284:I284)=H284,"貫通",IF(MAX(G284:I284)=I284,"打撃","射撃")))),E284)&amp;".webp"</f>
        <v>.webp</v>
      </c>
      <c r="CO284" t="str">
        <f>IFERROR(VLOOKUP($C284,武器!$1:$998,COLUMN(V$1),FALSE)*VLOOKUP($D284,素材!$1:$1016,COLUMN(N$1),FALSE)+IF(CJ284="",0,VLOOKUP($CJ284,装強!$1:$1008,COLUMN($CL$1),FALSE)),"")</f>
        <v/>
      </c>
      <c r="CP284" t="e">
        <f>VLOOKUP(D284,素材!$A:$O,COLUMN(素材!O$1),FALSE)</f>
        <v>#N/A</v>
      </c>
      <c r="CQ284" t="e">
        <f>VLOOKUP(C284,武器!$A:$W,COLUMN(武器!W$1),FALSE)</f>
        <v>#N/A</v>
      </c>
      <c r="CS284" t="str">
        <f t="shared" si="37"/>
        <v>e_284</v>
      </c>
      <c r="CT284" t="e">
        <f t="shared" si="38"/>
        <v>#VALUE!</v>
      </c>
    </row>
    <row r="285" spans="1:98" hidden="1" outlineLevel="1" x14ac:dyDescent="0.4">
      <c r="A285" t="str">
        <f>IF(CJ285="",D285&amp;"の"&amp;C285,CJ285&amp;"の"&amp;C285)</f>
        <v>の</v>
      </c>
      <c r="B285" t="str">
        <f>IFERROR(IF(CJ285="",VLOOKUP($D285,素材!$1:$1016,COLUMN($B$1),FALSE)&amp;"・"&amp;VLOOKUP($C285,武器!$1:$998,COLUMN(B$1),FALSE),VLOOKUP($CJ285,装強!$1:$1008,COLUMN($B$1),FALSE)&amp;"・"&amp;VLOOKUP($C285,武器!$1:$998,COLUMN(B$1),FALSE)),"")</f>
        <v/>
      </c>
      <c r="C285" s="24"/>
      <c r="D285" s="24"/>
      <c r="E285" t="str">
        <f>IFERROR(VLOOKUP(C285,武器!$1:$998,COLUMN(C$1),FALSE),"")</f>
        <v/>
      </c>
      <c r="F285" t="str">
        <f>IFERROR(ROUNDDOWN((VLOOKUP($C285,武器!$1:$998,COLUMN(D$1),FALSE)+IFERROR(VLOOKUP($CJ285,装強!$1:$999,COLUMN(F$1),FALSE),0))*VLOOKUP($D285,素材!$1:$1016,COLUMN(D$1),FALSE),0),"")</f>
        <v/>
      </c>
      <c r="G285" t="str">
        <f>IFERROR(ROUNDDOWN((VLOOKUP($C285,武器!$1:$998,COLUMN(E$1),FALSE)+IFERROR(VLOOKUP($CJ285,装強!$1:$999,COLUMN(G$1),FALSE),0))*VLOOKUP($D285,素材!$1:$1016,COLUMN($E$1),FALSE),0),"")</f>
        <v/>
      </c>
      <c r="H285" t="str">
        <f>IFERROR(ROUNDDOWN((VLOOKUP($C285,武器!$1:$998,COLUMN(F$1),FALSE)+IFERROR(VLOOKUP($CJ285,装強!$1:$999,COLUMN(H$1),FALSE),0))*VLOOKUP($D285,素材!$1:$1016,COLUMN($E$1),FALSE),0),"")</f>
        <v/>
      </c>
      <c r="I285" t="str">
        <f>IFERROR(ROUNDDOWN((VLOOKUP($C285,武器!$1:$998,COLUMN(G$1),FALSE)+IFERROR(VLOOKUP($CJ285,装強!$1:$999,COLUMN(I$1),FALSE),0))*VLOOKUP($D285,素材!$1:$1016,COLUMN($E$1),FALSE),0),"")</f>
        <v/>
      </c>
      <c r="J285" t="str">
        <f>IFERROR(ROUNDDOWN((VLOOKUP($C285,武器!$1:$998,COLUMN(H$1),FALSE)+IFERROR(VLOOKUP($CJ285,装強!$1:$999,COLUMN(J$1),FALSE),0))*VLOOKUP($D285,素材!$1:$1016,COLUMN($E$1),FALSE),0),"")</f>
        <v/>
      </c>
      <c r="K285" t="str">
        <f>IFERROR(ROUNDDOWN((VLOOKUP($C285,武器!$1:$998,COLUMN(I$1),FALSE)+IFERROR(VLOOKUP($CJ285,装強!$1:$999,COLUMN(K$1),FALSE),0))*VLOOKUP($D285,素材!$1:$1016,COLUMN($E$1),FALSE),0),"")</f>
        <v/>
      </c>
      <c r="L285" t="str">
        <f>IFERROR(VLOOKUP($D285,素材!$1:$1016,COLUMN($F$1),FALSE),"")</f>
        <v/>
      </c>
      <c r="M285" t="str">
        <f>IFERROR(VLOOKUP($C285,武器!$1:$998,COLUMN(AA$1),FALSE)*VLOOKUP($D285,素材!$1:$1016,COLUMN($G$1),FALSE),"")</f>
        <v/>
      </c>
      <c r="N285" t="str">
        <f>IFERROR(VLOOKUP($C285,武器!$1:$998,COLUMN(I$1),FALSE),"")</f>
        <v/>
      </c>
      <c r="O285" s="23" t="str">
        <f>IFERROR((VLOOKUP($C285,武器!$1:$998,COLUMN(K$1),FALSE)+VLOOKUP($D285,素材!$1:$1016,COLUMN(H$1),FALSE))*100+IFERROR(VLOOKUP($CJ285,装強!$1:$999,COLUMN(O$1),FALSE),0),"")</f>
        <v/>
      </c>
      <c r="P285" s="23" t="str">
        <f>IFERROR((VLOOKUP($C285,武器!$1:$998,COLUMN(L$1),FALSE)+VLOOKUP($D285,素材!$1:$1016,COLUMN(I$1),FALSE))*100+IFERROR(VLOOKUP($CJ285,装強!$1:$999,COLUMN(P$1),FALSE),0),"")</f>
        <v/>
      </c>
      <c r="Q285" t="str">
        <f>IFERROR(ROUNDUP(VLOOKUP($C285,武器!$1:$998,COLUMN(M$1),FALSE)*(VLOOKUP($D285,素材!$1:$1002,COLUMN(D$1),FALSE)/100),1),"")</f>
        <v/>
      </c>
      <c r="R285" t="str">
        <f>IFERROR(ROUNDUP(VLOOKUP($C285,武器!$1:$998,COLUMN(N$1),FALSE)*(VLOOKUP($D285,素材!$1:$1002,COLUMN(D$1),FALSE)/100),1),"")</f>
        <v/>
      </c>
      <c r="S285" t="str">
        <f>IFERROR(VLOOKUP($C285,武器!$1:$998,COLUMN(P$1),FALSE),"")</f>
        <v/>
      </c>
      <c r="T285" t="str">
        <f>IFERROR(VLOOKUP($C285,武器!$1:$998,COLUMN(Q$1),FALSE),"")</f>
        <v/>
      </c>
      <c r="U285" t="str">
        <f>IFERROR(VLOOKUP($C285,武器!$1:$998,COLUMN(R$1),FALSE),"")</f>
        <v/>
      </c>
      <c r="V285" t="str">
        <f>IFERROR(VLOOKUP($C285,武器!$1:$998,COLUMN(Q$1),FALSE),"")</f>
        <v/>
      </c>
      <c r="W285" t="str">
        <f>IFERROR(VLOOKUP($C285,武器!$1:$998,COLUMN(T$1),FALSE),"")</f>
        <v/>
      </c>
      <c r="Y285" t="str">
        <f>IFERROR(VLOOKUP($C285,武器!$1:$998,COLUMN(U$1),FALSE),"")</f>
        <v/>
      </c>
      <c r="Z285" t="str">
        <f>IFERROR(ROUNDUP(VLOOKUP($C285,武器!$1:$998,COLUMN(O$1),FALSE)*VLOOKUP($D285,素材!$1:$1016,COLUMN(E$1),FALSE),1),"")</f>
        <v/>
      </c>
      <c r="AA285">
        <f>IF(ISNUMBER(SEARCH(SUBSTITUTE(AA$1,RIGHT(AA$1,2),""),VLOOKUP($D285,素材!$1:$1016,COLUMN($F$1),FALSE))),VLOOKUP($C285,武器!$1:$998,COLUMN($O$1),FALSE)*VLOOKUP($D285,素材!$1:$1016,COLUMN($E$1),FALSE)/(LEN(VLOOKUP($D285,素材!$1:$1016,COLUMN($F$1),FALSE))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B285">
        <f>IF(ISNUMBER(SEARCH(SUBSTITUTE(AB$1,RIGHT(AB$1,2),""),VLOOKUP($D285,素材!$1:$1016,COLUMN($F$1),FALSE))),VLOOKUP($C285,武器!$1:$998,COLUMN($O$1),FALSE)*VLOOKUP($D285,素材!$1:$1016,COLUMN($E$1),FALSE)/(LEN(VLOOKUP($D285,素材!$1:$1016,COLUMN($F$1),FALSE))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C285">
        <f>IF(ISNUMBER(SEARCH(SUBSTITUTE(AC$1,RIGHT(AC$1,2),""),VLOOKUP($D285,素材!$1:$1016,COLUMN($F$1),FALSE))),VLOOKUP($C285,武器!$1:$998,COLUMN($O$1),FALSE)*VLOOKUP($D285,素材!$1:$1016,COLUMN($E$1),FALSE)/(LEN(VLOOKUP($D285,素材!$1:$1016,COLUMN($F$1),FALSE))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D285">
        <f>IF(ISNUMBER(SEARCH(SUBSTITUTE(AD$1,RIGHT(AD$1,2),""),VLOOKUP($D285,素材!$1:$1016,COLUMN($F$1),FALSE))),VLOOKUP($C285,武器!$1:$998,COLUMN($O$1),FALSE)*VLOOKUP($D285,素材!$1:$1016,COLUMN($E$1),FALSE)/(LEN(VLOOKUP($D285,素材!$1:$1016,COLUMN($F$1),FALSE))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E285">
        <f>IF(ISNUMBER(SEARCH(SUBSTITUTE(AE$1,RIGHT(AE$1,2),""),VLOOKUP($D285,素材!$1:$1016,COLUMN($F$1),FALSE))),VLOOKUP($C285,武器!$1:$998,COLUMN($O$1),FALSE)*VLOOKUP($D285,素材!$1:$1016,COLUMN($E$1),FALSE)/(LEN(VLOOKUP($D285,素材!$1:$1016,COLUMN($F$1),FALSE))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F285">
        <f>IF(ISNUMBER(SEARCH(SUBSTITUTE(AF$1,RIGHT(AF$1,2),""),VLOOKUP($D285,素材!$1:$1016,COLUMN($F$1),FALSE))),VLOOKUP($C285,武器!$1:$998,COLUMN($O$1),FALSE)*VLOOKUP($D285,素材!$1:$1016,COLUMN($E$1),FALSE)/(LEN(VLOOKUP($D285,素材!$1:$1016,COLUMN($F$1),FALSE))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G285">
        <f>IF(ISNUMBER(SEARCH(SUBSTITUTE(AG$1,RIGHT(AG$1,2),""),VLOOKUP($D285,素材!$1:$1016,COLUMN($F$1),FALSE))),VLOOKUP($C285,武器!$1:$998,COLUMN($O$1),FALSE)*VLOOKUP($D285,素材!$1:$1016,COLUMN($E$1),FALSE)/(LEN(VLOOKUP($D285,素材!$1:$1016,COLUMN($F$1),FALSE))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H285">
        <f>IF(ISNUMBER(SEARCH(SUBSTITUTE(AH$1,RIGHT(AH$1,2),""),VLOOKUP($D285,素材!$1:$1016,COLUMN($F$1),FALSE))),VLOOKUP($C285,武器!$1:$998,COLUMN($O$1),FALSE)*VLOOKUP($D285,素材!$1:$1016,COLUMN($E$1),FALSE)/(LEN(VLOOKUP($D285,素材!$1:$1016,COLUMN($F$1),FALSE))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I285">
        <f>IF(ISNUMBER(SEARCH(SUBSTITUTE(AI$1,RIGHT(AI$1,2),""),VLOOKUP($D285,素材!$1:$1016,COLUMN($F$1),FALSE))),VLOOKUP($C285,武器!$1:$998,COLUMN($O$1),FALSE)*VLOOKUP($D285,素材!$1:$1016,COLUMN($E$1),FALSE)/(LEN(VLOOKUP($D285,素材!$1:$1016,COLUMN($F$1),FALSE))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J285">
        <f>IF(ISNUMBER(SEARCH(SUBSTITUTE(AJ$1,RIGHT(AJ$1,2),""),VLOOKUP($D285,素材!$1:$1016,COLUMN($F$1),FALSE))),VLOOKUP($C285,武器!$1:$998,COLUMN($O$1),FALSE)*VLOOKUP($D285,素材!$1:$1016,COLUMN($E$1),FALSE)/(LEN(VLOOKUP($D285,素材!$1:$1016,COLUMN($F$1),FALSE))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K285">
        <f>IF(ISNUMBER(SEARCH(SUBSTITUTE(AK$1,RIGHT(AK$1,2),""),VLOOKUP($D285,素材!$1:$1016,COLUMN($F$1),FALSE))),VLOOKUP($C285,武器!$1:$998,COLUMN($O$1),FALSE)*VLOOKUP($D285,素材!$1:$1016,COLUMN($E$1),FALSE)/(LEN(VLOOKUP($D285,素材!$1:$1016,COLUMN($F$1),FALSE))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L285">
        <f>IF(ISNUMBER(SEARCH(SUBSTITUTE(AL$1,RIGHT(AL$1,2),""),VLOOKUP($D285,素材!$1:$1016,COLUMN($F$1),FALSE))),VLOOKUP($C285,武器!$1:$998,COLUMN($O$1),FALSE)*VLOOKUP($D285,素材!$1:$1016,COLUMN($E$1),FALSE)/(LEN(VLOOKUP($D285,素材!$1:$1016,COLUMN($F$1),FALSE))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M285">
        <f>IF(ISNUMBER(SEARCH(SUBSTITUTE(AM$1,RIGHT(AM$1,2),""),VLOOKUP($D285,素材!$1:$1016,COLUMN($F$1),FALSE))),VLOOKUP($C285,武器!$1:$998,COLUMN($O$1),FALSE)*VLOOKUP($D285,素材!$1:$1016,COLUMN($E$1),FALSE)/(LEN(VLOOKUP($D285,素材!$1:$1016,COLUMN($F$1),FALSE))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N285">
        <f>IF(ISNUMBER(SEARCH(SUBSTITUTE(AN$1,RIGHT(AN$1,2),""),VLOOKUP($D285,素材!$1:$1016,COLUMN($F$1),FALSE))),VLOOKUP($C285,武器!$1:$998,COLUMN($O$1),FALSE)*VLOOKUP($D285,素材!$1:$1016,COLUMN($E$1),FALSE)/(LEN(VLOOKUP($D285,素材!$1:$1016,COLUMN($F$1),FALSE))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O285">
        <f>IF(ISNUMBER(SEARCH(SUBSTITUTE(AO$1,RIGHT(AO$1,2),""),VLOOKUP($D285,素材!$1:$1016,COLUMN($F$1),FALSE))),VLOOKUP($C285,武器!$1:$998,COLUMN($O$1),FALSE)*VLOOKUP($D285,素材!$1:$1016,COLUMN($E$1),FALSE)/(LEN(VLOOKUP($D285,素材!$1:$1016,COLUMN($F$1),FALSE))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P285">
        <f>IF(ISNUMBER(SEARCH(SUBSTITUTE(AP$1,RIGHT(AP$1,2),""),VLOOKUP($D285,素材!$1:$1016,COLUMN($F$1),FALSE))),VLOOKUP($C285,武器!$1:$998,COLUMN($O$1),FALSE)*VLOOKUP($D285,素材!$1:$1016,COLUMN($E$1),FALSE)/(LEN(VLOOKUP($D285,素材!$1:$1016,COLUMN($F$1),FALSE))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Q285">
        <f>IF(ISNUMBER(SEARCH(SUBSTITUTE(AQ$1,RIGHT(AQ$1,2),""),VLOOKUP($D285,素材!$1:$1016,COLUMN($F$1),FALSE))),VLOOKUP($C285,武器!$1:$998,COLUMN($O$1),FALSE)*VLOOKUP($D285,素材!$1:$1016,COLUMN($E$1),FALSE)/(LEN(VLOOKUP($D285,素材!$1:$1016,COLUMN($F$1),FALSE))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R285">
        <f>IF(ISNUMBER(SEARCH(SUBSTITUTE(AR$1,RIGHT(AR$1,2),""),VLOOKUP($D285,素材!$1:$1016,COLUMN($F$1),FALSE))),VLOOKUP($C285,武器!$1:$998,COLUMN($O$1),FALSE)*VLOOKUP($D285,素材!$1:$1016,COLUMN($E$1),FALSE)/(LEN(VLOOKUP($D285,素材!$1:$1016,COLUMN($F$1),FALSE))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S285">
        <f>IF(ISNUMBER(SEARCH(SUBSTITUTE(AS$1,RIGHT(AS$1,2),""),VLOOKUP($D285,素材!$1:$1016,COLUMN($F$1),FALSE))),VLOOKUP($C285,武器!$1:$998,COLUMN($O$1),FALSE)*VLOOKUP($D285,素材!$1:$1016,COLUMN($E$1),FALSE)/(LEN(VLOOKUP($D285,素材!$1:$1016,COLUMN($F$1),FALSE))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T285">
        <f>IF(ISNUMBER(SEARCH(SUBSTITUTE(AT$1,RIGHT(AT$1,2),""),VLOOKUP($D285,素材!$1:$1016,COLUMN($F$1),FALSE))),VLOOKUP($C285,武器!$1:$998,COLUMN($O$1),FALSE)*VLOOKUP($D285,素材!$1:$1016,COLUMN($E$1),FALSE)/(LEN(VLOOKUP($D285,素材!$1:$1016,COLUMN($F$1),FALSE))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U285">
        <f>IF(ISNUMBER(SEARCH(SUBSTITUTE(AU$1,RIGHT(AU$1,2),""),VLOOKUP($D285,素材!$1:$1016,COLUMN($F$1),FALSE))),VLOOKUP($C285,武器!$1:$998,COLUMN($O$1),FALSE)*VLOOKUP($D285,素材!$1:$1016,COLUMN($E$1),FALSE)/(LEN(VLOOKUP($D285,素材!$1:$1016,COLUMN($F$1),FALSE))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V285">
        <f>IF(ISNUMBER(SEARCH(SUBSTITUTE(AV$1,RIGHT(AV$1,2),""),VLOOKUP($D285,素材!$1:$1016,COLUMN($F$1),FALSE))),VLOOKUP($C285,武器!$1:$998,COLUMN($O$1),FALSE)*VLOOKUP($D285,素材!$1:$1016,COLUMN($E$1),FALSE)/(LEN(VLOOKUP($D285,素材!$1:$1016,COLUMN($F$1),FALSE))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W285">
        <f>IF(ISNUMBER(SEARCH(SUBSTITUTE(AW$1,RIGHT(AW$1,2),""),VLOOKUP($D285,素材!$1:$1016,COLUMN($F$1),FALSE))),VLOOKUP($C285,武器!$1:$998,COLUMN($O$1),FALSE)*VLOOKUP($D285,素材!$1:$1016,COLUMN($E$1),FALSE)/(LEN(VLOOKUP($D285,素材!$1:$1016,COLUMN($F$1),FALSE))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X285">
        <f>IF(ISNUMBER(SEARCH(SUBSTITUTE(AX$1,RIGHT(AX$1,2),""),VLOOKUP($D285,素材!$1:$1016,COLUMN($F$1),FALSE))),VLOOKUP($C285,武器!$1:$998,COLUMN($O$1),FALSE)*VLOOKUP($D285,素材!$1:$1016,COLUMN($E$1),FALSE)/(LEN(VLOOKUP($D285,素材!$1:$1016,COLUMN($F$1),FALSE))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Y285">
        <f>IF(ISNUMBER(SEARCH(SUBSTITUTE(AY$1,RIGHT(AY$1,2),""),VLOOKUP($D285,素材!$1:$1016,COLUMN($F$1),FALSE))),VLOOKUP($C285,武器!$1:$998,COLUMN($O$1),FALSE)*VLOOKUP($D285,素材!$1:$1016,COLUMN($E$1),FALSE)/(LEN(VLOOKUP($D285,素材!$1:$1016,COLUMN($F$1),FALSE))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AZ285">
        <f>IF(ISNUMBER(SEARCH(SUBSTITUTE(AZ$1,RIGHT(AZ$1,2),""),VLOOKUP($D285,素材!$1:$1016,COLUMN($F$1),FALSE))),VLOOKUP($C285,武器!$1:$998,COLUMN($O$1),FALSE)*VLOOKUP($D285,素材!$1:$1016,COLUMN($E$1),FALSE)/(LEN(VLOOKUP($D285,素材!$1:$1016,COLUMN($F$1),FALSE))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BA285">
        <f>IF(ISNUMBER(SEARCH(SUBSTITUTE(BA$1,RIGHT(BA$1,2),""),VLOOKUP($D285,素材!$1:$1016,COLUMN($F$1),FALSE))),VLOOKUP($C285,武器!$1:$998,COLUMN($O$1),FALSE)*VLOOKUP($D285,素材!$1:$1016,COLUMN($E$1),FALSE)/(LEN(VLOOKUP($D285,素材!$1:$1016,COLUMN($F$1),FALSE))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BB285">
        <f>IF(ISNUMBER(SEARCH(SUBSTITUTE(BB$1,RIGHT(BB$1,2),""),VLOOKUP($D285,素材!$1:$1016,COLUMN($F$1),FALSE))),VLOOKUP($C285,武器!$1:$998,COLUMN($O$1),FALSE)*VLOOKUP($D285,素材!$1:$1016,COLUMN($E$1),FALSE)/(LEN(VLOOKUP($D285,素材!$1:$1016,COLUMN($F$1),FALSE))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BC285">
        <f>IF(ISNUMBER(SEARCH(SUBSTITUTE(BC$1,RIGHT(BC$1,2),""),VLOOKUP($D285,素材!$1:$1016,COLUMN($F$1),FALSE))),VLOOKUP($C285,武器!$1:$998,COLUMN($O$1),FALSE)*VLOOKUP($D285,素材!$1:$1016,COLUMN($E$1),FALSE)/(LEN(VLOOKUP($D285,素材!$1:$1016,COLUMN($F$1),FALSE))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BD285">
        <f>IF(ISNUMBER(SEARCH(SUBSTITUTE(BD$1,RIGHT(BD$1,2),""),VLOOKUP($D285,素材!$1:$1016,COLUMN($F$1),FALSE))),VLOOKUP($C285,武器!$1:$998,COLUMN($O$1),FALSE)*VLOOKUP($D285,素材!$1:$1016,COLUMN($E$1),FALSE)/(LEN(VLOOKUP($D285,素材!$1:$1016,COLUMN($F$1),FALSE))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BE285">
        <f>IF(ISNUMBER(SEARCH(SUBSTITUTE(BE$1,RIGHT(BE$1,2),""),VLOOKUP($D285,素材!$1:$1016,COLUMN($F$1),FALSE))),VLOOKUP($C285,武器!$1:$998,COLUMN($O$1),FALSE)*VLOOKUP($D285,素材!$1:$1016,COLUMN($E$1),FALSE)/(LEN(VLOOKUP($D285,素材!$1:$1016,COLUMN($F$1),FALSE))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BF285">
        <f>IF(ISNUMBER(SEARCH(SUBSTITUTE(BF$1,RIGHT(BF$1,2),""),VLOOKUP($D285,素材!$1:$1016,COLUMN($F$1),FALSE))),VLOOKUP($C285,武器!$1:$998,COLUMN($O$1),FALSE)*VLOOKUP($D285,素材!$1:$1016,COLUMN($E$1),FALSE)/(LEN(VLOOKUP($D285,素材!$1:$1016,COLUMN($F$1),FALSE)) - LEN(SUBSTITUTE(VLOOKUP($D285,素材!$1:$1016,COLUMN($F$1),FALSE), "・", 0)) + 1), 0)</f>
        <v>0</v>
      </c>
      <c r="CM285">
        <f t="shared" si="36"/>
        <v>0</v>
      </c>
      <c r="CN285" s="22" t="str">
        <f>IF(E285="武器",IF(J285-1&gt;SUM(G285:I285),"盾",IF(MAX(G285:I285)=G285,"切断",IF(MAX(G285:I285)=H285,"貫通",IF(MAX(G285:I285)=I285,"打撃","射撃")))),E285)&amp;".webp"</f>
        <v>.webp</v>
      </c>
      <c r="CO285" t="str">
        <f>IFERROR(VLOOKUP($C285,武器!$1:$998,COLUMN(V$1),FALSE)*VLOOKUP($D285,素材!$1:$1016,COLUMN(N$1),FALSE)+IF(CJ285="",0,VLOOKUP($CJ285,装強!$1:$1008,COLUMN($CL$1),FALSE)),"")</f>
        <v/>
      </c>
      <c r="CP285" t="e">
        <f>VLOOKUP(D285,素材!$A:$O,COLUMN(素材!O$1),FALSE)</f>
        <v>#N/A</v>
      </c>
      <c r="CQ285" t="e">
        <f>VLOOKUP(C285,武器!$A:$W,COLUMN(武器!W$1),FALSE)</f>
        <v>#N/A</v>
      </c>
      <c r="CS285" t="str">
        <f t="shared" si="37"/>
        <v>e_285</v>
      </c>
      <c r="CT285" t="e">
        <f t="shared" si="38"/>
        <v>#VALUE!</v>
      </c>
    </row>
    <row r="286" spans="1:98" hidden="1" outlineLevel="1" x14ac:dyDescent="0.4">
      <c r="A286" t="str">
        <f>IF(CJ286="",D286&amp;"の"&amp;C286,CJ286&amp;"の"&amp;C286)</f>
        <v>の</v>
      </c>
      <c r="B286" t="str">
        <f>IFERROR(IF(CJ286="",VLOOKUP($D286,素材!$1:$1016,COLUMN($B$1),FALSE)&amp;"・"&amp;VLOOKUP($C286,武器!$1:$998,COLUMN(B$1),FALSE),VLOOKUP($CJ286,装強!$1:$1008,COLUMN($B$1),FALSE)&amp;"・"&amp;VLOOKUP($C286,武器!$1:$998,COLUMN(B$1),FALSE)),"")</f>
        <v/>
      </c>
      <c r="C286" s="24"/>
      <c r="D286" s="24"/>
      <c r="E286" t="str">
        <f>IFERROR(VLOOKUP(C286,武器!$1:$998,COLUMN(C$1),FALSE),"")</f>
        <v/>
      </c>
      <c r="F286" t="str">
        <f>IFERROR(ROUNDDOWN((VLOOKUP($C286,武器!$1:$998,COLUMN(D$1),FALSE)+IFERROR(VLOOKUP($CJ286,装強!$1:$999,COLUMN(F$1),FALSE),0))*VLOOKUP($D286,素材!$1:$1016,COLUMN(D$1),FALSE),0),"")</f>
        <v/>
      </c>
      <c r="G286" t="str">
        <f>IFERROR(ROUNDDOWN((VLOOKUP($C286,武器!$1:$998,COLUMN(E$1),FALSE)+IFERROR(VLOOKUP($CJ286,装強!$1:$999,COLUMN(G$1),FALSE),0))*VLOOKUP($D286,素材!$1:$1016,COLUMN($E$1),FALSE),0),"")</f>
        <v/>
      </c>
      <c r="H286" t="str">
        <f>IFERROR(ROUNDDOWN((VLOOKUP($C286,武器!$1:$998,COLUMN(F$1),FALSE)+IFERROR(VLOOKUP($CJ286,装強!$1:$999,COLUMN(H$1),FALSE),0))*VLOOKUP($D286,素材!$1:$1016,COLUMN($E$1),FALSE),0),"")</f>
        <v/>
      </c>
      <c r="I286" t="str">
        <f>IFERROR(ROUNDDOWN((VLOOKUP($C286,武器!$1:$998,COLUMN(G$1),FALSE)+IFERROR(VLOOKUP($CJ286,装強!$1:$999,COLUMN(I$1),FALSE),0))*VLOOKUP($D286,素材!$1:$1016,COLUMN($E$1),FALSE),0),"")</f>
        <v/>
      </c>
      <c r="J286" t="str">
        <f>IFERROR(ROUNDDOWN((VLOOKUP($C286,武器!$1:$998,COLUMN(H$1),FALSE)+IFERROR(VLOOKUP($CJ286,装強!$1:$999,COLUMN(J$1),FALSE),0))*VLOOKUP($D286,素材!$1:$1016,COLUMN($E$1),FALSE),0),"")</f>
        <v/>
      </c>
      <c r="K286" t="str">
        <f>IFERROR(ROUNDDOWN((VLOOKUP($C286,武器!$1:$998,COLUMN(I$1),FALSE)+IFERROR(VLOOKUP($CJ286,装強!$1:$999,COLUMN(K$1),FALSE),0))*VLOOKUP($D286,素材!$1:$1016,COLUMN($E$1),FALSE),0),"")</f>
        <v/>
      </c>
      <c r="L286" t="str">
        <f>IFERROR(VLOOKUP($D286,素材!$1:$1016,COLUMN($F$1),FALSE),"")</f>
        <v/>
      </c>
      <c r="M286" t="str">
        <f>IFERROR(VLOOKUP($C286,武器!$1:$998,COLUMN(AA$1),FALSE)*VLOOKUP($D286,素材!$1:$1016,COLUMN($G$1),FALSE),"")</f>
        <v/>
      </c>
      <c r="N286" t="str">
        <f>IFERROR(VLOOKUP($C286,武器!$1:$998,COLUMN(I$1),FALSE),"")</f>
        <v/>
      </c>
      <c r="O286" s="23" t="str">
        <f>IFERROR((VLOOKUP($C286,武器!$1:$998,COLUMN(K$1),FALSE)+VLOOKUP($D286,素材!$1:$1016,COLUMN(H$1),FALSE))*100+IFERROR(VLOOKUP($CJ286,装強!$1:$999,COLUMN(O$1),FALSE),0),"")</f>
        <v/>
      </c>
      <c r="P286" s="23" t="str">
        <f>IFERROR((VLOOKUP($C286,武器!$1:$998,COLUMN(L$1),FALSE)+VLOOKUP($D286,素材!$1:$1016,COLUMN(I$1),FALSE))*100+IFERROR(VLOOKUP($CJ286,装強!$1:$999,COLUMN(P$1),FALSE),0),"")</f>
        <v/>
      </c>
      <c r="Q286" t="str">
        <f>IFERROR(ROUNDUP(VLOOKUP($C286,武器!$1:$998,COLUMN(M$1),FALSE)*(VLOOKUP($D286,素材!$1:$1002,COLUMN(D$1),FALSE)/100),1),"")</f>
        <v/>
      </c>
      <c r="R286" t="str">
        <f>IFERROR(ROUNDUP(VLOOKUP($C286,武器!$1:$998,COLUMN(N$1),FALSE)*(VLOOKUP($D286,素材!$1:$1002,COLUMN(D$1),FALSE)/100),1),"")</f>
        <v/>
      </c>
      <c r="S286" t="str">
        <f>IFERROR(VLOOKUP($C286,武器!$1:$998,COLUMN(P$1),FALSE),"")</f>
        <v/>
      </c>
      <c r="T286" t="str">
        <f>IFERROR(VLOOKUP($C286,武器!$1:$998,COLUMN(Q$1),FALSE),"")</f>
        <v/>
      </c>
      <c r="U286" t="str">
        <f>IFERROR(VLOOKUP($C286,武器!$1:$998,COLUMN(R$1),FALSE),"")</f>
        <v/>
      </c>
      <c r="V286" t="str">
        <f>IFERROR(VLOOKUP($C286,武器!$1:$998,COLUMN(Q$1),FALSE),"")</f>
        <v/>
      </c>
      <c r="W286" t="str">
        <f>IFERROR(VLOOKUP($C286,武器!$1:$998,COLUMN(T$1),FALSE),"")</f>
        <v/>
      </c>
      <c r="Y286" t="str">
        <f>IFERROR(VLOOKUP($C286,武器!$1:$998,COLUMN(U$1),FALSE),"")</f>
        <v/>
      </c>
      <c r="Z286" t="str">
        <f>IFERROR(ROUNDUP(VLOOKUP($C286,武器!$1:$998,COLUMN(O$1),FALSE)*VLOOKUP($D286,素材!$1:$1016,COLUMN(E$1),FALSE),1),"")</f>
        <v/>
      </c>
      <c r="AA286">
        <f>IF(ISNUMBER(SEARCH(SUBSTITUTE(AA$1,RIGHT(AA$1,2),""),VLOOKUP($D286,素材!$1:$1016,COLUMN($F$1),FALSE))),VLOOKUP($C286,武器!$1:$998,COLUMN($O$1),FALSE)*VLOOKUP($D286,素材!$1:$1016,COLUMN($E$1),FALSE)/(LEN(VLOOKUP($D286,素材!$1:$1016,COLUMN($F$1),FALSE))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B286">
        <f>IF(ISNUMBER(SEARCH(SUBSTITUTE(AB$1,RIGHT(AB$1,2),""),VLOOKUP($D286,素材!$1:$1016,COLUMN($F$1),FALSE))),VLOOKUP($C286,武器!$1:$998,COLUMN($O$1),FALSE)*VLOOKUP($D286,素材!$1:$1016,COLUMN($E$1),FALSE)/(LEN(VLOOKUP($D286,素材!$1:$1016,COLUMN($F$1),FALSE))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C286">
        <f>IF(ISNUMBER(SEARCH(SUBSTITUTE(AC$1,RIGHT(AC$1,2),""),VLOOKUP($D286,素材!$1:$1016,COLUMN($F$1),FALSE))),VLOOKUP($C286,武器!$1:$998,COLUMN($O$1),FALSE)*VLOOKUP($D286,素材!$1:$1016,COLUMN($E$1),FALSE)/(LEN(VLOOKUP($D286,素材!$1:$1016,COLUMN($F$1),FALSE))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D286">
        <f>IF(ISNUMBER(SEARCH(SUBSTITUTE(AD$1,RIGHT(AD$1,2),""),VLOOKUP($D286,素材!$1:$1016,COLUMN($F$1),FALSE))),VLOOKUP($C286,武器!$1:$998,COLUMN($O$1),FALSE)*VLOOKUP($D286,素材!$1:$1016,COLUMN($E$1),FALSE)/(LEN(VLOOKUP($D286,素材!$1:$1016,COLUMN($F$1),FALSE))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E286">
        <f>IF(ISNUMBER(SEARCH(SUBSTITUTE(AE$1,RIGHT(AE$1,2),""),VLOOKUP($D286,素材!$1:$1016,COLUMN($F$1),FALSE))),VLOOKUP($C286,武器!$1:$998,COLUMN($O$1),FALSE)*VLOOKUP($D286,素材!$1:$1016,COLUMN($E$1),FALSE)/(LEN(VLOOKUP($D286,素材!$1:$1016,COLUMN($F$1),FALSE))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F286">
        <f>IF(ISNUMBER(SEARCH(SUBSTITUTE(AF$1,RIGHT(AF$1,2),""),VLOOKUP($D286,素材!$1:$1016,COLUMN($F$1),FALSE))),VLOOKUP($C286,武器!$1:$998,COLUMN($O$1),FALSE)*VLOOKUP($D286,素材!$1:$1016,COLUMN($E$1),FALSE)/(LEN(VLOOKUP($D286,素材!$1:$1016,COLUMN($F$1),FALSE))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G286">
        <f>IF(ISNUMBER(SEARCH(SUBSTITUTE(AG$1,RIGHT(AG$1,2),""),VLOOKUP($D286,素材!$1:$1016,COLUMN($F$1),FALSE))),VLOOKUP($C286,武器!$1:$998,COLUMN($O$1),FALSE)*VLOOKUP($D286,素材!$1:$1016,COLUMN($E$1),FALSE)/(LEN(VLOOKUP($D286,素材!$1:$1016,COLUMN($F$1),FALSE))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H286">
        <f>IF(ISNUMBER(SEARCH(SUBSTITUTE(AH$1,RIGHT(AH$1,2),""),VLOOKUP($D286,素材!$1:$1016,COLUMN($F$1),FALSE))),VLOOKUP($C286,武器!$1:$998,COLUMN($O$1),FALSE)*VLOOKUP($D286,素材!$1:$1016,COLUMN($E$1),FALSE)/(LEN(VLOOKUP($D286,素材!$1:$1016,COLUMN($F$1),FALSE))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I286">
        <f>IF(ISNUMBER(SEARCH(SUBSTITUTE(AI$1,RIGHT(AI$1,2),""),VLOOKUP($D286,素材!$1:$1016,COLUMN($F$1),FALSE))),VLOOKUP($C286,武器!$1:$998,COLUMN($O$1),FALSE)*VLOOKUP($D286,素材!$1:$1016,COLUMN($E$1),FALSE)/(LEN(VLOOKUP($D286,素材!$1:$1016,COLUMN($F$1),FALSE))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J286">
        <f>IF(ISNUMBER(SEARCH(SUBSTITUTE(AJ$1,RIGHT(AJ$1,2),""),VLOOKUP($D286,素材!$1:$1016,COLUMN($F$1),FALSE))),VLOOKUP($C286,武器!$1:$998,COLUMN($O$1),FALSE)*VLOOKUP($D286,素材!$1:$1016,COLUMN($E$1),FALSE)/(LEN(VLOOKUP($D286,素材!$1:$1016,COLUMN($F$1),FALSE))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K286">
        <f>IF(ISNUMBER(SEARCH(SUBSTITUTE(AK$1,RIGHT(AK$1,2),""),VLOOKUP($D286,素材!$1:$1016,COLUMN($F$1),FALSE))),VLOOKUP($C286,武器!$1:$998,COLUMN($O$1),FALSE)*VLOOKUP($D286,素材!$1:$1016,COLUMN($E$1),FALSE)/(LEN(VLOOKUP($D286,素材!$1:$1016,COLUMN($F$1),FALSE))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L286">
        <f>IF(ISNUMBER(SEARCH(SUBSTITUTE(AL$1,RIGHT(AL$1,2),""),VLOOKUP($D286,素材!$1:$1016,COLUMN($F$1),FALSE))),VLOOKUP($C286,武器!$1:$998,COLUMN($O$1),FALSE)*VLOOKUP($D286,素材!$1:$1016,COLUMN($E$1),FALSE)/(LEN(VLOOKUP($D286,素材!$1:$1016,COLUMN($F$1),FALSE))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M286">
        <f>IF(ISNUMBER(SEARCH(SUBSTITUTE(AM$1,RIGHT(AM$1,2),""),VLOOKUP($D286,素材!$1:$1016,COLUMN($F$1),FALSE))),VLOOKUP($C286,武器!$1:$998,COLUMN($O$1),FALSE)*VLOOKUP($D286,素材!$1:$1016,COLUMN($E$1),FALSE)/(LEN(VLOOKUP($D286,素材!$1:$1016,COLUMN($F$1),FALSE))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N286">
        <f>IF(ISNUMBER(SEARCH(SUBSTITUTE(AN$1,RIGHT(AN$1,2),""),VLOOKUP($D286,素材!$1:$1016,COLUMN($F$1),FALSE))),VLOOKUP($C286,武器!$1:$998,COLUMN($O$1),FALSE)*VLOOKUP($D286,素材!$1:$1016,COLUMN($E$1),FALSE)/(LEN(VLOOKUP($D286,素材!$1:$1016,COLUMN($F$1),FALSE))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O286">
        <f>IF(ISNUMBER(SEARCH(SUBSTITUTE(AO$1,RIGHT(AO$1,2),""),VLOOKUP($D286,素材!$1:$1016,COLUMN($F$1),FALSE))),VLOOKUP($C286,武器!$1:$998,COLUMN($O$1),FALSE)*VLOOKUP($D286,素材!$1:$1016,COLUMN($E$1),FALSE)/(LEN(VLOOKUP($D286,素材!$1:$1016,COLUMN($F$1),FALSE))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P286">
        <f>IF(ISNUMBER(SEARCH(SUBSTITUTE(AP$1,RIGHT(AP$1,2),""),VLOOKUP($D286,素材!$1:$1016,COLUMN($F$1),FALSE))),VLOOKUP($C286,武器!$1:$998,COLUMN($O$1),FALSE)*VLOOKUP($D286,素材!$1:$1016,COLUMN($E$1),FALSE)/(LEN(VLOOKUP($D286,素材!$1:$1016,COLUMN($F$1),FALSE))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Q286">
        <f>IF(ISNUMBER(SEARCH(SUBSTITUTE(AQ$1,RIGHT(AQ$1,2),""),VLOOKUP($D286,素材!$1:$1016,COLUMN($F$1),FALSE))),VLOOKUP($C286,武器!$1:$998,COLUMN($O$1),FALSE)*VLOOKUP($D286,素材!$1:$1016,COLUMN($E$1),FALSE)/(LEN(VLOOKUP($D286,素材!$1:$1016,COLUMN($F$1),FALSE))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R286">
        <f>IF(ISNUMBER(SEARCH(SUBSTITUTE(AR$1,RIGHT(AR$1,2),""),VLOOKUP($D286,素材!$1:$1016,COLUMN($F$1),FALSE))),VLOOKUP($C286,武器!$1:$998,COLUMN($O$1),FALSE)*VLOOKUP($D286,素材!$1:$1016,COLUMN($E$1),FALSE)/(LEN(VLOOKUP($D286,素材!$1:$1016,COLUMN($F$1),FALSE))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S286">
        <f>IF(ISNUMBER(SEARCH(SUBSTITUTE(AS$1,RIGHT(AS$1,2),""),VLOOKUP($D286,素材!$1:$1016,COLUMN($F$1),FALSE))),VLOOKUP($C286,武器!$1:$998,COLUMN($O$1),FALSE)*VLOOKUP($D286,素材!$1:$1016,COLUMN($E$1),FALSE)/(LEN(VLOOKUP($D286,素材!$1:$1016,COLUMN($F$1),FALSE))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T286">
        <f>IF(ISNUMBER(SEARCH(SUBSTITUTE(AT$1,RIGHT(AT$1,2),""),VLOOKUP($D286,素材!$1:$1016,COLUMN($F$1),FALSE))),VLOOKUP($C286,武器!$1:$998,COLUMN($O$1),FALSE)*VLOOKUP($D286,素材!$1:$1016,COLUMN($E$1),FALSE)/(LEN(VLOOKUP($D286,素材!$1:$1016,COLUMN($F$1),FALSE))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U286">
        <f>IF(ISNUMBER(SEARCH(SUBSTITUTE(AU$1,RIGHT(AU$1,2),""),VLOOKUP($D286,素材!$1:$1016,COLUMN($F$1),FALSE))),VLOOKUP($C286,武器!$1:$998,COLUMN($O$1),FALSE)*VLOOKUP($D286,素材!$1:$1016,COLUMN($E$1),FALSE)/(LEN(VLOOKUP($D286,素材!$1:$1016,COLUMN($F$1),FALSE))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V286">
        <f>IF(ISNUMBER(SEARCH(SUBSTITUTE(AV$1,RIGHT(AV$1,2),""),VLOOKUP($D286,素材!$1:$1016,COLUMN($F$1),FALSE))),VLOOKUP($C286,武器!$1:$998,COLUMN($O$1),FALSE)*VLOOKUP($D286,素材!$1:$1016,COLUMN($E$1),FALSE)/(LEN(VLOOKUP($D286,素材!$1:$1016,COLUMN($F$1),FALSE))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W286">
        <f>IF(ISNUMBER(SEARCH(SUBSTITUTE(AW$1,RIGHT(AW$1,2),""),VLOOKUP($D286,素材!$1:$1016,COLUMN($F$1),FALSE))),VLOOKUP($C286,武器!$1:$998,COLUMN($O$1),FALSE)*VLOOKUP($D286,素材!$1:$1016,COLUMN($E$1),FALSE)/(LEN(VLOOKUP($D286,素材!$1:$1016,COLUMN($F$1),FALSE))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X286">
        <f>IF(ISNUMBER(SEARCH(SUBSTITUTE(AX$1,RIGHT(AX$1,2),""),VLOOKUP($D286,素材!$1:$1016,COLUMN($F$1),FALSE))),VLOOKUP($C286,武器!$1:$998,COLUMN($O$1),FALSE)*VLOOKUP($D286,素材!$1:$1016,COLUMN($E$1),FALSE)/(LEN(VLOOKUP($D286,素材!$1:$1016,COLUMN($F$1),FALSE))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Y286">
        <f>IF(ISNUMBER(SEARCH(SUBSTITUTE(AY$1,RIGHT(AY$1,2),""),VLOOKUP($D286,素材!$1:$1016,COLUMN($F$1),FALSE))),VLOOKUP($C286,武器!$1:$998,COLUMN($O$1),FALSE)*VLOOKUP($D286,素材!$1:$1016,COLUMN($E$1),FALSE)/(LEN(VLOOKUP($D286,素材!$1:$1016,COLUMN($F$1),FALSE))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AZ286">
        <f>IF(ISNUMBER(SEARCH(SUBSTITUTE(AZ$1,RIGHT(AZ$1,2),""),VLOOKUP($D286,素材!$1:$1016,COLUMN($F$1),FALSE))),VLOOKUP($C286,武器!$1:$998,COLUMN($O$1),FALSE)*VLOOKUP($D286,素材!$1:$1016,COLUMN($E$1),FALSE)/(LEN(VLOOKUP($D286,素材!$1:$1016,COLUMN($F$1),FALSE))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BA286">
        <f>IF(ISNUMBER(SEARCH(SUBSTITUTE(BA$1,RIGHT(BA$1,2),""),VLOOKUP($D286,素材!$1:$1016,COLUMN($F$1),FALSE))),VLOOKUP($C286,武器!$1:$998,COLUMN($O$1),FALSE)*VLOOKUP($D286,素材!$1:$1016,COLUMN($E$1),FALSE)/(LEN(VLOOKUP($D286,素材!$1:$1016,COLUMN($F$1),FALSE))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BB286">
        <f>IF(ISNUMBER(SEARCH(SUBSTITUTE(BB$1,RIGHT(BB$1,2),""),VLOOKUP($D286,素材!$1:$1016,COLUMN($F$1),FALSE))),VLOOKUP($C286,武器!$1:$998,COLUMN($O$1),FALSE)*VLOOKUP($D286,素材!$1:$1016,COLUMN($E$1),FALSE)/(LEN(VLOOKUP($D286,素材!$1:$1016,COLUMN($F$1),FALSE))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BC286">
        <f>IF(ISNUMBER(SEARCH(SUBSTITUTE(BC$1,RIGHT(BC$1,2),""),VLOOKUP($D286,素材!$1:$1016,COLUMN($F$1),FALSE))),VLOOKUP($C286,武器!$1:$998,COLUMN($O$1),FALSE)*VLOOKUP($D286,素材!$1:$1016,COLUMN($E$1),FALSE)/(LEN(VLOOKUP($D286,素材!$1:$1016,COLUMN($F$1),FALSE))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BD286">
        <f>IF(ISNUMBER(SEARCH(SUBSTITUTE(BD$1,RIGHT(BD$1,2),""),VLOOKUP($D286,素材!$1:$1016,COLUMN($F$1),FALSE))),VLOOKUP($C286,武器!$1:$998,COLUMN($O$1),FALSE)*VLOOKUP($D286,素材!$1:$1016,COLUMN($E$1),FALSE)/(LEN(VLOOKUP($D286,素材!$1:$1016,COLUMN($F$1),FALSE))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BE286">
        <f>IF(ISNUMBER(SEARCH(SUBSTITUTE(BE$1,RIGHT(BE$1,2),""),VLOOKUP($D286,素材!$1:$1016,COLUMN($F$1),FALSE))),VLOOKUP($C286,武器!$1:$998,COLUMN($O$1),FALSE)*VLOOKUP($D286,素材!$1:$1016,COLUMN($E$1),FALSE)/(LEN(VLOOKUP($D286,素材!$1:$1016,COLUMN($F$1),FALSE))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BF286">
        <f>IF(ISNUMBER(SEARCH(SUBSTITUTE(BF$1,RIGHT(BF$1,2),""),VLOOKUP($D286,素材!$1:$1016,COLUMN($F$1),FALSE))),VLOOKUP($C286,武器!$1:$998,COLUMN($O$1),FALSE)*VLOOKUP($D286,素材!$1:$1016,COLUMN($E$1),FALSE)/(LEN(VLOOKUP($D286,素材!$1:$1016,COLUMN($F$1),FALSE)) - LEN(SUBSTITUTE(VLOOKUP($D286,素材!$1:$1016,COLUMN($F$1),FALSE), "・", 0)) + 1), 0)</f>
        <v>0</v>
      </c>
      <c r="CM286">
        <f t="shared" si="36"/>
        <v>0</v>
      </c>
      <c r="CN286" s="22" t="str">
        <f>IF(E286="武器",IF(J286-1&gt;SUM(G286:I286),"盾",IF(MAX(G286:I286)=G286,"切断",IF(MAX(G286:I286)=H286,"貫通",IF(MAX(G286:I286)=I286,"打撃","射撃")))),E286)&amp;".webp"</f>
        <v>.webp</v>
      </c>
      <c r="CO286" t="str">
        <f>IFERROR(VLOOKUP($C286,武器!$1:$998,COLUMN(V$1),FALSE)*VLOOKUP($D286,素材!$1:$1016,COLUMN(N$1),FALSE)+IF(CJ286="",0,VLOOKUP($CJ286,装強!$1:$1008,COLUMN($CL$1),FALSE)),"")</f>
        <v/>
      </c>
      <c r="CP286" t="e">
        <f>VLOOKUP(D286,素材!$A:$O,COLUMN(素材!O$1),FALSE)</f>
        <v>#N/A</v>
      </c>
      <c r="CQ286" t="e">
        <f>VLOOKUP(C286,武器!$A:$W,COLUMN(武器!W$1),FALSE)</f>
        <v>#N/A</v>
      </c>
      <c r="CS286" t="str">
        <f t="shared" si="37"/>
        <v>e_286</v>
      </c>
      <c r="CT286" t="e">
        <f t="shared" si="38"/>
        <v>#VALUE!</v>
      </c>
    </row>
    <row r="287" spans="1:98" hidden="1" outlineLevel="1" x14ac:dyDescent="0.4">
      <c r="A287" t="str">
        <f>IF(CJ287="",D287&amp;"の"&amp;C287,CJ287&amp;"の"&amp;C287)</f>
        <v>の</v>
      </c>
      <c r="B287" t="str">
        <f>IFERROR(IF(CJ287="",VLOOKUP($D287,素材!$1:$1016,COLUMN($B$1),FALSE)&amp;"・"&amp;VLOOKUP($C287,武器!$1:$998,COLUMN(B$1),FALSE),VLOOKUP($CJ287,装強!$1:$1008,COLUMN($B$1),FALSE)&amp;"・"&amp;VLOOKUP($C287,武器!$1:$998,COLUMN(B$1),FALSE)),"")</f>
        <v/>
      </c>
      <c r="C287" s="24"/>
      <c r="D287" s="24"/>
      <c r="E287" t="str">
        <f>IFERROR(VLOOKUP(C287,武器!$1:$998,COLUMN(C$1),FALSE),"")</f>
        <v/>
      </c>
      <c r="F287" t="str">
        <f>IFERROR(ROUNDDOWN((VLOOKUP($C287,武器!$1:$998,COLUMN(D$1),FALSE)+IFERROR(VLOOKUP($CJ287,装強!$1:$999,COLUMN(F$1),FALSE),0))*VLOOKUP($D287,素材!$1:$1016,COLUMN(D$1),FALSE),0),"")</f>
        <v/>
      </c>
      <c r="G287" t="str">
        <f>IFERROR(ROUNDDOWN((VLOOKUP($C287,武器!$1:$998,COLUMN(E$1),FALSE)+IFERROR(VLOOKUP($CJ287,装強!$1:$999,COLUMN(G$1),FALSE),0))*VLOOKUP($D287,素材!$1:$1016,COLUMN($E$1),FALSE),0),"")</f>
        <v/>
      </c>
      <c r="H287" t="str">
        <f>IFERROR(ROUNDDOWN((VLOOKUP($C287,武器!$1:$998,COLUMN(F$1),FALSE)+IFERROR(VLOOKUP($CJ287,装強!$1:$999,COLUMN(H$1),FALSE),0))*VLOOKUP($D287,素材!$1:$1016,COLUMN($E$1),FALSE),0),"")</f>
        <v/>
      </c>
      <c r="I287" t="str">
        <f>IFERROR(ROUNDDOWN((VLOOKUP($C287,武器!$1:$998,COLUMN(G$1),FALSE)+IFERROR(VLOOKUP($CJ287,装強!$1:$999,COLUMN(I$1),FALSE),0))*VLOOKUP($D287,素材!$1:$1016,COLUMN($E$1),FALSE),0),"")</f>
        <v/>
      </c>
      <c r="J287" t="str">
        <f>IFERROR(ROUNDDOWN((VLOOKUP($C287,武器!$1:$998,COLUMN(H$1),FALSE)+IFERROR(VLOOKUP($CJ287,装強!$1:$999,COLUMN(J$1),FALSE),0))*VLOOKUP($D287,素材!$1:$1016,COLUMN($E$1),FALSE),0),"")</f>
        <v/>
      </c>
      <c r="K287" t="str">
        <f>IFERROR(ROUNDDOWN((VLOOKUP($C287,武器!$1:$998,COLUMN(I$1),FALSE)+IFERROR(VLOOKUP($CJ287,装強!$1:$999,COLUMN(K$1),FALSE),0))*VLOOKUP($D287,素材!$1:$1016,COLUMN($E$1),FALSE),0),"")</f>
        <v/>
      </c>
      <c r="L287" t="str">
        <f>IFERROR(VLOOKUP($D287,素材!$1:$1016,COLUMN($F$1),FALSE),"")</f>
        <v/>
      </c>
      <c r="M287" t="str">
        <f>IFERROR(VLOOKUP($C287,武器!$1:$998,COLUMN(AA$1),FALSE)*VLOOKUP($D287,素材!$1:$1016,COLUMN($G$1),FALSE),"")</f>
        <v/>
      </c>
      <c r="N287" t="str">
        <f>IFERROR(VLOOKUP($C287,武器!$1:$998,COLUMN(I$1),FALSE),"")</f>
        <v/>
      </c>
      <c r="O287" s="23" t="str">
        <f>IFERROR((VLOOKUP($C287,武器!$1:$998,COLUMN(K$1),FALSE)+VLOOKUP($D287,素材!$1:$1016,COLUMN(H$1),FALSE))*100+IFERROR(VLOOKUP($CJ287,装強!$1:$999,COLUMN(O$1),FALSE),0),"")</f>
        <v/>
      </c>
      <c r="P287" s="23" t="str">
        <f>IFERROR((VLOOKUP($C287,武器!$1:$998,COLUMN(L$1),FALSE)+VLOOKUP($D287,素材!$1:$1016,COLUMN(I$1),FALSE))*100+IFERROR(VLOOKUP($CJ287,装強!$1:$999,COLUMN(P$1),FALSE),0),"")</f>
        <v/>
      </c>
      <c r="Q287" t="str">
        <f>IFERROR(ROUNDUP(VLOOKUP($C287,武器!$1:$998,COLUMN(M$1),FALSE)*(VLOOKUP($D287,素材!$1:$1002,COLUMN(D$1),FALSE)/100),1),"")</f>
        <v/>
      </c>
      <c r="R287" t="str">
        <f>IFERROR(ROUNDUP(VLOOKUP($C287,武器!$1:$998,COLUMN(N$1),FALSE)*(VLOOKUP($D287,素材!$1:$1002,COLUMN(D$1),FALSE)/100),1),"")</f>
        <v/>
      </c>
      <c r="S287" t="str">
        <f>IFERROR(VLOOKUP($C287,武器!$1:$998,COLUMN(P$1),FALSE),"")</f>
        <v/>
      </c>
      <c r="T287" t="str">
        <f>IFERROR(VLOOKUP($C287,武器!$1:$998,COLUMN(Q$1),FALSE),"")</f>
        <v/>
      </c>
      <c r="U287" t="str">
        <f>IFERROR(VLOOKUP($C287,武器!$1:$998,COLUMN(R$1),FALSE),"")</f>
        <v/>
      </c>
      <c r="V287" t="str">
        <f>IFERROR(VLOOKUP($C287,武器!$1:$998,COLUMN(Q$1),FALSE),"")</f>
        <v/>
      </c>
      <c r="W287" t="str">
        <f>IFERROR(VLOOKUP($C287,武器!$1:$998,COLUMN(T$1),FALSE),"")</f>
        <v/>
      </c>
      <c r="Y287" t="str">
        <f>IFERROR(VLOOKUP($C287,武器!$1:$998,COLUMN(U$1),FALSE),"")</f>
        <v/>
      </c>
      <c r="Z287" t="str">
        <f>IFERROR(ROUNDUP(VLOOKUP($C287,武器!$1:$998,COLUMN(O$1),FALSE)*VLOOKUP($D287,素材!$1:$1016,COLUMN(E$1),FALSE),1),"")</f>
        <v/>
      </c>
      <c r="AA287">
        <f>IF(ISNUMBER(SEARCH(SUBSTITUTE(AA$1,RIGHT(AA$1,2),""),VLOOKUP($D287,素材!$1:$1016,COLUMN($F$1),FALSE))),VLOOKUP($C287,武器!$1:$998,COLUMN($O$1),FALSE)*VLOOKUP($D287,素材!$1:$1016,COLUMN($E$1),FALSE)/(LEN(VLOOKUP($D287,素材!$1:$1016,COLUMN($F$1),FALSE))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B287">
        <f>IF(ISNUMBER(SEARCH(SUBSTITUTE(AB$1,RIGHT(AB$1,2),""),VLOOKUP($D287,素材!$1:$1016,COLUMN($F$1),FALSE))),VLOOKUP($C287,武器!$1:$998,COLUMN($O$1),FALSE)*VLOOKUP($D287,素材!$1:$1016,COLUMN($E$1),FALSE)/(LEN(VLOOKUP($D287,素材!$1:$1016,COLUMN($F$1),FALSE))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C287">
        <f>IF(ISNUMBER(SEARCH(SUBSTITUTE(AC$1,RIGHT(AC$1,2),""),VLOOKUP($D287,素材!$1:$1016,COLUMN($F$1),FALSE))),VLOOKUP($C287,武器!$1:$998,COLUMN($O$1),FALSE)*VLOOKUP($D287,素材!$1:$1016,COLUMN($E$1),FALSE)/(LEN(VLOOKUP($D287,素材!$1:$1016,COLUMN($F$1),FALSE))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D287">
        <f>IF(ISNUMBER(SEARCH(SUBSTITUTE(AD$1,RIGHT(AD$1,2),""),VLOOKUP($D287,素材!$1:$1016,COLUMN($F$1),FALSE))),VLOOKUP($C287,武器!$1:$998,COLUMN($O$1),FALSE)*VLOOKUP($D287,素材!$1:$1016,COLUMN($E$1),FALSE)/(LEN(VLOOKUP($D287,素材!$1:$1016,COLUMN($F$1),FALSE))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E287">
        <f>IF(ISNUMBER(SEARCH(SUBSTITUTE(AE$1,RIGHT(AE$1,2),""),VLOOKUP($D287,素材!$1:$1016,COLUMN($F$1),FALSE))),VLOOKUP($C287,武器!$1:$998,COLUMN($O$1),FALSE)*VLOOKUP($D287,素材!$1:$1016,COLUMN($E$1),FALSE)/(LEN(VLOOKUP($D287,素材!$1:$1016,COLUMN($F$1),FALSE))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F287">
        <f>IF(ISNUMBER(SEARCH(SUBSTITUTE(AF$1,RIGHT(AF$1,2),""),VLOOKUP($D287,素材!$1:$1016,COLUMN($F$1),FALSE))),VLOOKUP($C287,武器!$1:$998,COLUMN($O$1),FALSE)*VLOOKUP($D287,素材!$1:$1016,COLUMN($E$1),FALSE)/(LEN(VLOOKUP($D287,素材!$1:$1016,COLUMN($F$1),FALSE))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G287">
        <f>IF(ISNUMBER(SEARCH(SUBSTITUTE(AG$1,RIGHT(AG$1,2),""),VLOOKUP($D287,素材!$1:$1016,COLUMN($F$1),FALSE))),VLOOKUP($C287,武器!$1:$998,COLUMN($O$1),FALSE)*VLOOKUP($D287,素材!$1:$1016,COLUMN($E$1),FALSE)/(LEN(VLOOKUP($D287,素材!$1:$1016,COLUMN($F$1),FALSE))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H287">
        <f>IF(ISNUMBER(SEARCH(SUBSTITUTE(AH$1,RIGHT(AH$1,2),""),VLOOKUP($D287,素材!$1:$1016,COLUMN($F$1),FALSE))),VLOOKUP($C287,武器!$1:$998,COLUMN($O$1),FALSE)*VLOOKUP($D287,素材!$1:$1016,COLUMN($E$1),FALSE)/(LEN(VLOOKUP($D287,素材!$1:$1016,COLUMN($F$1),FALSE))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I287">
        <f>IF(ISNUMBER(SEARCH(SUBSTITUTE(AI$1,RIGHT(AI$1,2),""),VLOOKUP($D287,素材!$1:$1016,COLUMN($F$1),FALSE))),VLOOKUP($C287,武器!$1:$998,COLUMN($O$1),FALSE)*VLOOKUP($D287,素材!$1:$1016,COLUMN($E$1),FALSE)/(LEN(VLOOKUP($D287,素材!$1:$1016,COLUMN($F$1),FALSE))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J287">
        <f>IF(ISNUMBER(SEARCH(SUBSTITUTE(AJ$1,RIGHT(AJ$1,2),""),VLOOKUP($D287,素材!$1:$1016,COLUMN($F$1),FALSE))),VLOOKUP($C287,武器!$1:$998,COLUMN($O$1),FALSE)*VLOOKUP($D287,素材!$1:$1016,COLUMN($E$1),FALSE)/(LEN(VLOOKUP($D287,素材!$1:$1016,COLUMN($F$1),FALSE))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K287">
        <f>IF(ISNUMBER(SEARCH(SUBSTITUTE(AK$1,RIGHT(AK$1,2),""),VLOOKUP($D287,素材!$1:$1016,COLUMN($F$1),FALSE))),VLOOKUP($C287,武器!$1:$998,COLUMN($O$1),FALSE)*VLOOKUP($D287,素材!$1:$1016,COLUMN($E$1),FALSE)/(LEN(VLOOKUP($D287,素材!$1:$1016,COLUMN($F$1),FALSE))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L287">
        <f>IF(ISNUMBER(SEARCH(SUBSTITUTE(AL$1,RIGHT(AL$1,2),""),VLOOKUP($D287,素材!$1:$1016,COLUMN($F$1),FALSE))),VLOOKUP($C287,武器!$1:$998,COLUMN($O$1),FALSE)*VLOOKUP($D287,素材!$1:$1016,COLUMN($E$1),FALSE)/(LEN(VLOOKUP($D287,素材!$1:$1016,COLUMN($F$1),FALSE))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M287">
        <f>IF(ISNUMBER(SEARCH(SUBSTITUTE(AM$1,RIGHT(AM$1,2),""),VLOOKUP($D287,素材!$1:$1016,COLUMN($F$1),FALSE))),VLOOKUP($C287,武器!$1:$998,COLUMN($O$1),FALSE)*VLOOKUP($D287,素材!$1:$1016,COLUMN($E$1),FALSE)/(LEN(VLOOKUP($D287,素材!$1:$1016,COLUMN($F$1),FALSE))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N287">
        <f>IF(ISNUMBER(SEARCH(SUBSTITUTE(AN$1,RIGHT(AN$1,2),""),VLOOKUP($D287,素材!$1:$1016,COLUMN($F$1),FALSE))),VLOOKUP($C287,武器!$1:$998,COLUMN($O$1),FALSE)*VLOOKUP($D287,素材!$1:$1016,COLUMN($E$1),FALSE)/(LEN(VLOOKUP($D287,素材!$1:$1016,COLUMN($F$1),FALSE))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O287">
        <f>IF(ISNUMBER(SEARCH(SUBSTITUTE(AO$1,RIGHT(AO$1,2),""),VLOOKUP($D287,素材!$1:$1016,COLUMN($F$1),FALSE))),VLOOKUP($C287,武器!$1:$998,COLUMN($O$1),FALSE)*VLOOKUP($D287,素材!$1:$1016,COLUMN($E$1),FALSE)/(LEN(VLOOKUP($D287,素材!$1:$1016,COLUMN($F$1),FALSE))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P287">
        <f>IF(ISNUMBER(SEARCH(SUBSTITUTE(AP$1,RIGHT(AP$1,2),""),VLOOKUP($D287,素材!$1:$1016,COLUMN($F$1),FALSE))),VLOOKUP($C287,武器!$1:$998,COLUMN($O$1),FALSE)*VLOOKUP($D287,素材!$1:$1016,COLUMN($E$1),FALSE)/(LEN(VLOOKUP($D287,素材!$1:$1016,COLUMN($F$1),FALSE))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Q287">
        <f>IF(ISNUMBER(SEARCH(SUBSTITUTE(AQ$1,RIGHT(AQ$1,2),""),VLOOKUP($D287,素材!$1:$1016,COLUMN($F$1),FALSE))),VLOOKUP($C287,武器!$1:$998,COLUMN($O$1),FALSE)*VLOOKUP($D287,素材!$1:$1016,COLUMN($E$1),FALSE)/(LEN(VLOOKUP($D287,素材!$1:$1016,COLUMN($F$1),FALSE))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R287">
        <f>IF(ISNUMBER(SEARCH(SUBSTITUTE(AR$1,RIGHT(AR$1,2),""),VLOOKUP($D287,素材!$1:$1016,COLUMN($F$1),FALSE))),VLOOKUP($C287,武器!$1:$998,COLUMN($O$1),FALSE)*VLOOKUP($D287,素材!$1:$1016,COLUMN($E$1),FALSE)/(LEN(VLOOKUP($D287,素材!$1:$1016,COLUMN($F$1),FALSE))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S287">
        <f>IF(ISNUMBER(SEARCH(SUBSTITUTE(AS$1,RIGHT(AS$1,2),""),VLOOKUP($D287,素材!$1:$1016,COLUMN($F$1),FALSE))),VLOOKUP($C287,武器!$1:$998,COLUMN($O$1),FALSE)*VLOOKUP($D287,素材!$1:$1016,COLUMN($E$1),FALSE)/(LEN(VLOOKUP($D287,素材!$1:$1016,COLUMN($F$1),FALSE))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T287">
        <f>IF(ISNUMBER(SEARCH(SUBSTITUTE(AT$1,RIGHT(AT$1,2),""),VLOOKUP($D287,素材!$1:$1016,COLUMN($F$1),FALSE))),VLOOKUP($C287,武器!$1:$998,COLUMN($O$1),FALSE)*VLOOKUP($D287,素材!$1:$1016,COLUMN($E$1),FALSE)/(LEN(VLOOKUP($D287,素材!$1:$1016,COLUMN($F$1),FALSE))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U287">
        <f>IF(ISNUMBER(SEARCH(SUBSTITUTE(AU$1,RIGHT(AU$1,2),""),VLOOKUP($D287,素材!$1:$1016,COLUMN($F$1),FALSE))),VLOOKUP($C287,武器!$1:$998,COLUMN($O$1),FALSE)*VLOOKUP($D287,素材!$1:$1016,COLUMN($E$1),FALSE)/(LEN(VLOOKUP($D287,素材!$1:$1016,COLUMN($F$1),FALSE))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V287">
        <f>IF(ISNUMBER(SEARCH(SUBSTITUTE(AV$1,RIGHT(AV$1,2),""),VLOOKUP($D287,素材!$1:$1016,COLUMN($F$1),FALSE))),VLOOKUP($C287,武器!$1:$998,COLUMN($O$1),FALSE)*VLOOKUP($D287,素材!$1:$1016,COLUMN($E$1),FALSE)/(LEN(VLOOKUP($D287,素材!$1:$1016,COLUMN($F$1),FALSE))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W287">
        <f>IF(ISNUMBER(SEARCH(SUBSTITUTE(AW$1,RIGHT(AW$1,2),""),VLOOKUP($D287,素材!$1:$1016,COLUMN($F$1),FALSE))),VLOOKUP($C287,武器!$1:$998,COLUMN($O$1),FALSE)*VLOOKUP($D287,素材!$1:$1016,COLUMN($E$1),FALSE)/(LEN(VLOOKUP($D287,素材!$1:$1016,COLUMN($F$1),FALSE))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X287">
        <f>IF(ISNUMBER(SEARCH(SUBSTITUTE(AX$1,RIGHT(AX$1,2),""),VLOOKUP($D287,素材!$1:$1016,COLUMN($F$1),FALSE))),VLOOKUP($C287,武器!$1:$998,COLUMN($O$1),FALSE)*VLOOKUP($D287,素材!$1:$1016,COLUMN($E$1),FALSE)/(LEN(VLOOKUP($D287,素材!$1:$1016,COLUMN($F$1),FALSE))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Y287">
        <f>IF(ISNUMBER(SEARCH(SUBSTITUTE(AY$1,RIGHT(AY$1,2),""),VLOOKUP($D287,素材!$1:$1016,COLUMN($F$1),FALSE))),VLOOKUP($C287,武器!$1:$998,COLUMN($O$1),FALSE)*VLOOKUP($D287,素材!$1:$1016,COLUMN($E$1),FALSE)/(LEN(VLOOKUP($D287,素材!$1:$1016,COLUMN($F$1),FALSE))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AZ287">
        <f>IF(ISNUMBER(SEARCH(SUBSTITUTE(AZ$1,RIGHT(AZ$1,2),""),VLOOKUP($D287,素材!$1:$1016,COLUMN($F$1),FALSE))),VLOOKUP($C287,武器!$1:$998,COLUMN($O$1),FALSE)*VLOOKUP($D287,素材!$1:$1016,COLUMN($E$1),FALSE)/(LEN(VLOOKUP($D287,素材!$1:$1016,COLUMN($F$1),FALSE))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BA287">
        <f>IF(ISNUMBER(SEARCH(SUBSTITUTE(BA$1,RIGHT(BA$1,2),""),VLOOKUP($D287,素材!$1:$1016,COLUMN($F$1),FALSE))),VLOOKUP($C287,武器!$1:$998,COLUMN($O$1),FALSE)*VLOOKUP($D287,素材!$1:$1016,COLUMN($E$1),FALSE)/(LEN(VLOOKUP($D287,素材!$1:$1016,COLUMN($F$1),FALSE))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BB287">
        <f>IF(ISNUMBER(SEARCH(SUBSTITUTE(BB$1,RIGHT(BB$1,2),""),VLOOKUP($D287,素材!$1:$1016,COLUMN($F$1),FALSE))),VLOOKUP($C287,武器!$1:$998,COLUMN($O$1),FALSE)*VLOOKUP($D287,素材!$1:$1016,COLUMN($E$1),FALSE)/(LEN(VLOOKUP($D287,素材!$1:$1016,COLUMN($F$1),FALSE))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BC287">
        <f>IF(ISNUMBER(SEARCH(SUBSTITUTE(BC$1,RIGHT(BC$1,2),""),VLOOKUP($D287,素材!$1:$1016,COLUMN($F$1),FALSE))),VLOOKUP($C287,武器!$1:$998,COLUMN($O$1),FALSE)*VLOOKUP($D287,素材!$1:$1016,COLUMN($E$1),FALSE)/(LEN(VLOOKUP($D287,素材!$1:$1016,COLUMN($F$1),FALSE))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BD287">
        <f>IF(ISNUMBER(SEARCH(SUBSTITUTE(BD$1,RIGHT(BD$1,2),""),VLOOKUP($D287,素材!$1:$1016,COLUMN($F$1),FALSE))),VLOOKUP($C287,武器!$1:$998,COLUMN($O$1),FALSE)*VLOOKUP($D287,素材!$1:$1016,COLUMN($E$1),FALSE)/(LEN(VLOOKUP($D287,素材!$1:$1016,COLUMN($F$1),FALSE))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BE287">
        <f>IF(ISNUMBER(SEARCH(SUBSTITUTE(BE$1,RIGHT(BE$1,2),""),VLOOKUP($D287,素材!$1:$1016,COLUMN($F$1),FALSE))),VLOOKUP($C287,武器!$1:$998,COLUMN($O$1),FALSE)*VLOOKUP($D287,素材!$1:$1016,COLUMN($E$1),FALSE)/(LEN(VLOOKUP($D287,素材!$1:$1016,COLUMN($F$1),FALSE))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BF287">
        <f>IF(ISNUMBER(SEARCH(SUBSTITUTE(BF$1,RIGHT(BF$1,2),""),VLOOKUP($D287,素材!$1:$1016,COLUMN($F$1),FALSE))),VLOOKUP($C287,武器!$1:$998,COLUMN($O$1),FALSE)*VLOOKUP($D287,素材!$1:$1016,COLUMN($E$1),FALSE)/(LEN(VLOOKUP($D287,素材!$1:$1016,COLUMN($F$1),FALSE)) - LEN(SUBSTITUTE(VLOOKUP($D287,素材!$1:$1016,COLUMN($F$1),FALSE), "・", 0)) + 1), 0)</f>
        <v>0</v>
      </c>
      <c r="CM287">
        <f t="shared" si="36"/>
        <v>0</v>
      </c>
      <c r="CN287" s="22" t="str">
        <f>IF(E287="武器",IF(J287-1&gt;SUM(G287:I287),"盾",IF(MAX(G287:I287)=G287,"切断",IF(MAX(G287:I287)=H287,"貫通",IF(MAX(G287:I287)=I287,"打撃","射撃")))),E287)&amp;".webp"</f>
        <v>.webp</v>
      </c>
      <c r="CO287" t="str">
        <f>IFERROR(VLOOKUP($C287,武器!$1:$998,COLUMN(V$1),FALSE)*VLOOKUP($D287,素材!$1:$1016,COLUMN(N$1),FALSE)+IF(CJ287="",0,VLOOKUP($CJ287,装強!$1:$1008,COLUMN($CL$1),FALSE)),"")</f>
        <v/>
      </c>
      <c r="CP287" t="e">
        <f>VLOOKUP(D287,素材!$A:$O,COLUMN(素材!O$1),FALSE)</f>
        <v>#N/A</v>
      </c>
      <c r="CQ287" t="e">
        <f>VLOOKUP(C287,武器!$A:$W,COLUMN(武器!W$1),FALSE)</f>
        <v>#N/A</v>
      </c>
      <c r="CS287" t="str">
        <f t="shared" si="37"/>
        <v>e_287</v>
      </c>
      <c r="CT287" t="e">
        <f t="shared" si="38"/>
        <v>#VALUE!</v>
      </c>
    </row>
    <row r="288" spans="1:98" hidden="1" outlineLevel="1" x14ac:dyDescent="0.4">
      <c r="A288" t="str">
        <f>IF(CJ288="",D288&amp;"の"&amp;C288,CJ288&amp;"の"&amp;C288)</f>
        <v>の</v>
      </c>
      <c r="B288" t="str">
        <f>IFERROR(IF(CJ288="",VLOOKUP($D288,素材!$1:$1016,COLUMN($B$1),FALSE)&amp;"・"&amp;VLOOKUP($C288,武器!$1:$998,COLUMN(B$1),FALSE),VLOOKUP($CJ288,装強!$1:$1008,COLUMN($B$1),FALSE)&amp;"・"&amp;VLOOKUP($C288,武器!$1:$998,COLUMN(B$1),FALSE)),"")</f>
        <v/>
      </c>
      <c r="C288" s="24"/>
      <c r="D288" s="24"/>
      <c r="E288" t="str">
        <f>IFERROR(VLOOKUP(C288,武器!$1:$998,COLUMN(C$1),FALSE),"")</f>
        <v/>
      </c>
      <c r="F288" t="str">
        <f>IFERROR(ROUNDDOWN((VLOOKUP($C288,武器!$1:$998,COLUMN(D$1),FALSE)+IFERROR(VLOOKUP($CJ288,装強!$1:$999,COLUMN(F$1),FALSE),0))*VLOOKUP($D288,素材!$1:$1016,COLUMN(D$1),FALSE),0),"")</f>
        <v/>
      </c>
      <c r="G288" t="str">
        <f>IFERROR(ROUNDDOWN((VLOOKUP($C288,武器!$1:$998,COLUMN(E$1),FALSE)+IFERROR(VLOOKUP($CJ288,装強!$1:$999,COLUMN(G$1),FALSE),0))*VLOOKUP($D288,素材!$1:$1016,COLUMN($E$1),FALSE),0),"")</f>
        <v/>
      </c>
      <c r="H288" t="str">
        <f>IFERROR(ROUNDDOWN((VLOOKUP($C288,武器!$1:$998,COLUMN(F$1),FALSE)+IFERROR(VLOOKUP($CJ288,装強!$1:$999,COLUMN(H$1),FALSE),0))*VLOOKUP($D288,素材!$1:$1016,COLUMN($E$1),FALSE),0),"")</f>
        <v/>
      </c>
      <c r="I288" t="str">
        <f>IFERROR(ROUNDDOWN((VLOOKUP($C288,武器!$1:$998,COLUMN(G$1),FALSE)+IFERROR(VLOOKUP($CJ288,装強!$1:$999,COLUMN(I$1),FALSE),0))*VLOOKUP($D288,素材!$1:$1016,COLUMN($E$1),FALSE),0),"")</f>
        <v/>
      </c>
      <c r="J288" t="str">
        <f>IFERROR(ROUNDDOWN((VLOOKUP($C288,武器!$1:$998,COLUMN(H$1),FALSE)+IFERROR(VLOOKUP($CJ288,装強!$1:$999,COLUMN(J$1),FALSE),0))*VLOOKUP($D288,素材!$1:$1016,COLUMN($E$1),FALSE),0),"")</f>
        <v/>
      </c>
      <c r="K288" t="str">
        <f>IFERROR(ROUNDDOWN((VLOOKUP($C288,武器!$1:$998,COLUMN(I$1),FALSE)+IFERROR(VLOOKUP($CJ288,装強!$1:$999,COLUMN(K$1),FALSE),0))*VLOOKUP($D288,素材!$1:$1016,COLUMN($E$1),FALSE),0),"")</f>
        <v/>
      </c>
      <c r="L288" t="str">
        <f>IFERROR(VLOOKUP($D288,素材!$1:$1016,COLUMN($F$1),FALSE),"")</f>
        <v/>
      </c>
      <c r="M288" t="str">
        <f>IFERROR(VLOOKUP($C288,武器!$1:$998,COLUMN(AA$1),FALSE)*VLOOKUP($D288,素材!$1:$1016,COLUMN($G$1),FALSE),"")</f>
        <v/>
      </c>
      <c r="N288" t="str">
        <f>IFERROR(VLOOKUP($C288,武器!$1:$998,COLUMN(I$1),FALSE),"")</f>
        <v/>
      </c>
      <c r="O288" s="23" t="str">
        <f>IFERROR((VLOOKUP($C288,武器!$1:$998,COLUMN(K$1),FALSE)+VLOOKUP($D288,素材!$1:$1016,COLUMN(H$1),FALSE))*100+IFERROR(VLOOKUP($CJ288,装強!$1:$999,COLUMN(O$1),FALSE),0),"")</f>
        <v/>
      </c>
      <c r="P288" s="23" t="str">
        <f>IFERROR((VLOOKUP($C288,武器!$1:$998,COLUMN(L$1),FALSE)+VLOOKUP($D288,素材!$1:$1016,COLUMN(I$1),FALSE))*100+IFERROR(VLOOKUP($CJ288,装強!$1:$999,COLUMN(P$1),FALSE),0),"")</f>
        <v/>
      </c>
      <c r="Q288" t="str">
        <f>IFERROR(ROUNDUP(VLOOKUP($C288,武器!$1:$998,COLUMN(M$1),FALSE)*(VLOOKUP($D288,素材!$1:$1002,COLUMN(D$1),FALSE)/100),1),"")</f>
        <v/>
      </c>
      <c r="R288" t="str">
        <f>IFERROR(ROUNDUP(VLOOKUP($C288,武器!$1:$998,COLUMN(N$1),FALSE)*(VLOOKUP($D288,素材!$1:$1002,COLUMN(D$1),FALSE)/100),1),"")</f>
        <v/>
      </c>
      <c r="S288" t="str">
        <f>IFERROR(VLOOKUP($C288,武器!$1:$998,COLUMN(P$1),FALSE),"")</f>
        <v/>
      </c>
      <c r="T288" t="str">
        <f>IFERROR(VLOOKUP($C288,武器!$1:$998,COLUMN(Q$1),FALSE),"")</f>
        <v/>
      </c>
      <c r="U288" t="str">
        <f>IFERROR(VLOOKUP($C288,武器!$1:$998,COLUMN(R$1),FALSE),"")</f>
        <v/>
      </c>
      <c r="V288" t="str">
        <f>IFERROR(VLOOKUP($C288,武器!$1:$998,COLUMN(Q$1),FALSE),"")</f>
        <v/>
      </c>
      <c r="W288" t="str">
        <f>IFERROR(VLOOKUP($C288,武器!$1:$998,COLUMN(T$1),FALSE),"")</f>
        <v/>
      </c>
      <c r="Y288" t="str">
        <f>IFERROR(VLOOKUP($C288,武器!$1:$998,COLUMN(U$1),FALSE),"")</f>
        <v/>
      </c>
      <c r="Z288" t="str">
        <f>IFERROR(ROUNDUP(VLOOKUP($C288,武器!$1:$998,COLUMN(O$1),FALSE)*VLOOKUP($D288,素材!$1:$1016,COLUMN(E$1),FALSE),1),"")</f>
        <v/>
      </c>
      <c r="AA288">
        <f>IF(ISNUMBER(SEARCH(SUBSTITUTE(AA$1,RIGHT(AA$1,2),""),VLOOKUP($D288,素材!$1:$1016,COLUMN($F$1),FALSE))),VLOOKUP($C288,武器!$1:$998,COLUMN($O$1),FALSE)*VLOOKUP($D288,素材!$1:$1016,COLUMN($E$1),FALSE)/(LEN(VLOOKUP($D288,素材!$1:$1016,COLUMN($F$1),FALSE))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B288">
        <f>IF(ISNUMBER(SEARCH(SUBSTITUTE(AB$1,RIGHT(AB$1,2),""),VLOOKUP($D288,素材!$1:$1016,COLUMN($F$1),FALSE))),VLOOKUP($C288,武器!$1:$998,COLUMN($O$1),FALSE)*VLOOKUP($D288,素材!$1:$1016,COLUMN($E$1),FALSE)/(LEN(VLOOKUP($D288,素材!$1:$1016,COLUMN($F$1),FALSE))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C288">
        <f>IF(ISNUMBER(SEARCH(SUBSTITUTE(AC$1,RIGHT(AC$1,2),""),VLOOKUP($D288,素材!$1:$1016,COLUMN($F$1),FALSE))),VLOOKUP($C288,武器!$1:$998,COLUMN($O$1),FALSE)*VLOOKUP($D288,素材!$1:$1016,COLUMN($E$1),FALSE)/(LEN(VLOOKUP($D288,素材!$1:$1016,COLUMN($F$1),FALSE))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D288">
        <f>IF(ISNUMBER(SEARCH(SUBSTITUTE(AD$1,RIGHT(AD$1,2),""),VLOOKUP($D288,素材!$1:$1016,COLUMN($F$1),FALSE))),VLOOKUP($C288,武器!$1:$998,COLUMN($O$1),FALSE)*VLOOKUP($D288,素材!$1:$1016,COLUMN($E$1),FALSE)/(LEN(VLOOKUP($D288,素材!$1:$1016,COLUMN($F$1),FALSE))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E288">
        <f>IF(ISNUMBER(SEARCH(SUBSTITUTE(AE$1,RIGHT(AE$1,2),""),VLOOKUP($D288,素材!$1:$1016,COLUMN($F$1),FALSE))),VLOOKUP($C288,武器!$1:$998,COLUMN($O$1),FALSE)*VLOOKUP($D288,素材!$1:$1016,COLUMN($E$1),FALSE)/(LEN(VLOOKUP($D288,素材!$1:$1016,COLUMN($F$1),FALSE))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F288">
        <f>IF(ISNUMBER(SEARCH(SUBSTITUTE(AF$1,RIGHT(AF$1,2),""),VLOOKUP($D288,素材!$1:$1016,COLUMN($F$1),FALSE))),VLOOKUP($C288,武器!$1:$998,COLUMN($O$1),FALSE)*VLOOKUP($D288,素材!$1:$1016,COLUMN($E$1),FALSE)/(LEN(VLOOKUP($D288,素材!$1:$1016,COLUMN($F$1),FALSE))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G288">
        <f>IF(ISNUMBER(SEARCH(SUBSTITUTE(AG$1,RIGHT(AG$1,2),""),VLOOKUP($D288,素材!$1:$1016,COLUMN($F$1),FALSE))),VLOOKUP($C288,武器!$1:$998,COLUMN($O$1),FALSE)*VLOOKUP($D288,素材!$1:$1016,COLUMN($E$1),FALSE)/(LEN(VLOOKUP($D288,素材!$1:$1016,COLUMN($F$1),FALSE))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H288">
        <f>IF(ISNUMBER(SEARCH(SUBSTITUTE(AH$1,RIGHT(AH$1,2),""),VLOOKUP($D288,素材!$1:$1016,COLUMN($F$1),FALSE))),VLOOKUP($C288,武器!$1:$998,COLUMN($O$1),FALSE)*VLOOKUP($D288,素材!$1:$1016,COLUMN($E$1),FALSE)/(LEN(VLOOKUP($D288,素材!$1:$1016,COLUMN($F$1),FALSE))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I288">
        <f>IF(ISNUMBER(SEARCH(SUBSTITUTE(AI$1,RIGHT(AI$1,2),""),VLOOKUP($D288,素材!$1:$1016,COLUMN($F$1),FALSE))),VLOOKUP($C288,武器!$1:$998,COLUMN($O$1),FALSE)*VLOOKUP($D288,素材!$1:$1016,COLUMN($E$1),FALSE)/(LEN(VLOOKUP($D288,素材!$1:$1016,COLUMN($F$1),FALSE))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J288">
        <f>IF(ISNUMBER(SEARCH(SUBSTITUTE(AJ$1,RIGHT(AJ$1,2),""),VLOOKUP($D288,素材!$1:$1016,COLUMN($F$1),FALSE))),VLOOKUP($C288,武器!$1:$998,COLUMN($O$1),FALSE)*VLOOKUP($D288,素材!$1:$1016,COLUMN($E$1),FALSE)/(LEN(VLOOKUP($D288,素材!$1:$1016,COLUMN($F$1),FALSE))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K288">
        <f>IF(ISNUMBER(SEARCH(SUBSTITUTE(AK$1,RIGHT(AK$1,2),""),VLOOKUP($D288,素材!$1:$1016,COLUMN($F$1),FALSE))),VLOOKUP($C288,武器!$1:$998,COLUMN($O$1),FALSE)*VLOOKUP($D288,素材!$1:$1016,COLUMN($E$1),FALSE)/(LEN(VLOOKUP($D288,素材!$1:$1016,COLUMN($F$1),FALSE))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L288">
        <f>IF(ISNUMBER(SEARCH(SUBSTITUTE(AL$1,RIGHT(AL$1,2),""),VLOOKUP($D288,素材!$1:$1016,COLUMN($F$1),FALSE))),VLOOKUP($C288,武器!$1:$998,COLUMN($O$1),FALSE)*VLOOKUP($D288,素材!$1:$1016,COLUMN($E$1),FALSE)/(LEN(VLOOKUP($D288,素材!$1:$1016,COLUMN($F$1),FALSE))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M288">
        <f>IF(ISNUMBER(SEARCH(SUBSTITUTE(AM$1,RIGHT(AM$1,2),""),VLOOKUP($D288,素材!$1:$1016,COLUMN($F$1),FALSE))),VLOOKUP($C288,武器!$1:$998,COLUMN($O$1),FALSE)*VLOOKUP($D288,素材!$1:$1016,COLUMN($E$1),FALSE)/(LEN(VLOOKUP($D288,素材!$1:$1016,COLUMN($F$1),FALSE))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N288">
        <f>IF(ISNUMBER(SEARCH(SUBSTITUTE(AN$1,RIGHT(AN$1,2),""),VLOOKUP($D288,素材!$1:$1016,COLUMN($F$1),FALSE))),VLOOKUP($C288,武器!$1:$998,COLUMN($O$1),FALSE)*VLOOKUP($D288,素材!$1:$1016,COLUMN($E$1),FALSE)/(LEN(VLOOKUP($D288,素材!$1:$1016,COLUMN($F$1),FALSE))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O288">
        <f>IF(ISNUMBER(SEARCH(SUBSTITUTE(AO$1,RIGHT(AO$1,2),""),VLOOKUP($D288,素材!$1:$1016,COLUMN($F$1),FALSE))),VLOOKUP($C288,武器!$1:$998,COLUMN($O$1),FALSE)*VLOOKUP($D288,素材!$1:$1016,COLUMN($E$1),FALSE)/(LEN(VLOOKUP($D288,素材!$1:$1016,COLUMN($F$1),FALSE))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P288">
        <f>IF(ISNUMBER(SEARCH(SUBSTITUTE(AP$1,RIGHT(AP$1,2),""),VLOOKUP($D288,素材!$1:$1016,COLUMN($F$1),FALSE))),VLOOKUP($C288,武器!$1:$998,COLUMN($O$1),FALSE)*VLOOKUP($D288,素材!$1:$1016,COLUMN($E$1),FALSE)/(LEN(VLOOKUP($D288,素材!$1:$1016,COLUMN($F$1),FALSE))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Q288">
        <f>IF(ISNUMBER(SEARCH(SUBSTITUTE(AQ$1,RIGHT(AQ$1,2),""),VLOOKUP($D288,素材!$1:$1016,COLUMN($F$1),FALSE))),VLOOKUP($C288,武器!$1:$998,COLUMN($O$1),FALSE)*VLOOKUP($D288,素材!$1:$1016,COLUMN($E$1),FALSE)/(LEN(VLOOKUP($D288,素材!$1:$1016,COLUMN($F$1),FALSE))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R288">
        <f>IF(ISNUMBER(SEARCH(SUBSTITUTE(AR$1,RIGHT(AR$1,2),""),VLOOKUP($D288,素材!$1:$1016,COLUMN($F$1),FALSE))),VLOOKUP($C288,武器!$1:$998,COLUMN($O$1),FALSE)*VLOOKUP($D288,素材!$1:$1016,COLUMN($E$1),FALSE)/(LEN(VLOOKUP($D288,素材!$1:$1016,COLUMN($F$1),FALSE))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S288">
        <f>IF(ISNUMBER(SEARCH(SUBSTITUTE(AS$1,RIGHT(AS$1,2),""),VLOOKUP($D288,素材!$1:$1016,COLUMN($F$1),FALSE))),VLOOKUP($C288,武器!$1:$998,COLUMN($O$1),FALSE)*VLOOKUP($D288,素材!$1:$1016,COLUMN($E$1),FALSE)/(LEN(VLOOKUP($D288,素材!$1:$1016,COLUMN($F$1),FALSE))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T288">
        <f>IF(ISNUMBER(SEARCH(SUBSTITUTE(AT$1,RIGHT(AT$1,2),""),VLOOKUP($D288,素材!$1:$1016,COLUMN($F$1),FALSE))),VLOOKUP($C288,武器!$1:$998,COLUMN($O$1),FALSE)*VLOOKUP($D288,素材!$1:$1016,COLUMN($E$1),FALSE)/(LEN(VLOOKUP($D288,素材!$1:$1016,COLUMN($F$1),FALSE))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U288">
        <f>IF(ISNUMBER(SEARCH(SUBSTITUTE(AU$1,RIGHT(AU$1,2),""),VLOOKUP($D288,素材!$1:$1016,COLUMN($F$1),FALSE))),VLOOKUP($C288,武器!$1:$998,COLUMN($O$1),FALSE)*VLOOKUP($D288,素材!$1:$1016,COLUMN($E$1),FALSE)/(LEN(VLOOKUP($D288,素材!$1:$1016,COLUMN($F$1),FALSE))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V288">
        <f>IF(ISNUMBER(SEARCH(SUBSTITUTE(AV$1,RIGHT(AV$1,2),""),VLOOKUP($D288,素材!$1:$1016,COLUMN($F$1),FALSE))),VLOOKUP($C288,武器!$1:$998,COLUMN($O$1),FALSE)*VLOOKUP($D288,素材!$1:$1016,COLUMN($E$1),FALSE)/(LEN(VLOOKUP($D288,素材!$1:$1016,COLUMN($F$1),FALSE))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W288">
        <f>IF(ISNUMBER(SEARCH(SUBSTITUTE(AW$1,RIGHT(AW$1,2),""),VLOOKUP($D288,素材!$1:$1016,COLUMN($F$1),FALSE))),VLOOKUP($C288,武器!$1:$998,COLUMN($O$1),FALSE)*VLOOKUP($D288,素材!$1:$1016,COLUMN($E$1),FALSE)/(LEN(VLOOKUP($D288,素材!$1:$1016,COLUMN($F$1),FALSE))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X288">
        <f>IF(ISNUMBER(SEARCH(SUBSTITUTE(AX$1,RIGHT(AX$1,2),""),VLOOKUP($D288,素材!$1:$1016,COLUMN($F$1),FALSE))),VLOOKUP($C288,武器!$1:$998,COLUMN($O$1),FALSE)*VLOOKUP($D288,素材!$1:$1016,COLUMN($E$1),FALSE)/(LEN(VLOOKUP($D288,素材!$1:$1016,COLUMN($F$1),FALSE))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Y288">
        <f>IF(ISNUMBER(SEARCH(SUBSTITUTE(AY$1,RIGHT(AY$1,2),""),VLOOKUP($D288,素材!$1:$1016,COLUMN($F$1),FALSE))),VLOOKUP($C288,武器!$1:$998,COLUMN($O$1),FALSE)*VLOOKUP($D288,素材!$1:$1016,COLUMN($E$1),FALSE)/(LEN(VLOOKUP($D288,素材!$1:$1016,COLUMN($F$1),FALSE))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AZ288">
        <f>IF(ISNUMBER(SEARCH(SUBSTITUTE(AZ$1,RIGHT(AZ$1,2),""),VLOOKUP($D288,素材!$1:$1016,COLUMN($F$1),FALSE))),VLOOKUP($C288,武器!$1:$998,COLUMN($O$1),FALSE)*VLOOKUP($D288,素材!$1:$1016,COLUMN($E$1),FALSE)/(LEN(VLOOKUP($D288,素材!$1:$1016,COLUMN($F$1),FALSE))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BA288">
        <f>IF(ISNUMBER(SEARCH(SUBSTITUTE(BA$1,RIGHT(BA$1,2),""),VLOOKUP($D288,素材!$1:$1016,COLUMN($F$1),FALSE))),VLOOKUP($C288,武器!$1:$998,COLUMN($O$1),FALSE)*VLOOKUP($D288,素材!$1:$1016,COLUMN($E$1),FALSE)/(LEN(VLOOKUP($D288,素材!$1:$1016,COLUMN($F$1),FALSE))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BB288">
        <f>IF(ISNUMBER(SEARCH(SUBSTITUTE(BB$1,RIGHT(BB$1,2),""),VLOOKUP($D288,素材!$1:$1016,COLUMN($F$1),FALSE))),VLOOKUP($C288,武器!$1:$998,COLUMN($O$1),FALSE)*VLOOKUP($D288,素材!$1:$1016,COLUMN($E$1),FALSE)/(LEN(VLOOKUP($D288,素材!$1:$1016,COLUMN($F$1),FALSE))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BC288">
        <f>IF(ISNUMBER(SEARCH(SUBSTITUTE(BC$1,RIGHT(BC$1,2),""),VLOOKUP($D288,素材!$1:$1016,COLUMN($F$1),FALSE))),VLOOKUP($C288,武器!$1:$998,COLUMN($O$1),FALSE)*VLOOKUP($D288,素材!$1:$1016,COLUMN($E$1),FALSE)/(LEN(VLOOKUP($D288,素材!$1:$1016,COLUMN($F$1),FALSE))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BD288">
        <f>IF(ISNUMBER(SEARCH(SUBSTITUTE(BD$1,RIGHT(BD$1,2),""),VLOOKUP($D288,素材!$1:$1016,COLUMN($F$1),FALSE))),VLOOKUP($C288,武器!$1:$998,COLUMN($O$1),FALSE)*VLOOKUP($D288,素材!$1:$1016,COLUMN($E$1),FALSE)/(LEN(VLOOKUP($D288,素材!$1:$1016,COLUMN($F$1),FALSE))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BE288">
        <f>IF(ISNUMBER(SEARCH(SUBSTITUTE(BE$1,RIGHT(BE$1,2),""),VLOOKUP($D288,素材!$1:$1016,COLUMN($F$1),FALSE))),VLOOKUP($C288,武器!$1:$998,COLUMN($O$1),FALSE)*VLOOKUP($D288,素材!$1:$1016,COLUMN($E$1),FALSE)/(LEN(VLOOKUP($D288,素材!$1:$1016,COLUMN($F$1),FALSE))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BF288">
        <f>IF(ISNUMBER(SEARCH(SUBSTITUTE(BF$1,RIGHT(BF$1,2),""),VLOOKUP($D288,素材!$1:$1016,COLUMN($F$1),FALSE))),VLOOKUP($C288,武器!$1:$998,COLUMN($O$1),FALSE)*VLOOKUP($D288,素材!$1:$1016,COLUMN($E$1),FALSE)/(LEN(VLOOKUP($D288,素材!$1:$1016,COLUMN($F$1),FALSE)) - LEN(SUBSTITUTE(VLOOKUP($D288,素材!$1:$1016,COLUMN($F$1),FALSE), "・", 0)) + 1), 0)</f>
        <v>0</v>
      </c>
      <c r="CM288">
        <f t="shared" si="36"/>
        <v>0</v>
      </c>
      <c r="CN288" s="22" t="str">
        <f>IF(E288="武器",IF(J288-1&gt;SUM(G288:I288),"盾",IF(MAX(G288:I288)=G288,"切断",IF(MAX(G288:I288)=H288,"貫通",IF(MAX(G288:I288)=I288,"打撃","射撃")))),E288)&amp;".webp"</f>
        <v>.webp</v>
      </c>
      <c r="CO288" t="str">
        <f>IFERROR(VLOOKUP($C288,武器!$1:$998,COLUMN(V$1),FALSE)*VLOOKUP($D288,素材!$1:$1016,COLUMN(N$1),FALSE)+IF(CJ288="",0,VLOOKUP($CJ288,装強!$1:$1008,COLUMN($CL$1),FALSE)),"")</f>
        <v/>
      </c>
      <c r="CP288" t="e">
        <f>VLOOKUP(D288,素材!$A:$O,COLUMN(素材!O$1),FALSE)</f>
        <v>#N/A</v>
      </c>
      <c r="CQ288" t="e">
        <f>VLOOKUP(C288,武器!$A:$W,COLUMN(武器!W$1),FALSE)</f>
        <v>#N/A</v>
      </c>
      <c r="CS288" t="str">
        <f t="shared" si="37"/>
        <v>e_288</v>
      </c>
      <c r="CT288" t="e">
        <f t="shared" si="38"/>
        <v>#VALUE!</v>
      </c>
    </row>
    <row r="289" spans="1:98" hidden="1" outlineLevel="1" x14ac:dyDescent="0.4">
      <c r="A289" t="str">
        <f>IF(CJ289="",D289&amp;"の"&amp;C289,CJ289&amp;"の"&amp;C289)</f>
        <v>の</v>
      </c>
      <c r="B289" t="str">
        <f>IFERROR(IF(CJ289="",VLOOKUP($D289,素材!$1:$1016,COLUMN($B$1),FALSE)&amp;"・"&amp;VLOOKUP($C289,武器!$1:$998,COLUMN(B$1),FALSE),VLOOKUP($CJ289,装強!$1:$1008,COLUMN($B$1),FALSE)&amp;"・"&amp;VLOOKUP($C289,武器!$1:$998,COLUMN(B$1),FALSE)),"")</f>
        <v/>
      </c>
      <c r="C289" s="24"/>
      <c r="D289" s="24"/>
      <c r="E289" t="str">
        <f>IFERROR(VLOOKUP(C289,武器!$1:$998,COLUMN(C$1),FALSE),"")</f>
        <v/>
      </c>
      <c r="F289" t="str">
        <f>IFERROR(ROUNDDOWN((VLOOKUP($C289,武器!$1:$998,COLUMN(D$1),FALSE)+IFERROR(VLOOKUP($CJ289,装強!$1:$999,COLUMN(F$1),FALSE),0))*VLOOKUP($D289,素材!$1:$1016,COLUMN(D$1),FALSE),0),"")</f>
        <v/>
      </c>
      <c r="G289" t="str">
        <f>IFERROR(ROUNDDOWN((VLOOKUP($C289,武器!$1:$998,COLUMN(E$1),FALSE)+IFERROR(VLOOKUP($CJ289,装強!$1:$999,COLUMN(G$1),FALSE),0))*VLOOKUP($D289,素材!$1:$1016,COLUMN($E$1),FALSE),0),"")</f>
        <v/>
      </c>
      <c r="H289" t="str">
        <f>IFERROR(ROUNDDOWN((VLOOKUP($C289,武器!$1:$998,COLUMN(F$1),FALSE)+IFERROR(VLOOKUP($CJ289,装強!$1:$999,COLUMN(H$1),FALSE),0))*VLOOKUP($D289,素材!$1:$1016,COLUMN($E$1),FALSE),0),"")</f>
        <v/>
      </c>
      <c r="I289" t="str">
        <f>IFERROR(ROUNDDOWN((VLOOKUP($C289,武器!$1:$998,COLUMN(G$1),FALSE)+IFERROR(VLOOKUP($CJ289,装強!$1:$999,COLUMN(I$1),FALSE),0))*VLOOKUP($D289,素材!$1:$1016,COLUMN($E$1),FALSE),0),"")</f>
        <v/>
      </c>
      <c r="J289" t="str">
        <f>IFERROR(ROUNDDOWN((VLOOKUP($C289,武器!$1:$998,COLUMN(H$1),FALSE)+IFERROR(VLOOKUP($CJ289,装強!$1:$999,COLUMN(J$1),FALSE),0))*VLOOKUP($D289,素材!$1:$1016,COLUMN($E$1),FALSE),0),"")</f>
        <v/>
      </c>
      <c r="K289" t="str">
        <f>IFERROR(ROUNDDOWN((VLOOKUP($C289,武器!$1:$998,COLUMN(I$1),FALSE)+IFERROR(VLOOKUP($CJ289,装強!$1:$999,COLUMN(K$1),FALSE),0))*VLOOKUP($D289,素材!$1:$1016,COLUMN($E$1),FALSE),0),"")</f>
        <v/>
      </c>
      <c r="L289" t="str">
        <f>IFERROR(VLOOKUP($D289,素材!$1:$1016,COLUMN($F$1),FALSE),"")</f>
        <v/>
      </c>
      <c r="M289" t="str">
        <f>IFERROR(VLOOKUP($C289,武器!$1:$998,COLUMN(AA$1),FALSE)*VLOOKUP($D289,素材!$1:$1016,COLUMN($G$1),FALSE),"")</f>
        <v/>
      </c>
      <c r="N289" t="str">
        <f>IFERROR(VLOOKUP($C289,武器!$1:$998,COLUMN(I$1),FALSE),"")</f>
        <v/>
      </c>
      <c r="O289" s="23" t="str">
        <f>IFERROR((VLOOKUP($C289,武器!$1:$998,COLUMN(K$1),FALSE)+VLOOKUP($D289,素材!$1:$1016,COLUMN(H$1),FALSE))*100+IFERROR(VLOOKUP($CJ289,装強!$1:$999,COLUMN(O$1),FALSE),0),"")</f>
        <v/>
      </c>
      <c r="P289" s="23" t="str">
        <f>IFERROR((VLOOKUP($C289,武器!$1:$998,COLUMN(L$1),FALSE)+VLOOKUP($D289,素材!$1:$1016,COLUMN(I$1),FALSE))*100+IFERROR(VLOOKUP($CJ289,装強!$1:$999,COLUMN(P$1),FALSE),0),"")</f>
        <v/>
      </c>
      <c r="Q289" t="str">
        <f>IFERROR(ROUNDUP(VLOOKUP($C289,武器!$1:$998,COLUMN(M$1),FALSE)*(VLOOKUP($D289,素材!$1:$1002,COLUMN(D$1),FALSE)/100),1),"")</f>
        <v/>
      </c>
      <c r="R289" t="str">
        <f>IFERROR(ROUNDUP(VLOOKUP($C289,武器!$1:$998,COLUMN(N$1),FALSE)*(VLOOKUP($D289,素材!$1:$1002,COLUMN(D$1),FALSE)/100),1),"")</f>
        <v/>
      </c>
      <c r="S289" t="str">
        <f>IFERROR(VLOOKUP($C289,武器!$1:$998,COLUMN(P$1),FALSE),"")</f>
        <v/>
      </c>
      <c r="T289" t="str">
        <f>IFERROR(VLOOKUP($C289,武器!$1:$998,COLUMN(Q$1),FALSE),"")</f>
        <v/>
      </c>
      <c r="U289" t="str">
        <f>IFERROR(VLOOKUP($C289,武器!$1:$998,COLUMN(R$1),FALSE),"")</f>
        <v/>
      </c>
      <c r="V289" t="str">
        <f>IFERROR(VLOOKUP($C289,武器!$1:$998,COLUMN(Q$1),FALSE),"")</f>
        <v/>
      </c>
      <c r="W289" t="str">
        <f>IFERROR(VLOOKUP($C289,武器!$1:$998,COLUMN(T$1),FALSE),"")</f>
        <v/>
      </c>
      <c r="Y289" t="str">
        <f>IFERROR(VLOOKUP($C289,武器!$1:$998,COLUMN(U$1),FALSE),"")</f>
        <v/>
      </c>
      <c r="Z289" t="str">
        <f>IFERROR(ROUNDUP(VLOOKUP($C289,武器!$1:$998,COLUMN(O$1),FALSE)*VLOOKUP($D289,素材!$1:$1016,COLUMN(E$1),FALSE),1),"")</f>
        <v/>
      </c>
      <c r="AA289">
        <f>IF(ISNUMBER(SEARCH(SUBSTITUTE(AA$1,RIGHT(AA$1,2),""),VLOOKUP($D289,素材!$1:$1016,COLUMN($F$1),FALSE))),VLOOKUP($C289,武器!$1:$998,COLUMN($O$1),FALSE)*VLOOKUP($D289,素材!$1:$1016,COLUMN($E$1),FALSE)/(LEN(VLOOKUP($D289,素材!$1:$1016,COLUMN($F$1),FALSE))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B289">
        <f>IF(ISNUMBER(SEARCH(SUBSTITUTE(AB$1,RIGHT(AB$1,2),""),VLOOKUP($D289,素材!$1:$1016,COLUMN($F$1),FALSE))),VLOOKUP($C289,武器!$1:$998,COLUMN($O$1),FALSE)*VLOOKUP($D289,素材!$1:$1016,COLUMN($E$1),FALSE)/(LEN(VLOOKUP($D289,素材!$1:$1016,COLUMN($F$1),FALSE))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C289">
        <f>IF(ISNUMBER(SEARCH(SUBSTITUTE(AC$1,RIGHT(AC$1,2),""),VLOOKUP($D289,素材!$1:$1016,COLUMN($F$1),FALSE))),VLOOKUP($C289,武器!$1:$998,COLUMN($O$1),FALSE)*VLOOKUP($D289,素材!$1:$1016,COLUMN($E$1),FALSE)/(LEN(VLOOKUP($D289,素材!$1:$1016,COLUMN($F$1),FALSE))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D289">
        <f>IF(ISNUMBER(SEARCH(SUBSTITUTE(AD$1,RIGHT(AD$1,2),""),VLOOKUP($D289,素材!$1:$1016,COLUMN($F$1),FALSE))),VLOOKUP($C289,武器!$1:$998,COLUMN($O$1),FALSE)*VLOOKUP($D289,素材!$1:$1016,COLUMN($E$1),FALSE)/(LEN(VLOOKUP($D289,素材!$1:$1016,COLUMN($F$1),FALSE))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E289">
        <f>IF(ISNUMBER(SEARCH(SUBSTITUTE(AE$1,RIGHT(AE$1,2),""),VLOOKUP($D289,素材!$1:$1016,COLUMN($F$1),FALSE))),VLOOKUP($C289,武器!$1:$998,COLUMN($O$1),FALSE)*VLOOKUP($D289,素材!$1:$1016,COLUMN($E$1),FALSE)/(LEN(VLOOKUP($D289,素材!$1:$1016,COLUMN($F$1),FALSE))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F289">
        <f>IF(ISNUMBER(SEARCH(SUBSTITUTE(AF$1,RIGHT(AF$1,2),""),VLOOKUP($D289,素材!$1:$1016,COLUMN($F$1),FALSE))),VLOOKUP($C289,武器!$1:$998,COLUMN($O$1),FALSE)*VLOOKUP($D289,素材!$1:$1016,COLUMN($E$1),FALSE)/(LEN(VLOOKUP($D289,素材!$1:$1016,COLUMN($F$1),FALSE))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G289">
        <f>IF(ISNUMBER(SEARCH(SUBSTITUTE(AG$1,RIGHT(AG$1,2),""),VLOOKUP($D289,素材!$1:$1016,COLUMN($F$1),FALSE))),VLOOKUP($C289,武器!$1:$998,COLUMN($O$1),FALSE)*VLOOKUP($D289,素材!$1:$1016,COLUMN($E$1),FALSE)/(LEN(VLOOKUP($D289,素材!$1:$1016,COLUMN($F$1),FALSE))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H289">
        <f>IF(ISNUMBER(SEARCH(SUBSTITUTE(AH$1,RIGHT(AH$1,2),""),VLOOKUP($D289,素材!$1:$1016,COLUMN($F$1),FALSE))),VLOOKUP($C289,武器!$1:$998,COLUMN($O$1),FALSE)*VLOOKUP($D289,素材!$1:$1016,COLUMN($E$1),FALSE)/(LEN(VLOOKUP($D289,素材!$1:$1016,COLUMN($F$1),FALSE))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I289">
        <f>IF(ISNUMBER(SEARCH(SUBSTITUTE(AI$1,RIGHT(AI$1,2),""),VLOOKUP($D289,素材!$1:$1016,COLUMN($F$1),FALSE))),VLOOKUP($C289,武器!$1:$998,COLUMN($O$1),FALSE)*VLOOKUP($D289,素材!$1:$1016,COLUMN($E$1),FALSE)/(LEN(VLOOKUP($D289,素材!$1:$1016,COLUMN($F$1),FALSE))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J289">
        <f>IF(ISNUMBER(SEARCH(SUBSTITUTE(AJ$1,RIGHT(AJ$1,2),""),VLOOKUP($D289,素材!$1:$1016,COLUMN($F$1),FALSE))),VLOOKUP($C289,武器!$1:$998,COLUMN($O$1),FALSE)*VLOOKUP($D289,素材!$1:$1016,COLUMN($E$1),FALSE)/(LEN(VLOOKUP($D289,素材!$1:$1016,COLUMN($F$1),FALSE))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K289">
        <f>IF(ISNUMBER(SEARCH(SUBSTITUTE(AK$1,RIGHT(AK$1,2),""),VLOOKUP($D289,素材!$1:$1016,COLUMN($F$1),FALSE))),VLOOKUP($C289,武器!$1:$998,COLUMN($O$1),FALSE)*VLOOKUP($D289,素材!$1:$1016,COLUMN($E$1),FALSE)/(LEN(VLOOKUP($D289,素材!$1:$1016,COLUMN($F$1),FALSE))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L289">
        <f>IF(ISNUMBER(SEARCH(SUBSTITUTE(AL$1,RIGHT(AL$1,2),""),VLOOKUP($D289,素材!$1:$1016,COLUMN($F$1),FALSE))),VLOOKUP($C289,武器!$1:$998,COLUMN($O$1),FALSE)*VLOOKUP($D289,素材!$1:$1016,COLUMN($E$1),FALSE)/(LEN(VLOOKUP($D289,素材!$1:$1016,COLUMN($F$1),FALSE))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M289">
        <f>IF(ISNUMBER(SEARCH(SUBSTITUTE(AM$1,RIGHT(AM$1,2),""),VLOOKUP($D289,素材!$1:$1016,COLUMN($F$1),FALSE))),VLOOKUP($C289,武器!$1:$998,COLUMN($O$1),FALSE)*VLOOKUP($D289,素材!$1:$1016,COLUMN($E$1),FALSE)/(LEN(VLOOKUP($D289,素材!$1:$1016,COLUMN($F$1),FALSE))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N289">
        <f>IF(ISNUMBER(SEARCH(SUBSTITUTE(AN$1,RIGHT(AN$1,2),""),VLOOKUP($D289,素材!$1:$1016,COLUMN($F$1),FALSE))),VLOOKUP($C289,武器!$1:$998,COLUMN($O$1),FALSE)*VLOOKUP($D289,素材!$1:$1016,COLUMN($E$1),FALSE)/(LEN(VLOOKUP($D289,素材!$1:$1016,COLUMN($F$1),FALSE))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O289">
        <f>IF(ISNUMBER(SEARCH(SUBSTITUTE(AO$1,RIGHT(AO$1,2),""),VLOOKUP($D289,素材!$1:$1016,COLUMN($F$1),FALSE))),VLOOKUP($C289,武器!$1:$998,COLUMN($O$1),FALSE)*VLOOKUP($D289,素材!$1:$1016,COLUMN($E$1),FALSE)/(LEN(VLOOKUP($D289,素材!$1:$1016,COLUMN($F$1),FALSE))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P289">
        <f>IF(ISNUMBER(SEARCH(SUBSTITUTE(AP$1,RIGHT(AP$1,2),""),VLOOKUP($D289,素材!$1:$1016,COLUMN($F$1),FALSE))),VLOOKUP($C289,武器!$1:$998,COLUMN($O$1),FALSE)*VLOOKUP($D289,素材!$1:$1016,COLUMN($E$1),FALSE)/(LEN(VLOOKUP($D289,素材!$1:$1016,COLUMN($F$1),FALSE))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Q289">
        <f>IF(ISNUMBER(SEARCH(SUBSTITUTE(AQ$1,RIGHT(AQ$1,2),""),VLOOKUP($D289,素材!$1:$1016,COLUMN($F$1),FALSE))),VLOOKUP($C289,武器!$1:$998,COLUMN($O$1),FALSE)*VLOOKUP($D289,素材!$1:$1016,COLUMN($E$1),FALSE)/(LEN(VLOOKUP($D289,素材!$1:$1016,COLUMN($F$1),FALSE))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R289">
        <f>IF(ISNUMBER(SEARCH(SUBSTITUTE(AR$1,RIGHT(AR$1,2),""),VLOOKUP($D289,素材!$1:$1016,COLUMN($F$1),FALSE))),VLOOKUP($C289,武器!$1:$998,COLUMN($O$1),FALSE)*VLOOKUP($D289,素材!$1:$1016,COLUMN($E$1),FALSE)/(LEN(VLOOKUP($D289,素材!$1:$1016,COLUMN($F$1),FALSE))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S289">
        <f>IF(ISNUMBER(SEARCH(SUBSTITUTE(AS$1,RIGHT(AS$1,2),""),VLOOKUP($D289,素材!$1:$1016,COLUMN($F$1),FALSE))),VLOOKUP($C289,武器!$1:$998,COLUMN($O$1),FALSE)*VLOOKUP($D289,素材!$1:$1016,COLUMN($E$1),FALSE)/(LEN(VLOOKUP($D289,素材!$1:$1016,COLUMN($F$1),FALSE))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T289">
        <f>IF(ISNUMBER(SEARCH(SUBSTITUTE(AT$1,RIGHT(AT$1,2),""),VLOOKUP($D289,素材!$1:$1016,COLUMN($F$1),FALSE))),VLOOKUP($C289,武器!$1:$998,COLUMN($O$1),FALSE)*VLOOKUP($D289,素材!$1:$1016,COLUMN($E$1),FALSE)/(LEN(VLOOKUP($D289,素材!$1:$1016,COLUMN($F$1),FALSE))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U289">
        <f>IF(ISNUMBER(SEARCH(SUBSTITUTE(AU$1,RIGHT(AU$1,2),""),VLOOKUP($D289,素材!$1:$1016,COLUMN($F$1),FALSE))),VLOOKUP($C289,武器!$1:$998,COLUMN($O$1),FALSE)*VLOOKUP($D289,素材!$1:$1016,COLUMN($E$1),FALSE)/(LEN(VLOOKUP($D289,素材!$1:$1016,COLUMN($F$1),FALSE))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V289">
        <f>IF(ISNUMBER(SEARCH(SUBSTITUTE(AV$1,RIGHT(AV$1,2),""),VLOOKUP($D289,素材!$1:$1016,COLUMN($F$1),FALSE))),VLOOKUP($C289,武器!$1:$998,COLUMN($O$1),FALSE)*VLOOKUP($D289,素材!$1:$1016,COLUMN($E$1),FALSE)/(LEN(VLOOKUP($D289,素材!$1:$1016,COLUMN($F$1),FALSE))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W289">
        <f>IF(ISNUMBER(SEARCH(SUBSTITUTE(AW$1,RIGHT(AW$1,2),""),VLOOKUP($D289,素材!$1:$1016,COLUMN($F$1),FALSE))),VLOOKUP($C289,武器!$1:$998,COLUMN($O$1),FALSE)*VLOOKUP($D289,素材!$1:$1016,COLUMN($E$1),FALSE)/(LEN(VLOOKUP($D289,素材!$1:$1016,COLUMN($F$1),FALSE))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X289">
        <f>IF(ISNUMBER(SEARCH(SUBSTITUTE(AX$1,RIGHT(AX$1,2),""),VLOOKUP($D289,素材!$1:$1016,COLUMN($F$1),FALSE))),VLOOKUP($C289,武器!$1:$998,COLUMN($O$1),FALSE)*VLOOKUP($D289,素材!$1:$1016,COLUMN($E$1),FALSE)/(LEN(VLOOKUP($D289,素材!$1:$1016,COLUMN($F$1),FALSE))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Y289">
        <f>IF(ISNUMBER(SEARCH(SUBSTITUTE(AY$1,RIGHT(AY$1,2),""),VLOOKUP($D289,素材!$1:$1016,COLUMN($F$1),FALSE))),VLOOKUP($C289,武器!$1:$998,COLUMN($O$1),FALSE)*VLOOKUP($D289,素材!$1:$1016,COLUMN($E$1),FALSE)/(LEN(VLOOKUP($D289,素材!$1:$1016,COLUMN($F$1),FALSE))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AZ289">
        <f>IF(ISNUMBER(SEARCH(SUBSTITUTE(AZ$1,RIGHT(AZ$1,2),""),VLOOKUP($D289,素材!$1:$1016,COLUMN($F$1),FALSE))),VLOOKUP($C289,武器!$1:$998,COLUMN($O$1),FALSE)*VLOOKUP($D289,素材!$1:$1016,COLUMN($E$1),FALSE)/(LEN(VLOOKUP($D289,素材!$1:$1016,COLUMN($F$1),FALSE))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BA289">
        <f>IF(ISNUMBER(SEARCH(SUBSTITUTE(BA$1,RIGHT(BA$1,2),""),VLOOKUP($D289,素材!$1:$1016,COLUMN($F$1),FALSE))),VLOOKUP($C289,武器!$1:$998,COLUMN($O$1),FALSE)*VLOOKUP($D289,素材!$1:$1016,COLUMN($E$1),FALSE)/(LEN(VLOOKUP($D289,素材!$1:$1016,COLUMN($F$1),FALSE))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BB289">
        <f>IF(ISNUMBER(SEARCH(SUBSTITUTE(BB$1,RIGHT(BB$1,2),""),VLOOKUP($D289,素材!$1:$1016,COLUMN($F$1),FALSE))),VLOOKUP($C289,武器!$1:$998,COLUMN($O$1),FALSE)*VLOOKUP($D289,素材!$1:$1016,COLUMN($E$1),FALSE)/(LEN(VLOOKUP($D289,素材!$1:$1016,COLUMN($F$1),FALSE))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BC289">
        <f>IF(ISNUMBER(SEARCH(SUBSTITUTE(BC$1,RIGHT(BC$1,2),""),VLOOKUP($D289,素材!$1:$1016,COLUMN($F$1),FALSE))),VLOOKUP($C289,武器!$1:$998,COLUMN($O$1),FALSE)*VLOOKUP($D289,素材!$1:$1016,COLUMN($E$1),FALSE)/(LEN(VLOOKUP($D289,素材!$1:$1016,COLUMN($F$1),FALSE))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BD289">
        <f>IF(ISNUMBER(SEARCH(SUBSTITUTE(BD$1,RIGHT(BD$1,2),""),VLOOKUP($D289,素材!$1:$1016,COLUMN($F$1),FALSE))),VLOOKUP($C289,武器!$1:$998,COLUMN($O$1),FALSE)*VLOOKUP($D289,素材!$1:$1016,COLUMN($E$1),FALSE)/(LEN(VLOOKUP($D289,素材!$1:$1016,COLUMN($F$1),FALSE))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BE289">
        <f>IF(ISNUMBER(SEARCH(SUBSTITUTE(BE$1,RIGHT(BE$1,2),""),VLOOKUP($D289,素材!$1:$1016,COLUMN($F$1),FALSE))),VLOOKUP($C289,武器!$1:$998,COLUMN($O$1),FALSE)*VLOOKUP($D289,素材!$1:$1016,COLUMN($E$1),FALSE)/(LEN(VLOOKUP($D289,素材!$1:$1016,COLUMN($F$1),FALSE))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BF289">
        <f>IF(ISNUMBER(SEARCH(SUBSTITUTE(BF$1,RIGHT(BF$1,2),""),VLOOKUP($D289,素材!$1:$1016,COLUMN($F$1),FALSE))),VLOOKUP($C289,武器!$1:$998,COLUMN($O$1),FALSE)*VLOOKUP($D289,素材!$1:$1016,COLUMN($E$1),FALSE)/(LEN(VLOOKUP($D289,素材!$1:$1016,COLUMN($F$1),FALSE)) - LEN(SUBSTITUTE(VLOOKUP($D289,素材!$1:$1016,COLUMN($F$1),FALSE), "・", 0)) + 1), 0)</f>
        <v>0</v>
      </c>
      <c r="CM289">
        <f t="shared" si="36"/>
        <v>0</v>
      </c>
      <c r="CN289" s="22" t="str">
        <f>IF(E289="武器",IF(J289-1&gt;SUM(G289:I289),"盾",IF(MAX(G289:I289)=G289,"切断",IF(MAX(G289:I289)=H289,"貫通",IF(MAX(G289:I289)=I289,"打撃","射撃")))),E289)&amp;".webp"</f>
        <v>.webp</v>
      </c>
      <c r="CO289" t="str">
        <f>IFERROR(VLOOKUP($C289,武器!$1:$998,COLUMN(V$1),FALSE)*VLOOKUP($D289,素材!$1:$1016,COLUMN(N$1),FALSE)+IF(CJ289="",0,VLOOKUP($CJ289,装強!$1:$1008,COLUMN($CL$1),FALSE)),"")</f>
        <v/>
      </c>
      <c r="CP289" t="e">
        <f>VLOOKUP(D289,素材!$A:$O,COLUMN(素材!O$1),FALSE)</f>
        <v>#N/A</v>
      </c>
      <c r="CQ289" t="e">
        <f>VLOOKUP(C289,武器!$A:$W,COLUMN(武器!W$1),FALSE)</f>
        <v>#N/A</v>
      </c>
      <c r="CS289" t="str">
        <f t="shared" si="37"/>
        <v>e_289</v>
      </c>
      <c r="CT289" t="e">
        <f t="shared" si="38"/>
        <v>#VALUE!</v>
      </c>
    </row>
    <row r="290" spans="1:98" hidden="1" outlineLevel="1" x14ac:dyDescent="0.4">
      <c r="A290" t="str">
        <f>IF(CJ290="",D290&amp;"の"&amp;C290,CJ290&amp;"の"&amp;C290)</f>
        <v>の</v>
      </c>
      <c r="B290" t="str">
        <f>IFERROR(IF(CJ290="",VLOOKUP($D290,素材!$1:$1016,COLUMN($B$1),FALSE)&amp;"・"&amp;VLOOKUP($C290,武器!$1:$998,COLUMN(B$1),FALSE),VLOOKUP($CJ290,装強!$1:$1008,COLUMN($B$1),FALSE)&amp;"・"&amp;VLOOKUP($C290,武器!$1:$998,COLUMN(B$1),FALSE)),"")</f>
        <v/>
      </c>
      <c r="C290" s="24"/>
      <c r="D290" s="24"/>
      <c r="E290" t="str">
        <f>IFERROR(VLOOKUP(C290,武器!$1:$998,COLUMN(C$1),FALSE),"")</f>
        <v/>
      </c>
      <c r="F290" t="str">
        <f>IFERROR(ROUNDDOWN((VLOOKUP($C290,武器!$1:$998,COLUMN(D$1),FALSE)+IFERROR(VLOOKUP($CJ290,装強!$1:$999,COLUMN(F$1),FALSE),0))*VLOOKUP($D290,素材!$1:$1016,COLUMN(D$1),FALSE),0),"")</f>
        <v/>
      </c>
      <c r="G290" t="str">
        <f>IFERROR(ROUNDDOWN((VLOOKUP($C290,武器!$1:$998,COLUMN(E$1),FALSE)+IFERROR(VLOOKUP($CJ290,装強!$1:$999,COLUMN(G$1),FALSE),0))*VLOOKUP($D290,素材!$1:$1016,COLUMN($E$1),FALSE),0),"")</f>
        <v/>
      </c>
      <c r="H290" t="str">
        <f>IFERROR(ROUNDDOWN((VLOOKUP($C290,武器!$1:$998,COLUMN(F$1),FALSE)+IFERROR(VLOOKUP($CJ290,装強!$1:$999,COLUMN(H$1),FALSE),0))*VLOOKUP($D290,素材!$1:$1016,COLUMN($E$1),FALSE),0),"")</f>
        <v/>
      </c>
      <c r="I290" t="str">
        <f>IFERROR(ROUNDDOWN((VLOOKUP($C290,武器!$1:$998,COLUMN(G$1),FALSE)+IFERROR(VLOOKUP($CJ290,装強!$1:$999,COLUMN(I$1),FALSE),0))*VLOOKUP($D290,素材!$1:$1016,COLUMN($E$1),FALSE),0),"")</f>
        <v/>
      </c>
      <c r="J290" t="str">
        <f>IFERROR(ROUNDDOWN((VLOOKUP($C290,武器!$1:$998,COLUMN(H$1),FALSE)+IFERROR(VLOOKUP($CJ290,装強!$1:$999,COLUMN(J$1),FALSE),0))*VLOOKUP($D290,素材!$1:$1016,COLUMN($E$1),FALSE),0),"")</f>
        <v/>
      </c>
      <c r="K290" t="str">
        <f>IFERROR(ROUNDDOWN((VLOOKUP($C290,武器!$1:$998,COLUMN(I$1),FALSE)+IFERROR(VLOOKUP($CJ290,装強!$1:$999,COLUMN(K$1),FALSE),0))*VLOOKUP($D290,素材!$1:$1016,COLUMN($E$1),FALSE),0),"")</f>
        <v/>
      </c>
      <c r="L290" t="str">
        <f>IFERROR(VLOOKUP($D290,素材!$1:$1016,COLUMN($F$1),FALSE),"")</f>
        <v/>
      </c>
      <c r="M290" t="str">
        <f>IFERROR(VLOOKUP($C290,武器!$1:$998,COLUMN(AA$1),FALSE)*VLOOKUP($D290,素材!$1:$1016,COLUMN($G$1),FALSE),"")</f>
        <v/>
      </c>
      <c r="N290" t="str">
        <f>IFERROR(VLOOKUP($C290,武器!$1:$998,COLUMN(I$1),FALSE),"")</f>
        <v/>
      </c>
      <c r="O290" s="23" t="str">
        <f>IFERROR((VLOOKUP($C290,武器!$1:$998,COLUMN(K$1),FALSE)+VLOOKUP($D290,素材!$1:$1016,COLUMN(H$1),FALSE))*100+IFERROR(VLOOKUP($CJ290,装強!$1:$999,COLUMN(O$1),FALSE),0),"")</f>
        <v/>
      </c>
      <c r="P290" s="23" t="str">
        <f>IFERROR((VLOOKUP($C290,武器!$1:$998,COLUMN(L$1),FALSE)+VLOOKUP($D290,素材!$1:$1016,COLUMN(I$1),FALSE))*100+IFERROR(VLOOKUP($CJ290,装強!$1:$999,COLUMN(P$1),FALSE),0),"")</f>
        <v/>
      </c>
      <c r="Q290" t="str">
        <f>IFERROR(ROUNDUP(VLOOKUP($C290,武器!$1:$998,COLUMN(M$1),FALSE)*(VLOOKUP($D290,素材!$1:$1002,COLUMN(D$1),FALSE)/100),1),"")</f>
        <v/>
      </c>
      <c r="R290" t="str">
        <f>IFERROR(ROUNDUP(VLOOKUP($C290,武器!$1:$998,COLUMN(N$1),FALSE)*(VLOOKUP($D290,素材!$1:$1002,COLUMN(D$1),FALSE)/100),1),"")</f>
        <v/>
      </c>
      <c r="S290" t="str">
        <f>IFERROR(VLOOKUP($C290,武器!$1:$998,COLUMN(P$1),FALSE),"")</f>
        <v/>
      </c>
      <c r="T290" t="str">
        <f>IFERROR(VLOOKUP($C290,武器!$1:$998,COLUMN(Q$1),FALSE),"")</f>
        <v/>
      </c>
      <c r="U290" t="str">
        <f>IFERROR(VLOOKUP($C290,武器!$1:$998,COLUMN(R$1),FALSE),"")</f>
        <v/>
      </c>
      <c r="V290" t="str">
        <f>IFERROR(VLOOKUP($C290,武器!$1:$998,COLUMN(Q$1),FALSE),"")</f>
        <v/>
      </c>
      <c r="W290" t="str">
        <f>IFERROR(VLOOKUP($C290,武器!$1:$998,COLUMN(T$1),FALSE),"")</f>
        <v/>
      </c>
      <c r="Y290" t="str">
        <f>IFERROR(VLOOKUP($C290,武器!$1:$998,COLUMN(U$1),FALSE),"")</f>
        <v/>
      </c>
      <c r="Z290" t="str">
        <f>IFERROR(ROUNDUP(VLOOKUP($C290,武器!$1:$998,COLUMN(O$1),FALSE)*VLOOKUP($D290,素材!$1:$1016,COLUMN(E$1),FALSE),1),"")</f>
        <v/>
      </c>
      <c r="AA290">
        <f>IF(ISNUMBER(SEARCH(SUBSTITUTE(AA$1,RIGHT(AA$1,2),""),VLOOKUP($D290,素材!$1:$1016,COLUMN($F$1),FALSE))),VLOOKUP($C290,武器!$1:$998,COLUMN($O$1),FALSE)*VLOOKUP($D290,素材!$1:$1016,COLUMN($E$1),FALSE)/(LEN(VLOOKUP($D290,素材!$1:$1016,COLUMN($F$1),FALSE))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B290">
        <f>IF(ISNUMBER(SEARCH(SUBSTITUTE(AB$1,RIGHT(AB$1,2),""),VLOOKUP($D290,素材!$1:$1016,COLUMN($F$1),FALSE))),VLOOKUP($C290,武器!$1:$998,COLUMN($O$1),FALSE)*VLOOKUP($D290,素材!$1:$1016,COLUMN($E$1),FALSE)/(LEN(VLOOKUP($D290,素材!$1:$1016,COLUMN($F$1),FALSE))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C290">
        <f>IF(ISNUMBER(SEARCH(SUBSTITUTE(AC$1,RIGHT(AC$1,2),""),VLOOKUP($D290,素材!$1:$1016,COLUMN($F$1),FALSE))),VLOOKUP($C290,武器!$1:$998,COLUMN($O$1),FALSE)*VLOOKUP($D290,素材!$1:$1016,COLUMN($E$1),FALSE)/(LEN(VLOOKUP($D290,素材!$1:$1016,COLUMN($F$1),FALSE))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D290">
        <f>IF(ISNUMBER(SEARCH(SUBSTITUTE(AD$1,RIGHT(AD$1,2),""),VLOOKUP($D290,素材!$1:$1016,COLUMN($F$1),FALSE))),VLOOKUP($C290,武器!$1:$998,COLUMN($O$1),FALSE)*VLOOKUP($D290,素材!$1:$1016,COLUMN($E$1),FALSE)/(LEN(VLOOKUP($D290,素材!$1:$1016,COLUMN($F$1),FALSE))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E290">
        <f>IF(ISNUMBER(SEARCH(SUBSTITUTE(AE$1,RIGHT(AE$1,2),""),VLOOKUP($D290,素材!$1:$1016,COLUMN($F$1),FALSE))),VLOOKUP($C290,武器!$1:$998,COLUMN($O$1),FALSE)*VLOOKUP($D290,素材!$1:$1016,COLUMN($E$1),FALSE)/(LEN(VLOOKUP($D290,素材!$1:$1016,COLUMN($F$1),FALSE))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F290">
        <f>IF(ISNUMBER(SEARCH(SUBSTITUTE(AF$1,RIGHT(AF$1,2),""),VLOOKUP($D290,素材!$1:$1016,COLUMN($F$1),FALSE))),VLOOKUP($C290,武器!$1:$998,COLUMN($O$1),FALSE)*VLOOKUP($D290,素材!$1:$1016,COLUMN($E$1),FALSE)/(LEN(VLOOKUP($D290,素材!$1:$1016,COLUMN($F$1),FALSE))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G290">
        <f>IF(ISNUMBER(SEARCH(SUBSTITUTE(AG$1,RIGHT(AG$1,2),""),VLOOKUP($D290,素材!$1:$1016,COLUMN($F$1),FALSE))),VLOOKUP($C290,武器!$1:$998,COLUMN($O$1),FALSE)*VLOOKUP($D290,素材!$1:$1016,COLUMN($E$1),FALSE)/(LEN(VLOOKUP($D290,素材!$1:$1016,COLUMN($F$1),FALSE))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H290">
        <f>IF(ISNUMBER(SEARCH(SUBSTITUTE(AH$1,RIGHT(AH$1,2),""),VLOOKUP($D290,素材!$1:$1016,COLUMN($F$1),FALSE))),VLOOKUP($C290,武器!$1:$998,COLUMN($O$1),FALSE)*VLOOKUP($D290,素材!$1:$1016,COLUMN($E$1),FALSE)/(LEN(VLOOKUP($D290,素材!$1:$1016,COLUMN($F$1),FALSE))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I290">
        <f>IF(ISNUMBER(SEARCH(SUBSTITUTE(AI$1,RIGHT(AI$1,2),""),VLOOKUP($D290,素材!$1:$1016,COLUMN($F$1),FALSE))),VLOOKUP($C290,武器!$1:$998,COLUMN($O$1),FALSE)*VLOOKUP($D290,素材!$1:$1016,COLUMN($E$1),FALSE)/(LEN(VLOOKUP($D290,素材!$1:$1016,COLUMN($F$1),FALSE))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J290">
        <f>IF(ISNUMBER(SEARCH(SUBSTITUTE(AJ$1,RIGHT(AJ$1,2),""),VLOOKUP($D290,素材!$1:$1016,COLUMN($F$1),FALSE))),VLOOKUP($C290,武器!$1:$998,COLUMN($O$1),FALSE)*VLOOKUP($D290,素材!$1:$1016,COLUMN($E$1),FALSE)/(LEN(VLOOKUP($D290,素材!$1:$1016,COLUMN($F$1),FALSE))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K290">
        <f>IF(ISNUMBER(SEARCH(SUBSTITUTE(AK$1,RIGHT(AK$1,2),""),VLOOKUP($D290,素材!$1:$1016,COLUMN($F$1),FALSE))),VLOOKUP($C290,武器!$1:$998,COLUMN($O$1),FALSE)*VLOOKUP($D290,素材!$1:$1016,COLUMN($E$1),FALSE)/(LEN(VLOOKUP($D290,素材!$1:$1016,COLUMN($F$1),FALSE))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L290">
        <f>IF(ISNUMBER(SEARCH(SUBSTITUTE(AL$1,RIGHT(AL$1,2),""),VLOOKUP($D290,素材!$1:$1016,COLUMN($F$1),FALSE))),VLOOKUP($C290,武器!$1:$998,COLUMN($O$1),FALSE)*VLOOKUP($D290,素材!$1:$1016,COLUMN($E$1),FALSE)/(LEN(VLOOKUP($D290,素材!$1:$1016,COLUMN($F$1),FALSE))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M290">
        <f>IF(ISNUMBER(SEARCH(SUBSTITUTE(AM$1,RIGHT(AM$1,2),""),VLOOKUP($D290,素材!$1:$1016,COLUMN($F$1),FALSE))),VLOOKUP($C290,武器!$1:$998,COLUMN($O$1),FALSE)*VLOOKUP($D290,素材!$1:$1016,COLUMN($E$1),FALSE)/(LEN(VLOOKUP($D290,素材!$1:$1016,COLUMN($F$1),FALSE))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N290">
        <f>IF(ISNUMBER(SEARCH(SUBSTITUTE(AN$1,RIGHT(AN$1,2),""),VLOOKUP($D290,素材!$1:$1016,COLUMN($F$1),FALSE))),VLOOKUP($C290,武器!$1:$998,COLUMN($O$1),FALSE)*VLOOKUP($D290,素材!$1:$1016,COLUMN($E$1),FALSE)/(LEN(VLOOKUP($D290,素材!$1:$1016,COLUMN($F$1),FALSE))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O290">
        <f>IF(ISNUMBER(SEARCH(SUBSTITUTE(AO$1,RIGHT(AO$1,2),""),VLOOKUP($D290,素材!$1:$1016,COLUMN($F$1),FALSE))),VLOOKUP($C290,武器!$1:$998,COLUMN($O$1),FALSE)*VLOOKUP($D290,素材!$1:$1016,COLUMN($E$1),FALSE)/(LEN(VLOOKUP($D290,素材!$1:$1016,COLUMN($F$1),FALSE))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P290">
        <f>IF(ISNUMBER(SEARCH(SUBSTITUTE(AP$1,RIGHT(AP$1,2),""),VLOOKUP($D290,素材!$1:$1016,COLUMN($F$1),FALSE))),VLOOKUP($C290,武器!$1:$998,COLUMN($O$1),FALSE)*VLOOKUP($D290,素材!$1:$1016,COLUMN($E$1),FALSE)/(LEN(VLOOKUP($D290,素材!$1:$1016,COLUMN($F$1),FALSE))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Q290">
        <f>IF(ISNUMBER(SEARCH(SUBSTITUTE(AQ$1,RIGHT(AQ$1,2),""),VLOOKUP($D290,素材!$1:$1016,COLUMN($F$1),FALSE))),VLOOKUP($C290,武器!$1:$998,COLUMN($O$1),FALSE)*VLOOKUP($D290,素材!$1:$1016,COLUMN($E$1),FALSE)/(LEN(VLOOKUP($D290,素材!$1:$1016,COLUMN($F$1),FALSE))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R290">
        <f>IF(ISNUMBER(SEARCH(SUBSTITUTE(AR$1,RIGHT(AR$1,2),""),VLOOKUP($D290,素材!$1:$1016,COLUMN($F$1),FALSE))),VLOOKUP($C290,武器!$1:$998,COLUMN($O$1),FALSE)*VLOOKUP($D290,素材!$1:$1016,COLUMN($E$1),FALSE)/(LEN(VLOOKUP($D290,素材!$1:$1016,COLUMN($F$1),FALSE))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S290">
        <f>IF(ISNUMBER(SEARCH(SUBSTITUTE(AS$1,RIGHT(AS$1,2),""),VLOOKUP($D290,素材!$1:$1016,COLUMN($F$1),FALSE))),VLOOKUP($C290,武器!$1:$998,COLUMN($O$1),FALSE)*VLOOKUP($D290,素材!$1:$1016,COLUMN($E$1),FALSE)/(LEN(VLOOKUP($D290,素材!$1:$1016,COLUMN($F$1),FALSE))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T290">
        <f>IF(ISNUMBER(SEARCH(SUBSTITUTE(AT$1,RIGHT(AT$1,2),""),VLOOKUP($D290,素材!$1:$1016,COLUMN($F$1),FALSE))),VLOOKUP($C290,武器!$1:$998,COLUMN($O$1),FALSE)*VLOOKUP($D290,素材!$1:$1016,COLUMN($E$1),FALSE)/(LEN(VLOOKUP($D290,素材!$1:$1016,COLUMN($F$1),FALSE))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U290">
        <f>IF(ISNUMBER(SEARCH(SUBSTITUTE(AU$1,RIGHT(AU$1,2),""),VLOOKUP($D290,素材!$1:$1016,COLUMN($F$1),FALSE))),VLOOKUP($C290,武器!$1:$998,COLUMN($O$1),FALSE)*VLOOKUP($D290,素材!$1:$1016,COLUMN($E$1),FALSE)/(LEN(VLOOKUP($D290,素材!$1:$1016,COLUMN($F$1),FALSE))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V290">
        <f>IF(ISNUMBER(SEARCH(SUBSTITUTE(AV$1,RIGHT(AV$1,2),""),VLOOKUP($D290,素材!$1:$1016,COLUMN($F$1),FALSE))),VLOOKUP($C290,武器!$1:$998,COLUMN($O$1),FALSE)*VLOOKUP($D290,素材!$1:$1016,COLUMN($E$1),FALSE)/(LEN(VLOOKUP($D290,素材!$1:$1016,COLUMN($F$1),FALSE))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W290">
        <f>IF(ISNUMBER(SEARCH(SUBSTITUTE(AW$1,RIGHT(AW$1,2),""),VLOOKUP($D290,素材!$1:$1016,COLUMN($F$1),FALSE))),VLOOKUP($C290,武器!$1:$998,COLUMN($O$1),FALSE)*VLOOKUP($D290,素材!$1:$1016,COLUMN($E$1),FALSE)/(LEN(VLOOKUP($D290,素材!$1:$1016,COLUMN($F$1),FALSE))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X290">
        <f>IF(ISNUMBER(SEARCH(SUBSTITUTE(AX$1,RIGHT(AX$1,2),""),VLOOKUP($D290,素材!$1:$1016,COLUMN($F$1),FALSE))),VLOOKUP($C290,武器!$1:$998,COLUMN($O$1),FALSE)*VLOOKUP($D290,素材!$1:$1016,COLUMN($E$1),FALSE)/(LEN(VLOOKUP($D290,素材!$1:$1016,COLUMN($F$1),FALSE))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Y290">
        <f>IF(ISNUMBER(SEARCH(SUBSTITUTE(AY$1,RIGHT(AY$1,2),""),VLOOKUP($D290,素材!$1:$1016,COLUMN($F$1),FALSE))),VLOOKUP($C290,武器!$1:$998,COLUMN($O$1),FALSE)*VLOOKUP($D290,素材!$1:$1016,COLUMN($E$1),FALSE)/(LEN(VLOOKUP($D290,素材!$1:$1016,COLUMN($F$1),FALSE))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AZ290">
        <f>IF(ISNUMBER(SEARCH(SUBSTITUTE(AZ$1,RIGHT(AZ$1,2),""),VLOOKUP($D290,素材!$1:$1016,COLUMN($F$1),FALSE))),VLOOKUP($C290,武器!$1:$998,COLUMN($O$1),FALSE)*VLOOKUP($D290,素材!$1:$1016,COLUMN($E$1),FALSE)/(LEN(VLOOKUP($D290,素材!$1:$1016,COLUMN($F$1),FALSE))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BA290">
        <f>IF(ISNUMBER(SEARCH(SUBSTITUTE(BA$1,RIGHT(BA$1,2),""),VLOOKUP($D290,素材!$1:$1016,COLUMN($F$1),FALSE))),VLOOKUP($C290,武器!$1:$998,COLUMN($O$1),FALSE)*VLOOKUP($D290,素材!$1:$1016,COLUMN($E$1),FALSE)/(LEN(VLOOKUP($D290,素材!$1:$1016,COLUMN($F$1),FALSE))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BB290">
        <f>IF(ISNUMBER(SEARCH(SUBSTITUTE(BB$1,RIGHT(BB$1,2),""),VLOOKUP($D290,素材!$1:$1016,COLUMN($F$1),FALSE))),VLOOKUP($C290,武器!$1:$998,COLUMN($O$1),FALSE)*VLOOKUP($D290,素材!$1:$1016,COLUMN($E$1),FALSE)/(LEN(VLOOKUP($D290,素材!$1:$1016,COLUMN($F$1),FALSE))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BC290">
        <f>IF(ISNUMBER(SEARCH(SUBSTITUTE(BC$1,RIGHT(BC$1,2),""),VLOOKUP($D290,素材!$1:$1016,COLUMN($F$1),FALSE))),VLOOKUP($C290,武器!$1:$998,COLUMN($O$1),FALSE)*VLOOKUP($D290,素材!$1:$1016,COLUMN($E$1),FALSE)/(LEN(VLOOKUP($D290,素材!$1:$1016,COLUMN($F$1),FALSE))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BD290">
        <f>IF(ISNUMBER(SEARCH(SUBSTITUTE(BD$1,RIGHT(BD$1,2),""),VLOOKUP($D290,素材!$1:$1016,COLUMN($F$1),FALSE))),VLOOKUP($C290,武器!$1:$998,COLUMN($O$1),FALSE)*VLOOKUP($D290,素材!$1:$1016,COLUMN($E$1),FALSE)/(LEN(VLOOKUP($D290,素材!$1:$1016,COLUMN($F$1),FALSE))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BE290">
        <f>IF(ISNUMBER(SEARCH(SUBSTITUTE(BE$1,RIGHT(BE$1,2),""),VLOOKUP($D290,素材!$1:$1016,COLUMN($F$1),FALSE))),VLOOKUP($C290,武器!$1:$998,COLUMN($O$1),FALSE)*VLOOKUP($D290,素材!$1:$1016,COLUMN($E$1),FALSE)/(LEN(VLOOKUP($D290,素材!$1:$1016,COLUMN($F$1),FALSE))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BF290">
        <f>IF(ISNUMBER(SEARCH(SUBSTITUTE(BF$1,RIGHT(BF$1,2),""),VLOOKUP($D290,素材!$1:$1016,COLUMN($F$1),FALSE))),VLOOKUP($C290,武器!$1:$998,COLUMN($O$1),FALSE)*VLOOKUP($D290,素材!$1:$1016,COLUMN($E$1),FALSE)/(LEN(VLOOKUP($D290,素材!$1:$1016,COLUMN($F$1),FALSE)) - LEN(SUBSTITUTE(VLOOKUP($D290,素材!$1:$1016,COLUMN($F$1),FALSE), "・", 0)) + 1), 0)</f>
        <v>0</v>
      </c>
      <c r="CM290">
        <f t="shared" si="36"/>
        <v>0</v>
      </c>
      <c r="CN290" s="22" t="str">
        <f>IF(E290="武器",IF(J290-1&gt;SUM(G290:I290),"盾",IF(MAX(G290:I290)=G290,"切断",IF(MAX(G290:I290)=H290,"貫通",IF(MAX(G290:I290)=I290,"打撃","射撃")))),E290)&amp;".webp"</f>
        <v>.webp</v>
      </c>
      <c r="CO290" t="str">
        <f>IFERROR(VLOOKUP($C290,武器!$1:$998,COLUMN(V$1),FALSE)*VLOOKUP($D290,素材!$1:$1016,COLUMN(N$1),FALSE)+IF(CJ290="",0,VLOOKUP($CJ290,装強!$1:$1008,COLUMN($CL$1),FALSE)),"")</f>
        <v/>
      </c>
      <c r="CP290" t="e">
        <f>VLOOKUP(D290,素材!$A:$O,COLUMN(素材!O$1),FALSE)</f>
        <v>#N/A</v>
      </c>
      <c r="CQ290" t="e">
        <f>VLOOKUP(C290,武器!$A:$W,COLUMN(武器!W$1),FALSE)</f>
        <v>#N/A</v>
      </c>
      <c r="CS290" t="str">
        <f t="shared" si="37"/>
        <v>e_290</v>
      </c>
      <c r="CT290" t="e">
        <f t="shared" si="38"/>
        <v>#VALUE!</v>
      </c>
    </row>
    <row r="291" spans="1:98" hidden="1" outlineLevel="1" x14ac:dyDescent="0.4">
      <c r="A291" t="str">
        <f>IF(CJ291="",D291&amp;"の"&amp;C291,CJ291&amp;"の"&amp;C291)</f>
        <v>の</v>
      </c>
      <c r="B291" t="str">
        <f>IFERROR(IF(CJ291="",VLOOKUP($D291,素材!$1:$1016,COLUMN($B$1),FALSE)&amp;"・"&amp;VLOOKUP($C291,武器!$1:$998,COLUMN(B$1),FALSE),VLOOKUP($CJ291,装強!$1:$1008,COLUMN($B$1),FALSE)&amp;"・"&amp;VLOOKUP($C291,武器!$1:$998,COLUMN(B$1),FALSE)),"")</f>
        <v/>
      </c>
      <c r="C291" s="24"/>
      <c r="D291" s="24"/>
      <c r="E291" t="str">
        <f>IFERROR(VLOOKUP(C291,武器!$1:$998,COLUMN(C$1),FALSE),"")</f>
        <v/>
      </c>
      <c r="F291" t="str">
        <f>IFERROR(ROUNDDOWN((VLOOKUP($C291,武器!$1:$998,COLUMN(D$1),FALSE)+IFERROR(VLOOKUP($CJ291,装強!$1:$999,COLUMN(F$1),FALSE),0))*VLOOKUP($D291,素材!$1:$1016,COLUMN(D$1),FALSE),0),"")</f>
        <v/>
      </c>
      <c r="G291" t="str">
        <f>IFERROR(ROUNDDOWN((VLOOKUP($C291,武器!$1:$998,COLUMN(E$1),FALSE)+IFERROR(VLOOKUP($CJ291,装強!$1:$999,COLUMN(G$1),FALSE),0))*VLOOKUP($D291,素材!$1:$1016,COLUMN($E$1),FALSE),0),"")</f>
        <v/>
      </c>
      <c r="H291" t="str">
        <f>IFERROR(ROUNDDOWN((VLOOKUP($C291,武器!$1:$998,COLUMN(F$1),FALSE)+IFERROR(VLOOKUP($CJ291,装強!$1:$999,COLUMN(H$1),FALSE),0))*VLOOKUP($D291,素材!$1:$1016,COLUMN($E$1),FALSE),0),"")</f>
        <v/>
      </c>
      <c r="I291" t="str">
        <f>IFERROR(ROUNDDOWN((VLOOKUP($C291,武器!$1:$998,COLUMN(G$1),FALSE)+IFERROR(VLOOKUP($CJ291,装強!$1:$999,COLUMN(I$1),FALSE),0))*VLOOKUP($D291,素材!$1:$1016,COLUMN($E$1),FALSE),0),"")</f>
        <v/>
      </c>
      <c r="J291" t="str">
        <f>IFERROR(ROUNDDOWN((VLOOKUP($C291,武器!$1:$998,COLUMN(H$1),FALSE)+IFERROR(VLOOKUP($CJ291,装強!$1:$999,COLUMN(J$1),FALSE),0))*VLOOKUP($D291,素材!$1:$1016,COLUMN($E$1),FALSE),0),"")</f>
        <v/>
      </c>
      <c r="K291" t="str">
        <f>IFERROR(ROUNDDOWN((VLOOKUP($C291,武器!$1:$998,COLUMN(I$1),FALSE)+IFERROR(VLOOKUP($CJ291,装強!$1:$999,COLUMN(K$1),FALSE),0))*VLOOKUP($D291,素材!$1:$1016,COLUMN($E$1),FALSE),0),"")</f>
        <v/>
      </c>
      <c r="L291" t="str">
        <f>IFERROR(VLOOKUP($D291,素材!$1:$1016,COLUMN($F$1),FALSE),"")</f>
        <v/>
      </c>
      <c r="M291" t="str">
        <f>IFERROR(VLOOKUP($C291,武器!$1:$998,COLUMN(AA$1),FALSE)*VLOOKUP($D291,素材!$1:$1016,COLUMN($G$1),FALSE),"")</f>
        <v/>
      </c>
      <c r="N291" t="str">
        <f>IFERROR(VLOOKUP($C291,武器!$1:$998,COLUMN(I$1),FALSE),"")</f>
        <v/>
      </c>
      <c r="O291" s="23" t="str">
        <f>IFERROR((VLOOKUP($C291,武器!$1:$998,COLUMN(K$1),FALSE)+VLOOKUP($D291,素材!$1:$1016,COLUMN(H$1),FALSE))*100+IFERROR(VLOOKUP($CJ291,装強!$1:$999,COLUMN(O$1),FALSE),0),"")</f>
        <v/>
      </c>
      <c r="P291" s="23" t="str">
        <f>IFERROR((VLOOKUP($C291,武器!$1:$998,COLUMN(L$1),FALSE)+VLOOKUP($D291,素材!$1:$1016,COLUMN(I$1),FALSE))*100+IFERROR(VLOOKUP($CJ291,装強!$1:$999,COLUMN(P$1),FALSE),0),"")</f>
        <v/>
      </c>
      <c r="Q291" t="str">
        <f>IFERROR(ROUNDUP(VLOOKUP($C291,武器!$1:$998,COLUMN(M$1),FALSE)*(VLOOKUP($D291,素材!$1:$1002,COLUMN(D$1),FALSE)/100),1),"")</f>
        <v/>
      </c>
      <c r="R291" t="str">
        <f>IFERROR(ROUNDUP(VLOOKUP($C291,武器!$1:$998,COLUMN(N$1),FALSE)*(VLOOKUP($D291,素材!$1:$1002,COLUMN(D$1),FALSE)/100),1),"")</f>
        <v/>
      </c>
      <c r="S291" t="str">
        <f>IFERROR(VLOOKUP($C291,武器!$1:$998,COLUMN(P$1),FALSE),"")</f>
        <v/>
      </c>
      <c r="T291" t="str">
        <f>IFERROR(VLOOKUP($C291,武器!$1:$998,COLUMN(Q$1),FALSE),"")</f>
        <v/>
      </c>
      <c r="U291" t="str">
        <f>IFERROR(VLOOKUP($C291,武器!$1:$998,COLUMN(R$1),FALSE),"")</f>
        <v/>
      </c>
      <c r="V291" t="str">
        <f>IFERROR(VLOOKUP($C291,武器!$1:$998,COLUMN(Q$1),FALSE),"")</f>
        <v/>
      </c>
      <c r="W291" t="str">
        <f>IFERROR(VLOOKUP($C291,武器!$1:$998,COLUMN(T$1),FALSE),"")</f>
        <v/>
      </c>
      <c r="Y291" t="str">
        <f>IFERROR(VLOOKUP($C291,武器!$1:$998,COLUMN(U$1),FALSE),"")</f>
        <v/>
      </c>
      <c r="Z291" t="str">
        <f>IFERROR(ROUNDUP(VLOOKUP($C291,武器!$1:$998,COLUMN(O$1),FALSE)*VLOOKUP($D291,素材!$1:$1016,COLUMN(E$1),FALSE),1),"")</f>
        <v/>
      </c>
      <c r="AA291">
        <f>IF(ISNUMBER(SEARCH(SUBSTITUTE(AA$1,RIGHT(AA$1,2),""),VLOOKUP($D291,素材!$1:$1016,COLUMN($F$1),FALSE))),VLOOKUP($C291,武器!$1:$998,COLUMN($O$1),FALSE)*VLOOKUP($D291,素材!$1:$1016,COLUMN($E$1),FALSE)/(LEN(VLOOKUP($D291,素材!$1:$1016,COLUMN($F$1),FALSE))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B291">
        <f>IF(ISNUMBER(SEARCH(SUBSTITUTE(AB$1,RIGHT(AB$1,2),""),VLOOKUP($D291,素材!$1:$1016,COLUMN($F$1),FALSE))),VLOOKUP($C291,武器!$1:$998,COLUMN($O$1),FALSE)*VLOOKUP($D291,素材!$1:$1016,COLUMN($E$1),FALSE)/(LEN(VLOOKUP($D291,素材!$1:$1016,COLUMN($F$1),FALSE))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C291">
        <f>IF(ISNUMBER(SEARCH(SUBSTITUTE(AC$1,RIGHT(AC$1,2),""),VLOOKUP($D291,素材!$1:$1016,COLUMN($F$1),FALSE))),VLOOKUP($C291,武器!$1:$998,COLUMN($O$1),FALSE)*VLOOKUP($D291,素材!$1:$1016,COLUMN($E$1),FALSE)/(LEN(VLOOKUP($D291,素材!$1:$1016,COLUMN($F$1),FALSE))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D291">
        <f>IF(ISNUMBER(SEARCH(SUBSTITUTE(AD$1,RIGHT(AD$1,2),""),VLOOKUP($D291,素材!$1:$1016,COLUMN($F$1),FALSE))),VLOOKUP($C291,武器!$1:$998,COLUMN($O$1),FALSE)*VLOOKUP($D291,素材!$1:$1016,COLUMN($E$1),FALSE)/(LEN(VLOOKUP($D291,素材!$1:$1016,COLUMN($F$1),FALSE))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E291">
        <f>IF(ISNUMBER(SEARCH(SUBSTITUTE(AE$1,RIGHT(AE$1,2),""),VLOOKUP($D291,素材!$1:$1016,COLUMN($F$1),FALSE))),VLOOKUP($C291,武器!$1:$998,COLUMN($O$1),FALSE)*VLOOKUP($D291,素材!$1:$1016,COLUMN($E$1),FALSE)/(LEN(VLOOKUP($D291,素材!$1:$1016,COLUMN($F$1),FALSE))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F291">
        <f>IF(ISNUMBER(SEARCH(SUBSTITUTE(AF$1,RIGHT(AF$1,2),""),VLOOKUP($D291,素材!$1:$1016,COLUMN($F$1),FALSE))),VLOOKUP($C291,武器!$1:$998,COLUMN($O$1),FALSE)*VLOOKUP($D291,素材!$1:$1016,COLUMN($E$1),FALSE)/(LEN(VLOOKUP($D291,素材!$1:$1016,COLUMN($F$1),FALSE))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G291">
        <f>IF(ISNUMBER(SEARCH(SUBSTITUTE(AG$1,RIGHT(AG$1,2),""),VLOOKUP($D291,素材!$1:$1016,COLUMN($F$1),FALSE))),VLOOKUP($C291,武器!$1:$998,COLUMN($O$1),FALSE)*VLOOKUP($D291,素材!$1:$1016,COLUMN($E$1),FALSE)/(LEN(VLOOKUP($D291,素材!$1:$1016,COLUMN($F$1),FALSE))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H291">
        <f>IF(ISNUMBER(SEARCH(SUBSTITUTE(AH$1,RIGHT(AH$1,2),""),VLOOKUP($D291,素材!$1:$1016,COLUMN($F$1),FALSE))),VLOOKUP($C291,武器!$1:$998,COLUMN($O$1),FALSE)*VLOOKUP($D291,素材!$1:$1016,COLUMN($E$1),FALSE)/(LEN(VLOOKUP($D291,素材!$1:$1016,COLUMN($F$1),FALSE))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I291">
        <f>IF(ISNUMBER(SEARCH(SUBSTITUTE(AI$1,RIGHT(AI$1,2),""),VLOOKUP($D291,素材!$1:$1016,COLUMN($F$1),FALSE))),VLOOKUP($C291,武器!$1:$998,COLUMN($O$1),FALSE)*VLOOKUP($D291,素材!$1:$1016,COLUMN($E$1),FALSE)/(LEN(VLOOKUP($D291,素材!$1:$1016,COLUMN($F$1),FALSE))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J291">
        <f>IF(ISNUMBER(SEARCH(SUBSTITUTE(AJ$1,RIGHT(AJ$1,2),""),VLOOKUP($D291,素材!$1:$1016,COLUMN($F$1),FALSE))),VLOOKUP($C291,武器!$1:$998,COLUMN($O$1),FALSE)*VLOOKUP($D291,素材!$1:$1016,COLUMN($E$1),FALSE)/(LEN(VLOOKUP($D291,素材!$1:$1016,COLUMN($F$1),FALSE))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K291">
        <f>IF(ISNUMBER(SEARCH(SUBSTITUTE(AK$1,RIGHT(AK$1,2),""),VLOOKUP($D291,素材!$1:$1016,COLUMN($F$1),FALSE))),VLOOKUP($C291,武器!$1:$998,COLUMN($O$1),FALSE)*VLOOKUP($D291,素材!$1:$1016,COLUMN($E$1),FALSE)/(LEN(VLOOKUP($D291,素材!$1:$1016,COLUMN($F$1),FALSE))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L291">
        <f>IF(ISNUMBER(SEARCH(SUBSTITUTE(AL$1,RIGHT(AL$1,2),""),VLOOKUP($D291,素材!$1:$1016,COLUMN($F$1),FALSE))),VLOOKUP($C291,武器!$1:$998,COLUMN($O$1),FALSE)*VLOOKUP($D291,素材!$1:$1016,COLUMN($E$1),FALSE)/(LEN(VLOOKUP($D291,素材!$1:$1016,COLUMN($F$1),FALSE))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M291">
        <f>IF(ISNUMBER(SEARCH(SUBSTITUTE(AM$1,RIGHT(AM$1,2),""),VLOOKUP($D291,素材!$1:$1016,COLUMN($F$1),FALSE))),VLOOKUP($C291,武器!$1:$998,COLUMN($O$1),FALSE)*VLOOKUP($D291,素材!$1:$1016,COLUMN($E$1),FALSE)/(LEN(VLOOKUP($D291,素材!$1:$1016,COLUMN($F$1),FALSE))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N291">
        <f>IF(ISNUMBER(SEARCH(SUBSTITUTE(AN$1,RIGHT(AN$1,2),""),VLOOKUP($D291,素材!$1:$1016,COLUMN($F$1),FALSE))),VLOOKUP($C291,武器!$1:$998,COLUMN($O$1),FALSE)*VLOOKUP($D291,素材!$1:$1016,COLUMN($E$1),FALSE)/(LEN(VLOOKUP($D291,素材!$1:$1016,COLUMN($F$1),FALSE))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O291">
        <f>IF(ISNUMBER(SEARCH(SUBSTITUTE(AO$1,RIGHT(AO$1,2),""),VLOOKUP($D291,素材!$1:$1016,COLUMN($F$1),FALSE))),VLOOKUP($C291,武器!$1:$998,COLUMN($O$1),FALSE)*VLOOKUP($D291,素材!$1:$1016,COLUMN($E$1),FALSE)/(LEN(VLOOKUP($D291,素材!$1:$1016,COLUMN($F$1),FALSE))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P291">
        <f>IF(ISNUMBER(SEARCH(SUBSTITUTE(AP$1,RIGHT(AP$1,2),""),VLOOKUP($D291,素材!$1:$1016,COLUMN($F$1),FALSE))),VLOOKUP($C291,武器!$1:$998,COLUMN($O$1),FALSE)*VLOOKUP($D291,素材!$1:$1016,COLUMN($E$1),FALSE)/(LEN(VLOOKUP($D291,素材!$1:$1016,COLUMN($F$1),FALSE))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Q291">
        <f>IF(ISNUMBER(SEARCH(SUBSTITUTE(AQ$1,RIGHT(AQ$1,2),""),VLOOKUP($D291,素材!$1:$1016,COLUMN($F$1),FALSE))),VLOOKUP($C291,武器!$1:$998,COLUMN($O$1),FALSE)*VLOOKUP($D291,素材!$1:$1016,COLUMN($E$1),FALSE)/(LEN(VLOOKUP($D291,素材!$1:$1016,COLUMN($F$1),FALSE))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R291">
        <f>IF(ISNUMBER(SEARCH(SUBSTITUTE(AR$1,RIGHT(AR$1,2),""),VLOOKUP($D291,素材!$1:$1016,COLUMN($F$1),FALSE))),VLOOKUP($C291,武器!$1:$998,COLUMN($O$1),FALSE)*VLOOKUP($D291,素材!$1:$1016,COLUMN($E$1),FALSE)/(LEN(VLOOKUP($D291,素材!$1:$1016,COLUMN($F$1),FALSE))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S291">
        <f>IF(ISNUMBER(SEARCH(SUBSTITUTE(AS$1,RIGHT(AS$1,2),""),VLOOKUP($D291,素材!$1:$1016,COLUMN($F$1),FALSE))),VLOOKUP($C291,武器!$1:$998,COLUMN($O$1),FALSE)*VLOOKUP($D291,素材!$1:$1016,COLUMN($E$1),FALSE)/(LEN(VLOOKUP($D291,素材!$1:$1016,COLUMN($F$1),FALSE))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T291">
        <f>IF(ISNUMBER(SEARCH(SUBSTITUTE(AT$1,RIGHT(AT$1,2),""),VLOOKUP($D291,素材!$1:$1016,COLUMN($F$1),FALSE))),VLOOKUP($C291,武器!$1:$998,COLUMN($O$1),FALSE)*VLOOKUP($D291,素材!$1:$1016,COLUMN($E$1),FALSE)/(LEN(VLOOKUP($D291,素材!$1:$1016,COLUMN($F$1),FALSE))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U291">
        <f>IF(ISNUMBER(SEARCH(SUBSTITUTE(AU$1,RIGHT(AU$1,2),""),VLOOKUP($D291,素材!$1:$1016,COLUMN($F$1),FALSE))),VLOOKUP($C291,武器!$1:$998,COLUMN($O$1),FALSE)*VLOOKUP($D291,素材!$1:$1016,COLUMN($E$1),FALSE)/(LEN(VLOOKUP($D291,素材!$1:$1016,COLUMN($F$1),FALSE))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V291">
        <f>IF(ISNUMBER(SEARCH(SUBSTITUTE(AV$1,RIGHT(AV$1,2),""),VLOOKUP($D291,素材!$1:$1016,COLUMN($F$1),FALSE))),VLOOKUP($C291,武器!$1:$998,COLUMN($O$1),FALSE)*VLOOKUP($D291,素材!$1:$1016,COLUMN($E$1),FALSE)/(LEN(VLOOKUP($D291,素材!$1:$1016,COLUMN($F$1),FALSE))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W291">
        <f>IF(ISNUMBER(SEARCH(SUBSTITUTE(AW$1,RIGHT(AW$1,2),""),VLOOKUP($D291,素材!$1:$1016,COLUMN($F$1),FALSE))),VLOOKUP($C291,武器!$1:$998,COLUMN($O$1),FALSE)*VLOOKUP($D291,素材!$1:$1016,COLUMN($E$1),FALSE)/(LEN(VLOOKUP($D291,素材!$1:$1016,COLUMN($F$1),FALSE))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X291">
        <f>IF(ISNUMBER(SEARCH(SUBSTITUTE(AX$1,RIGHT(AX$1,2),""),VLOOKUP($D291,素材!$1:$1016,COLUMN($F$1),FALSE))),VLOOKUP($C291,武器!$1:$998,COLUMN($O$1),FALSE)*VLOOKUP($D291,素材!$1:$1016,COLUMN($E$1),FALSE)/(LEN(VLOOKUP($D291,素材!$1:$1016,COLUMN($F$1),FALSE))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Y291">
        <f>IF(ISNUMBER(SEARCH(SUBSTITUTE(AY$1,RIGHT(AY$1,2),""),VLOOKUP($D291,素材!$1:$1016,COLUMN($F$1),FALSE))),VLOOKUP($C291,武器!$1:$998,COLUMN($O$1),FALSE)*VLOOKUP($D291,素材!$1:$1016,COLUMN($E$1),FALSE)/(LEN(VLOOKUP($D291,素材!$1:$1016,COLUMN($F$1),FALSE))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AZ291">
        <f>IF(ISNUMBER(SEARCH(SUBSTITUTE(AZ$1,RIGHT(AZ$1,2),""),VLOOKUP($D291,素材!$1:$1016,COLUMN($F$1),FALSE))),VLOOKUP($C291,武器!$1:$998,COLUMN($O$1),FALSE)*VLOOKUP($D291,素材!$1:$1016,COLUMN($E$1),FALSE)/(LEN(VLOOKUP($D291,素材!$1:$1016,COLUMN($F$1),FALSE))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BA291">
        <f>IF(ISNUMBER(SEARCH(SUBSTITUTE(BA$1,RIGHT(BA$1,2),""),VLOOKUP($D291,素材!$1:$1016,COLUMN($F$1),FALSE))),VLOOKUP($C291,武器!$1:$998,COLUMN($O$1),FALSE)*VLOOKUP($D291,素材!$1:$1016,COLUMN($E$1),FALSE)/(LEN(VLOOKUP($D291,素材!$1:$1016,COLUMN($F$1),FALSE))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BB291">
        <f>IF(ISNUMBER(SEARCH(SUBSTITUTE(BB$1,RIGHT(BB$1,2),""),VLOOKUP($D291,素材!$1:$1016,COLUMN($F$1),FALSE))),VLOOKUP($C291,武器!$1:$998,COLUMN($O$1),FALSE)*VLOOKUP($D291,素材!$1:$1016,COLUMN($E$1),FALSE)/(LEN(VLOOKUP($D291,素材!$1:$1016,COLUMN($F$1),FALSE))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BC291">
        <f>IF(ISNUMBER(SEARCH(SUBSTITUTE(BC$1,RIGHT(BC$1,2),""),VLOOKUP($D291,素材!$1:$1016,COLUMN($F$1),FALSE))),VLOOKUP($C291,武器!$1:$998,COLUMN($O$1),FALSE)*VLOOKUP($D291,素材!$1:$1016,COLUMN($E$1),FALSE)/(LEN(VLOOKUP($D291,素材!$1:$1016,COLUMN($F$1),FALSE))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BD291">
        <f>IF(ISNUMBER(SEARCH(SUBSTITUTE(BD$1,RIGHT(BD$1,2),""),VLOOKUP($D291,素材!$1:$1016,COLUMN($F$1),FALSE))),VLOOKUP($C291,武器!$1:$998,COLUMN($O$1),FALSE)*VLOOKUP($D291,素材!$1:$1016,COLUMN($E$1),FALSE)/(LEN(VLOOKUP($D291,素材!$1:$1016,COLUMN($F$1),FALSE))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BE291">
        <f>IF(ISNUMBER(SEARCH(SUBSTITUTE(BE$1,RIGHT(BE$1,2),""),VLOOKUP($D291,素材!$1:$1016,COLUMN($F$1),FALSE))),VLOOKUP($C291,武器!$1:$998,COLUMN($O$1),FALSE)*VLOOKUP($D291,素材!$1:$1016,COLUMN($E$1),FALSE)/(LEN(VLOOKUP($D291,素材!$1:$1016,COLUMN($F$1),FALSE))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BF291">
        <f>IF(ISNUMBER(SEARCH(SUBSTITUTE(BF$1,RIGHT(BF$1,2),""),VLOOKUP($D291,素材!$1:$1016,COLUMN($F$1),FALSE))),VLOOKUP($C291,武器!$1:$998,COLUMN($O$1),FALSE)*VLOOKUP($D291,素材!$1:$1016,COLUMN($E$1),FALSE)/(LEN(VLOOKUP($D291,素材!$1:$1016,COLUMN($F$1),FALSE)) - LEN(SUBSTITUTE(VLOOKUP($D291,素材!$1:$1016,COLUMN($F$1),FALSE), "・", 0)) + 1), 0)</f>
        <v>0</v>
      </c>
      <c r="CM291">
        <f t="shared" si="36"/>
        <v>0</v>
      </c>
      <c r="CN291" s="22" t="str">
        <f>IF(E291="武器",IF(J291-1&gt;SUM(G291:I291),"盾",IF(MAX(G291:I291)=G291,"切断",IF(MAX(G291:I291)=H291,"貫通",IF(MAX(G291:I291)=I291,"打撃","射撃")))),E291)&amp;".webp"</f>
        <v>.webp</v>
      </c>
      <c r="CO291" t="str">
        <f>IFERROR(VLOOKUP($C291,武器!$1:$998,COLUMN(V$1),FALSE)*VLOOKUP($D291,素材!$1:$1016,COLUMN(N$1),FALSE)+IF(CJ291="",0,VLOOKUP($CJ291,装強!$1:$1008,COLUMN($CL$1),FALSE)),"")</f>
        <v/>
      </c>
      <c r="CP291" t="e">
        <f>VLOOKUP(D291,素材!$A:$O,COLUMN(素材!O$1),FALSE)</f>
        <v>#N/A</v>
      </c>
      <c r="CQ291" t="e">
        <f>VLOOKUP(C291,武器!$A:$W,COLUMN(武器!W$1),FALSE)</f>
        <v>#N/A</v>
      </c>
      <c r="CS291" t="str">
        <f t="shared" si="37"/>
        <v>e_291</v>
      </c>
      <c r="CT291" t="e">
        <f t="shared" si="38"/>
        <v>#VALUE!</v>
      </c>
    </row>
    <row r="292" spans="1:98" hidden="1" outlineLevel="1" x14ac:dyDescent="0.4">
      <c r="A292" t="str">
        <f>IF(CJ292="",D292&amp;"の"&amp;C292,CJ292&amp;"の"&amp;C292)</f>
        <v>の</v>
      </c>
      <c r="B292" t="str">
        <f>IFERROR(IF(CJ292="",VLOOKUP($D292,素材!$1:$1016,COLUMN($B$1),FALSE)&amp;"・"&amp;VLOOKUP($C292,武器!$1:$998,COLUMN(B$1),FALSE),VLOOKUP($CJ292,装強!$1:$1008,COLUMN($B$1),FALSE)&amp;"・"&amp;VLOOKUP($C292,武器!$1:$998,COLUMN(B$1),FALSE)),"")</f>
        <v/>
      </c>
      <c r="C292" s="24"/>
      <c r="D292" s="24"/>
      <c r="E292" t="str">
        <f>IFERROR(VLOOKUP(C292,武器!$1:$998,COLUMN(C$1),FALSE),"")</f>
        <v/>
      </c>
      <c r="F292" t="str">
        <f>IFERROR(ROUNDDOWN((VLOOKUP($C292,武器!$1:$998,COLUMN(D$1),FALSE)+IFERROR(VLOOKUP($CJ292,装強!$1:$999,COLUMN(F$1),FALSE),0))*VLOOKUP($D292,素材!$1:$1016,COLUMN(D$1),FALSE),0),"")</f>
        <v/>
      </c>
      <c r="G292" t="str">
        <f>IFERROR(ROUNDDOWN((VLOOKUP($C292,武器!$1:$998,COLUMN(E$1),FALSE)+IFERROR(VLOOKUP($CJ292,装強!$1:$999,COLUMN(G$1),FALSE),0))*VLOOKUP($D292,素材!$1:$1016,COLUMN($E$1),FALSE),0),"")</f>
        <v/>
      </c>
      <c r="H292" t="str">
        <f>IFERROR(ROUNDDOWN((VLOOKUP($C292,武器!$1:$998,COLUMN(F$1),FALSE)+IFERROR(VLOOKUP($CJ292,装強!$1:$999,COLUMN(H$1),FALSE),0))*VLOOKUP($D292,素材!$1:$1016,COLUMN($E$1),FALSE),0),"")</f>
        <v/>
      </c>
      <c r="I292" t="str">
        <f>IFERROR(ROUNDDOWN((VLOOKUP($C292,武器!$1:$998,COLUMN(G$1),FALSE)+IFERROR(VLOOKUP($CJ292,装強!$1:$999,COLUMN(I$1),FALSE),0))*VLOOKUP($D292,素材!$1:$1016,COLUMN($E$1),FALSE),0),"")</f>
        <v/>
      </c>
      <c r="J292" t="str">
        <f>IFERROR(ROUNDDOWN((VLOOKUP($C292,武器!$1:$998,COLUMN(H$1),FALSE)+IFERROR(VLOOKUP($CJ292,装強!$1:$999,COLUMN(J$1),FALSE),0))*VLOOKUP($D292,素材!$1:$1016,COLUMN($E$1),FALSE),0),"")</f>
        <v/>
      </c>
      <c r="K292" t="str">
        <f>IFERROR(ROUNDDOWN((VLOOKUP($C292,武器!$1:$998,COLUMN(I$1),FALSE)+IFERROR(VLOOKUP($CJ292,装強!$1:$999,COLUMN(K$1),FALSE),0))*VLOOKUP($D292,素材!$1:$1016,COLUMN($E$1),FALSE),0),"")</f>
        <v/>
      </c>
      <c r="L292" t="str">
        <f>IFERROR(VLOOKUP($D292,素材!$1:$1016,COLUMN($F$1),FALSE),"")</f>
        <v/>
      </c>
      <c r="M292" t="str">
        <f>IFERROR(VLOOKUP($C292,武器!$1:$998,COLUMN(AA$1),FALSE)*VLOOKUP($D292,素材!$1:$1016,COLUMN($G$1),FALSE),"")</f>
        <v/>
      </c>
      <c r="N292" t="str">
        <f>IFERROR(VLOOKUP($C292,武器!$1:$998,COLUMN(I$1),FALSE),"")</f>
        <v/>
      </c>
      <c r="O292" s="23" t="str">
        <f>IFERROR((VLOOKUP($C292,武器!$1:$998,COLUMN(K$1),FALSE)+VLOOKUP($D292,素材!$1:$1016,COLUMN(H$1),FALSE))*100+IFERROR(VLOOKUP($CJ292,装強!$1:$999,COLUMN(O$1),FALSE),0),"")</f>
        <v/>
      </c>
      <c r="P292" s="23" t="str">
        <f>IFERROR((VLOOKUP($C292,武器!$1:$998,COLUMN(L$1),FALSE)+VLOOKUP($D292,素材!$1:$1016,COLUMN(I$1),FALSE))*100+IFERROR(VLOOKUP($CJ292,装強!$1:$999,COLUMN(P$1),FALSE),0),"")</f>
        <v/>
      </c>
      <c r="Q292" t="str">
        <f>IFERROR(ROUNDUP(VLOOKUP($C292,武器!$1:$998,COLUMN(M$1),FALSE)*(VLOOKUP($D292,素材!$1:$1002,COLUMN(D$1),FALSE)/100),1),"")</f>
        <v/>
      </c>
      <c r="R292" t="str">
        <f>IFERROR(ROUNDUP(VLOOKUP($C292,武器!$1:$998,COLUMN(N$1),FALSE)*(VLOOKUP($D292,素材!$1:$1002,COLUMN(D$1),FALSE)/100),1),"")</f>
        <v/>
      </c>
      <c r="S292" t="str">
        <f>IFERROR(VLOOKUP($C292,武器!$1:$998,COLUMN(P$1),FALSE),"")</f>
        <v/>
      </c>
      <c r="T292" t="str">
        <f>IFERROR(VLOOKUP($C292,武器!$1:$998,COLUMN(Q$1),FALSE),"")</f>
        <v/>
      </c>
      <c r="U292" t="str">
        <f>IFERROR(VLOOKUP($C292,武器!$1:$998,COLUMN(R$1),FALSE),"")</f>
        <v/>
      </c>
      <c r="V292" t="str">
        <f>IFERROR(VLOOKUP($C292,武器!$1:$998,COLUMN(Q$1),FALSE),"")</f>
        <v/>
      </c>
      <c r="W292" t="str">
        <f>IFERROR(VLOOKUP($C292,武器!$1:$998,COLUMN(T$1),FALSE),"")</f>
        <v/>
      </c>
      <c r="Y292" t="str">
        <f>IFERROR(VLOOKUP($C292,武器!$1:$998,COLUMN(U$1),FALSE),"")</f>
        <v/>
      </c>
      <c r="Z292" t="str">
        <f>IFERROR(ROUNDUP(VLOOKUP($C292,武器!$1:$998,COLUMN(O$1),FALSE)*VLOOKUP($D292,素材!$1:$1016,COLUMN(E$1),FALSE),1),"")</f>
        <v/>
      </c>
      <c r="AA292">
        <f>IF(ISNUMBER(SEARCH(SUBSTITUTE(AA$1,RIGHT(AA$1,2),""),VLOOKUP($D292,素材!$1:$1016,COLUMN($F$1),FALSE))),VLOOKUP($C292,武器!$1:$998,COLUMN($O$1),FALSE)*VLOOKUP($D292,素材!$1:$1016,COLUMN($E$1),FALSE)/(LEN(VLOOKUP($D292,素材!$1:$1016,COLUMN($F$1),FALSE))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B292">
        <f>IF(ISNUMBER(SEARCH(SUBSTITUTE(AB$1,RIGHT(AB$1,2),""),VLOOKUP($D292,素材!$1:$1016,COLUMN($F$1),FALSE))),VLOOKUP($C292,武器!$1:$998,COLUMN($O$1),FALSE)*VLOOKUP($D292,素材!$1:$1016,COLUMN($E$1),FALSE)/(LEN(VLOOKUP($D292,素材!$1:$1016,COLUMN($F$1),FALSE))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C292">
        <f>IF(ISNUMBER(SEARCH(SUBSTITUTE(AC$1,RIGHT(AC$1,2),""),VLOOKUP($D292,素材!$1:$1016,COLUMN($F$1),FALSE))),VLOOKUP($C292,武器!$1:$998,COLUMN($O$1),FALSE)*VLOOKUP($D292,素材!$1:$1016,COLUMN($E$1),FALSE)/(LEN(VLOOKUP($D292,素材!$1:$1016,COLUMN($F$1),FALSE))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D292">
        <f>IF(ISNUMBER(SEARCH(SUBSTITUTE(AD$1,RIGHT(AD$1,2),""),VLOOKUP($D292,素材!$1:$1016,COLUMN($F$1),FALSE))),VLOOKUP($C292,武器!$1:$998,COLUMN($O$1),FALSE)*VLOOKUP($D292,素材!$1:$1016,COLUMN($E$1),FALSE)/(LEN(VLOOKUP($D292,素材!$1:$1016,COLUMN($F$1),FALSE))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E292">
        <f>IF(ISNUMBER(SEARCH(SUBSTITUTE(AE$1,RIGHT(AE$1,2),""),VLOOKUP($D292,素材!$1:$1016,COLUMN($F$1),FALSE))),VLOOKUP($C292,武器!$1:$998,COLUMN($O$1),FALSE)*VLOOKUP($D292,素材!$1:$1016,COLUMN($E$1),FALSE)/(LEN(VLOOKUP($D292,素材!$1:$1016,COLUMN($F$1),FALSE))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F292">
        <f>IF(ISNUMBER(SEARCH(SUBSTITUTE(AF$1,RIGHT(AF$1,2),""),VLOOKUP($D292,素材!$1:$1016,COLUMN($F$1),FALSE))),VLOOKUP($C292,武器!$1:$998,COLUMN($O$1),FALSE)*VLOOKUP($D292,素材!$1:$1016,COLUMN($E$1),FALSE)/(LEN(VLOOKUP($D292,素材!$1:$1016,COLUMN($F$1),FALSE))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G292">
        <f>IF(ISNUMBER(SEARCH(SUBSTITUTE(AG$1,RIGHT(AG$1,2),""),VLOOKUP($D292,素材!$1:$1016,COLUMN($F$1),FALSE))),VLOOKUP($C292,武器!$1:$998,COLUMN($O$1),FALSE)*VLOOKUP($D292,素材!$1:$1016,COLUMN($E$1),FALSE)/(LEN(VLOOKUP($D292,素材!$1:$1016,COLUMN($F$1),FALSE))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H292">
        <f>IF(ISNUMBER(SEARCH(SUBSTITUTE(AH$1,RIGHT(AH$1,2),""),VLOOKUP($D292,素材!$1:$1016,COLUMN($F$1),FALSE))),VLOOKUP($C292,武器!$1:$998,COLUMN($O$1),FALSE)*VLOOKUP($D292,素材!$1:$1016,COLUMN($E$1),FALSE)/(LEN(VLOOKUP($D292,素材!$1:$1016,COLUMN($F$1),FALSE))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I292">
        <f>IF(ISNUMBER(SEARCH(SUBSTITUTE(AI$1,RIGHT(AI$1,2),""),VLOOKUP($D292,素材!$1:$1016,COLUMN($F$1),FALSE))),VLOOKUP($C292,武器!$1:$998,COLUMN($O$1),FALSE)*VLOOKUP($D292,素材!$1:$1016,COLUMN($E$1),FALSE)/(LEN(VLOOKUP($D292,素材!$1:$1016,COLUMN($F$1),FALSE))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J292">
        <f>IF(ISNUMBER(SEARCH(SUBSTITUTE(AJ$1,RIGHT(AJ$1,2),""),VLOOKUP($D292,素材!$1:$1016,COLUMN($F$1),FALSE))),VLOOKUP($C292,武器!$1:$998,COLUMN($O$1),FALSE)*VLOOKUP($D292,素材!$1:$1016,COLUMN($E$1),FALSE)/(LEN(VLOOKUP($D292,素材!$1:$1016,COLUMN($F$1),FALSE))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K292">
        <f>IF(ISNUMBER(SEARCH(SUBSTITUTE(AK$1,RIGHT(AK$1,2),""),VLOOKUP($D292,素材!$1:$1016,COLUMN($F$1),FALSE))),VLOOKUP($C292,武器!$1:$998,COLUMN($O$1),FALSE)*VLOOKUP($D292,素材!$1:$1016,COLUMN($E$1),FALSE)/(LEN(VLOOKUP($D292,素材!$1:$1016,COLUMN($F$1),FALSE))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L292">
        <f>IF(ISNUMBER(SEARCH(SUBSTITUTE(AL$1,RIGHT(AL$1,2),""),VLOOKUP($D292,素材!$1:$1016,COLUMN($F$1),FALSE))),VLOOKUP($C292,武器!$1:$998,COLUMN($O$1),FALSE)*VLOOKUP($D292,素材!$1:$1016,COLUMN($E$1),FALSE)/(LEN(VLOOKUP($D292,素材!$1:$1016,COLUMN($F$1),FALSE))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M292">
        <f>IF(ISNUMBER(SEARCH(SUBSTITUTE(AM$1,RIGHT(AM$1,2),""),VLOOKUP($D292,素材!$1:$1016,COLUMN($F$1),FALSE))),VLOOKUP($C292,武器!$1:$998,COLUMN($O$1),FALSE)*VLOOKUP($D292,素材!$1:$1016,COLUMN($E$1),FALSE)/(LEN(VLOOKUP($D292,素材!$1:$1016,COLUMN($F$1),FALSE))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N292">
        <f>IF(ISNUMBER(SEARCH(SUBSTITUTE(AN$1,RIGHT(AN$1,2),""),VLOOKUP($D292,素材!$1:$1016,COLUMN($F$1),FALSE))),VLOOKUP($C292,武器!$1:$998,COLUMN($O$1),FALSE)*VLOOKUP($D292,素材!$1:$1016,COLUMN($E$1),FALSE)/(LEN(VLOOKUP($D292,素材!$1:$1016,COLUMN($F$1),FALSE))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O292">
        <f>IF(ISNUMBER(SEARCH(SUBSTITUTE(AO$1,RIGHT(AO$1,2),""),VLOOKUP($D292,素材!$1:$1016,COLUMN($F$1),FALSE))),VLOOKUP($C292,武器!$1:$998,COLUMN($O$1),FALSE)*VLOOKUP($D292,素材!$1:$1016,COLUMN($E$1),FALSE)/(LEN(VLOOKUP($D292,素材!$1:$1016,COLUMN($F$1),FALSE))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P292">
        <f>IF(ISNUMBER(SEARCH(SUBSTITUTE(AP$1,RIGHT(AP$1,2),""),VLOOKUP($D292,素材!$1:$1016,COLUMN($F$1),FALSE))),VLOOKUP($C292,武器!$1:$998,COLUMN($O$1),FALSE)*VLOOKUP($D292,素材!$1:$1016,COLUMN($E$1),FALSE)/(LEN(VLOOKUP($D292,素材!$1:$1016,COLUMN($F$1),FALSE))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Q292">
        <f>IF(ISNUMBER(SEARCH(SUBSTITUTE(AQ$1,RIGHT(AQ$1,2),""),VLOOKUP($D292,素材!$1:$1016,COLUMN($F$1),FALSE))),VLOOKUP($C292,武器!$1:$998,COLUMN($O$1),FALSE)*VLOOKUP($D292,素材!$1:$1016,COLUMN($E$1),FALSE)/(LEN(VLOOKUP($D292,素材!$1:$1016,COLUMN($F$1),FALSE))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R292">
        <f>IF(ISNUMBER(SEARCH(SUBSTITUTE(AR$1,RIGHT(AR$1,2),""),VLOOKUP($D292,素材!$1:$1016,COLUMN($F$1),FALSE))),VLOOKUP($C292,武器!$1:$998,COLUMN($O$1),FALSE)*VLOOKUP($D292,素材!$1:$1016,COLUMN($E$1),FALSE)/(LEN(VLOOKUP($D292,素材!$1:$1016,COLUMN($F$1),FALSE))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S292">
        <f>IF(ISNUMBER(SEARCH(SUBSTITUTE(AS$1,RIGHT(AS$1,2),""),VLOOKUP($D292,素材!$1:$1016,COLUMN($F$1),FALSE))),VLOOKUP($C292,武器!$1:$998,COLUMN($O$1),FALSE)*VLOOKUP($D292,素材!$1:$1016,COLUMN($E$1),FALSE)/(LEN(VLOOKUP($D292,素材!$1:$1016,COLUMN($F$1),FALSE))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T292">
        <f>IF(ISNUMBER(SEARCH(SUBSTITUTE(AT$1,RIGHT(AT$1,2),""),VLOOKUP($D292,素材!$1:$1016,COLUMN($F$1),FALSE))),VLOOKUP($C292,武器!$1:$998,COLUMN($O$1),FALSE)*VLOOKUP($D292,素材!$1:$1016,COLUMN($E$1),FALSE)/(LEN(VLOOKUP($D292,素材!$1:$1016,COLUMN($F$1),FALSE))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U292">
        <f>IF(ISNUMBER(SEARCH(SUBSTITUTE(AU$1,RIGHT(AU$1,2),""),VLOOKUP($D292,素材!$1:$1016,COLUMN($F$1),FALSE))),VLOOKUP($C292,武器!$1:$998,COLUMN($O$1),FALSE)*VLOOKUP($D292,素材!$1:$1016,COLUMN($E$1),FALSE)/(LEN(VLOOKUP($D292,素材!$1:$1016,COLUMN($F$1),FALSE))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V292">
        <f>IF(ISNUMBER(SEARCH(SUBSTITUTE(AV$1,RIGHT(AV$1,2),""),VLOOKUP($D292,素材!$1:$1016,COLUMN($F$1),FALSE))),VLOOKUP($C292,武器!$1:$998,COLUMN($O$1),FALSE)*VLOOKUP($D292,素材!$1:$1016,COLUMN($E$1),FALSE)/(LEN(VLOOKUP($D292,素材!$1:$1016,COLUMN($F$1),FALSE))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W292">
        <f>IF(ISNUMBER(SEARCH(SUBSTITUTE(AW$1,RIGHT(AW$1,2),""),VLOOKUP($D292,素材!$1:$1016,COLUMN($F$1),FALSE))),VLOOKUP($C292,武器!$1:$998,COLUMN($O$1),FALSE)*VLOOKUP($D292,素材!$1:$1016,COLUMN($E$1),FALSE)/(LEN(VLOOKUP($D292,素材!$1:$1016,COLUMN($F$1),FALSE))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X292">
        <f>IF(ISNUMBER(SEARCH(SUBSTITUTE(AX$1,RIGHT(AX$1,2),""),VLOOKUP($D292,素材!$1:$1016,COLUMN($F$1),FALSE))),VLOOKUP($C292,武器!$1:$998,COLUMN($O$1),FALSE)*VLOOKUP($D292,素材!$1:$1016,COLUMN($E$1),FALSE)/(LEN(VLOOKUP($D292,素材!$1:$1016,COLUMN($F$1),FALSE))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Y292">
        <f>IF(ISNUMBER(SEARCH(SUBSTITUTE(AY$1,RIGHT(AY$1,2),""),VLOOKUP($D292,素材!$1:$1016,COLUMN($F$1),FALSE))),VLOOKUP($C292,武器!$1:$998,COLUMN($O$1),FALSE)*VLOOKUP($D292,素材!$1:$1016,COLUMN($E$1),FALSE)/(LEN(VLOOKUP($D292,素材!$1:$1016,COLUMN($F$1),FALSE))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AZ292">
        <f>IF(ISNUMBER(SEARCH(SUBSTITUTE(AZ$1,RIGHT(AZ$1,2),""),VLOOKUP($D292,素材!$1:$1016,COLUMN($F$1),FALSE))),VLOOKUP($C292,武器!$1:$998,COLUMN($O$1),FALSE)*VLOOKUP($D292,素材!$1:$1016,COLUMN($E$1),FALSE)/(LEN(VLOOKUP($D292,素材!$1:$1016,COLUMN($F$1),FALSE))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BA292">
        <f>IF(ISNUMBER(SEARCH(SUBSTITUTE(BA$1,RIGHT(BA$1,2),""),VLOOKUP($D292,素材!$1:$1016,COLUMN($F$1),FALSE))),VLOOKUP($C292,武器!$1:$998,COLUMN($O$1),FALSE)*VLOOKUP($D292,素材!$1:$1016,COLUMN($E$1),FALSE)/(LEN(VLOOKUP($D292,素材!$1:$1016,COLUMN($F$1),FALSE))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BB292">
        <f>IF(ISNUMBER(SEARCH(SUBSTITUTE(BB$1,RIGHT(BB$1,2),""),VLOOKUP($D292,素材!$1:$1016,COLUMN($F$1),FALSE))),VLOOKUP($C292,武器!$1:$998,COLUMN($O$1),FALSE)*VLOOKUP($D292,素材!$1:$1016,COLUMN($E$1),FALSE)/(LEN(VLOOKUP($D292,素材!$1:$1016,COLUMN($F$1),FALSE))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BC292">
        <f>IF(ISNUMBER(SEARCH(SUBSTITUTE(BC$1,RIGHT(BC$1,2),""),VLOOKUP($D292,素材!$1:$1016,COLUMN($F$1),FALSE))),VLOOKUP($C292,武器!$1:$998,COLUMN($O$1),FALSE)*VLOOKUP($D292,素材!$1:$1016,COLUMN($E$1),FALSE)/(LEN(VLOOKUP($D292,素材!$1:$1016,COLUMN($F$1),FALSE))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BD292">
        <f>IF(ISNUMBER(SEARCH(SUBSTITUTE(BD$1,RIGHT(BD$1,2),""),VLOOKUP($D292,素材!$1:$1016,COLUMN($F$1),FALSE))),VLOOKUP($C292,武器!$1:$998,COLUMN($O$1),FALSE)*VLOOKUP($D292,素材!$1:$1016,COLUMN($E$1),FALSE)/(LEN(VLOOKUP($D292,素材!$1:$1016,COLUMN($F$1),FALSE))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BE292">
        <f>IF(ISNUMBER(SEARCH(SUBSTITUTE(BE$1,RIGHT(BE$1,2),""),VLOOKUP($D292,素材!$1:$1016,COLUMN($F$1),FALSE))),VLOOKUP($C292,武器!$1:$998,COLUMN($O$1),FALSE)*VLOOKUP($D292,素材!$1:$1016,COLUMN($E$1),FALSE)/(LEN(VLOOKUP($D292,素材!$1:$1016,COLUMN($F$1),FALSE))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BF292">
        <f>IF(ISNUMBER(SEARCH(SUBSTITUTE(BF$1,RIGHT(BF$1,2),""),VLOOKUP($D292,素材!$1:$1016,COLUMN($F$1),FALSE))),VLOOKUP($C292,武器!$1:$998,COLUMN($O$1),FALSE)*VLOOKUP($D292,素材!$1:$1016,COLUMN($E$1),FALSE)/(LEN(VLOOKUP($D292,素材!$1:$1016,COLUMN($F$1),FALSE)) - LEN(SUBSTITUTE(VLOOKUP($D292,素材!$1:$1016,COLUMN($F$1),FALSE), "・", 0)) + 1), 0)</f>
        <v>0</v>
      </c>
      <c r="CM292">
        <f t="shared" si="36"/>
        <v>0</v>
      </c>
      <c r="CN292" s="22" t="str">
        <f>IF(E292="武器",IF(J292-1&gt;SUM(G292:I292),"盾",IF(MAX(G292:I292)=G292,"切断",IF(MAX(G292:I292)=H292,"貫通",IF(MAX(G292:I292)=I292,"打撃","射撃")))),E292)&amp;".webp"</f>
        <v>.webp</v>
      </c>
      <c r="CO292" t="str">
        <f>IFERROR(VLOOKUP($C292,武器!$1:$998,COLUMN(V$1),FALSE)*VLOOKUP($D292,素材!$1:$1016,COLUMN(N$1),FALSE)+IF(CJ292="",0,VLOOKUP($CJ292,装強!$1:$1008,COLUMN($CL$1),FALSE)),"")</f>
        <v/>
      </c>
      <c r="CP292" t="e">
        <f>VLOOKUP(D292,素材!$A:$O,COLUMN(素材!O$1),FALSE)</f>
        <v>#N/A</v>
      </c>
      <c r="CQ292" t="e">
        <f>VLOOKUP(C292,武器!$A:$W,COLUMN(武器!W$1),FALSE)</f>
        <v>#N/A</v>
      </c>
      <c r="CS292" t="str">
        <f t="shared" si="37"/>
        <v>e_292</v>
      </c>
      <c r="CT292" t="e">
        <f t="shared" si="38"/>
        <v>#VALUE!</v>
      </c>
    </row>
    <row r="293" spans="1:98" hidden="1" outlineLevel="1" x14ac:dyDescent="0.4">
      <c r="A293" t="str">
        <f>IF(CJ293="",D293&amp;"の"&amp;C293,CJ293&amp;"の"&amp;C293)</f>
        <v>の</v>
      </c>
      <c r="B293" t="str">
        <f>IFERROR(IF(CJ293="",VLOOKUP($D293,素材!$1:$1016,COLUMN($B$1),FALSE)&amp;"・"&amp;VLOOKUP($C293,武器!$1:$998,COLUMN(B$1),FALSE),VLOOKUP($CJ293,装強!$1:$1008,COLUMN($B$1),FALSE)&amp;"・"&amp;VLOOKUP($C293,武器!$1:$998,COLUMN(B$1),FALSE)),"")</f>
        <v/>
      </c>
      <c r="C293" s="24"/>
      <c r="D293" s="24"/>
      <c r="E293" t="str">
        <f>IFERROR(VLOOKUP(C293,武器!$1:$998,COLUMN(C$1),FALSE),"")</f>
        <v/>
      </c>
      <c r="F293" t="str">
        <f>IFERROR(ROUNDDOWN((VLOOKUP($C293,武器!$1:$998,COLUMN(D$1),FALSE)+IFERROR(VLOOKUP($CJ293,装強!$1:$999,COLUMN(F$1),FALSE),0))*VLOOKUP($D293,素材!$1:$1016,COLUMN(D$1),FALSE),0),"")</f>
        <v/>
      </c>
      <c r="G293" t="str">
        <f>IFERROR(ROUNDDOWN((VLOOKUP($C293,武器!$1:$998,COLUMN(E$1),FALSE)+IFERROR(VLOOKUP($CJ293,装強!$1:$999,COLUMN(G$1),FALSE),0))*VLOOKUP($D293,素材!$1:$1016,COLUMN($E$1),FALSE),0),"")</f>
        <v/>
      </c>
      <c r="H293" t="str">
        <f>IFERROR(ROUNDDOWN((VLOOKUP($C293,武器!$1:$998,COLUMN(F$1),FALSE)+IFERROR(VLOOKUP($CJ293,装強!$1:$999,COLUMN(H$1),FALSE),0))*VLOOKUP($D293,素材!$1:$1016,COLUMN($E$1),FALSE),0),"")</f>
        <v/>
      </c>
      <c r="I293" t="str">
        <f>IFERROR(ROUNDDOWN((VLOOKUP($C293,武器!$1:$998,COLUMN(G$1),FALSE)+IFERROR(VLOOKUP($CJ293,装強!$1:$999,COLUMN(I$1),FALSE),0))*VLOOKUP($D293,素材!$1:$1016,COLUMN($E$1),FALSE),0),"")</f>
        <v/>
      </c>
      <c r="J293" t="str">
        <f>IFERROR(ROUNDDOWN((VLOOKUP($C293,武器!$1:$998,COLUMN(H$1),FALSE)+IFERROR(VLOOKUP($CJ293,装強!$1:$999,COLUMN(J$1),FALSE),0))*VLOOKUP($D293,素材!$1:$1016,COLUMN($E$1),FALSE),0),"")</f>
        <v/>
      </c>
      <c r="K293" t="str">
        <f>IFERROR(ROUNDDOWN((VLOOKUP($C293,武器!$1:$998,COLUMN(I$1),FALSE)+IFERROR(VLOOKUP($CJ293,装強!$1:$999,COLUMN(K$1),FALSE),0))*VLOOKUP($D293,素材!$1:$1016,COLUMN($E$1),FALSE),0),"")</f>
        <v/>
      </c>
      <c r="L293" t="str">
        <f>IFERROR(VLOOKUP($D293,素材!$1:$1016,COLUMN($F$1),FALSE),"")</f>
        <v/>
      </c>
      <c r="M293" t="str">
        <f>IFERROR(VLOOKUP($C293,武器!$1:$998,COLUMN(AA$1),FALSE)*VLOOKUP($D293,素材!$1:$1016,COLUMN($G$1),FALSE),"")</f>
        <v/>
      </c>
      <c r="N293" t="str">
        <f>IFERROR(VLOOKUP($C293,武器!$1:$998,COLUMN(I$1),FALSE),"")</f>
        <v/>
      </c>
      <c r="O293" s="23" t="str">
        <f>IFERROR((VLOOKUP($C293,武器!$1:$998,COLUMN(K$1),FALSE)+VLOOKUP($D293,素材!$1:$1016,COLUMN(H$1),FALSE))*100+IFERROR(VLOOKUP($CJ293,装強!$1:$999,COLUMN(O$1),FALSE),0),"")</f>
        <v/>
      </c>
      <c r="P293" s="23" t="str">
        <f>IFERROR((VLOOKUP($C293,武器!$1:$998,COLUMN(L$1),FALSE)+VLOOKUP($D293,素材!$1:$1016,COLUMN(I$1),FALSE))*100+IFERROR(VLOOKUP($CJ293,装強!$1:$999,COLUMN(P$1),FALSE),0),"")</f>
        <v/>
      </c>
      <c r="Q293" t="str">
        <f>IFERROR(ROUNDUP(VLOOKUP($C293,武器!$1:$998,COLUMN(M$1),FALSE)*(VLOOKUP($D293,素材!$1:$1002,COLUMN(D$1),FALSE)/100),1),"")</f>
        <v/>
      </c>
      <c r="R293" t="str">
        <f>IFERROR(ROUNDUP(VLOOKUP($C293,武器!$1:$998,COLUMN(N$1),FALSE)*(VLOOKUP($D293,素材!$1:$1002,COLUMN(D$1),FALSE)/100),1),"")</f>
        <v/>
      </c>
      <c r="S293" t="str">
        <f>IFERROR(VLOOKUP($C293,武器!$1:$998,COLUMN(P$1),FALSE),"")</f>
        <v/>
      </c>
      <c r="T293" t="str">
        <f>IFERROR(VLOOKUP($C293,武器!$1:$998,COLUMN(Q$1),FALSE),"")</f>
        <v/>
      </c>
      <c r="U293" t="str">
        <f>IFERROR(VLOOKUP($C293,武器!$1:$998,COLUMN(R$1),FALSE),"")</f>
        <v/>
      </c>
      <c r="V293" t="str">
        <f>IFERROR(VLOOKUP($C293,武器!$1:$998,COLUMN(Q$1),FALSE),"")</f>
        <v/>
      </c>
      <c r="W293" t="str">
        <f>IFERROR(VLOOKUP($C293,武器!$1:$998,COLUMN(T$1),FALSE),"")</f>
        <v/>
      </c>
      <c r="Y293" t="str">
        <f>IFERROR(VLOOKUP($C293,武器!$1:$998,COLUMN(U$1),FALSE),"")</f>
        <v/>
      </c>
      <c r="Z293" t="str">
        <f>IFERROR(ROUNDUP(VLOOKUP($C293,武器!$1:$998,COLUMN(O$1),FALSE)*VLOOKUP($D293,素材!$1:$1016,COLUMN(E$1),FALSE),1),"")</f>
        <v/>
      </c>
      <c r="AA293">
        <f>IF(ISNUMBER(SEARCH(SUBSTITUTE(AA$1,RIGHT(AA$1,2),""),VLOOKUP($D293,素材!$1:$1016,COLUMN($F$1),FALSE))),VLOOKUP($C293,武器!$1:$998,COLUMN($O$1),FALSE)*VLOOKUP($D293,素材!$1:$1016,COLUMN($E$1),FALSE)/(LEN(VLOOKUP($D293,素材!$1:$1016,COLUMN($F$1),FALSE))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B293">
        <f>IF(ISNUMBER(SEARCH(SUBSTITUTE(AB$1,RIGHT(AB$1,2),""),VLOOKUP($D293,素材!$1:$1016,COLUMN($F$1),FALSE))),VLOOKUP($C293,武器!$1:$998,COLUMN($O$1),FALSE)*VLOOKUP($D293,素材!$1:$1016,COLUMN($E$1),FALSE)/(LEN(VLOOKUP($D293,素材!$1:$1016,COLUMN($F$1),FALSE))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C293">
        <f>IF(ISNUMBER(SEARCH(SUBSTITUTE(AC$1,RIGHT(AC$1,2),""),VLOOKUP($D293,素材!$1:$1016,COLUMN($F$1),FALSE))),VLOOKUP($C293,武器!$1:$998,COLUMN($O$1),FALSE)*VLOOKUP($D293,素材!$1:$1016,COLUMN($E$1),FALSE)/(LEN(VLOOKUP($D293,素材!$1:$1016,COLUMN($F$1),FALSE))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D293">
        <f>IF(ISNUMBER(SEARCH(SUBSTITUTE(AD$1,RIGHT(AD$1,2),""),VLOOKUP($D293,素材!$1:$1016,COLUMN($F$1),FALSE))),VLOOKUP($C293,武器!$1:$998,COLUMN($O$1),FALSE)*VLOOKUP($D293,素材!$1:$1016,COLUMN($E$1),FALSE)/(LEN(VLOOKUP($D293,素材!$1:$1016,COLUMN($F$1),FALSE))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E293">
        <f>IF(ISNUMBER(SEARCH(SUBSTITUTE(AE$1,RIGHT(AE$1,2),""),VLOOKUP($D293,素材!$1:$1016,COLUMN($F$1),FALSE))),VLOOKUP($C293,武器!$1:$998,COLUMN($O$1),FALSE)*VLOOKUP($D293,素材!$1:$1016,COLUMN($E$1),FALSE)/(LEN(VLOOKUP($D293,素材!$1:$1016,COLUMN($F$1),FALSE))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F293">
        <f>IF(ISNUMBER(SEARCH(SUBSTITUTE(AF$1,RIGHT(AF$1,2),""),VLOOKUP($D293,素材!$1:$1016,COLUMN($F$1),FALSE))),VLOOKUP($C293,武器!$1:$998,COLUMN($O$1),FALSE)*VLOOKUP($D293,素材!$1:$1016,COLUMN($E$1),FALSE)/(LEN(VLOOKUP($D293,素材!$1:$1016,COLUMN($F$1),FALSE))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G293">
        <f>IF(ISNUMBER(SEARCH(SUBSTITUTE(AG$1,RIGHT(AG$1,2),""),VLOOKUP($D293,素材!$1:$1016,COLUMN($F$1),FALSE))),VLOOKUP($C293,武器!$1:$998,COLUMN($O$1),FALSE)*VLOOKUP($D293,素材!$1:$1016,COLUMN($E$1),FALSE)/(LEN(VLOOKUP($D293,素材!$1:$1016,COLUMN($F$1),FALSE))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H293">
        <f>IF(ISNUMBER(SEARCH(SUBSTITUTE(AH$1,RIGHT(AH$1,2),""),VLOOKUP($D293,素材!$1:$1016,COLUMN($F$1),FALSE))),VLOOKUP($C293,武器!$1:$998,COLUMN($O$1),FALSE)*VLOOKUP($D293,素材!$1:$1016,COLUMN($E$1),FALSE)/(LEN(VLOOKUP($D293,素材!$1:$1016,COLUMN($F$1),FALSE))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I293">
        <f>IF(ISNUMBER(SEARCH(SUBSTITUTE(AI$1,RIGHT(AI$1,2),""),VLOOKUP($D293,素材!$1:$1016,COLUMN($F$1),FALSE))),VLOOKUP($C293,武器!$1:$998,COLUMN($O$1),FALSE)*VLOOKUP($D293,素材!$1:$1016,COLUMN($E$1),FALSE)/(LEN(VLOOKUP($D293,素材!$1:$1016,COLUMN($F$1),FALSE))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J293">
        <f>IF(ISNUMBER(SEARCH(SUBSTITUTE(AJ$1,RIGHT(AJ$1,2),""),VLOOKUP($D293,素材!$1:$1016,COLUMN($F$1),FALSE))),VLOOKUP($C293,武器!$1:$998,COLUMN($O$1),FALSE)*VLOOKUP($D293,素材!$1:$1016,COLUMN($E$1),FALSE)/(LEN(VLOOKUP($D293,素材!$1:$1016,COLUMN($F$1),FALSE))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K293">
        <f>IF(ISNUMBER(SEARCH(SUBSTITUTE(AK$1,RIGHT(AK$1,2),""),VLOOKUP($D293,素材!$1:$1016,COLUMN($F$1),FALSE))),VLOOKUP($C293,武器!$1:$998,COLUMN($O$1),FALSE)*VLOOKUP($D293,素材!$1:$1016,COLUMN($E$1),FALSE)/(LEN(VLOOKUP($D293,素材!$1:$1016,COLUMN($F$1),FALSE))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L293">
        <f>IF(ISNUMBER(SEARCH(SUBSTITUTE(AL$1,RIGHT(AL$1,2),""),VLOOKUP($D293,素材!$1:$1016,COLUMN($F$1),FALSE))),VLOOKUP($C293,武器!$1:$998,COLUMN($O$1),FALSE)*VLOOKUP($D293,素材!$1:$1016,COLUMN($E$1),FALSE)/(LEN(VLOOKUP($D293,素材!$1:$1016,COLUMN($F$1),FALSE))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M293">
        <f>IF(ISNUMBER(SEARCH(SUBSTITUTE(AM$1,RIGHT(AM$1,2),""),VLOOKUP($D293,素材!$1:$1016,COLUMN($F$1),FALSE))),VLOOKUP($C293,武器!$1:$998,COLUMN($O$1),FALSE)*VLOOKUP($D293,素材!$1:$1016,COLUMN($E$1),FALSE)/(LEN(VLOOKUP($D293,素材!$1:$1016,COLUMN($F$1),FALSE))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N293">
        <f>IF(ISNUMBER(SEARCH(SUBSTITUTE(AN$1,RIGHT(AN$1,2),""),VLOOKUP($D293,素材!$1:$1016,COLUMN($F$1),FALSE))),VLOOKUP($C293,武器!$1:$998,COLUMN($O$1),FALSE)*VLOOKUP($D293,素材!$1:$1016,COLUMN($E$1),FALSE)/(LEN(VLOOKUP($D293,素材!$1:$1016,COLUMN($F$1),FALSE))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O293">
        <f>IF(ISNUMBER(SEARCH(SUBSTITUTE(AO$1,RIGHT(AO$1,2),""),VLOOKUP($D293,素材!$1:$1016,COLUMN($F$1),FALSE))),VLOOKUP($C293,武器!$1:$998,COLUMN($O$1),FALSE)*VLOOKUP($D293,素材!$1:$1016,COLUMN($E$1),FALSE)/(LEN(VLOOKUP($D293,素材!$1:$1016,COLUMN($F$1),FALSE))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P293">
        <f>IF(ISNUMBER(SEARCH(SUBSTITUTE(AP$1,RIGHT(AP$1,2),""),VLOOKUP($D293,素材!$1:$1016,COLUMN($F$1),FALSE))),VLOOKUP($C293,武器!$1:$998,COLUMN($O$1),FALSE)*VLOOKUP($D293,素材!$1:$1016,COLUMN($E$1),FALSE)/(LEN(VLOOKUP($D293,素材!$1:$1016,COLUMN($F$1),FALSE))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Q293">
        <f>IF(ISNUMBER(SEARCH(SUBSTITUTE(AQ$1,RIGHT(AQ$1,2),""),VLOOKUP($D293,素材!$1:$1016,COLUMN($F$1),FALSE))),VLOOKUP($C293,武器!$1:$998,COLUMN($O$1),FALSE)*VLOOKUP($D293,素材!$1:$1016,COLUMN($E$1),FALSE)/(LEN(VLOOKUP($D293,素材!$1:$1016,COLUMN($F$1),FALSE))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R293">
        <f>IF(ISNUMBER(SEARCH(SUBSTITUTE(AR$1,RIGHT(AR$1,2),""),VLOOKUP($D293,素材!$1:$1016,COLUMN($F$1),FALSE))),VLOOKUP($C293,武器!$1:$998,COLUMN($O$1),FALSE)*VLOOKUP($D293,素材!$1:$1016,COLUMN($E$1),FALSE)/(LEN(VLOOKUP($D293,素材!$1:$1016,COLUMN($F$1),FALSE))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S293">
        <f>IF(ISNUMBER(SEARCH(SUBSTITUTE(AS$1,RIGHT(AS$1,2),""),VLOOKUP($D293,素材!$1:$1016,COLUMN($F$1),FALSE))),VLOOKUP($C293,武器!$1:$998,COLUMN($O$1),FALSE)*VLOOKUP($D293,素材!$1:$1016,COLUMN($E$1),FALSE)/(LEN(VLOOKUP($D293,素材!$1:$1016,COLUMN($F$1),FALSE))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T293">
        <f>IF(ISNUMBER(SEARCH(SUBSTITUTE(AT$1,RIGHT(AT$1,2),""),VLOOKUP($D293,素材!$1:$1016,COLUMN($F$1),FALSE))),VLOOKUP($C293,武器!$1:$998,COLUMN($O$1),FALSE)*VLOOKUP($D293,素材!$1:$1016,COLUMN($E$1),FALSE)/(LEN(VLOOKUP($D293,素材!$1:$1016,COLUMN($F$1),FALSE))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U293">
        <f>IF(ISNUMBER(SEARCH(SUBSTITUTE(AU$1,RIGHT(AU$1,2),""),VLOOKUP($D293,素材!$1:$1016,COLUMN($F$1),FALSE))),VLOOKUP($C293,武器!$1:$998,COLUMN($O$1),FALSE)*VLOOKUP($D293,素材!$1:$1016,COLUMN($E$1),FALSE)/(LEN(VLOOKUP($D293,素材!$1:$1016,COLUMN($F$1),FALSE))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V293">
        <f>IF(ISNUMBER(SEARCH(SUBSTITUTE(AV$1,RIGHT(AV$1,2),""),VLOOKUP($D293,素材!$1:$1016,COLUMN($F$1),FALSE))),VLOOKUP($C293,武器!$1:$998,COLUMN($O$1),FALSE)*VLOOKUP($D293,素材!$1:$1016,COLUMN($E$1),FALSE)/(LEN(VLOOKUP($D293,素材!$1:$1016,COLUMN($F$1),FALSE))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W293">
        <f>IF(ISNUMBER(SEARCH(SUBSTITUTE(AW$1,RIGHT(AW$1,2),""),VLOOKUP($D293,素材!$1:$1016,COLUMN($F$1),FALSE))),VLOOKUP($C293,武器!$1:$998,COLUMN($O$1),FALSE)*VLOOKUP($D293,素材!$1:$1016,COLUMN($E$1),FALSE)/(LEN(VLOOKUP($D293,素材!$1:$1016,COLUMN($F$1),FALSE))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X293">
        <f>IF(ISNUMBER(SEARCH(SUBSTITUTE(AX$1,RIGHT(AX$1,2),""),VLOOKUP($D293,素材!$1:$1016,COLUMN($F$1),FALSE))),VLOOKUP($C293,武器!$1:$998,COLUMN($O$1),FALSE)*VLOOKUP($D293,素材!$1:$1016,COLUMN($E$1),FALSE)/(LEN(VLOOKUP($D293,素材!$1:$1016,COLUMN($F$1),FALSE))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Y293">
        <f>IF(ISNUMBER(SEARCH(SUBSTITUTE(AY$1,RIGHT(AY$1,2),""),VLOOKUP($D293,素材!$1:$1016,COLUMN($F$1),FALSE))),VLOOKUP($C293,武器!$1:$998,COLUMN($O$1),FALSE)*VLOOKUP($D293,素材!$1:$1016,COLUMN($E$1),FALSE)/(LEN(VLOOKUP($D293,素材!$1:$1016,COLUMN($F$1),FALSE))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AZ293">
        <f>IF(ISNUMBER(SEARCH(SUBSTITUTE(AZ$1,RIGHT(AZ$1,2),""),VLOOKUP($D293,素材!$1:$1016,COLUMN($F$1),FALSE))),VLOOKUP($C293,武器!$1:$998,COLUMN($O$1),FALSE)*VLOOKUP($D293,素材!$1:$1016,COLUMN($E$1),FALSE)/(LEN(VLOOKUP($D293,素材!$1:$1016,COLUMN($F$1),FALSE))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BA293">
        <f>IF(ISNUMBER(SEARCH(SUBSTITUTE(BA$1,RIGHT(BA$1,2),""),VLOOKUP($D293,素材!$1:$1016,COLUMN($F$1),FALSE))),VLOOKUP($C293,武器!$1:$998,COLUMN($O$1),FALSE)*VLOOKUP($D293,素材!$1:$1016,COLUMN($E$1),FALSE)/(LEN(VLOOKUP($D293,素材!$1:$1016,COLUMN($F$1),FALSE))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BB293">
        <f>IF(ISNUMBER(SEARCH(SUBSTITUTE(BB$1,RIGHT(BB$1,2),""),VLOOKUP($D293,素材!$1:$1016,COLUMN($F$1),FALSE))),VLOOKUP($C293,武器!$1:$998,COLUMN($O$1),FALSE)*VLOOKUP($D293,素材!$1:$1016,COLUMN($E$1),FALSE)/(LEN(VLOOKUP($D293,素材!$1:$1016,COLUMN($F$1),FALSE))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BC293">
        <f>IF(ISNUMBER(SEARCH(SUBSTITUTE(BC$1,RIGHT(BC$1,2),""),VLOOKUP($D293,素材!$1:$1016,COLUMN($F$1),FALSE))),VLOOKUP($C293,武器!$1:$998,COLUMN($O$1),FALSE)*VLOOKUP($D293,素材!$1:$1016,COLUMN($E$1),FALSE)/(LEN(VLOOKUP($D293,素材!$1:$1016,COLUMN($F$1),FALSE))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BD293">
        <f>IF(ISNUMBER(SEARCH(SUBSTITUTE(BD$1,RIGHT(BD$1,2),""),VLOOKUP($D293,素材!$1:$1016,COLUMN($F$1),FALSE))),VLOOKUP($C293,武器!$1:$998,COLUMN($O$1),FALSE)*VLOOKUP($D293,素材!$1:$1016,COLUMN($E$1),FALSE)/(LEN(VLOOKUP($D293,素材!$1:$1016,COLUMN($F$1),FALSE))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BE293">
        <f>IF(ISNUMBER(SEARCH(SUBSTITUTE(BE$1,RIGHT(BE$1,2),""),VLOOKUP($D293,素材!$1:$1016,COLUMN($F$1),FALSE))),VLOOKUP($C293,武器!$1:$998,COLUMN($O$1),FALSE)*VLOOKUP($D293,素材!$1:$1016,COLUMN($E$1),FALSE)/(LEN(VLOOKUP($D293,素材!$1:$1016,COLUMN($F$1),FALSE))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BF293">
        <f>IF(ISNUMBER(SEARCH(SUBSTITUTE(BF$1,RIGHT(BF$1,2),""),VLOOKUP($D293,素材!$1:$1016,COLUMN($F$1),FALSE))),VLOOKUP($C293,武器!$1:$998,COLUMN($O$1),FALSE)*VLOOKUP($D293,素材!$1:$1016,COLUMN($E$1),FALSE)/(LEN(VLOOKUP($D293,素材!$1:$1016,COLUMN($F$1),FALSE)) - LEN(SUBSTITUTE(VLOOKUP($D293,素材!$1:$1016,COLUMN($F$1),FALSE), "・", 0)) + 1), 0)</f>
        <v>0</v>
      </c>
      <c r="CM293">
        <f t="shared" si="36"/>
        <v>0</v>
      </c>
      <c r="CN293" s="22" t="str">
        <f>IF(E293="武器",IF(J293-1&gt;SUM(G293:I293),"盾",IF(MAX(G293:I293)=G293,"切断",IF(MAX(G293:I293)=H293,"貫通",IF(MAX(G293:I293)=I293,"打撃","射撃")))),E293)&amp;".webp"</f>
        <v>.webp</v>
      </c>
      <c r="CO293" t="str">
        <f>IFERROR(VLOOKUP($C293,武器!$1:$998,COLUMN(V$1),FALSE)*VLOOKUP($D293,素材!$1:$1016,COLUMN(N$1),FALSE)+IF(CJ293="",0,VLOOKUP($CJ293,装強!$1:$1008,COLUMN($CL$1),FALSE)),"")</f>
        <v/>
      </c>
      <c r="CP293" t="e">
        <f>VLOOKUP(D293,素材!$A:$O,COLUMN(素材!O$1),FALSE)</f>
        <v>#N/A</v>
      </c>
      <c r="CQ293" t="e">
        <f>VLOOKUP(C293,武器!$A:$W,COLUMN(武器!W$1),FALSE)</f>
        <v>#N/A</v>
      </c>
      <c r="CS293" t="str">
        <f t="shared" si="37"/>
        <v>e_293</v>
      </c>
      <c r="CT293" t="e">
        <f t="shared" si="38"/>
        <v>#VALUE!</v>
      </c>
    </row>
    <row r="294" spans="1:98" hidden="1" outlineLevel="1" x14ac:dyDescent="0.4">
      <c r="A294" t="str">
        <f>IF(CJ294="",D294&amp;"の"&amp;C294,CJ294&amp;"の"&amp;C294)</f>
        <v>の</v>
      </c>
      <c r="B294" t="str">
        <f>IFERROR(IF(CJ294="",VLOOKUP($D294,素材!$1:$1016,COLUMN($B$1),FALSE)&amp;"・"&amp;VLOOKUP($C294,武器!$1:$998,COLUMN(B$1),FALSE),VLOOKUP($CJ294,装強!$1:$1008,COLUMN($B$1),FALSE)&amp;"・"&amp;VLOOKUP($C294,武器!$1:$998,COLUMN(B$1),FALSE)),"")</f>
        <v/>
      </c>
      <c r="C294" s="24"/>
      <c r="D294" s="24"/>
      <c r="E294" t="str">
        <f>IFERROR(VLOOKUP(C294,武器!$1:$998,COLUMN(C$1),FALSE),"")</f>
        <v/>
      </c>
      <c r="F294" t="str">
        <f>IFERROR(ROUNDDOWN((VLOOKUP($C294,武器!$1:$998,COLUMN(D$1),FALSE)+IFERROR(VLOOKUP($CJ294,装強!$1:$999,COLUMN(F$1),FALSE),0))*VLOOKUP($D294,素材!$1:$1016,COLUMN(D$1),FALSE),0),"")</f>
        <v/>
      </c>
      <c r="G294" t="str">
        <f>IFERROR(ROUNDDOWN((VLOOKUP($C294,武器!$1:$998,COLUMN(E$1),FALSE)+IFERROR(VLOOKUP($CJ294,装強!$1:$999,COLUMN(G$1),FALSE),0))*VLOOKUP($D294,素材!$1:$1016,COLUMN($E$1),FALSE),0),"")</f>
        <v/>
      </c>
      <c r="H294" t="str">
        <f>IFERROR(ROUNDDOWN((VLOOKUP($C294,武器!$1:$998,COLUMN(F$1),FALSE)+IFERROR(VLOOKUP($CJ294,装強!$1:$999,COLUMN(H$1),FALSE),0))*VLOOKUP($D294,素材!$1:$1016,COLUMN($E$1),FALSE),0),"")</f>
        <v/>
      </c>
      <c r="I294" t="str">
        <f>IFERROR(ROUNDDOWN((VLOOKUP($C294,武器!$1:$998,COLUMN(G$1),FALSE)+IFERROR(VLOOKUP($CJ294,装強!$1:$999,COLUMN(I$1),FALSE),0))*VLOOKUP($D294,素材!$1:$1016,COLUMN($E$1),FALSE),0),"")</f>
        <v/>
      </c>
      <c r="J294" t="str">
        <f>IFERROR(ROUNDDOWN((VLOOKUP($C294,武器!$1:$998,COLUMN(H$1),FALSE)+IFERROR(VLOOKUP($CJ294,装強!$1:$999,COLUMN(J$1),FALSE),0))*VLOOKUP($D294,素材!$1:$1016,COLUMN($E$1),FALSE),0),"")</f>
        <v/>
      </c>
      <c r="K294" t="str">
        <f>IFERROR(ROUNDDOWN((VLOOKUP($C294,武器!$1:$998,COLUMN(I$1),FALSE)+IFERROR(VLOOKUP($CJ294,装強!$1:$999,COLUMN(K$1),FALSE),0))*VLOOKUP($D294,素材!$1:$1016,COLUMN($E$1),FALSE),0),"")</f>
        <v/>
      </c>
      <c r="L294" t="str">
        <f>IFERROR(VLOOKUP($D294,素材!$1:$1016,COLUMN($F$1),FALSE),"")</f>
        <v/>
      </c>
      <c r="M294" t="str">
        <f>IFERROR(VLOOKUP($C294,武器!$1:$998,COLUMN(AA$1),FALSE)*VLOOKUP($D294,素材!$1:$1016,COLUMN($G$1),FALSE),"")</f>
        <v/>
      </c>
      <c r="N294" t="str">
        <f>IFERROR(VLOOKUP($C294,武器!$1:$998,COLUMN(I$1),FALSE),"")</f>
        <v/>
      </c>
      <c r="O294" s="23" t="str">
        <f>IFERROR((VLOOKUP($C294,武器!$1:$998,COLUMN(K$1),FALSE)+VLOOKUP($D294,素材!$1:$1016,COLUMN(H$1),FALSE))*100+IFERROR(VLOOKUP($CJ294,装強!$1:$999,COLUMN(O$1),FALSE),0),"")</f>
        <v/>
      </c>
      <c r="P294" s="23" t="str">
        <f>IFERROR((VLOOKUP($C294,武器!$1:$998,COLUMN(L$1),FALSE)+VLOOKUP($D294,素材!$1:$1016,COLUMN(I$1),FALSE))*100+IFERROR(VLOOKUP($CJ294,装強!$1:$999,COLUMN(P$1),FALSE),0),"")</f>
        <v/>
      </c>
      <c r="Q294" t="str">
        <f>IFERROR(ROUNDUP(VLOOKUP($C294,武器!$1:$998,COLUMN(M$1),FALSE)*(VLOOKUP($D294,素材!$1:$1002,COLUMN(D$1),FALSE)/100),1),"")</f>
        <v/>
      </c>
      <c r="R294" t="str">
        <f>IFERROR(ROUNDUP(VLOOKUP($C294,武器!$1:$998,COLUMN(N$1),FALSE)*(VLOOKUP($D294,素材!$1:$1002,COLUMN(D$1),FALSE)/100),1),"")</f>
        <v/>
      </c>
      <c r="S294" t="str">
        <f>IFERROR(VLOOKUP($C294,武器!$1:$998,COLUMN(P$1),FALSE),"")</f>
        <v/>
      </c>
      <c r="T294" t="str">
        <f>IFERROR(VLOOKUP($C294,武器!$1:$998,COLUMN(Q$1),FALSE),"")</f>
        <v/>
      </c>
      <c r="U294" t="str">
        <f>IFERROR(VLOOKUP($C294,武器!$1:$998,COLUMN(R$1),FALSE),"")</f>
        <v/>
      </c>
      <c r="V294" t="str">
        <f>IFERROR(VLOOKUP($C294,武器!$1:$998,COLUMN(Q$1),FALSE),"")</f>
        <v/>
      </c>
      <c r="W294" t="str">
        <f>IFERROR(VLOOKUP($C294,武器!$1:$998,COLUMN(T$1),FALSE),"")</f>
        <v/>
      </c>
      <c r="Y294" t="str">
        <f>IFERROR(VLOOKUP($C294,武器!$1:$998,COLUMN(U$1),FALSE),"")</f>
        <v/>
      </c>
      <c r="Z294" t="str">
        <f>IFERROR(ROUNDUP(VLOOKUP($C294,武器!$1:$998,COLUMN(O$1),FALSE)*VLOOKUP($D294,素材!$1:$1016,COLUMN(E$1),FALSE),1),"")</f>
        <v/>
      </c>
      <c r="AA294">
        <f>IF(ISNUMBER(SEARCH(SUBSTITUTE(AA$1,RIGHT(AA$1,2),""),VLOOKUP($D294,素材!$1:$1016,COLUMN($F$1),FALSE))),VLOOKUP($C294,武器!$1:$998,COLUMN($O$1),FALSE)*VLOOKUP($D294,素材!$1:$1016,COLUMN($E$1),FALSE)/(LEN(VLOOKUP($D294,素材!$1:$1016,COLUMN($F$1),FALSE))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B294">
        <f>IF(ISNUMBER(SEARCH(SUBSTITUTE(AB$1,RIGHT(AB$1,2),""),VLOOKUP($D294,素材!$1:$1016,COLUMN($F$1),FALSE))),VLOOKUP($C294,武器!$1:$998,COLUMN($O$1),FALSE)*VLOOKUP($D294,素材!$1:$1016,COLUMN($E$1),FALSE)/(LEN(VLOOKUP($D294,素材!$1:$1016,COLUMN($F$1),FALSE))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C294">
        <f>IF(ISNUMBER(SEARCH(SUBSTITUTE(AC$1,RIGHT(AC$1,2),""),VLOOKUP($D294,素材!$1:$1016,COLUMN($F$1),FALSE))),VLOOKUP($C294,武器!$1:$998,COLUMN($O$1),FALSE)*VLOOKUP($D294,素材!$1:$1016,COLUMN($E$1),FALSE)/(LEN(VLOOKUP($D294,素材!$1:$1016,COLUMN($F$1),FALSE))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D294">
        <f>IF(ISNUMBER(SEARCH(SUBSTITUTE(AD$1,RIGHT(AD$1,2),""),VLOOKUP($D294,素材!$1:$1016,COLUMN($F$1),FALSE))),VLOOKUP($C294,武器!$1:$998,COLUMN($O$1),FALSE)*VLOOKUP($D294,素材!$1:$1016,COLUMN($E$1),FALSE)/(LEN(VLOOKUP($D294,素材!$1:$1016,COLUMN($F$1),FALSE))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E294">
        <f>IF(ISNUMBER(SEARCH(SUBSTITUTE(AE$1,RIGHT(AE$1,2),""),VLOOKUP($D294,素材!$1:$1016,COLUMN($F$1),FALSE))),VLOOKUP($C294,武器!$1:$998,COLUMN($O$1),FALSE)*VLOOKUP($D294,素材!$1:$1016,COLUMN($E$1),FALSE)/(LEN(VLOOKUP($D294,素材!$1:$1016,COLUMN($F$1),FALSE))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F294">
        <f>IF(ISNUMBER(SEARCH(SUBSTITUTE(AF$1,RIGHT(AF$1,2),""),VLOOKUP($D294,素材!$1:$1016,COLUMN($F$1),FALSE))),VLOOKUP($C294,武器!$1:$998,COLUMN($O$1),FALSE)*VLOOKUP($D294,素材!$1:$1016,COLUMN($E$1),FALSE)/(LEN(VLOOKUP($D294,素材!$1:$1016,COLUMN($F$1),FALSE))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G294">
        <f>IF(ISNUMBER(SEARCH(SUBSTITUTE(AG$1,RIGHT(AG$1,2),""),VLOOKUP($D294,素材!$1:$1016,COLUMN($F$1),FALSE))),VLOOKUP($C294,武器!$1:$998,COLUMN($O$1),FALSE)*VLOOKUP($D294,素材!$1:$1016,COLUMN($E$1),FALSE)/(LEN(VLOOKUP($D294,素材!$1:$1016,COLUMN($F$1),FALSE))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H294">
        <f>IF(ISNUMBER(SEARCH(SUBSTITUTE(AH$1,RIGHT(AH$1,2),""),VLOOKUP($D294,素材!$1:$1016,COLUMN($F$1),FALSE))),VLOOKUP($C294,武器!$1:$998,COLUMN($O$1),FALSE)*VLOOKUP($D294,素材!$1:$1016,COLUMN($E$1),FALSE)/(LEN(VLOOKUP($D294,素材!$1:$1016,COLUMN($F$1),FALSE))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I294">
        <f>IF(ISNUMBER(SEARCH(SUBSTITUTE(AI$1,RIGHT(AI$1,2),""),VLOOKUP($D294,素材!$1:$1016,COLUMN($F$1),FALSE))),VLOOKUP($C294,武器!$1:$998,COLUMN($O$1),FALSE)*VLOOKUP($D294,素材!$1:$1016,COLUMN($E$1),FALSE)/(LEN(VLOOKUP($D294,素材!$1:$1016,COLUMN($F$1),FALSE))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J294">
        <f>IF(ISNUMBER(SEARCH(SUBSTITUTE(AJ$1,RIGHT(AJ$1,2),""),VLOOKUP($D294,素材!$1:$1016,COLUMN($F$1),FALSE))),VLOOKUP($C294,武器!$1:$998,COLUMN($O$1),FALSE)*VLOOKUP($D294,素材!$1:$1016,COLUMN($E$1),FALSE)/(LEN(VLOOKUP($D294,素材!$1:$1016,COLUMN($F$1),FALSE))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K294">
        <f>IF(ISNUMBER(SEARCH(SUBSTITUTE(AK$1,RIGHT(AK$1,2),""),VLOOKUP($D294,素材!$1:$1016,COLUMN($F$1),FALSE))),VLOOKUP($C294,武器!$1:$998,COLUMN($O$1),FALSE)*VLOOKUP($D294,素材!$1:$1016,COLUMN($E$1),FALSE)/(LEN(VLOOKUP($D294,素材!$1:$1016,COLUMN($F$1),FALSE))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L294">
        <f>IF(ISNUMBER(SEARCH(SUBSTITUTE(AL$1,RIGHT(AL$1,2),""),VLOOKUP($D294,素材!$1:$1016,COLUMN($F$1),FALSE))),VLOOKUP($C294,武器!$1:$998,COLUMN($O$1),FALSE)*VLOOKUP($D294,素材!$1:$1016,COLUMN($E$1),FALSE)/(LEN(VLOOKUP($D294,素材!$1:$1016,COLUMN($F$1),FALSE))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M294">
        <f>IF(ISNUMBER(SEARCH(SUBSTITUTE(AM$1,RIGHT(AM$1,2),""),VLOOKUP($D294,素材!$1:$1016,COLUMN($F$1),FALSE))),VLOOKUP($C294,武器!$1:$998,COLUMN($O$1),FALSE)*VLOOKUP($D294,素材!$1:$1016,COLUMN($E$1),FALSE)/(LEN(VLOOKUP($D294,素材!$1:$1016,COLUMN($F$1),FALSE))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N294">
        <f>IF(ISNUMBER(SEARCH(SUBSTITUTE(AN$1,RIGHT(AN$1,2),""),VLOOKUP($D294,素材!$1:$1016,COLUMN($F$1),FALSE))),VLOOKUP($C294,武器!$1:$998,COLUMN($O$1),FALSE)*VLOOKUP($D294,素材!$1:$1016,COLUMN($E$1),FALSE)/(LEN(VLOOKUP($D294,素材!$1:$1016,COLUMN($F$1),FALSE))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O294">
        <f>IF(ISNUMBER(SEARCH(SUBSTITUTE(AO$1,RIGHT(AO$1,2),""),VLOOKUP($D294,素材!$1:$1016,COLUMN($F$1),FALSE))),VLOOKUP($C294,武器!$1:$998,COLUMN($O$1),FALSE)*VLOOKUP($D294,素材!$1:$1016,COLUMN($E$1),FALSE)/(LEN(VLOOKUP($D294,素材!$1:$1016,COLUMN($F$1),FALSE))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P294">
        <f>IF(ISNUMBER(SEARCH(SUBSTITUTE(AP$1,RIGHT(AP$1,2),""),VLOOKUP($D294,素材!$1:$1016,COLUMN($F$1),FALSE))),VLOOKUP($C294,武器!$1:$998,COLUMN($O$1),FALSE)*VLOOKUP($D294,素材!$1:$1016,COLUMN($E$1),FALSE)/(LEN(VLOOKUP($D294,素材!$1:$1016,COLUMN($F$1),FALSE))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Q294">
        <f>IF(ISNUMBER(SEARCH(SUBSTITUTE(AQ$1,RIGHT(AQ$1,2),""),VLOOKUP($D294,素材!$1:$1016,COLUMN($F$1),FALSE))),VLOOKUP($C294,武器!$1:$998,COLUMN($O$1),FALSE)*VLOOKUP($D294,素材!$1:$1016,COLUMN($E$1),FALSE)/(LEN(VLOOKUP($D294,素材!$1:$1016,COLUMN($F$1),FALSE))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R294">
        <f>IF(ISNUMBER(SEARCH(SUBSTITUTE(AR$1,RIGHT(AR$1,2),""),VLOOKUP($D294,素材!$1:$1016,COLUMN($F$1),FALSE))),VLOOKUP($C294,武器!$1:$998,COLUMN($O$1),FALSE)*VLOOKUP($D294,素材!$1:$1016,COLUMN($E$1),FALSE)/(LEN(VLOOKUP($D294,素材!$1:$1016,COLUMN($F$1),FALSE))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S294">
        <f>IF(ISNUMBER(SEARCH(SUBSTITUTE(AS$1,RIGHT(AS$1,2),""),VLOOKUP($D294,素材!$1:$1016,COLUMN($F$1),FALSE))),VLOOKUP($C294,武器!$1:$998,COLUMN($O$1),FALSE)*VLOOKUP($D294,素材!$1:$1016,COLUMN($E$1),FALSE)/(LEN(VLOOKUP($D294,素材!$1:$1016,COLUMN($F$1),FALSE))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T294">
        <f>IF(ISNUMBER(SEARCH(SUBSTITUTE(AT$1,RIGHT(AT$1,2),""),VLOOKUP($D294,素材!$1:$1016,COLUMN($F$1),FALSE))),VLOOKUP($C294,武器!$1:$998,COLUMN($O$1),FALSE)*VLOOKUP($D294,素材!$1:$1016,COLUMN($E$1),FALSE)/(LEN(VLOOKUP($D294,素材!$1:$1016,COLUMN($F$1),FALSE))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U294">
        <f>IF(ISNUMBER(SEARCH(SUBSTITUTE(AU$1,RIGHT(AU$1,2),""),VLOOKUP($D294,素材!$1:$1016,COLUMN($F$1),FALSE))),VLOOKUP($C294,武器!$1:$998,COLUMN($O$1),FALSE)*VLOOKUP($D294,素材!$1:$1016,COLUMN($E$1),FALSE)/(LEN(VLOOKUP($D294,素材!$1:$1016,COLUMN($F$1),FALSE))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V294">
        <f>IF(ISNUMBER(SEARCH(SUBSTITUTE(AV$1,RIGHT(AV$1,2),""),VLOOKUP($D294,素材!$1:$1016,COLUMN($F$1),FALSE))),VLOOKUP($C294,武器!$1:$998,COLUMN($O$1),FALSE)*VLOOKUP($D294,素材!$1:$1016,COLUMN($E$1),FALSE)/(LEN(VLOOKUP($D294,素材!$1:$1016,COLUMN($F$1),FALSE))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W294">
        <f>IF(ISNUMBER(SEARCH(SUBSTITUTE(AW$1,RIGHT(AW$1,2),""),VLOOKUP($D294,素材!$1:$1016,COLUMN($F$1),FALSE))),VLOOKUP($C294,武器!$1:$998,COLUMN($O$1),FALSE)*VLOOKUP($D294,素材!$1:$1016,COLUMN($E$1),FALSE)/(LEN(VLOOKUP($D294,素材!$1:$1016,COLUMN($F$1),FALSE))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X294">
        <f>IF(ISNUMBER(SEARCH(SUBSTITUTE(AX$1,RIGHT(AX$1,2),""),VLOOKUP($D294,素材!$1:$1016,COLUMN($F$1),FALSE))),VLOOKUP($C294,武器!$1:$998,COLUMN($O$1),FALSE)*VLOOKUP($D294,素材!$1:$1016,COLUMN($E$1),FALSE)/(LEN(VLOOKUP($D294,素材!$1:$1016,COLUMN($F$1),FALSE))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Y294">
        <f>IF(ISNUMBER(SEARCH(SUBSTITUTE(AY$1,RIGHT(AY$1,2),""),VLOOKUP($D294,素材!$1:$1016,COLUMN($F$1),FALSE))),VLOOKUP($C294,武器!$1:$998,COLUMN($O$1),FALSE)*VLOOKUP($D294,素材!$1:$1016,COLUMN($E$1),FALSE)/(LEN(VLOOKUP($D294,素材!$1:$1016,COLUMN($F$1),FALSE))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AZ294">
        <f>IF(ISNUMBER(SEARCH(SUBSTITUTE(AZ$1,RIGHT(AZ$1,2),""),VLOOKUP($D294,素材!$1:$1016,COLUMN($F$1),FALSE))),VLOOKUP($C294,武器!$1:$998,COLUMN($O$1),FALSE)*VLOOKUP($D294,素材!$1:$1016,COLUMN($E$1),FALSE)/(LEN(VLOOKUP($D294,素材!$1:$1016,COLUMN($F$1),FALSE))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BA294">
        <f>IF(ISNUMBER(SEARCH(SUBSTITUTE(BA$1,RIGHT(BA$1,2),""),VLOOKUP($D294,素材!$1:$1016,COLUMN($F$1),FALSE))),VLOOKUP($C294,武器!$1:$998,COLUMN($O$1),FALSE)*VLOOKUP($D294,素材!$1:$1016,COLUMN($E$1),FALSE)/(LEN(VLOOKUP($D294,素材!$1:$1016,COLUMN($F$1),FALSE))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BB294">
        <f>IF(ISNUMBER(SEARCH(SUBSTITUTE(BB$1,RIGHT(BB$1,2),""),VLOOKUP($D294,素材!$1:$1016,COLUMN($F$1),FALSE))),VLOOKUP($C294,武器!$1:$998,COLUMN($O$1),FALSE)*VLOOKUP($D294,素材!$1:$1016,COLUMN($E$1),FALSE)/(LEN(VLOOKUP($D294,素材!$1:$1016,COLUMN($F$1),FALSE))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BC294">
        <f>IF(ISNUMBER(SEARCH(SUBSTITUTE(BC$1,RIGHT(BC$1,2),""),VLOOKUP($D294,素材!$1:$1016,COLUMN($F$1),FALSE))),VLOOKUP($C294,武器!$1:$998,COLUMN($O$1),FALSE)*VLOOKUP($D294,素材!$1:$1016,COLUMN($E$1),FALSE)/(LEN(VLOOKUP($D294,素材!$1:$1016,COLUMN($F$1),FALSE))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BD294">
        <f>IF(ISNUMBER(SEARCH(SUBSTITUTE(BD$1,RIGHT(BD$1,2),""),VLOOKUP($D294,素材!$1:$1016,COLUMN($F$1),FALSE))),VLOOKUP($C294,武器!$1:$998,COLUMN($O$1),FALSE)*VLOOKUP($D294,素材!$1:$1016,COLUMN($E$1),FALSE)/(LEN(VLOOKUP($D294,素材!$1:$1016,COLUMN($F$1),FALSE))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BE294">
        <f>IF(ISNUMBER(SEARCH(SUBSTITUTE(BE$1,RIGHT(BE$1,2),""),VLOOKUP($D294,素材!$1:$1016,COLUMN($F$1),FALSE))),VLOOKUP($C294,武器!$1:$998,COLUMN($O$1),FALSE)*VLOOKUP($D294,素材!$1:$1016,COLUMN($E$1),FALSE)/(LEN(VLOOKUP($D294,素材!$1:$1016,COLUMN($F$1),FALSE))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BF294">
        <f>IF(ISNUMBER(SEARCH(SUBSTITUTE(BF$1,RIGHT(BF$1,2),""),VLOOKUP($D294,素材!$1:$1016,COLUMN($F$1),FALSE))),VLOOKUP($C294,武器!$1:$998,COLUMN($O$1),FALSE)*VLOOKUP($D294,素材!$1:$1016,COLUMN($E$1),FALSE)/(LEN(VLOOKUP($D294,素材!$1:$1016,COLUMN($F$1),FALSE)) - LEN(SUBSTITUTE(VLOOKUP($D294,素材!$1:$1016,COLUMN($F$1),FALSE), "・", 0)) + 1), 0)</f>
        <v>0</v>
      </c>
      <c r="CM294">
        <f t="shared" si="36"/>
        <v>0</v>
      </c>
      <c r="CN294" s="22" t="str">
        <f>IF(E294="武器",IF(J294-1&gt;SUM(G294:I294),"盾",IF(MAX(G294:I294)=G294,"切断",IF(MAX(G294:I294)=H294,"貫通",IF(MAX(G294:I294)=I294,"打撃","射撃")))),E294)&amp;".webp"</f>
        <v>.webp</v>
      </c>
      <c r="CO294" t="str">
        <f>IFERROR(VLOOKUP($C294,武器!$1:$998,COLUMN(V$1),FALSE)*VLOOKUP($D294,素材!$1:$1016,COLUMN(N$1),FALSE)+IF(CJ294="",0,VLOOKUP($CJ294,装強!$1:$1008,COLUMN($CL$1),FALSE)),"")</f>
        <v/>
      </c>
      <c r="CP294" t="e">
        <f>VLOOKUP(D294,素材!$A:$O,COLUMN(素材!O$1),FALSE)</f>
        <v>#N/A</v>
      </c>
      <c r="CQ294" t="e">
        <f>VLOOKUP(C294,武器!$A:$W,COLUMN(武器!W$1),FALSE)</f>
        <v>#N/A</v>
      </c>
      <c r="CS294" t="str">
        <f t="shared" si="37"/>
        <v>e_294</v>
      </c>
      <c r="CT294" t="e">
        <f t="shared" si="38"/>
        <v>#VALUE!</v>
      </c>
    </row>
    <row r="295" spans="1:98" hidden="1" outlineLevel="1" x14ac:dyDescent="0.4">
      <c r="A295" t="str">
        <f>IF(CJ295="",D295&amp;"の"&amp;C295,CJ295&amp;"の"&amp;C295)</f>
        <v>の</v>
      </c>
      <c r="B295" t="str">
        <f>IFERROR(IF(CJ295="",VLOOKUP($D295,素材!$1:$1016,COLUMN($B$1),FALSE)&amp;"・"&amp;VLOOKUP($C295,武器!$1:$998,COLUMN(B$1),FALSE),VLOOKUP($CJ295,装強!$1:$1008,COLUMN($B$1),FALSE)&amp;"・"&amp;VLOOKUP($C295,武器!$1:$998,COLUMN(B$1),FALSE)),"")</f>
        <v/>
      </c>
      <c r="C295" s="24"/>
      <c r="D295" s="24"/>
      <c r="E295" t="str">
        <f>IFERROR(VLOOKUP(C295,武器!$1:$998,COLUMN(C$1),FALSE),"")</f>
        <v/>
      </c>
      <c r="F295" t="str">
        <f>IFERROR(ROUNDDOWN((VLOOKUP($C295,武器!$1:$998,COLUMN(D$1),FALSE)+IFERROR(VLOOKUP($CJ295,装強!$1:$999,COLUMN(F$1),FALSE),0))*VLOOKUP($D295,素材!$1:$1016,COLUMN(D$1),FALSE),0),"")</f>
        <v/>
      </c>
      <c r="G295" t="str">
        <f>IFERROR(ROUNDDOWN((VLOOKUP($C295,武器!$1:$998,COLUMN(E$1),FALSE)+IFERROR(VLOOKUP($CJ295,装強!$1:$999,COLUMN(G$1),FALSE),0))*VLOOKUP($D295,素材!$1:$1016,COLUMN($E$1),FALSE),0),"")</f>
        <v/>
      </c>
      <c r="H295" t="str">
        <f>IFERROR(ROUNDDOWN((VLOOKUP($C295,武器!$1:$998,COLUMN(F$1),FALSE)+IFERROR(VLOOKUP($CJ295,装強!$1:$999,COLUMN(H$1),FALSE),0))*VLOOKUP($D295,素材!$1:$1016,COLUMN($E$1),FALSE),0),"")</f>
        <v/>
      </c>
      <c r="I295" t="str">
        <f>IFERROR(ROUNDDOWN((VLOOKUP($C295,武器!$1:$998,COLUMN(G$1),FALSE)+IFERROR(VLOOKUP($CJ295,装強!$1:$999,COLUMN(I$1),FALSE),0))*VLOOKUP($D295,素材!$1:$1016,COLUMN($E$1),FALSE),0),"")</f>
        <v/>
      </c>
      <c r="J295" t="str">
        <f>IFERROR(ROUNDDOWN((VLOOKUP($C295,武器!$1:$998,COLUMN(H$1),FALSE)+IFERROR(VLOOKUP($CJ295,装強!$1:$999,COLUMN(J$1),FALSE),0))*VLOOKUP($D295,素材!$1:$1016,COLUMN($E$1),FALSE),0),"")</f>
        <v/>
      </c>
      <c r="K295" t="str">
        <f>IFERROR(ROUNDDOWN((VLOOKUP($C295,武器!$1:$998,COLUMN(I$1),FALSE)+IFERROR(VLOOKUP($CJ295,装強!$1:$999,COLUMN(K$1),FALSE),0))*VLOOKUP($D295,素材!$1:$1016,COLUMN($E$1),FALSE),0),"")</f>
        <v/>
      </c>
      <c r="L295" t="str">
        <f>IFERROR(VLOOKUP($D295,素材!$1:$1016,COLUMN($F$1),FALSE),"")</f>
        <v/>
      </c>
      <c r="M295" t="str">
        <f>IFERROR(VLOOKUP($C295,武器!$1:$998,COLUMN(AA$1),FALSE)*VLOOKUP($D295,素材!$1:$1016,COLUMN($G$1),FALSE),"")</f>
        <v/>
      </c>
      <c r="N295" t="str">
        <f>IFERROR(VLOOKUP($C295,武器!$1:$998,COLUMN(I$1),FALSE),"")</f>
        <v/>
      </c>
      <c r="O295" s="23" t="str">
        <f>IFERROR((VLOOKUP($C295,武器!$1:$998,COLUMN(K$1),FALSE)+VLOOKUP($D295,素材!$1:$1016,COLUMN(H$1),FALSE))*100+IFERROR(VLOOKUP($CJ295,装強!$1:$999,COLUMN(O$1),FALSE),0),"")</f>
        <v/>
      </c>
      <c r="P295" s="23" t="str">
        <f>IFERROR((VLOOKUP($C295,武器!$1:$998,COLUMN(L$1),FALSE)+VLOOKUP($D295,素材!$1:$1016,COLUMN(I$1),FALSE))*100+IFERROR(VLOOKUP($CJ295,装強!$1:$999,COLUMN(P$1),FALSE),0),"")</f>
        <v/>
      </c>
      <c r="Q295" t="str">
        <f>IFERROR(ROUNDUP(VLOOKUP($C295,武器!$1:$998,COLUMN(M$1),FALSE)*(VLOOKUP($D295,素材!$1:$1002,COLUMN(D$1),FALSE)/100),1),"")</f>
        <v/>
      </c>
      <c r="R295" t="str">
        <f>IFERROR(ROUNDUP(VLOOKUP($C295,武器!$1:$998,COLUMN(N$1),FALSE)*(VLOOKUP($D295,素材!$1:$1002,COLUMN(D$1),FALSE)/100),1),"")</f>
        <v/>
      </c>
      <c r="S295" t="str">
        <f>IFERROR(VLOOKUP($C295,武器!$1:$998,COLUMN(P$1),FALSE),"")</f>
        <v/>
      </c>
      <c r="T295" t="str">
        <f>IFERROR(VLOOKUP($C295,武器!$1:$998,COLUMN(Q$1),FALSE),"")</f>
        <v/>
      </c>
      <c r="U295" t="str">
        <f>IFERROR(VLOOKUP($C295,武器!$1:$998,COLUMN(R$1),FALSE),"")</f>
        <v/>
      </c>
      <c r="V295" t="str">
        <f>IFERROR(VLOOKUP($C295,武器!$1:$998,COLUMN(Q$1),FALSE),"")</f>
        <v/>
      </c>
      <c r="W295" t="str">
        <f>IFERROR(VLOOKUP($C295,武器!$1:$998,COLUMN(T$1),FALSE),"")</f>
        <v/>
      </c>
      <c r="Y295" t="str">
        <f>IFERROR(VLOOKUP($C295,武器!$1:$998,COLUMN(U$1),FALSE),"")</f>
        <v/>
      </c>
      <c r="Z295" t="str">
        <f>IFERROR(ROUNDUP(VLOOKUP($C295,武器!$1:$998,COLUMN(O$1),FALSE)*VLOOKUP($D295,素材!$1:$1016,COLUMN(E$1),FALSE),1),"")</f>
        <v/>
      </c>
      <c r="AA295">
        <f>IF(ISNUMBER(SEARCH(SUBSTITUTE(AA$1,RIGHT(AA$1,2),""),VLOOKUP($D295,素材!$1:$1016,COLUMN($F$1),FALSE))),VLOOKUP($C295,武器!$1:$998,COLUMN($O$1),FALSE)*VLOOKUP($D295,素材!$1:$1016,COLUMN($E$1),FALSE)/(LEN(VLOOKUP($D295,素材!$1:$1016,COLUMN($F$1),FALSE))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B295">
        <f>IF(ISNUMBER(SEARCH(SUBSTITUTE(AB$1,RIGHT(AB$1,2),""),VLOOKUP($D295,素材!$1:$1016,COLUMN($F$1),FALSE))),VLOOKUP($C295,武器!$1:$998,COLUMN($O$1),FALSE)*VLOOKUP($D295,素材!$1:$1016,COLUMN($E$1),FALSE)/(LEN(VLOOKUP($D295,素材!$1:$1016,COLUMN($F$1),FALSE))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C295">
        <f>IF(ISNUMBER(SEARCH(SUBSTITUTE(AC$1,RIGHT(AC$1,2),""),VLOOKUP($D295,素材!$1:$1016,COLUMN($F$1),FALSE))),VLOOKUP($C295,武器!$1:$998,COLUMN($O$1),FALSE)*VLOOKUP($D295,素材!$1:$1016,COLUMN($E$1),FALSE)/(LEN(VLOOKUP($D295,素材!$1:$1016,COLUMN($F$1),FALSE))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D295">
        <f>IF(ISNUMBER(SEARCH(SUBSTITUTE(AD$1,RIGHT(AD$1,2),""),VLOOKUP($D295,素材!$1:$1016,COLUMN($F$1),FALSE))),VLOOKUP($C295,武器!$1:$998,COLUMN($O$1),FALSE)*VLOOKUP($D295,素材!$1:$1016,COLUMN($E$1),FALSE)/(LEN(VLOOKUP($D295,素材!$1:$1016,COLUMN($F$1),FALSE))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E295">
        <f>IF(ISNUMBER(SEARCH(SUBSTITUTE(AE$1,RIGHT(AE$1,2),""),VLOOKUP($D295,素材!$1:$1016,COLUMN($F$1),FALSE))),VLOOKUP($C295,武器!$1:$998,COLUMN($O$1),FALSE)*VLOOKUP($D295,素材!$1:$1016,COLUMN($E$1),FALSE)/(LEN(VLOOKUP($D295,素材!$1:$1016,COLUMN($F$1),FALSE))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F295">
        <f>IF(ISNUMBER(SEARCH(SUBSTITUTE(AF$1,RIGHT(AF$1,2),""),VLOOKUP($D295,素材!$1:$1016,COLUMN($F$1),FALSE))),VLOOKUP($C295,武器!$1:$998,COLUMN($O$1),FALSE)*VLOOKUP($D295,素材!$1:$1016,COLUMN($E$1),FALSE)/(LEN(VLOOKUP($D295,素材!$1:$1016,COLUMN($F$1),FALSE))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G295">
        <f>IF(ISNUMBER(SEARCH(SUBSTITUTE(AG$1,RIGHT(AG$1,2),""),VLOOKUP($D295,素材!$1:$1016,COLUMN($F$1),FALSE))),VLOOKUP($C295,武器!$1:$998,COLUMN($O$1),FALSE)*VLOOKUP($D295,素材!$1:$1016,COLUMN($E$1),FALSE)/(LEN(VLOOKUP($D295,素材!$1:$1016,COLUMN($F$1),FALSE))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H295">
        <f>IF(ISNUMBER(SEARCH(SUBSTITUTE(AH$1,RIGHT(AH$1,2),""),VLOOKUP($D295,素材!$1:$1016,COLUMN($F$1),FALSE))),VLOOKUP($C295,武器!$1:$998,COLUMN($O$1),FALSE)*VLOOKUP($D295,素材!$1:$1016,COLUMN($E$1),FALSE)/(LEN(VLOOKUP($D295,素材!$1:$1016,COLUMN($F$1),FALSE))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I295">
        <f>IF(ISNUMBER(SEARCH(SUBSTITUTE(AI$1,RIGHT(AI$1,2),""),VLOOKUP($D295,素材!$1:$1016,COLUMN($F$1),FALSE))),VLOOKUP($C295,武器!$1:$998,COLUMN($O$1),FALSE)*VLOOKUP($D295,素材!$1:$1016,COLUMN($E$1),FALSE)/(LEN(VLOOKUP($D295,素材!$1:$1016,COLUMN($F$1),FALSE))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J295">
        <f>IF(ISNUMBER(SEARCH(SUBSTITUTE(AJ$1,RIGHT(AJ$1,2),""),VLOOKUP($D295,素材!$1:$1016,COLUMN($F$1),FALSE))),VLOOKUP($C295,武器!$1:$998,COLUMN($O$1),FALSE)*VLOOKUP($D295,素材!$1:$1016,COLUMN($E$1),FALSE)/(LEN(VLOOKUP($D295,素材!$1:$1016,COLUMN($F$1),FALSE))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K295">
        <f>IF(ISNUMBER(SEARCH(SUBSTITUTE(AK$1,RIGHT(AK$1,2),""),VLOOKUP($D295,素材!$1:$1016,COLUMN($F$1),FALSE))),VLOOKUP($C295,武器!$1:$998,COLUMN($O$1),FALSE)*VLOOKUP($D295,素材!$1:$1016,COLUMN($E$1),FALSE)/(LEN(VLOOKUP($D295,素材!$1:$1016,COLUMN($F$1),FALSE))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L295">
        <f>IF(ISNUMBER(SEARCH(SUBSTITUTE(AL$1,RIGHT(AL$1,2),""),VLOOKUP($D295,素材!$1:$1016,COLUMN($F$1),FALSE))),VLOOKUP($C295,武器!$1:$998,COLUMN($O$1),FALSE)*VLOOKUP($D295,素材!$1:$1016,COLUMN($E$1),FALSE)/(LEN(VLOOKUP($D295,素材!$1:$1016,COLUMN($F$1),FALSE))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M295">
        <f>IF(ISNUMBER(SEARCH(SUBSTITUTE(AM$1,RIGHT(AM$1,2),""),VLOOKUP($D295,素材!$1:$1016,COLUMN($F$1),FALSE))),VLOOKUP($C295,武器!$1:$998,COLUMN($O$1),FALSE)*VLOOKUP($D295,素材!$1:$1016,COLUMN($E$1),FALSE)/(LEN(VLOOKUP($D295,素材!$1:$1016,COLUMN($F$1),FALSE))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N295">
        <f>IF(ISNUMBER(SEARCH(SUBSTITUTE(AN$1,RIGHT(AN$1,2),""),VLOOKUP($D295,素材!$1:$1016,COLUMN($F$1),FALSE))),VLOOKUP($C295,武器!$1:$998,COLUMN($O$1),FALSE)*VLOOKUP($D295,素材!$1:$1016,COLUMN($E$1),FALSE)/(LEN(VLOOKUP($D295,素材!$1:$1016,COLUMN($F$1),FALSE))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O295">
        <f>IF(ISNUMBER(SEARCH(SUBSTITUTE(AO$1,RIGHT(AO$1,2),""),VLOOKUP($D295,素材!$1:$1016,COLUMN($F$1),FALSE))),VLOOKUP($C295,武器!$1:$998,COLUMN($O$1),FALSE)*VLOOKUP($D295,素材!$1:$1016,COLUMN($E$1),FALSE)/(LEN(VLOOKUP($D295,素材!$1:$1016,COLUMN($F$1),FALSE))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P295">
        <f>IF(ISNUMBER(SEARCH(SUBSTITUTE(AP$1,RIGHT(AP$1,2),""),VLOOKUP($D295,素材!$1:$1016,COLUMN($F$1),FALSE))),VLOOKUP($C295,武器!$1:$998,COLUMN($O$1),FALSE)*VLOOKUP($D295,素材!$1:$1016,COLUMN($E$1),FALSE)/(LEN(VLOOKUP($D295,素材!$1:$1016,COLUMN($F$1),FALSE))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Q295">
        <f>IF(ISNUMBER(SEARCH(SUBSTITUTE(AQ$1,RIGHT(AQ$1,2),""),VLOOKUP($D295,素材!$1:$1016,COLUMN($F$1),FALSE))),VLOOKUP($C295,武器!$1:$998,COLUMN($O$1),FALSE)*VLOOKUP($D295,素材!$1:$1016,COLUMN($E$1),FALSE)/(LEN(VLOOKUP($D295,素材!$1:$1016,COLUMN($F$1),FALSE))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R295">
        <f>IF(ISNUMBER(SEARCH(SUBSTITUTE(AR$1,RIGHT(AR$1,2),""),VLOOKUP($D295,素材!$1:$1016,COLUMN($F$1),FALSE))),VLOOKUP($C295,武器!$1:$998,COLUMN($O$1),FALSE)*VLOOKUP($D295,素材!$1:$1016,COLUMN($E$1),FALSE)/(LEN(VLOOKUP($D295,素材!$1:$1016,COLUMN($F$1),FALSE))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S295">
        <f>IF(ISNUMBER(SEARCH(SUBSTITUTE(AS$1,RIGHT(AS$1,2),""),VLOOKUP($D295,素材!$1:$1016,COLUMN($F$1),FALSE))),VLOOKUP($C295,武器!$1:$998,COLUMN($O$1),FALSE)*VLOOKUP($D295,素材!$1:$1016,COLUMN($E$1),FALSE)/(LEN(VLOOKUP($D295,素材!$1:$1016,COLUMN($F$1),FALSE))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T295">
        <f>IF(ISNUMBER(SEARCH(SUBSTITUTE(AT$1,RIGHT(AT$1,2),""),VLOOKUP($D295,素材!$1:$1016,COLUMN($F$1),FALSE))),VLOOKUP($C295,武器!$1:$998,COLUMN($O$1),FALSE)*VLOOKUP($D295,素材!$1:$1016,COLUMN($E$1),FALSE)/(LEN(VLOOKUP($D295,素材!$1:$1016,COLUMN($F$1),FALSE))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U295">
        <f>IF(ISNUMBER(SEARCH(SUBSTITUTE(AU$1,RIGHT(AU$1,2),""),VLOOKUP($D295,素材!$1:$1016,COLUMN($F$1),FALSE))),VLOOKUP($C295,武器!$1:$998,COLUMN($O$1),FALSE)*VLOOKUP($D295,素材!$1:$1016,COLUMN($E$1),FALSE)/(LEN(VLOOKUP($D295,素材!$1:$1016,COLUMN($F$1),FALSE))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V295">
        <f>IF(ISNUMBER(SEARCH(SUBSTITUTE(AV$1,RIGHT(AV$1,2),""),VLOOKUP($D295,素材!$1:$1016,COLUMN($F$1),FALSE))),VLOOKUP($C295,武器!$1:$998,COLUMN($O$1),FALSE)*VLOOKUP($D295,素材!$1:$1016,COLUMN($E$1),FALSE)/(LEN(VLOOKUP($D295,素材!$1:$1016,COLUMN($F$1),FALSE))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W295">
        <f>IF(ISNUMBER(SEARCH(SUBSTITUTE(AW$1,RIGHT(AW$1,2),""),VLOOKUP($D295,素材!$1:$1016,COLUMN($F$1),FALSE))),VLOOKUP($C295,武器!$1:$998,COLUMN($O$1),FALSE)*VLOOKUP($D295,素材!$1:$1016,COLUMN($E$1),FALSE)/(LEN(VLOOKUP($D295,素材!$1:$1016,COLUMN($F$1),FALSE))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X295">
        <f>IF(ISNUMBER(SEARCH(SUBSTITUTE(AX$1,RIGHT(AX$1,2),""),VLOOKUP($D295,素材!$1:$1016,COLUMN($F$1),FALSE))),VLOOKUP($C295,武器!$1:$998,COLUMN($O$1),FALSE)*VLOOKUP($D295,素材!$1:$1016,COLUMN($E$1),FALSE)/(LEN(VLOOKUP($D295,素材!$1:$1016,COLUMN($F$1),FALSE))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Y295">
        <f>IF(ISNUMBER(SEARCH(SUBSTITUTE(AY$1,RIGHT(AY$1,2),""),VLOOKUP($D295,素材!$1:$1016,COLUMN($F$1),FALSE))),VLOOKUP($C295,武器!$1:$998,COLUMN($O$1),FALSE)*VLOOKUP($D295,素材!$1:$1016,COLUMN($E$1),FALSE)/(LEN(VLOOKUP($D295,素材!$1:$1016,COLUMN($F$1),FALSE))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AZ295">
        <f>IF(ISNUMBER(SEARCH(SUBSTITUTE(AZ$1,RIGHT(AZ$1,2),""),VLOOKUP($D295,素材!$1:$1016,COLUMN($F$1),FALSE))),VLOOKUP($C295,武器!$1:$998,COLUMN($O$1),FALSE)*VLOOKUP($D295,素材!$1:$1016,COLUMN($E$1),FALSE)/(LEN(VLOOKUP($D295,素材!$1:$1016,COLUMN($F$1),FALSE))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BA295">
        <f>IF(ISNUMBER(SEARCH(SUBSTITUTE(BA$1,RIGHT(BA$1,2),""),VLOOKUP($D295,素材!$1:$1016,COLUMN($F$1),FALSE))),VLOOKUP($C295,武器!$1:$998,COLUMN($O$1),FALSE)*VLOOKUP($D295,素材!$1:$1016,COLUMN($E$1),FALSE)/(LEN(VLOOKUP($D295,素材!$1:$1016,COLUMN($F$1),FALSE))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BB295">
        <f>IF(ISNUMBER(SEARCH(SUBSTITUTE(BB$1,RIGHT(BB$1,2),""),VLOOKUP($D295,素材!$1:$1016,COLUMN($F$1),FALSE))),VLOOKUP($C295,武器!$1:$998,COLUMN($O$1),FALSE)*VLOOKUP($D295,素材!$1:$1016,COLUMN($E$1),FALSE)/(LEN(VLOOKUP($D295,素材!$1:$1016,COLUMN($F$1),FALSE))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BC295">
        <f>IF(ISNUMBER(SEARCH(SUBSTITUTE(BC$1,RIGHT(BC$1,2),""),VLOOKUP($D295,素材!$1:$1016,COLUMN($F$1),FALSE))),VLOOKUP($C295,武器!$1:$998,COLUMN($O$1),FALSE)*VLOOKUP($D295,素材!$1:$1016,COLUMN($E$1),FALSE)/(LEN(VLOOKUP($D295,素材!$1:$1016,COLUMN($F$1),FALSE))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BD295">
        <f>IF(ISNUMBER(SEARCH(SUBSTITUTE(BD$1,RIGHT(BD$1,2),""),VLOOKUP($D295,素材!$1:$1016,COLUMN($F$1),FALSE))),VLOOKUP($C295,武器!$1:$998,COLUMN($O$1),FALSE)*VLOOKUP($D295,素材!$1:$1016,COLUMN($E$1),FALSE)/(LEN(VLOOKUP($D295,素材!$1:$1016,COLUMN($F$1),FALSE))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BE295">
        <f>IF(ISNUMBER(SEARCH(SUBSTITUTE(BE$1,RIGHT(BE$1,2),""),VLOOKUP($D295,素材!$1:$1016,COLUMN($F$1),FALSE))),VLOOKUP($C295,武器!$1:$998,COLUMN($O$1),FALSE)*VLOOKUP($D295,素材!$1:$1016,COLUMN($E$1),FALSE)/(LEN(VLOOKUP($D295,素材!$1:$1016,COLUMN($F$1),FALSE))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BF295">
        <f>IF(ISNUMBER(SEARCH(SUBSTITUTE(BF$1,RIGHT(BF$1,2),""),VLOOKUP($D295,素材!$1:$1016,COLUMN($F$1),FALSE))),VLOOKUP($C295,武器!$1:$998,COLUMN($O$1),FALSE)*VLOOKUP($D295,素材!$1:$1016,COLUMN($E$1),FALSE)/(LEN(VLOOKUP($D295,素材!$1:$1016,COLUMN($F$1),FALSE)) - LEN(SUBSTITUTE(VLOOKUP($D295,素材!$1:$1016,COLUMN($F$1),FALSE), "・", 0)) + 1), 0)</f>
        <v>0</v>
      </c>
      <c r="CM295">
        <f t="shared" si="36"/>
        <v>0</v>
      </c>
      <c r="CN295" s="22" t="str">
        <f>IF(E295="武器",IF(J295-1&gt;SUM(G295:I295),"盾",IF(MAX(G295:I295)=G295,"切断",IF(MAX(G295:I295)=H295,"貫通",IF(MAX(G295:I295)=I295,"打撃","射撃")))),E295)&amp;".webp"</f>
        <v>.webp</v>
      </c>
      <c r="CO295" t="str">
        <f>IFERROR(VLOOKUP($C295,武器!$1:$998,COLUMN(V$1),FALSE)*VLOOKUP($D295,素材!$1:$1016,COLUMN(N$1),FALSE)+IF(CJ295="",0,VLOOKUP($CJ295,装強!$1:$1008,COLUMN($CL$1),FALSE)),"")</f>
        <v/>
      </c>
      <c r="CP295" t="e">
        <f>VLOOKUP(D295,素材!$A:$O,COLUMN(素材!O$1),FALSE)</f>
        <v>#N/A</v>
      </c>
      <c r="CQ295" t="e">
        <f>VLOOKUP(C295,武器!$A:$W,COLUMN(武器!W$1),FALSE)</f>
        <v>#N/A</v>
      </c>
      <c r="CS295" t="str">
        <f t="shared" si="37"/>
        <v>e_295</v>
      </c>
      <c r="CT295" t="e">
        <f t="shared" si="38"/>
        <v>#VALUE!</v>
      </c>
    </row>
    <row r="296" spans="1:98" hidden="1" outlineLevel="1" x14ac:dyDescent="0.4">
      <c r="A296" t="str">
        <f>IF(CJ296="",D296&amp;"の"&amp;C296,CJ296&amp;"の"&amp;C296)</f>
        <v>の</v>
      </c>
      <c r="B296" t="str">
        <f>IFERROR(IF(CJ296="",VLOOKUP($D296,素材!$1:$1016,COLUMN($B$1),FALSE)&amp;"・"&amp;VLOOKUP($C296,武器!$1:$998,COLUMN(B$1),FALSE),VLOOKUP($CJ296,装強!$1:$1008,COLUMN($B$1),FALSE)&amp;"・"&amp;VLOOKUP($C296,武器!$1:$998,COLUMN(B$1),FALSE)),"")</f>
        <v/>
      </c>
      <c r="C296" s="24"/>
      <c r="D296" s="24"/>
      <c r="E296" t="str">
        <f>IFERROR(VLOOKUP(C296,武器!$1:$998,COLUMN(C$1),FALSE),"")</f>
        <v/>
      </c>
      <c r="F296" t="str">
        <f>IFERROR(ROUNDDOWN((VLOOKUP($C296,武器!$1:$998,COLUMN(D$1),FALSE)+IFERROR(VLOOKUP($CJ296,装強!$1:$999,COLUMN(F$1),FALSE),0))*VLOOKUP($D296,素材!$1:$1016,COLUMN(D$1),FALSE),0),"")</f>
        <v/>
      </c>
      <c r="G296" t="str">
        <f>IFERROR(ROUNDDOWN((VLOOKUP($C296,武器!$1:$998,COLUMN(E$1),FALSE)+IFERROR(VLOOKUP($CJ296,装強!$1:$999,COLUMN(G$1),FALSE),0))*VLOOKUP($D296,素材!$1:$1016,COLUMN($E$1),FALSE),0),"")</f>
        <v/>
      </c>
      <c r="H296" t="str">
        <f>IFERROR(ROUNDDOWN((VLOOKUP($C296,武器!$1:$998,COLUMN(F$1),FALSE)+IFERROR(VLOOKUP($CJ296,装強!$1:$999,COLUMN(H$1),FALSE),0))*VLOOKUP($D296,素材!$1:$1016,COLUMN($E$1),FALSE),0),"")</f>
        <v/>
      </c>
      <c r="I296" t="str">
        <f>IFERROR(ROUNDDOWN((VLOOKUP($C296,武器!$1:$998,COLUMN(G$1),FALSE)+IFERROR(VLOOKUP($CJ296,装強!$1:$999,COLUMN(I$1),FALSE),0))*VLOOKUP($D296,素材!$1:$1016,COLUMN($E$1),FALSE),0),"")</f>
        <v/>
      </c>
      <c r="J296" t="str">
        <f>IFERROR(ROUNDDOWN((VLOOKUP($C296,武器!$1:$998,COLUMN(H$1),FALSE)+IFERROR(VLOOKUP($CJ296,装強!$1:$999,COLUMN(J$1),FALSE),0))*VLOOKUP($D296,素材!$1:$1016,COLUMN($E$1),FALSE),0),"")</f>
        <v/>
      </c>
      <c r="K296" t="str">
        <f>IFERROR(ROUNDDOWN((VLOOKUP($C296,武器!$1:$998,COLUMN(I$1),FALSE)+IFERROR(VLOOKUP($CJ296,装強!$1:$999,COLUMN(K$1),FALSE),0))*VLOOKUP($D296,素材!$1:$1016,COLUMN($E$1),FALSE),0),"")</f>
        <v/>
      </c>
      <c r="L296" t="str">
        <f>IFERROR(VLOOKUP($D296,素材!$1:$1016,COLUMN($F$1),FALSE),"")</f>
        <v/>
      </c>
      <c r="M296" t="str">
        <f>IFERROR(VLOOKUP($C296,武器!$1:$998,COLUMN(AA$1),FALSE)*VLOOKUP($D296,素材!$1:$1016,COLUMN($G$1),FALSE),"")</f>
        <v/>
      </c>
      <c r="N296" t="str">
        <f>IFERROR(VLOOKUP($C296,武器!$1:$998,COLUMN(I$1),FALSE),"")</f>
        <v/>
      </c>
      <c r="O296" s="23" t="str">
        <f>IFERROR((VLOOKUP($C296,武器!$1:$998,COLUMN(K$1),FALSE)+VLOOKUP($D296,素材!$1:$1016,COLUMN(H$1),FALSE))*100+IFERROR(VLOOKUP($CJ296,装強!$1:$999,COLUMN(O$1),FALSE),0),"")</f>
        <v/>
      </c>
      <c r="P296" s="23" t="str">
        <f>IFERROR((VLOOKUP($C296,武器!$1:$998,COLUMN(L$1),FALSE)+VLOOKUP($D296,素材!$1:$1016,COLUMN(I$1),FALSE))*100+IFERROR(VLOOKUP($CJ296,装強!$1:$999,COLUMN(P$1),FALSE),0),"")</f>
        <v/>
      </c>
      <c r="Q296" t="str">
        <f>IFERROR(ROUNDUP(VLOOKUP($C296,武器!$1:$998,COLUMN(M$1),FALSE)*(VLOOKUP($D296,素材!$1:$1002,COLUMN(D$1),FALSE)/100),1),"")</f>
        <v/>
      </c>
      <c r="R296" t="str">
        <f>IFERROR(ROUNDUP(VLOOKUP($C296,武器!$1:$998,COLUMN(N$1),FALSE)*(VLOOKUP($D296,素材!$1:$1002,COLUMN(D$1),FALSE)/100),1),"")</f>
        <v/>
      </c>
      <c r="S296" t="str">
        <f>IFERROR(VLOOKUP($C296,武器!$1:$998,COLUMN(P$1),FALSE),"")</f>
        <v/>
      </c>
      <c r="T296" t="str">
        <f>IFERROR(VLOOKUP($C296,武器!$1:$998,COLUMN(Q$1),FALSE),"")</f>
        <v/>
      </c>
      <c r="U296" t="str">
        <f>IFERROR(VLOOKUP($C296,武器!$1:$998,COLUMN(R$1),FALSE),"")</f>
        <v/>
      </c>
      <c r="V296" t="str">
        <f>IFERROR(VLOOKUP($C296,武器!$1:$998,COLUMN(Q$1),FALSE),"")</f>
        <v/>
      </c>
      <c r="W296" t="str">
        <f>IFERROR(VLOOKUP($C296,武器!$1:$998,COLUMN(T$1),FALSE),"")</f>
        <v/>
      </c>
      <c r="Y296" t="str">
        <f>IFERROR(VLOOKUP($C296,武器!$1:$998,COLUMN(U$1),FALSE),"")</f>
        <v/>
      </c>
      <c r="Z296" t="str">
        <f>IFERROR(ROUNDUP(VLOOKUP($C296,武器!$1:$998,COLUMN(O$1),FALSE)*VLOOKUP($D296,素材!$1:$1016,COLUMN(E$1),FALSE),1),"")</f>
        <v/>
      </c>
      <c r="AA296">
        <f>IF(ISNUMBER(SEARCH(SUBSTITUTE(AA$1,RIGHT(AA$1,2),""),VLOOKUP($D296,素材!$1:$1016,COLUMN($F$1),FALSE))),VLOOKUP($C296,武器!$1:$998,COLUMN($O$1),FALSE)*VLOOKUP($D296,素材!$1:$1016,COLUMN($E$1),FALSE)/(LEN(VLOOKUP($D296,素材!$1:$1016,COLUMN($F$1),FALSE))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B296">
        <f>IF(ISNUMBER(SEARCH(SUBSTITUTE(AB$1,RIGHT(AB$1,2),""),VLOOKUP($D296,素材!$1:$1016,COLUMN($F$1),FALSE))),VLOOKUP($C296,武器!$1:$998,COLUMN($O$1),FALSE)*VLOOKUP($D296,素材!$1:$1016,COLUMN($E$1),FALSE)/(LEN(VLOOKUP($D296,素材!$1:$1016,COLUMN($F$1),FALSE))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C296">
        <f>IF(ISNUMBER(SEARCH(SUBSTITUTE(AC$1,RIGHT(AC$1,2),""),VLOOKUP($D296,素材!$1:$1016,COLUMN($F$1),FALSE))),VLOOKUP($C296,武器!$1:$998,COLUMN($O$1),FALSE)*VLOOKUP($D296,素材!$1:$1016,COLUMN($E$1),FALSE)/(LEN(VLOOKUP($D296,素材!$1:$1016,COLUMN($F$1),FALSE))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D296">
        <f>IF(ISNUMBER(SEARCH(SUBSTITUTE(AD$1,RIGHT(AD$1,2),""),VLOOKUP($D296,素材!$1:$1016,COLUMN($F$1),FALSE))),VLOOKUP($C296,武器!$1:$998,COLUMN($O$1),FALSE)*VLOOKUP($D296,素材!$1:$1016,COLUMN($E$1),FALSE)/(LEN(VLOOKUP($D296,素材!$1:$1016,COLUMN($F$1),FALSE))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E296">
        <f>IF(ISNUMBER(SEARCH(SUBSTITUTE(AE$1,RIGHT(AE$1,2),""),VLOOKUP($D296,素材!$1:$1016,COLUMN($F$1),FALSE))),VLOOKUP($C296,武器!$1:$998,COLUMN($O$1),FALSE)*VLOOKUP($D296,素材!$1:$1016,COLUMN($E$1),FALSE)/(LEN(VLOOKUP($D296,素材!$1:$1016,COLUMN($F$1),FALSE))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F296">
        <f>IF(ISNUMBER(SEARCH(SUBSTITUTE(AF$1,RIGHT(AF$1,2),""),VLOOKUP($D296,素材!$1:$1016,COLUMN($F$1),FALSE))),VLOOKUP($C296,武器!$1:$998,COLUMN($O$1),FALSE)*VLOOKUP($D296,素材!$1:$1016,COLUMN($E$1),FALSE)/(LEN(VLOOKUP($D296,素材!$1:$1016,COLUMN($F$1),FALSE))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G296">
        <f>IF(ISNUMBER(SEARCH(SUBSTITUTE(AG$1,RIGHT(AG$1,2),""),VLOOKUP($D296,素材!$1:$1016,COLUMN($F$1),FALSE))),VLOOKUP($C296,武器!$1:$998,COLUMN($O$1),FALSE)*VLOOKUP($D296,素材!$1:$1016,COLUMN($E$1),FALSE)/(LEN(VLOOKUP($D296,素材!$1:$1016,COLUMN($F$1),FALSE))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H296">
        <f>IF(ISNUMBER(SEARCH(SUBSTITUTE(AH$1,RIGHT(AH$1,2),""),VLOOKUP($D296,素材!$1:$1016,COLUMN($F$1),FALSE))),VLOOKUP($C296,武器!$1:$998,COLUMN($O$1),FALSE)*VLOOKUP($D296,素材!$1:$1016,COLUMN($E$1),FALSE)/(LEN(VLOOKUP($D296,素材!$1:$1016,COLUMN($F$1),FALSE))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I296">
        <f>IF(ISNUMBER(SEARCH(SUBSTITUTE(AI$1,RIGHT(AI$1,2),""),VLOOKUP($D296,素材!$1:$1016,COLUMN($F$1),FALSE))),VLOOKUP($C296,武器!$1:$998,COLUMN($O$1),FALSE)*VLOOKUP($D296,素材!$1:$1016,COLUMN($E$1),FALSE)/(LEN(VLOOKUP($D296,素材!$1:$1016,COLUMN($F$1),FALSE))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J296">
        <f>IF(ISNUMBER(SEARCH(SUBSTITUTE(AJ$1,RIGHT(AJ$1,2),""),VLOOKUP($D296,素材!$1:$1016,COLUMN($F$1),FALSE))),VLOOKUP($C296,武器!$1:$998,COLUMN($O$1),FALSE)*VLOOKUP($D296,素材!$1:$1016,COLUMN($E$1),FALSE)/(LEN(VLOOKUP($D296,素材!$1:$1016,COLUMN($F$1),FALSE))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K296">
        <f>IF(ISNUMBER(SEARCH(SUBSTITUTE(AK$1,RIGHT(AK$1,2),""),VLOOKUP($D296,素材!$1:$1016,COLUMN($F$1),FALSE))),VLOOKUP($C296,武器!$1:$998,COLUMN($O$1),FALSE)*VLOOKUP($D296,素材!$1:$1016,COLUMN($E$1),FALSE)/(LEN(VLOOKUP($D296,素材!$1:$1016,COLUMN($F$1),FALSE))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L296">
        <f>IF(ISNUMBER(SEARCH(SUBSTITUTE(AL$1,RIGHT(AL$1,2),""),VLOOKUP($D296,素材!$1:$1016,COLUMN($F$1),FALSE))),VLOOKUP($C296,武器!$1:$998,COLUMN($O$1),FALSE)*VLOOKUP($D296,素材!$1:$1016,COLUMN($E$1),FALSE)/(LEN(VLOOKUP($D296,素材!$1:$1016,COLUMN($F$1),FALSE))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M296">
        <f>IF(ISNUMBER(SEARCH(SUBSTITUTE(AM$1,RIGHT(AM$1,2),""),VLOOKUP($D296,素材!$1:$1016,COLUMN($F$1),FALSE))),VLOOKUP($C296,武器!$1:$998,COLUMN($O$1),FALSE)*VLOOKUP($D296,素材!$1:$1016,COLUMN($E$1),FALSE)/(LEN(VLOOKUP($D296,素材!$1:$1016,COLUMN($F$1),FALSE))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N296">
        <f>IF(ISNUMBER(SEARCH(SUBSTITUTE(AN$1,RIGHT(AN$1,2),""),VLOOKUP($D296,素材!$1:$1016,COLUMN($F$1),FALSE))),VLOOKUP($C296,武器!$1:$998,COLUMN($O$1),FALSE)*VLOOKUP($D296,素材!$1:$1016,COLUMN($E$1),FALSE)/(LEN(VLOOKUP($D296,素材!$1:$1016,COLUMN($F$1),FALSE))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O296">
        <f>IF(ISNUMBER(SEARCH(SUBSTITUTE(AO$1,RIGHT(AO$1,2),""),VLOOKUP($D296,素材!$1:$1016,COLUMN($F$1),FALSE))),VLOOKUP($C296,武器!$1:$998,COLUMN($O$1),FALSE)*VLOOKUP($D296,素材!$1:$1016,COLUMN($E$1),FALSE)/(LEN(VLOOKUP($D296,素材!$1:$1016,COLUMN($F$1),FALSE))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P296">
        <f>IF(ISNUMBER(SEARCH(SUBSTITUTE(AP$1,RIGHT(AP$1,2),""),VLOOKUP($D296,素材!$1:$1016,COLUMN($F$1),FALSE))),VLOOKUP($C296,武器!$1:$998,COLUMN($O$1),FALSE)*VLOOKUP($D296,素材!$1:$1016,COLUMN($E$1),FALSE)/(LEN(VLOOKUP($D296,素材!$1:$1016,COLUMN($F$1),FALSE))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Q296">
        <f>IF(ISNUMBER(SEARCH(SUBSTITUTE(AQ$1,RIGHT(AQ$1,2),""),VLOOKUP($D296,素材!$1:$1016,COLUMN($F$1),FALSE))),VLOOKUP($C296,武器!$1:$998,COLUMN($O$1),FALSE)*VLOOKUP($D296,素材!$1:$1016,COLUMN($E$1),FALSE)/(LEN(VLOOKUP($D296,素材!$1:$1016,COLUMN($F$1),FALSE))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R296">
        <f>IF(ISNUMBER(SEARCH(SUBSTITUTE(AR$1,RIGHT(AR$1,2),""),VLOOKUP($D296,素材!$1:$1016,COLUMN($F$1),FALSE))),VLOOKUP($C296,武器!$1:$998,COLUMN($O$1),FALSE)*VLOOKUP($D296,素材!$1:$1016,COLUMN($E$1),FALSE)/(LEN(VLOOKUP($D296,素材!$1:$1016,COLUMN($F$1),FALSE))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S296">
        <f>IF(ISNUMBER(SEARCH(SUBSTITUTE(AS$1,RIGHT(AS$1,2),""),VLOOKUP($D296,素材!$1:$1016,COLUMN($F$1),FALSE))),VLOOKUP($C296,武器!$1:$998,COLUMN($O$1),FALSE)*VLOOKUP($D296,素材!$1:$1016,COLUMN($E$1),FALSE)/(LEN(VLOOKUP($D296,素材!$1:$1016,COLUMN($F$1),FALSE))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T296">
        <f>IF(ISNUMBER(SEARCH(SUBSTITUTE(AT$1,RIGHT(AT$1,2),""),VLOOKUP($D296,素材!$1:$1016,COLUMN($F$1),FALSE))),VLOOKUP($C296,武器!$1:$998,COLUMN($O$1),FALSE)*VLOOKUP($D296,素材!$1:$1016,COLUMN($E$1),FALSE)/(LEN(VLOOKUP($D296,素材!$1:$1016,COLUMN($F$1),FALSE))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U296">
        <f>IF(ISNUMBER(SEARCH(SUBSTITUTE(AU$1,RIGHT(AU$1,2),""),VLOOKUP($D296,素材!$1:$1016,COLUMN($F$1),FALSE))),VLOOKUP($C296,武器!$1:$998,COLUMN($O$1),FALSE)*VLOOKUP($D296,素材!$1:$1016,COLUMN($E$1),FALSE)/(LEN(VLOOKUP($D296,素材!$1:$1016,COLUMN($F$1),FALSE))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V296">
        <f>IF(ISNUMBER(SEARCH(SUBSTITUTE(AV$1,RIGHT(AV$1,2),""),VLOOKUP($D296,素材!$1:$1016,COLUMN($F$1),FALSE))),VLOOKUP($C296,武器!$1:$998,COLUMN($O$1),FALSE)*VLOOKUP($D296,素材!$1:$1016,COLUMN($E$1),FALSE)/(LEN(VLOOKUP($D296,素材!$1:$1016,COLUMN($F$1),FALSE))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W296">
        <f>IF(ISNUMBER(SEARCH(SUBSTITUTE(AW$1,RIGHT(AW$1,2),""),VLOOKUP($D296,素材!$1:$1016,COLUMN($F$1),FALSE))),VLOOKUP($C296,武器!$1:$998,COLUMN($O$1),FALSE)*VLOOKUP($D296,素材!$1:$1016,COLUMN($E$1),FALSE)/(LEN(VLOOKUP($D296,素材!$1:$1016,COLUMN($F$1),FALSE))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X296">
        <f>IF(ISNUMBER(SEARCH(SUBSTITUTE(AX$1,RIGHT(AX$1,2),""),VLOOKUP($D296,素材!$1:$1016,COLUMN($F$1),FALSE))),VLOOKUP($C296,武器!$1:$998,COLUMN($O$1),FALSE)*VLOOKUP($D296,素材!$1:$1016,COLUMN($E$1),FALSE)/(LEN(VLOOKUP($D296,素材!$1:$1016,COLUMN($F$1),FALSE))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Y296">
        <f>IF(ISNUMBER(SEARCH(SUBSTITUTE(AY$1,RIGHT(AY$1,2),""),VLOOKUP($D296,素材!$1:$1016,COLUMN($F$1),FALSE))),VLOOKUP($C296,武器!$1:$998,COLUMN($O$1),FALSE)*VLOOKUP($D296,素材!$1:$1016,COLUMN($E$1),FALSE)/(LEN(VLOOKUP($D296,素材!$1:$1016,COLUMN($F$1),FALSE))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AZ296">
        <f>IF(ISNUMBER(SEARCH(SUBSTITUTE(AZ$1,RIGHT(AZ$1,2),""),VLOOKUP($D296,素材!$1:$1016,COLUMN($F$1),FALSE))),VLOOKUP($C296,武器!$1:$998,COLUMN($O$1),FALSE)*VLOOKUP($D296,素材!$1:$1016,COLUMN($E$1),FALSE)/(LEN(VLOOKUP($D296,素材!$1:$1016,COLUMN($F$1),FALSE))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BA296">
        <f>IF(ISNUMBER(SEARCH(SUBSTITUTE(BA$1,RIGHT(BA$1,2),""),VLOOKUP($D296,素材!$1:$1016,COLUMN($F$1),FALSE))),VLOOKUP($C296,武器!$1:$998,COLUMN($O$1),FALSE)*VLOOKUP($D296,素材!$1:$1016,COLUMN($E$1),FALSE)/(LEN(VLOOKUP($D296,素材!$1:$1016,COLUMN($F$1),FALSE))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BB296">
        <f>IF(ISNUMBER(SEARCH(SUBSTITUTE(BB$1,RIGHT(BB$1,2),""),VLOOKUP($D296,素材!$1:$1016,COLUMN($F$1),FALSE))),VLOOKUP($C296,武器!$1:$998,COLUMN($O$1),FALSE)*VLOOKUP($D296,素材!$1:$1016,COLUMN($E$1),FALSE)/(LEN(VLOOKUP($D296,素材!$1:$1016,COLUMN($F$1),FALSE))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BC296">
        <f>IF(ISNUMBER(SEARCH(SUBSTITUTE(BC$1,RIGHT(BC$1,2),""),VLOOKUP($D296,素材!$1:$1016,COLUMN($F$1),FALSE))),VLOOKUP($C296,武器!$1:$998,COLUMN($O$1),FALSE)*VLOOKUP($D296,素材!$1:$1016,COLUMN($E$1),FALSE)/(LEN(VLOOKUP($D296,素材!$1:$1016,COLUMN($F$1),FALSE))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BD296">
        <f>IF(ISNUMBER(SEARCH(SUBSTITUTE(BD$1,RIGHT(BD$1,2),""),VLOOKUP($D296,素材!$1:$1016,COLUMN($F$1),FALSE))),VLOOKUP($C296,武器!$1:$998,COLUMN($O$1),FALSE)*VLOOKUP($D296,素材!$1:$1016,COLUMN($E$1),FALSE)/(LEN(VLOOKUP($D296,素材!$1:$1016,COLUMN($F$1),FALSE))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BE296">
        <f>IF(ISNUMBER(SEARCH(SUBSTITUTE(BE$1,RIGHT(BE$1,2),""),VLOOKUP($D296,素材!$1:$1016,COLUMN($F$1),FALSE))),VLOOKUP($C296,武器!$1:$998,COLUMN($O$1),FALSE)*VLOOKUP($D296,素材!$1:$1016,COLUMN($E$1),FALSE)/(LEN(VLOOKUP($D296,素材!$1:$1016,COLUMN($F$1),FALSE))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BF296">
        <f>IF(ISNUMBER(SEARCH(SUBSTITUTE(BF$1,RIGHT(BF$1,2),""),VLOOKUP($D296,素材!$1:$1016,COLUMN($F$1),FALSE))),VLOOKUP($C296,武器!$1:$998,COLUMN($O$1),FALSE)*VLOOKUP($D296,素材!$1:$1016,COLUMN($E$1),FALSE)/(LEN(VLOOKUP($D296,素材!$1:$1016,COLUMN($F$1),FALSE)) - LEN(SUBSTITUTE(VLOOKUP($D296,素材!$1:$1016,COLUMN($F$1),FALSE), "・", 0)) + 1), 0)</f>
        <v>0</v>
      </c>
      <c r="CM296">
        <f t="shared" si="36"/>
        <v>0</v>
      </c>
      <c r="CN296" s="22" t="str">
        <f>IF(E296="武器",IF(J296-1&gt;SUM(G296:I296),"盾",IF(MAX(G296:I296)=G296,"切断",IF(MAX(G296:I296)=H296,"貫通",IF(MAX(G296:I296)=I296,"打撃","射撃")))),E296)&amp;".webp"</f>
        <v>.webp</v>
      </c>
      <c r="CO296" t="str">
        <f>IFERROR(VLOOKUP($C296,武器!$1:$998,COLUMN(V$1),FALSE)*VLOOKUP($D296,素材!$1:$1016,COLUMN(N$1),FALSE)+IF(CJ296="",0,VLOOKUP($CJ296,装強!$1:$1008,COLUMN($CL$1),FALSE)),"")</f>
        <v/>
      </c>
      <c r="CP296" t="e">
        <f>VLOOKUP(D296,素材!$A:$O,COLUMN(素材!O$1),FALSE)</f>
        <v>#N/A</v>
      </c>
      <c r="CQ296" t="e">
        <f>VLOOKUP(C296,武器!$A:$W,COLUMN(武器!W$1),FALSE)</f>
        <v>#N/A</v>
      </c>
      <c r="CS296" t="str">
        <f t="shared" si="37"/>
        <v>e_296</v>
      </c>
      <c r="CT296" t="e">
        <f t="shared" si="38"/>
        <v>#VALUE!</v>
      </c>
    </row>
    <row r="297" spans="1:98" hidden="1" outlineLevel="1" x14ac:dyDescent="0.4">
      <c r="A297" t="str">
        <f>IF(CJ297="",D297&amp;"の"&amp;C297,CJ297&amp;"の"&amp;C297)</f>
        <v>の</v>
      </c>
      <c r="B297" t="str">
        <f>IFERROR(IF(CJ297="",VLOOKUP($D297,素材!$1:$1016,COLUMN($B$1),FALSE)&amp;"・"&amp;VLOOKUP($C297,武器!$1:$998,COLUMN(B$1),FALSE),VLOOKUP($CJ297,装強!$1:$1008,COLUMN($B$1),FALSE)&amp;"・"&amp;VLOOKUP($C297,武器!$1:$998,COLUMN(B$1),FALSE)),"")</f>
        <v/>
      </c>
      <c r="C297" s="24"/>
      <c r="D297" s="24"/>
      <c r="E297" t="str">
        <f>IFERROR(VLOOKUP(C297,武器!$1:$998,COLUMN(C$1),FALSE),"")</f>
        <v/>
      </c>
      <c r="F297" t="str">
        <f>IFERROR(ROUNDDOWN((VLOOKUP($C297,武器!$1:$998,COLUMN(D$1),FALSE)+IFERROR(VLOOKUP($CJ297,装強!$1:$999,COLUMN(F$1),FALSE),0))*VLOOKUP($D297,素材!$1:$1016,COLUMN(D$1),FALSE),0),"")</f>
        <v/>
      </c>
      <c r="G297" t="str">
        <f>IFERROR(ROUNDDOWN((VLOOKUP($C297,武器!$1:$998,COLUMN(E$1),FALSE)+IFERROR(VLOOKUP($CJ297,装強!$1:$999,COLUMN(G$1),FALSE),0))*VLOOKUP($D297,素材!$1:$1016,COLUMN($E$1),FALSE),0),"")</f>
        <v/>
      </c>
      <c r="H297" t="str">
        <f>IFERROR(ROUNDDOWN((VLOOKUP($C297,武器!$1:$998,COLUMN(F$1),FALSE)+IFERROR(VLOOKUP($CJ297,装強!$1:$999,COLUMN(H$1),FALSE),0))*VLOOKUP($D297,素材!$1:$1016,COLUMN($E$1),FALSE),0),"")</f>
        <v/>
      </c>
      <c r="I297" t="str">
        <f>IFERROR(ROUNDDOWN((VLOOKUP($C297,武器!$1:$998,COLUMN(G$1),FALSE)+IFERROR(VLOOKUP($CJ297,装強!$1:$999,COLUMN(I$1),FALSE),0))*VLOOKUP($D297,素材!$1:$1016,COLUMN($E$1),FALSE),0),"")</f>
        <v/>
      </c>
      <c r="J297" t="str">
        <f>IFERROR(ROUNDDOWN((VLOOKUP($C297,武器!$1:$998,COLUMN(H$1),FALSE)+IFERROR(VLOOKUP($CJ297,装強!$1:$999,COLUMN(J$1),FALSE),0))*VLOOKUP($D297,素材!$1:$1016,COLUMN($E$1),FALSE),0),"")</f>
        <v/>
      </c>
      <c r="K297" t="str">
        <f>IFERROR(ROUNDDOWN((VLOOKUP($C297,武器!$1:$998,COLUMN(I$1),FALSE)+IFERROR(VLOOKUP($CJ297,装強!$1:$999,COLUMN(K$1),FALSE),0))*VLOOKUP($D297,素材!$1:$1016,COLUMN($E$1),FALSE),0),"")</f>
        <v/>
      </c>
      <c r="L297" t="str">
        <f>IFERROR(VLOOKUP($D297,素材!$1:$1016,COLUMN($F$1),FALSE),"")</f>
        <v/>
      </c>
      <c r="M297" t="str">
        <f>IFERROR(VLOOKUP($C297,武器!$1:$998,COLUMN(AA$1),FALSE)*VLOOKUP($D297,素材!$1:$1016,COLUMN($G$1),FALSE),"")</f>
        <v/>
      </c>
      <c r="N297" t="str">
        <f>IFERROR(VLOOKUP($C297,武器!$1:$998,COLUMN(I$1),FALSE),"")</f>
        <v/>
      </c>
      <c r="O297" s="23" t="str">
        <f>IFERROR((VLOOKUP($C297,武器!$1:$998,COLUMN(K$1),FALSE)+VLOOKUP($D297,素材!$1:$1016,COLUMN(H$1),FALSE))*100+IFERROR(VLOOKUP($CJ297,装強!$1:$999,COLUMN(O$1),FALSE),0),"")</f>
        <v/>
      </c>
      <c r="P297" s="23" t="str">
        <f>IFERROR((VLOOKUP($C297,武器!$1:$998,COLUMN(L$1),FALSE)+VLOOKUP($D297,素材!$1:$1016,COLUMN(I$1),FALSE))*100+IFERROR(VLOOKUP($CJ297,装強!$1:$999,COLUMN(P$1),FALSE),0),"")</f>
        <v/>
      </c>
      <c r="Q297" t="str">
        <f>IFERROR(ROUNDUP(VLOOKUP($C297,武器!$1:$998,COLUMN(M$1),FALSE)*(VLOOKUP($D297,素材!$1:$1002,COLUMN(D$1),FALSE)/100),1),"")</f>
        <v/>
      </c>
      <c r="R297" t="str">
        <f>IFERROR(ROUNDUP(VLOOKUP($C297,武器!$1:$998,COLUMN(N$1),FALSE)*(VLOOKUP($D297,素材!$1:$1002,COLUMN(D$1),FALSE)/100),1),"")</f>
        <v/>
      </c>
      <c r="S297" t="str">
        <f>IFERROR(VLOOKUP($C297,武器!$1:$998,COLUMN(P$1),FALSE),"")</f>
        <v/>
      </c>
      <c r="T297" t="str">
        <f>IFERROR(VLOOKUP($C297,武器!$1:$998,COLUMN(Q$1),FALSE),"")</f>
        <v/>
      </c>
      <c r="U297" t="str">
        <f>IFERROR(VLOOKUP($C297,武器!$1:$998,COLUMN(R$1),FALSE),"")</f>
        <v/>
      </c>
      <c r="V297" t="str">
        <f>IFERROR(VLOOKUP($C297,武器!$1:$998,COLUMN(Q$1),FALSE),"")</f>
        <v/>
      </c>
      <c r="W297" t="str">
        <f>IFERROR(VLOOKUP($C297,武器!$1:$998,COLUMN(T$1),FALSE),"")</f>
        <v/>
      </c>
      <c r="Y297" t="str">
        <f>IFERROR(VLOOKUP($C297,武器!$1:$998,COLUMN(U$1),FALSE),"")</f>
        <v/>
      </c>
      <c r="Z297" t="str">
        <f>IFERROR(ROUNDUP(VLOOKUP($C297,武器!$1:$998,COLUMN(O$1),FALSE)*VLOOKUP($D297,素材!$1:$1016,COLUMN(E$1),FALSE),1),"")</f>
        <v/>
      </c>
      <c r="AA297">
        <f>IF(ISNUMBER(SEARCH(SUBSTITUTE(AA$1,RIGHT(AA$1,2),""),VLOOKUP($D297,素材!$1:$1016,COLUMN($F$1),FALSE))),VLOOKUP($C297,武器!$1:$998,COLUMN($O$1),FALSE)*VLOOKUP($D297,素材!$1:$1016,COLUMN($E$1),FALSE)/(LEN(VLOOKUP($D297,素材!$1:$1016,COLUMN($F$1),FALSE))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B297">
        <f>IF(ISNUMBER(SEARCH(SUBSTITUTE(AB$1,RIGHT(AB$1,2),""),VLOOKUP($D297,素材!$1:$1016,COLUMN($F$1),FALSE))),VLOOKUP($C297,武器!$1:$998,COLUMN($O$1),FALSE)*VLOOKUP($D297,素材!$1:$1016,COLUMN($E$1),FALSE)/(LEN(VLOOKUP($D297,素材!$1:$1016,COLUMN($F$1),FALSE))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C297">
        <f>IF(ISNUMBER(SEARCH(SUBSTITUTE(AC$1,RIGHT(AC$1,2),""),VLOOKUP($D297,素材!$1:$1016,COLUMN($F$1),FALSE))),VLOOKUP($C297,武器!$1:$998,COLUMN($O$1),FALSE)*VLOOKUP($D297,素材!$1:$1016,COLUMN($E$1),FALSE)/(LEN(VLOOKUP($D297,素材!$1:$1016,COLUMN($F$1),FALSE))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D297">
        <f>IF(ISNUMBER(SEARCH(SUBSTITUTE(AD$1,RIGHT(AD$1,2),""),VLOOKUP($D297,素材!$1:$1016,COLUMN($F$1),FALSE))),VLOOKUP($C297,武器!$1:$998,COLUMN($O$1),FALSE)*VLOOKUP($D297,素材!$1:$1016,COLUMN($E$1),FALSE)/(LEN(VLOOKUP($D297,素材!$1:$1016,COLUMN($F$1),FALSE))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E297">
        <f>IF(ISNUMBER(SEARCH(SUBSTITUTE(AE$1,RIGHT(AE$1,2),""),VLOOKUP($D297,素材!$1:$1016,COLUMN($F$1),FALSE))),VLOOKUP($C297,武器!$1:$998,COLUMN($O$1),FALSE)*VLOOKUP($D297,素材!$1:$1016,COLUMN($E$1),FALSE)/(LEN(VLOOKUP($D297,素材!$1:$1016,COLUMN($F$1),FALSE))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F297">
        <f>IF(ISNUMBER(SEARCH(SUBSTITUTE(AF$1,RIGHT(AF$1,2),""),VLOOKUP($D297,素材!$1:$1016,COLUMN($F$1),FALSE))),VLOOKUP($C297,武器!$1:$998,COLUMN($O$1),FALSE)*VLOOKUP($D297,素材!$1:$1016,COLUMN($E$1),FALSE)/(LEN(VLOOKUP($D297,素材!$1:$1016,COLUMN($F$1),FALSE))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G297">
        <f>IF(ISNUMBER(SEARCH(SUBSTITUTE(AG$1,RIGHT(AG$1,2),""),VLOOKUP($D297,素材!$1:$1016,COLUMN($F$1),FALSE))),VLOOKUP($C297,武器!$1:$998,COLUMN($O$1),FALSE)*VLOOKUP($D297,素材!$1:$1016,COLUMN($E$1),FALSE)/(LEN(VLOOKUP($D297,素材!$1:$1016,COLUMN($F$1),FALSE))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H297">
        <f>IF(ISNUMBER(SEARCH(SUBSTITUTE(AH$1,RIGHT(AH$1,2),""),VLOOKUP($D297,素材!$1:$1016,COLUMN($F$1),FALSE))),VLOOKUP($C297,武器!$1:$998,COLUMN($O$1),FALSE)*VLOOKUP($D297,素材!$1:$1016,COLUMN($E$1),FALSE)/(LEN(VLOOKUP($D297,素材!$1:$1016,COLUMN($F$1),FALSE))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I297">
        <f>IF(ISNUMBER(SEARCH(SUBSTITUTE(AI$1,RIGHT(AI$1,2),""),VLOOKUP($D297,素材!$1:$1016,COLUMN($F$1),FALSE))),VLOOKUP($C297,武器!$1:$998,COLUMN($O$1),FALSE)*VLOOKUP($D297,素材!$1:$1016,COLUMN($E$1),FALSE)/(LEN(VLOOKUP($D297,素材!$1:$1016,COLUMN($F$1),FALSE))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J297">
        <f>IF(ISNUMBER(SEARCH(SUBSTITUTE(AJ$1,RIGHT(AJ$1,2),""),VLOOKUP($D297,素材!$1:$1016,COLUMN($F$1),FALSE))),VLOOKUP($C297,武器!$1:$998,COLUMN($O$1),FALSE)*VLOOKUP($D297,素材!$1:$1016,COLUMN($E$1),FALSE)/(LEN(VLOOKUP($D297,素材!$1:$1016,COLUMN($F$1),FALSE))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K297">
        <f>IF(ISNUMBER(SEARCH(SUBSTITUTE(AK$1,RIGHT(AK$1,2),""),VLOOKUP($D297,素材!$1:$1016,COLUMN($F$1),FALSE))),VLOOKUP($C297,武器!$1:$998,COLUMN($O$1),FALSE)*VLOOKUP($D297,素材!$1:$1016,COLUMN($E$1),FALSE)/(LEN(VLOOKUP($D297,素材!$1:$1016,COLUMN($F$1),FALSE))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L297">
        <f>IF(ISNUMBER(SEARCH(SUBSTITUTE(AL$1,RIGHT(AL$1,2),""),VLOOKUP($D297,素材!$1:$1016,COLUMN($F$1),FALSE))),VLOOKUP($C297,武器!$1:$998,COLUMN($O$1),FALSE)*VLOOKUP($D297,素材!$1:$1016,COLUMN($E$1),FALSE)/(LEN(VLOOKUP($D297,素材!$1:$1016,COLUMN($F$1),FALSE))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M297">
        <f>IF(ISNUMBER(SEARCH(SUBSTITUTE(AM$1,RIGHT(AM$1,2),""),VLOOKUP($D297,素材!$1:$1016,COLUMN($F$1),FALSE))),VLOOKUP($C297,武器!$1:$998,COLUMN($O$1),FALSE)*VLOOKUP($D297,素材!$1:$1016,COLUMN($E$1),FALSE)/(LEN(VLOOKUP($D297,素材!$1:$1016,COLUMN($F$1),FALSE))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N297">
        <f>IF(ISNUMBER(SEARCH(SUBSTITUTE(AN$1,RIGHT(AN$1,2),""),VLOOKUP($D297,素材!$1:$1016,COLUMN($F$1),FALSE))),VLOOKUP($C297,武器!$1:$998,COLUMN($O$1),FALSE)*VLOOKUP($D297,素材!$1:$1016,COLUMN($E$1),FALSE)/(LEN(VLOOKUP($D297,素材!$1:$1016,COLUMN($F$1),FALSE))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O297">
        <f>IF(ISNUMBER(SEARCH(SUBSTITUTE(AO$1,RIGHT(AO$1,2),""),VLOOKUP($D297,素材!$1:$1016,COLUMN($F$1),FALSE))),VLOOKUP($C297,武器!$1:$998,COLUMN($O$1),FALSE)*VLOOKUP($D297,素材!$1:$1016,COLUMN($E$1),FALSE)/(LEN(VLOOKUP($D297,素材!$1:$1016,COLUMN($F$1),FALSE))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P297">
        <f>IF(ISNUMBER(SEARCH(SUBSTITUTE(AP$1,RIGHT(AP$1,2),""),VLOOKUP($D297,素材!$1:$1016,COLUMN($F$1),FALSE))),VLOOKUP($C297,武器!$1:$998,COLUMN($O$1),FALSE)*VLOOKUP($D297,素材!$1:$1016,COLUMN($E$1),FALSE)/(LEN(VLOOKUP($D297,素材!$1:$1016,COLUMN($F$1),FALSE))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Q297">
        <f>IF(ISNUMBER(SEARCH(SUBSTITUTE(AQ$1,RIGHT(AQ$1,2),""),VLOOKUP($D297,素材!$1:$1016,COLUMN($F$1),FALSE))),VLOOKUP($C297,武器!$1:$998,COLUMN($O$1),FALSE)*VLOOKUP($D297,素材!$1:$1016,COLUMN($E$1),FALSE)/(LEN(VLOOKUP($D297,素材!$1:$1016,COLUMN($F$1),FALSE))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R297">
        <f>IF(ISNUMBER(SEARCH(SUBSTITUTE(AR$1,RIGHT(AR$1,2),""),VLOOKUP($D297,素材!$1:$1016,COLUMN($F$1),FALSE))),VLOOKUP($C297,武器!$1:$998,COLUMN($O$1),FALSE)*VLOOKUP($D297,素材!$1:$1016,COLUMN($E$1),FALSE)/(LEN(VLOOKUP($D297,素材!$1:$1016,COLUMN($F$1),FALSE))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S297">
        <f>IF(ISNUMBER(SEARCH(SUBSTITUTE(AS$1,RIGHT(AS$1,2),""),VLOOKUP($D297,素材!$1:$1016,COLUMN($F$1),FALSE))),VLOOKUP($C297,武器!$1:$998,COLUMN($O$1),FALSE)*VLOOKUP($D297,素材!$1:$1016,COLUMN($E$1),FALSE)/(LEN(VLOOKUP($D297,素材!$1:$1016,COLUMN($F$1),FALSE))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T297">
        <f>IF(ISNUMBER(SEARCH(SUBSTITUTE(AT$1,RIGHT(AT$1,2),""),VLOOKUP($D297,素材!$1:$1016,COLUMN($F$1),FALSE))),VLOOKUP($C297,武器!$1:$998,COLUMN($O$1),FALSE)*VLOOKUP($D297,素材!$1:$1016,COLUMN($E$1),FALSE)/(LEN(VLOOKUP($D297,素材!$1:$1016,COLUMN($F$1),FALSE))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U297">
        <f>IF(ISNUMBER(SEARCH(SUBSTITUTE(AU$1,RIGHT(AU$1,2),""),VLOOKUP($D297,素材!$1:$1016,COLUMN($F$1),FALSE))),VLOOKUP($C297,武器!$1:$998,COLUMN($O$1),FALSE)*VLOOKUP($D297,素材!$1:$1016,COLUMN($E$1),FALSE)/(LEN(VLOOKUP($D297,素材!$1:$1016,COLUMN($F$1),FALSE))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V297">
        <f>IF(ISNUMBER(SEARCH(SUBSTITUTE(AV$1,RIGHT(AV$1,2),""),VLOOKUP($D297,素材!$1:$1016,COLUMN($F$1),FALSE))),VLOOKUP($C297,武器!$1:$998,COLUMN($O$1),FALSE)*VLOOKUP($D297,素材!$1:$1016,COLUMN($E$1),FALSE)/(LEN(VLOOKUP($D297,素材!$1:$1016,COLUMN($F$1),FALSE))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W297">
        <f>IF(ISNUMBER(SEARCH(SUBSTITUTE(AW$1,RIGHT(AW$1,2),""),VLOOKUP($D297,素材!$1:$1016,COLUMN($F$1),FALSE))),VLOOKUP($C297,武器!$1:$998,COLUMN($O$1),FALSE)*VLOOKUP($D297,素材!$1:$1016,COLUMN($E$1),FALSE)/(LEN(VLOOKUP($D297,素材!$1:$1016,COLUMN($F$1),FALSE))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X297">
        <f>IF(ISNUMBER(SEARCH(SUBSTITUTE(AX$1,RIGHT(AX$1,2),""),VLOOKUP($D297,素材!$1:$1016,COLUMN($F$1),FALSE))),VLOOKUP($C297,武器!$1:$998,COLUMN($O$1),FALSE)*VLOOKUP($D297,素材!$1:$1016,COLUMN($E$1),FALSE)/(LEN(VLOOKUP($D297,素材!$1:$1016,COLUMN($F$1),FALSE))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Y297">
        <f>IF(ISNUMBER(SEARCH(SUBSTITUTE(AY$1,RIGHT(AY$1,2),""),VLOOKUP($D297,素材!$1:$1016,COLUMN($F$1),FALSE))),VLOOKUP($C297,武器!$1:$998,COLUMN($O$1),FALSE)*VLOOKUP($D297,素材!$1:$1016,COLUMN($E$1),FALSE)/(LEN(VLOOKUP($D297,素材!$1:$1016,COLUMN($F$1),FALSE))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AZ297">
        <f>IF(ISNUMBER(SEARCH(SUBSTITUTE(AZ$1,RIGHT(AZ$1,2),""),VLOOKUP($D297,素材!$1:$1016,COLUMN($F$1),FALSE))),VLOOKUP($C297,武器!$1:$998,COLUMN($O$1),FALSE)*VLOOKUP($D297,素材!$1:$1016,COLUMN($E$1),FALSE)/(LEN(VLOOKUP($D297,素材!$1:$1016,COLUMN($F$1),FALSE))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BA297">
        <f>IF(ISNUMBER(SEARCH(SUBSTITUTE(BA$1,RIGHT(BA$1,2),""),VLOOKUP($D297,素材!$1:$1016,COLUMN($F$1),FALSE))),VLOOKUP($C297,武器!$1:$998,COLUMN($O$1),FALSE)*VLOOKUP($D297,素材!$1:$1016,COLUMN($E$1),FALSE)/(LEN(VLOOKUP($D297,素材!$1:$1016,COLUMN($F$1),FALSE))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BB297">
        <f>IF(ISNUMBER(SEARCH(SUBSTITUTE(BB$1,RIGHT(BB$1,2),""),VLOOKUP($D297,素材!$1:$1016,COLUMN($F$1),FALSE))),VLOOKUP($C297,武器!$1:$998,COLUMN($O$1),FALSE)*VLOOKUP($D297,素材!$1:$1016,COLUMN($E$1),FALSE)/(LEN(VLOOKUP($D297,素材!$1:$1016,COLUMN($F$1),FALSE))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BC297">
        <f>IF(ISNUMBER(SEARCH(SUBSTITUTE(BC$1,RIGHT(BC$1,2),""),VLOOKUP($D297,素材!$1:$1016,COLUMN($F$1),FALSE))),VLOOKUP($C297,武器!$1:$998,COLUMN($O$1),FALSE)*VLOOKUP($D297,素材!$1:$1016,COLUMN($E$1),FALSE)/(LEN(VLOOKUP($D297,素材!$1:$1016,COLUMN($F$1),FALSE))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BD297">
        <f>IF(ISNUMBER(SEARCH(SUBSTITUTE(BD$1,RIGHT(BD$1,2),""),VLOOKUP($D297,素材!$1:$1016,COLUMN($F$1),FALSE))),VLOOKUP($C297,武器!$1:$998,COLUMN($O$1),FALSE)*VLOOKUP($D297,素材!$1:$1016,COLUMN($E$1),FALSE)/(LEN(VLOOKUP($D297,素材!$1:$1016,COLUMN($F$1),FALSE))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BE297">
        <f>IF(ISNUMBER(SEARCH(SUBSTITUTE(BE$1,RIGHT(BE$1,2),""),VLOOKUP($D297,素材!$1:$1016,COLUMN($F$1),FALSE))),VLOOKUP($C297,武器!$1:$998,COLUMN($O$1),FALSE)*VLOOKUP($D297,素材!$1:$1016,COLUMN($E$1),FALSE)/(LEN(VLOOKUP($D297,素材!$1:$1016,COLUMN($F$1),FALSE))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BF297">
        <f>IF(ISNUMBER(SEARCH(SUBSTITUTE(BF$1,RIGHT(BF$1,2),""),VLOOKUP($D297,素材!$1:$1016,COLUMN($F$1),FALSE))),VLOOKUP($C297,武器!$1:$998,COLUMN($O$1),FALSE)*VLOOKUP($D297,素材!$1:$1016,COLUMN($E$1),FALSE)/(LEN(VLOOKUP($D297,素材!$1:$1016,COLUMN($F$1),FALSE)) - LEN(SUBSTITUTE(VLOOKUP($D297,素材!$1:$1016,COLUMN($F$1),FALSE), "・", 0)) + 1), 0)</f>
        <v>0</v>
      </c>
      <c r="CM297">
        <f t="shared" si="36"/>
        <v>0</v>
      </c>
      <c r="CN297" s="22" t="str">
        <f>IF(E297="武器",IF(J297-1&gt;SUM(G297:I297),"盾",IF(MAX(G297:I297)=G297,"切断",IF(MAX(G297:I297)=H297,"貫通",IF(MAX(G297:I297)=I297,"打撃","射撃")))),E297)&amp;".webp"</f>
        <v>.webp</v>
      </c>
      <c r="CO297" t="str">
        <f>IFERROR(VLOOKUP($C297,武器!$1:$998,COLUMN(V$1),FALSE)*VLOOKUP($D297,素材!$1:$1016,COLUMN(N$1),FALSE)+IF(CJ297="",0,VLOOKUP($CJ297,装強!$1:$1008,COLUMN($CL$1),FALSE)),"")</f>
        <v/>
      </c>
      <c r="CP297" t="e">
        <f>VLOOKUP(D297,素材!$A:$O,COLUMN(素材!O$1),FALSE)</f>
        <v>#N/A</v>
      </c>
      <c r="CQ297" t="e">
        <f>VLOOKUP(C297,武器!$A:$W,COLUMN(武器!W$1),FALSE)</f>
        <v>#N/A</v>
      </c>
      <c r="CS297" t="str">
        <f t="shared" si="37"/>
        <v>e_297</v>
      </c>
      <c r="CT297" t="e">
        <f t="shared" si="38"/>
        <v>#VALUE!</v>
      </c>
    </row>
    <row r="298" spans="1:98" hidden="1" outlineLevel="1" x14ac:dyDescent="0.4">
      <c r="A298" t="str">
        <f>IF(CJ298="",D298&amp;"の"&amp;C298,CJ298&amp;"の"&amp;C298)</f>
        <v>の</v>
      </c>
      <c r="B298" t="str">
        <f>IFERROR(IF(CJ298="",VLOOKUP($D298,素材!$1:$1016,COLUMN($B$1),FALSE)&amp;"・"&amp;VLOOKUP($C298,武器!$1:$998,COLUMN(B$1),FALSE),VLOOKUP($CJ298,装強!$1:$1008,COLUMN($B$1),FALSE)&amp;"・"&amp;VLOOKUP($C298,武器!$1:$998,COLUMN(B$1),FALSE)),"")</f>
        <v/>
      </c>
      <c r="C298" s="24"/>
      <c r="D298" s="24"/>
      <c r="E298" t="str">
        <f>IFERROR(VLOOKUP(C298,武器!$1:$998,COLUMN(C$1),FALSE),"")</f>
        <v/>
      </c>
      <c r="F298" t="str">
        <f>IFERROR(ROUNDDOWN((VLOOKUP($C298,武器!$1:$998,COLUMN(D$1),FALSE)+IFERROR(VLOOKUP($CJ298,装強!$1:$999,COLUMN(F$1),FALSE),0))*VLOOKUP($D298,素材!$1:$1016,COLUMN(D$1),FALSE),0),"")</f>
        <v/>
      </c>
      <c r="G298" t="str">
        <f>IFERROR(ROUNDDOWN((VLOOKUP($C298,武器!$1:$998,COLUMN(E$1),FALSE)+IFERROR(VLOOKUP($CJ298,装強!$1:$999,COLUMN(G$1),FALSE),0))*VLOOKUP($D298,素材!$1:$1016,COLUMN($E$1),FALSE),0),"")</f>
        <v/>
      </c>
      <c r="H298" t="str">
        <f>IFERROR(ROUNDDOWN((VLOOKUP($C298,武器!$1:$998,COLUMN(F$1),FALSE)+IFERROR(VLOOKUP($CJ298,装強!$1:$999,COLUMN(H$1),FALSE),0))*VLOOKUP($D298,素材!$1:$1016,COLUMN($E$1),FALSE),0),"")</f>
        <v/>
      </c>
      <c r="I298" t="str">
        <f>IFERROR(ROUNDDOWN((VLOOKUP($C298,武器!$1:$998,COLUMN(G$1),FALSE)+IFERROR(VLOOKUP($CJ298,装強!$1:$999,COLUMN(I$1),FALSE),0))*VLOOKUP($D298,素材!$1:$1016,COLUMN($E$1),FALSE),0),"")</f>
        <v/>
      </c>
      <c r="J298" t="str">
        <f>IFERROR(ROUNDDOWN((VLOOKUP($C298,武器!$1:$998,COLUMN(H$1),FALSE)+IFERROR(VLOOKUP($CJ298,装強!$1:$999,COLUMN(J$1),FALSE),0))*VLOOKUP($D298,素材!$1:$1016,COLUMN($E$1),FALSE),0),"")</f>
        <v/>
      </c>
      <c r="K298" t="str">
        <f>IFERROR(ROUNDDOWN((VLOOKUP($C298,武器!$1:$998,COLUMN(I$1),FALSE)+IFERROR(VLOOKUP($CJ298,装強!$1:$999,COLUMN(K$1),FALSE),0))*VLOOKUP($D298,素材!$1:$1016,COLUMN($E$1),FALSE),0),"")</f>
        <v/>
      </c>
      <c r="L298" t="str">
        <f>IFERROR(VLOOKUP($D298,素材!$1:$1016,COLUMN($F$1),FALSE),"")</f>
        <v/>
      </c>
      <c r="M298" t="str">
        <f>IFERROR(VLOOKUP($C298,武器!$1:$998,COLUMN(AA$1),FALSE)*VLOOKUP($D298,素材!$1:$1016,COLUMN($G$1),FALSE),"")</f>
        <v/>
      </c>
      <c r="N298" t="str">
        <f>IFERROR(VLOOKUP($C298,武器!$1:$998,COLUMN(I$1),FALSE),"")</f>
        <v/>
      </c>
      <c r="O298" s="23" t="str">
        <f>IFERROR((VLOOKUP($C298,武器!$1:$998,COLUMN(K$1),FALSE)+VLOOKUP($D298,素材!$1:$1016,COLUMN(H$1),FALSE))*100+IFERROR(VLOOKUP($CJ298,装強!$1:$999,COLUMN(O$1),FALSE),0),"")</f>
        <v/>
      </c>
      <c r="P298" s="23" t="str">
        <f>IFERROR((VLOOKUP($C298,武器!$1:$998,COLUMN(L$1),FALSE)+VLOOKUP($D298,素材!$1:$1016,COLUMN(I$1),FALSE))*100+IFERROR(VLOOKUP($CJ298,装強!$1:$999,COLUMN(P$1),FALSE),0),"")</f>
        <v/>
      </c>
      <c r="Q298" t="str">
        <f>IFERROR(ROUNDUP(VLOOKUP($C298,武器!$1:$998,COLUMN(M$1),FALSE)*(VLOOKUP($D298,素材!$1:$1002,COLUMN(D$1),FALSE)/100),1),"")</f>
        <v/>
      </c>
      <c r="R298" t="str">
        <f>IFERROR(ROUNDUP(VLOOKUP($C298,武器!$1:$998,COLUMN(N$1),FALSE)*(VLOOKUP($D298,素材!$1:$1002,COLUMN(D$1),FALSE)/100),1),"")</f>
        <v/>
      </c>
      <c r="S298" t="str">
        <f>IFERROR(VLOOKUP($C298,武器!$1:$998,COLUMN(P$1),FALSE),"")</f>
        <v/>
      </c>
      <c r="T298" t="str">
        <f>IFERROR(VLOOKUP($C298,武器!$1:$998,COLUMN(Q$1),FALSE),"")</f>
        <v/>
      </c>
      <c r="U298" t="str">
        <f>IFERROR(VLOOKUP($C298,武器!$1:$998,COLUMN(R$1),FALSE),"")</f>
        <v/>
      </c>
      <c r="V298" t="str">
        <f>IFERROR(VLOOKUP($C298,武器!$1:$998,COLUMN(Q$1),FALSE),"")</f>
        <v/>
      </c>
      <c r="W298" t="str">
        <f>IFERROR(VLOOKUP($C298,武器!$1:$998,COLUMN(T$1),FALSE),"")</f>
        <v/>
      </c>
      <c r="Y298" t="str">
        <f>IFERROR(VLOOKUP($C298,武器!$1:$998,COLUMN(U$1),FALSE),"")</f>
        <v/>
      </c>
      <c r="Z298" t="str">
        <f>IFERROR(ROUNDUP(VLOOKUP($C298,武器!$1:$998,COLUMN(O$1),FALSE)*VLOOKUP($D298,素材!$1:$1016,COLUMN(E$1),FALSE),1),"")</f>
        <v/>
      </c>
      <c r="AA298">
        <f>IF(ISNUMBER(SEARCH(SUBSTITUTE(AA$1,RIGHT(AA$1,2),""),VLOOKUP($D298,素材!$1:$1016,COLUMN($F$1),FALSE))),VLOOKUP($C298,武器!$1:$998,COLUMN($O$1),FALSE)*VLOOKUP($D298,素材!$1:$1016,COLUMN($E$1),FALSE)/(LEN(VLOOKUP($D298,素材!$1:$1016,COLUMN($F$1),FALSE))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B298">
        <f>IF(ISNUMBER(SEARCH(SUBSTITUTE(AB$1,RIGHT(AB$1,2),""),VLOOKUP($D298,素材!$1:$1016,COLUMN($F$1),FALSE))),VLOOKUP($C298,武器!$1:$998,COLUMN($O$1),FALSE)*VLOOKUP($D298,素材!$1:$1016,COLUMN($E$1),FALSE)/(LEN(VLOOKUP($D298,素材!$1:$1016,COLUMN($F$1),FALSE))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C298">
        <f>IF(ISNUMBER(SEARCH(SUBSTITUTE(AC$1,RIGHT(AC$1,2),""),VLOOKUP($D298,素材!$1:$1016,COLUMN($F$1),FALSE))),VLOOKUP($C298,武器!$1:$998,COLUMN($O$1),FALSE)*VLOOKUP($D298,素材!$1:$1016,COLUMN($E$1),FALSE)/(LEN(VLOOKUP($D298,素材!$1:$1016,COLUMN($F$1),FALSE))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D298">
        <f>IF(ISNUMBER(SEARCH(SUBSTITUTE(AD$1,RIGHT(AD$1,2),""),VLOOKUP($D298,素材!$1:$1016,COLUMN($F$1),FALSE))),VLOOKUP($C298,武器!$1:$998,COLUMN($O$1),FALSE)*VLOOKUP($D298,素材!$1:$1016,COLUMN($E$1),FALSE)/(LEN(VLOOKUP($D298,素材!$1:$1016,COLUMN($F$1),FALSE))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E298">
        <f>IF(ISNUMBER(SEARCH(SUBSTITUTE(AE$1,RIGHT(AE$1,2),""),VLOOKUP($D298,素材!$1:$1016,COLUMN($F$1),FALSE))),VLOOKUP($C298,武器!$1:$998,COLUMN($O$1),FALSE)*VLOOKUP($D298,素材!$1:$1016,COLUMN($E$1),FALSE)/(LEN(VLOOKUP($D298,素材!$1:$1016,COLUMN($F$1),FALSE))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F298">
        <f>IF(ISNUMBER(SEARCH(SUBSTITUTE(AF$1,RIGHT(AF$1,2),""),VLOOKUP($D298,素材!$1:$1016,COLUMN($F$1),FALSE))),VLOOKUP($C298,武器!$1:$998,COLUMN($O$1),FALSE)*VLOOKUP($D298,素材!$1:$1016,COLUMN($E$1),FALSE)/(LEN(VLOOKUP($D298,素材!$1:$1016,COLUMN($F$1),FALSE))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G298">
        <f>IF(ISNUMBER(SEARCH(SUBSTITUTE(AG$1,RIGHT(AG$1,2),""),VLOOKUP($D298,素材!$1:$1016,COLUMN($F$1),FALSE))),VLOOKUP($C298,武器!$1:$998,COLUMN($O$1),FALSE)*VLOOKUP($D298,素材!$1:$1016,COLUMN($E$1),FALSE)/(LEN(VLOOKUP($D298,素材!$1:$1016,COLUMN($F$1),FALSE))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H298">
        <f>IF(ISNUMBER(SEARCH(SUBSTITUTE(AH$1,RIGHT(AH$1,2),""),VLOOKUP($D298,素材!$1:$1016,COLUMN($F$1),FALSE))),VLOOKUP($C298,武器!$1:$998,COLUMN($O$1),FALSE)*VLOOKUP($D298,素材!$1:$1016,COLUMN($E$1),FALSE)/(LEN(VLOOKUP($D298,素材!$1:$1016,COLUMN($F$1),FALSE))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I298">
        <f>IF(ISNUMBER(SEARCH(SUBSTITUTE(AI$1,RIGHT(AI$1,2),""),VLOOKUP($D298,素材!$1:$1016,COLUMN($F$1),FALSE))),VLOOKUP($C298,武器!$1:$998,COLUMN($O$1),FALSE)*VLOOKUP($D298,素材!$1:$1016,COLUMN($E$1),FALSE)/(LEN(VLOOKUP($D298,素材!$1:$1016,COLUMN($F$1),FALSE))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J298">
        <f>IF(ISNUMBER(SEARCH(SUBSTITUTE(AJ$1,RIGHT(AJ$1,2),""),VLOOKUP($D298,素材!$1:$1016,COLUMN($F$1),FALSE))),VLOOKUP($C298,武器!$1:$998,COLUMN($O$1),FALSE)*VLOOKUP($D298,素材!$1:$1016,COLUMN($E$1),FALSE)/(LEN(VLOOKUP($D298,素材!$1:$1016,COLUMN($F$1),FALSE))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K298">
        <f>IF(ISNUMBER(SEARCH(SUBSTITUTE(AK$1,RIGHT(AK$1,2),""),VLOOKUP($D298,素材!$1:$1016,COLUMN($F$1),FALSE))),VLOOKUP($C298,武器!$1:$998,COLUMN($O$1),FALSE)*VLOOKUP($D298,素材!$1:$1016,COLUMN($E$1),FALSE)/(LEN(VLOOKUP($D298,素材!$1:$1016,COLUMN($F$1),FALSE))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L298">
        <f>IF(ISNUMBER(SEARCH(SUBSTITUTE(AL$1,RIGHT(AL$1,2),""),VLOOKUP($D298,素材!$1:$1016,COLUMN($F$1),FALSE))),VLOOKUP($C298,武器!$1:$998,COLUMN($O$1),FALSE)*VLOOKUP($D298,素材!$1:$1016,COLUMN($E$1),FALSE)/(LEN(VLOOKUP($D298,素材!$1:$1016,COLUMN($F$1),FALSE))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M298">
        <f>IF(ISNUMBER(SEARCH(SUBSTITUTE(AM$1,RIGHT(AM$1,2),""),VLOOKUP($D298,素材!$1:$1016,COLUMN($F$1),FALSE))),VLOOKUP($C298,武器!$1:$998,COLUMN($O$1),FALSE)*VLOOKUP($D298,素材!$1:$1016,COLUMN($E$1),FALSE)/(LEN(VLOOKUP($D298,素材!$1:$1016,COLUMN($F$1),FALSE))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N298">
        <f>IF(ISNUMBER(SEARCH(SUBSTITUTE(AN$1,RIGHT(AN$1,2),""),VLOOKUP($D298,素材!$1:$1016,COLUMN($F$1),FALSE))),VLOOKUP($C298,武器!$1:$998,COLUMN($O$1),FALSE)*VLOOKUP($D298,素材!$1:$1016,COLUMN($E$1),FALSE)/(LEN(VLOOKUP($D298,素材!$1:$1016,COLUMN($F$1),FALSE))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O298">
        <f>IF(ISNUMBER(SEARCH(SUBSTITUTE(AO$1,RIGHT(AO$1,2),""),VLOOKUP($D298,素材!$1:$1016,COLUMN($F$1),FALSE))),VLOOKUP($C298,武器!$1:$998,COLUMN($O$1),FALSE)*VLOOKUP($D298,素材!$1:$1016,COLUMN($E$1),FALSE)/(LEN(VLOOKUP($D298,素材!$1:$1016,COLUMN($F$1),FALSE))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P298">
        <f>IF(ISNUMBER(SEARCH(SUBSTITUTE(AP$1,RIGHT(AP$1,2),""),VLOOKUP($D298,素材!$1:$1016,COLUMN($F$1),FALSE))),VLOOKUP($C298,武器!$1:$998,COLUMN($O$1),FALSE)*VLOOKUP($D298,素材!$1:$1016,COLUMN($E$1),FALSE)/(LEN(VLOOKUP($D298,素材!$1:$1016,COLUMN($F$1),FALSE))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Q298">
        <f>IF(ISNUMBER(SEARCH(SUBSTITUTE(AQ$1,RIGHT(AQ$1,2),""),VLOOKUP($D298,素材!$1:$1016,COLUMN($F$1),FALSE))),VLOOKUP($C298,武器!$1:$998,COLUMN($O$1),FALSE)*VLOOKUP($D298,素材!$1:$1016,COLUMN($E$1),FALSE)/(LEN(VLOOKUP($D298,素材!$1:$1016,COLUMN($F$1),FALSE))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R298">
        <f>IF(ISNUMBER(SEARCH(SUBSTITUTE(AR$1,RIGHT(AR$1,2),""),VLOOKUP($D298,素材!$1:$1016,COLUMN($F$1),FALSE))),VLOOKUP($C298,武器!$1:$998,COLUMN($O$1),FALSE)*VLOOKUP($D298,素材!$1:$1016,COLUMN($E$1),FALSE)/(LEN(VLOOKUP($D298,素材!$1:$1016,COLUMN($F$1),FALSE))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S298">
        <f>IF(ISNUMBER(SEARCH(SUBSTITUTE(AS$1,RIGHT(AS$1,2),""),VLOOKUP($D298,素材!$1:$1016,COLUMN($F$1),FALSE))),VLOOKUP($C298,武器!$1:$998,COLUMN($O$1),FALSE)*VLOOKUP($D298,素材!$1:$1016,COLUMN($E$1),FALSE)/(LEN(VLOOKUP($D298,素材!$1:$1016,COLUMN($F$1),FALSE))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T298">
        <f>IF(ISNUMBER(SEARCH(SUBSTITUTE(AT$1,RIGHT(AT$1,2),""),VLOOKUP($D298,素材!$1:$1016,COLUMN($F$1),FALSE))),VLOOKUP($C298,武器!$1:$998,COLUMN($O$1),FALSE)*VLOOKUP($D298,素材!$1:$1016,COLUMN($E$1),FALSE)/(LEN(VLOOKUP($D298,素材!$1:$1016,COLUMN($F$1),FALSE))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U298">
        <f>IF(ISNUMBER(SEARCH(SUBSTITUTE(AU$1,RIGHT(AU$1,2),""),VLOOKUP($D298,素材!$1:$1016,COLUMN($F$1),FALSE))),VLOOKUP($C298,武器!$1:$998,COLUMN($O$1),FALSE)*VLOOKUP($D298,素材!$1:$1016,COLUMN($E$1),FALSE)/(LEN(VLOOKUP($D298,素材!$1:$1016,COLUMN($F$1),FALSE))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V298">
        <f>IF(ISNUMBER(SEARCH(SUBSTITUTE(AV$1,RIGHT(AV$1,2),""),VLOOKUP($D298,素材!$1:$1016,COLUMN($F$1),FALSE))),VLOOKUP($C298,武器!$1:$998,COLUMN($O$1),FALSE)*VLOOKUP($D298,素材!$1:$1016,COLUMN($E$1),FALSE)/(LEN(VLOOKUP($D298,素材!$1:$1016,COLUMN($F$1),FALSE))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W298">
        <f>IF(ISNUMBER(SEARCH(SUBSTITUTE(AW$1,RIGHT(AW$1,2),""),VLOOKUP($D298,素材!$1:$1016,COLUMN($F$1),FALSE))),VLOOKUP($C298,武器!$1:$998,COLUMN($O$1),FALSE)*VLOOKUP($D298,素材!$1:$1016,COLUMN($E$1),FALSE)/(LEN(VLOOKUP($D298,素材!$1:$1016,COLUMN($F$1),FALSE))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X298">
        <f>IF(ISNUMBER(SEARCH(SUBSTITUTE(AX$1,RIGHT(AX$1,2),""),VLOOKUP($D298,素材!$1:$1016,COLUMN($F$1),FALSE))),VLOOKUP($C298,武器!$1:$998,COLUMN($O$1),FALSE)*VLOOKUP($D298,素材!$1:$1016,COLUMN($E$1),FALSE)/(LEN(VLOOKUP($D298,素材!$1:$1016,COLUMN($F$1),FALSE))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Y298">
        <f>IF(ISNUMBER(SEARCH(SUBSTITUTE(AY$1,RIGHT(AY$1,2),""),VLOOKUP($D298,素材!$1:$1016,COLUMN($F$1),FALSE))),VLOOKUP($C298,武器!$1:$998,COLUMN($O$1),FALSE)*VLOOKUP($D298,素材!$1:$1016,COLUMN($E$1),FALSE)/(LEN(VLOOKUP($D298,素材!$1:$1016,COLUMN($F$1),FALSE))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AZ298">
        <f>IF(ISNUMBER(SEARCH(SUBSTITUTE(AZ$1,RIGHT(AZ$1,2),""),VLOOKUP($D298,素材!$1:$1016,COLUMN($F$1),FALSE))),VLOOKUP($C298,武器!$1:$998,COLUMN($O$1),FALSE)*VLOOKUP($D298,素材!$1:$1016,COLUMN($E$1),FALSE)/(LEN(VLOOKUP($D298,素材!$1:$1016,COLUMN($F$1),FALSE))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BA298">
        <f>IF(ISNUMBER(SEARCH(SUBSTITUTE(BA$1,RIGHT(BA$1,2),""),VLOOKUP($D298,素材!$1:$1016,COLUMN($F$1),FALSE))),VLOOKUP($C298,武器!$1:$998,COLUMN($O$1),FALSE)*VLOOKUP($D298,素材!$1:$1016,COLUMN($E$1),FALSE)/(LEN(VLOOKUP($D298,素材!$1:$1016,COLUMN($F$1),FALSE))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BB298">
        <f>IF(ISNUMBER(SEARCH(SUBSTITUTE(BB$1,RIGHT(BB$1,2),""),VLOOKUP($D298,素材!$1:$1016,COLUMN($F$1),FALSE))),VLOOKUP($C298,武器!$1:$998,COLUMN($O$1),FALSE)*VLOOKUP($D298,素材!$1:$1016,COLUMN($E$1),FALSE)/(LEN(VLOOKUP($D298,素材!$1:$1016,COLUMN($F$1),FALSE))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BC298">
        <f>IF(ISNUMBER(SEARCH(SUBSTITUTE(BC$1,RIGHT(BC$1,2),""),VLOOKUP($D298,素材!$1:$1016,COLUMN($F$1),FALSE))),VLOOKUP($C298,武器!$1:$998,COLUMN($O$1),FALSE)*VLOOKUP($D298,素材!$1:$1016,COLUMN($E$1),FALSE)/(LEN(VLOOKUP($D298,素材!$1:$1016,COLUMN($F$1),FALSE))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BD298">
        <f>IF(ISNUMBER(SEARCH(SUBSTITUTE(BD$1,RIGHT(BD$1,2),""),VLOOKUP($D298,素材!$1:$1016,COLUMN($F$1),FALSE))),VLOOKUP($C298,武器!$1:$998,COLUMN($O$1),FALSE)*VLOOKUP($D298,素材!$1:$1016,COLUMN($E$1),FALSE)/(LEN(VLOOKUP($D298,素材!$1:$1016,COLUMN($F$1),FALSE))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BE298">
        <f>IF(ISNUMBER(SEARCH(SUBSTITUTE(BE$1,RIGHT(BE$1,2),""),VLOOKUP($D298,素材!$1:$1016,COLUMN($F$1),FALSE))),VLOOKUP($C298,武器!$1:$998,COLUMN($O$1),FALSE)*VLOOKUP($D298,素材!$1:$1016,COLUMN($E$1),FALSE)/(LEN(VLOOKUP($D298,素材!$1:$1016,COLUMN($F$1),FALSE))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BF298">
        <f>IF(ISNUMBER(SEARCH(SUBSTITUTE(BF$1,RIGHT(BF$1,2),""),VLOOKUP($D298,素材!$1:$1016,COLUMN($F$1),FALSE))),VLOOKUP($C298,武器!$1:$998,COLUMN($O$1),FALSE)*VLOOKUP($D298,素材!$1:$1016,COLUMN($E$1),FALSE)/(LEN(VLOOKUP($D298,素材!$1:$1016,COLUMN($F$1),FALSE)) - LEN(SUBSTITUTE(VLOOKUP($D298,素材!$1:$1016,COLUMN($F$1),FALSE), "・", 0)) + 1), 0)</f>
        <v>0</v>
      </c>
      <c r="CM298">
        <f t="shared" si="36"/>
        <v>0</v>
      </c>
      <c r="CN298" s="22" t="str">
        <f>IF(E298="武器",IF(J298-1&gt;SUM(G298:I298),"盾",IF(MAX(G298:I298)=G298,"切断",IF(MAX(G298:I298)=H298,"貫通",IF(MAX(G298:I298)=I298,"打撃","射撃")))),E298)&amp;".webp"</f>
        <v>.webp</v>
      </c>
      <c r="CO298" t="str">
        <f>IFERROR(VLOOKUP($C298,武器!$1:$998,COLUMN(V$1),FALSE)*VLOOKUP($D298,素材!$1:$1016,COLUMN(N$1),FALSE)+IF(CJ298="",0,VLOOKUP($CJ298,装強!$1:$1008,COLUMN($CL$1),FALSE)),"")</f>
        <v/>
      </c>
      <c r="CP298" t="e">
        <f>VLOOKUP(D298,素材!$A:$O,COLUMN(素材!O$1),FALSE)</f>
        <v>#N/A</v>
      </c>
      <c r="CQ298" t="e">
        <f>VLOOKUP(C298,武器!$A:$W,COLUMN(武器!W$1),FALSE)</f>
        <v>#N/A</v>
      </c>
      <c r="CS298" t="str">
        <f t="shared" si="37"/>
        <v>e_298</v>
      </c>
      <c r="CT298" t="e">
        <f t="shared" si="38"/>
        <v>#VALUE!</v>
      </c>
    </row>
    <row r="299" spans="1:98" hidden="1" outlineLevel="1" x14ac:dyDescent="0.4">
      <c r="A299" t="str">
        <f>IF(CJ299="",D299&amp;"の"&amp;C299,CJ299&amp;"の"&amp;C299)</f>
        <v>の</v>
      </c>
      <c r="B299" t="str">
        <f>IFERROR(IF(CJ299="",VLOOKUP($D299,素材!$1:$1016,COLUMN($B$1),FALSE)&amp;"・"&amp;VLOOKUP($C299,武器!$1:$998,COLUMN(B$1),FALSE),VLOOKUP($CJ299,装強!$1:$1008,COLUMN($B$1),FALSE)&amp;"・"&amp;VLOOKUP($C299,武器!$1:$998,COLUMN(B$1),FALSE)),"")</f>
        <v/>
      </c>
      <c r="C299" s="24"/>
      <c r="D299" s="24"/>
      <c r="E299" t="str">
        <f>IFERROR(VLOOKUP(C299,武器!$1:$998,COLUMN(C$1),FALSE),"")</f>
        <v/>
      </c>
      <c r="F299" t="str">
        <f>IFERROR(ROUNDDOWN((VLOOKUP($C299,武器!$1:$998,COLUMN(D$1),FALSE)+IFERROR(VLOOKUP($CJ299,装強!$1:$999,COLUMN(F$1),FALSE),0))*VLOOKUP($D299,素材!$1:$1016,COLUMN(D$1),FALSE),0),"")</f>
        <v/>
      </c>
      <c r="G299" t="str">
        <f>IFERROR(ROUNDDOWN((VLOOKUP($C299,武器!$1:$998,COLUMN(E$1),FALSE)+IFERROR(VLOOKUP($CJ299,装強!$1:$999,COLUMN(G$1),FALSE),0))*VLOOKUP($D299,素材!$1:$1016,COLUMN($E$1),FALSE),0),"")</f>
        <v/>
      </c>
      <c r="H299" t="str">
        <f>IFERROR(ROUNDDOWN((VLOOKUP($C299,武器!$1:$998,COLUMN(F$1),FALSE)+IFERROR(VLOOKUP($CJ299,装強!$1:$999,COLUMN(H$1),FALSE),0))*VLOOKUP($D299,素材!$1:$1016,COLUMN($E$1),FALSE),0),"")</f>
        <v/>
      </c>
      <c r="I299" t="str">
        <f>IFERROR(ROUNDDOWN((VLOOKUP($C299,武器!$1:$998,COLUMN(G$1),FALSE)+IFERROR(VLOOKUP($CJ299,装強!$1:$999,COLUMN(I$1),FALSE),0))*VLOOKUP($D299,素材!$1:$1016,COLUMN($E$1),FALSE),0),"")</f>
        <v/>
      </c>
      <c r="J299" t="str">
        <f>IFERROR(ROUNDDOWN((VLOOKUP($C299,武器!$1:$998,COLUMN(H$1),FALSE)+IFERROR(VLOOKUP($CJ299,装強!$1:$999,COLUMN(J$1),FALSE),0))*VLOOKUP($D299,素材!$1:$1016,COLUMN($E$1),FALSE),0),"")</f>
        <v/>
      </c>
      <c r="K299" t="str">
        <f>IFERROR(ROUNDDOWN((VLOOKUP($C299,武器!$1:$998,COLUMN(I$1),FALSE)+IFERROR(VLOOKUP($CJ299,装強!$1:$999,COLUMN(K$1),FALSE),0))*VLOOKUP($D299,素材!$1:$1016,COLUMN($E$1),FALSE),0),"")</f>
        <v/>
      </c>
      <c r="L299" t="str">
        <f>IFERROR(VLOOKUP($D299,素材!$1:$1016,COLUMN($F$1),FALSE),"")</f>
        <v/>
      </c>
      <c r="M299" t="str">
        <f>IFERROR(VLOOKUP($C299,武器!$1:$998,COLUMN(AA$1),FALSE)*VLOOKUP($D299,素材!$1:$1016,COLUMN($G$1),FALSE),"")</f>
        <v/>
      </c>
      <c r="N299" t="str">
        <f>IFERROR(VLOOKUP($C299,武器!$1:$998,COLUMN(I$1),FALSE),"")</f>
        <v/>
      </c>
      <c r="O299" s="23" t="str">
        <f>IFERROR((VLOOKUP($C299,武器!$1:$998,COLUMN(K$1),FALSE)+VLOOKUP($D299,素材!$1:$1016,COLUMN(H$1),FALSE))*100+IFERROR(VLOOKUP($CJ299,装強!$1:$999,COLUMN(O$1),FALSE),0),"")</f>
        <v/>
      </c>
      <c r="P299" s="23" t="str">
        <f>IFERROR((VLOOKUP($C299,武器!$1:$998,COLUMN(L$1),FALSE)+VLOOKUP($D299,素材!$1:$1016,COLUMN(I$1),FALSE))*100+IFERROR(VLOOKUP($CJ299,装強!$1:$999,COLUMN(P$1),FALSE),0),"")</f>
        <v/>
      </c>
      <c r="Q299" t="str">
        <f>IFERROR(ROUNDUP(VLOOKUP($C299,武器!$1:$998,COLUMN(M$1),FALSE)*(VLOOKUP($D299,素材!$1:$1002,COLUMN(D$1),FALSE)/100),1),"")</f>
        <v/>
      </c>
      <c r="R299" t="str">
        <f>IFERROR(ROUNDUP(VLOOKUP($C299,武器!$1:$998,COLUMN(N$1),FALSE)*(VLOOKUP($D299,素材!$1:$1002,COLUMN(D$1),FALSE)/100),1),"")</f>
        <v/>
      </c>
      <c r="S299" t="str">
        <f>IFERROR(VLOOKUP($C299,武器!$1:$998,COLUMN(P$1),FALSE),"")</f>
        <v/>
      </c>
      <c r="T299" t="str">
        <f>IFERROR(VLOOKUP($C299,武器!$1:$998,COLUMN(Q$1),FALSE),"")</f>
        <v/>
      </c>
      <c r="U299" t="str">
        <f>IFERROR(VLOOKUP($C299,武器!$1:$998,COLUMN(R$1),FALSE),"")</f>
        <v/>
      </c>
      <c r="V299" t="str">
        <f>IFERROR(VLOOKUP($C299,武器!$1:$998,COLUMN(Q$1),FALSE),"")</f>
        <v/>
      </c>
      <c r="W299" t="str">
        <f>IFERROR(VLOOKUP($C299,武器!$1:$998,COLUMN(T$1),FALSE),"")</f>
        <v/>
      </c>
      <c r="Y299" t="str">
        <f>IFERROR(VLOOKUP($C299,武器!$1:$998,COLUMN(U$1),FALSE),"")</f>
        <v/>
      </c>
      <c r="Z299" t="str">
        <f>IFERROR(ROUNDUP(VLOOKUP($C299,武器!$1:$998,COLUMN(O$1),FALSE)*VLOOKUP($D299,素材!$1:$1016,COLUMN(E$1),FALSE),1),"")</f>
        <v/>
      </c>
      <c r="AA299">
        <f>IF(ISNUMBER(SEARCH(SUBSTITUTE(AA$1,RIGHT(AA$1,2),""),VLOOKUP($D299,素材!$1:$1016,COLUMN($F$1),FALSE))),VLOOKUP($C299,武器!$1:$998,COLUMN($O$1),FALSE)*VLOOKUP($D299,素材!$1:$1016,COLUMN($E$1),FALSE)/(LEN(VLOOKUP($D299,素材!$1:$1016,COLUMN($F$1),FALSE))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B299">
        <f>IF(ISNUMBER(SEARCH(SUBSTITUTE(AB$1,RIGHT(AB$1,2),""),VLOOKUP($D299,素材!$1:$1016,COLUMN($F$1),FALSE))),VLOOKUP($C299,武器!$1:$998,COLUMN($O$1),FALSE)*VLOOKUP($D299,素材!$1:$1016,COLUMN($E$1),FALSE)/(LEN(VLOOKUP($D299,素材!$1:$1016,COLUMN($F$1),FALSE))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C299">
        <f>IF(ISNUMBER(SEARCH(SUBSTITUTE(AC$1,RIGHT(AC$1,2),""),VLOOKUP($D299,素材!$1:$1016,COLUMN($F$1),FALSE))),VLOOKUP($C299,武器!$1:$998,COLUMN($O$1),FALSE)*VLOOKUP($D299,素材!$1:$1016,COLUMN($E$1),FALSE)/(LEN(VLOOKUP($D299,素材!$1:$1016,COLUMN($F$1),FALSE))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D299">
        <f>IF(ISNUMBER(SEARCH(SUBSTITUTE(AD$1,RIGHT(AD$1,2),""),VLOOKUP($D299,素材!$1:$1016,COLUMN($F$1),FALSE))),VLOOKUP($C299,武器!$1:$998,COLUMN($O$1),FALSE)*VLOOKUP($D299,素材!$1:$1016,COLUMN($E$1),FALSE)/(LEN(VLOOKUP($D299,素材!$1:$1016,COLUMN($F$1),FALSE))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E299">
        <f>IF(ISNUMBER(SEARCH(SUBSTITUTE(AE$1,RIGHT(AE$1,2),""),VLOOKUP($D299,素材!$1:$1016,COLUMN($F$1),FALSE))),VLOOKUP($C299,武器!$1:$998,COLUMN($O$1),FALSE)*VLOOKUP($D299,素材!$1:$1016,COLUMN($E$1),FALSE)/(LEN(VLOOKUP($D299,素材!$1:$1016,COLUMN($F$1),FALSE))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F299">
        <f>IF(ISNUMBER(SEARCH(SUBSTITUTE(AF$1,RIGHT(AF$1,2),""),VLOOKUP($D299,素材!$1:$1016,COLUMN($F$1),FALSE))),VLOOKUP($C299,武器!$1:$998,COLUMN($O$1),FALSE)*VLOOKUP($D299,素材!$1:$1016,COLUMN($E$1),FALSE)/(LEN(VLOOKUP($D299,素材!$1:$1016,COLUMN($F$1),FALSE))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G299">
        <f>IF(ISNUMBER(SEARCH(SUBSTITUTE(AG$1,RIGHT(AG$1,2),""),VLOOKUP($D299,素材!$1:$1016,COLUMN($F$1),FALSE))),VLOOKUP($C299,武器!$1:$998,COLUMN($O$1),FALSE)*VLOOKUP($D299,素材!$1:$1016,COLUMN($E$1),FALSE)/(LEN(VLOOKUP($D299,素材!$1:$1016,COLUMN($F$1),FALSE))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H299">
        <f>IF(ISNUMBER(SEARCH(SUBSTITUTE(AH$1,RIGHT(AH$1,2),""),VLOOKUP($D299,素材!$1:$1016,COLUMN($F$1),FALSE))),VLOOKUP($C299,武器!$1:$998,COLUMN($O$1),FALSE)*VLOOKUP($D299,素材!$1:$1016,COLUMN($E$1),FALSE)/(LEN(VLOOKUP($D299,素材!$1:$1016,COLUMN($F$1),FALSE))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I299">
        <f>IF(ISNUMBER(SEARCH(SUBSTITUTE(AI$1,RIGHT(AI$1,2),""),VLOOKUP($D299,素材!$1:$1016,COLUMN($F$1),FALSE))),VLOOKUP($C299,武器!$1:$998,COLUMN($O$1),FALSE)*VLOOKUP($D299,素材!$1:$1016,COLUMN($E$1),FALSE)/(LEN(VLOOKUP($D299,素材!$1:$1016,COLUMN($F$1),FALSE))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J299">
        <f>IF(ISNUMBER(SEARCH(SUBSTITUTE(AJ$1,RIGHT(AJ$1,2),""),VLOOKUP($D299,素材!$1:$1016,COLUMN($F$1),FALSE))),VLOOKUP($C299,武器!$1:$998,COLUMN($O$1),FALSE)*VLOOKUP($D299,素材!$1:$1016,COLUMN($E$1),FALSE)/(LEN(VLOOKUP($D299,素材!$1:$1016,COLUMN($F$1),FALSE))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K299">
        <f>IF(ISNUMBER(SEARCH(SUBSTITUTE(AK$1,RIGHT(AK$1,2),""),VLOOKUP($D299,素材!$1:$1016,COLUMN($F$1),FALSE))),VLOOKUP($C299,武器!$1:$998,COLUMN($O$1),FALSE)*VLOOKUP($D299,素材!$1:$1016,COLUMN($E$1),FALSE)/(LEN(VLOOKUP($D299,素材!$1:$1016,COLUMN($F$1),FALSE))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L299">
        <f>IF(ISNUMBER(SEARCH(SUBSTITUTE(AL$1,RIGHT(AL$1,2),""),VLOOKUP($D299,素材!$1:$1016,COLUMN($F$1),FALSE))),VLOOKUP($C299,武器!$1:$998,COLUMN($O$1),FALSE)*VLOOKUP($D299,素材!$1:$1016,COLUMN($E$1),FALSE)/(LEN(VLOOKUP($D299,素材!$1:$1016,COLUMN($F$1),FALSE))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M299">
        <f>IF(ISNUMBER(SEARCH(SUBSTITUTE(AM$1,RIGHT(AM$1,2),""),VLOOKUP($D299,素材!$1:$1016,COLUMN($F$1),FALSE))),VLOOKUP($C299,武器!$1:$998,COLUMN($O$1),FALSE)*VLOOKUP($D299,素材!$1:$1016,COLUMN($E$1),FALSE)/(LEN(VLOOKUP($D299,素材!$1:$1016,COLUMN($F$1),FALSE))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N299">
        <f>IF(ISNUMBER(SEARCH(SUBSTITUTE(AN$1,RIGHT(AN$1,2),""),VLOOKUP($D299,素材!$1:$1016,COLUMN($F$1),FALSE))),VLOOKUP($C299,武器!$1:$998,COLUMN($O$1),FALSE)*VLOOKUP($D299,素材!$1:$1016,COLUMN($E$1),FALSE)/(LEN(VLOOKUP($D299,素材!$1:$1016,COLUMN($F$1),FALSE))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O299">
        <f>IF(ISNUMBER(SEARCH(SUBSTITUTE(AO$1,RIGHT(AO$1,2),""),VLOOKUP($D299,素材!$1:$1016,COLUMN($F$1),FALSE))),VLOOKUP($C299,武器!$1:$998,COLUMN($O$1),FALSE)*VLOOKUP($D299,素材!$1:$1016,COLUMN($E$1),FALSE)/(LEN(VLOOKUP($D299,素材!$1:$1016,COLUMN($F$1),FALSE))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P299">
        <f>IF(ISNUMBER(SEARCH(SUBSTITUTE(AP$1,RIGHT(AP$1,2),""),VLOOKUP($D299,素材!$1:$1016,COLUMN($F$1),FALSE))),VLOOKUP($C299,武器!$1:$998,COLUMN($O$1),FALSE)*VLOOKUP($D299,素材!$1:$1016,COLUMN($E$1),FALSE)/(LEN(VLOOKUP($D299,素材!$1:$1016,COLUMN($F$1),FALSE))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Q299">
        <f>IF(ISNUMBER(SEARCH(SUBSTITUTE(AQ$1,RIGHT(AQ$1,2),""),VLOOKUP($D299,素材!$1:$1016,COLUMN($F$1),FALSE))),VLOOKUP($C299,武器!$1:$998,COLUMN($O$1),FALSE)*VLOOKUP($D299,素材!$1:$1016,COLUMN($E$1),FALSE)/(LEN(VLOOKUP($D299,素材!$1:$1016,COLUMN($F$1),FALSE))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R299">
        <f>IF(ISNUMBER(SEARCH(SUBSTITUTE(AR$1,RIGHT(AR$1,2),""),VLOOKUP($D299,素材!$1:$1016,COLUMN($F$1),FALSE))),VLOOKUP($C299,武器!$1:$998,COLUMN($O$1),FALSE)*VLOOKUP($D299,素材!$1:$1016,COLUMN($E$1),FALSE)/(LEN(VLOOKUP($D299,素材!$1:$1016,COLUMN($F$1),FALSE))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S299">
        <f>IF(ISNUMBER(SEARCH(SUBSTITUTE(AS$1,RIGHT(AS$1,2),""),VLOOKUP($D299,素材!$1:$1016,COLUMN($F$1),FALSE))),VLOOKUP($C299,武器!$1:$998,COLUMN($O$1),FALSE)*VLOOKUP($D299,素材!$1:$1016,COLUMN($E$1),FALSE)/(LEN(VLOOKUP($D299,素材!$1:$1016,COLUMN($F$1),FALSE))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T299">
        <f>IF(ISNUMBER(SEARCH(SUBSTITUTE(AT$1,RIGHT(AT$1,2),""),VLOOKUP($D299,素材!$1:$1016,COLUMN($F$1),FALSE))),VLOOKUP($C299,武器!$1:$998,COLUMN($O$1),FALSE)*VLOOKUP($D299,素材!$1:$1016,COLUMN($E$1),FALSE)/(LEN(VLOOKUP($D299,素材!$1:$1016,COLUMN($F$1),FALSE))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U299">
        <f>IF(ISNUMBER(SEARCH(SUBSTITUTE(AU$1,RIGHT(AU$1,2),""),VLOOKUP($D299,素材!$1:$1016,COLUMN($F$1),FALSE))),VLOOKUP($C299,武器!$1:$998,COLUMN($O$1),FALSE)*VLOOKUP($D299,素材!$1:$1016,COLUMN($E$1),FALSE)/(LEN(VLOOKUP($D299,素材!$1:$1016,COLUMN($F$1),FALSE))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V299">
        <f>IF(ISNUMBER(SEARCH(SUBSTITUTE(AV$1,RIGHT(AV$1,2),""),VLOOKUP($D299,素材!$1:$1016,COLUMN($F$1),FALSE))),VLOOKUP($C299,武器!$1:$998,COLUMN($O$1),FALSE)*VLOOKUP($D299,素材!$1:$1016,COLUMN($E$1),FALSE)/(LEN(VLOOKUP($D299,素材!$1:$1016,COLUMN($F$1),FALSE))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W299">
        <f>IF(ISNUMBER(SEARCH(SUBSTITUTE(AW$1,RIGHT(AW$1,2),""),VLOOKUP($D299,素材!$1:$1016,COLUMN($F$1),FALSE))),VLOOKUP($C299,武器!$1:$998,COLUMN($O$1),FALSE)*VLOOKUP($D299,素材!$1:$1016,COLUMN($E$1),FALSE)/(LEN(VLOOKUP($D299,素材!$1:$1016,COLUMN($F$1),FALSE))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X299">
        <f>IF(ISNUMBER(SEARCH(SUBSTITUTE(AX$1,RIGHT(AX$1,2),""),VLOOKUP($D299,素材!$1:$1016,COLUMN($F$1),FALSE))),VLOOKUP($C299,武器!$1:$998,COLUMN($O$1),FALSE)*VLOOKUP($D299,素材!$1:$1016,COLUMN($E$1),FALSE)/(LEN(VLOOKUP($D299,素材!$1:$1016,COLUMN($F$1),FALSE))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Y299">
        <f>IF(ISNUMBER(SEARCH(SUBSTITUTE(AY$1,RIGHT(AY$1,2),""),VLOOKUP($D299,素材!$1:$1016,COLUMN($F$1),FALSE))),VLOOKUP($C299,武器!$1:$998,COLUMN($O$1),FALSE)*VLOOKUP($D299,素材!$1:$1016,COLUMN($E$1),FALSE)/(LEN(VLOOKUP($D299,素材!$1:$1016,COLUMN($F$1),FALSE))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AZ299">
        <f>IF(ISNUMBER(SEARCH(SUBSTITUTE(AZ$1,RIGHT(AZ$1,2),""),VLOOKUP($D299,素材!$1:$1016,COLUMN($F$1),FALSE))),VLOOKUP($C299,武器!$1:$998,COLUMN($O$1),FALSE)*VLOOKUP($D299,素材!$1:$1016,COLUMN($E$1),FALSE)/(LEN(VLOOKUP($D299,素材!$1:$1016,COLUMN($F$1),FALSE))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BA299">
        <f>IF(ISNUMBER(SEARCH(SUBSTITUTE(BA$1,RIGHT(BA$1,2),""),VLOOKUP($D299,素材!$1:$1016,COLUMN($F$1),FALSE))),VLOOKUP($C299,武器!$1:$998,COLUMN($O$1),FALSE)*VLOOKUP($D299,素材!$1:$1016,COLUMN($E$1),FALSE)/(LEN(VLOOKUP($D299,素材!$1:$1016,COLUMN($F$1),FALSE))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BB299">
        <f>IF(ISNUMBER(SEARCH(SUBSTITUTE(BB$1,RIGHT(BB$1,2),""),VLOOKUP($D299,素材!$1:$1016,COLUMN($F$1),FALSE))),VLOOKUP($C299,武器!$1:$998,COLUMN($O$1),FALSE)*VLOOKUP($D299,素材!$1:$1016,COLUMN($E$1),FALSE)/(LEN(VLOOKUP($D299,素材!$1:$1016,COLUMN($F$1),FALSE))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BC299">
        <f>IF(ISNUMBER(SEARCH(SUBSTITUTE(BC$1,RIGHT(BC$1,2),""),VLOOKUP($D299,素材!$1:$1016,COLUMN($F$1),FALSE))),VLOOKUP($C299,武器!$1:$998,COLUMN($O$1),FALSE)*VLOOKUP($D299,素材!$1:$1016,COLUMN($E$1),FALSE)/(LEN(VLOOKUP($D299,素材!$1:$1016,COLUMN($F$1),FALSE))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BD299">
        <f>IF(ISNUMBER(SEARCH(SUBSTITUTE(BD$1,RIGHT(BD$1,2),""),VLOOKUP($D299,素材!$1:$1016,COLUMN($F$1),FALSE))),VLOOKUP($C299,武器!$1:$998,COLUMN($O$1),FALSE)*VLOOKUP($D299,素材!$1:$1016,COLUMN($E$1),FALSE)/(LEN(VLOOKUP($D299,素材!$1:$1016,COLUMN($F$1),FALSE))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BE299">
        <f>IF(ISNUMBER(SEARCH(SUBSTITUTE(BE$1,RIGHT(BE$1,2),""),VLOOKUP($D299,素材!$1:$1016,COLUMN($F$1),FALSE))),VLOOKUP($C299,武器!$1:$998,COLUMN($O$1),FALSE)*VLOOKUP($D299,素材!$1:$1016,COLUMN($E$1),FALSE)/(LEN(VLOOKUP($D299,素材!$1:$1016,COLUMN($F$1),FALSE))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BF299">
        <f>IF(ISNUMBER(SEARCH(SUBSTITUTE(BF$1,RIGHT(BF$1,2),""),VLOOKUP($D299,素材!$1:$1016,COLUMN($F$1),FALSE))),VLOOKUP($C299,武器!$1:$998,COLUMN($O$1),FALSE)*VLOOKUP($D299,素材!$1:$1016,COLUMN($E$1),FALSE)/(LEN(VLOOKUP($D299,素材!$1:$1016,COLUMN($F$1),FALSE)) - LEN(SUBSTITUTE(VLOOKUP($D299,素材!$1:$1016,COLUMN($F$1),FALSE), "・", 0)) + 1), 0)</f>
        <v>0</v>
      </c>
      <c r="CM299">
        <f t="shared" si="36"/>
        <v>0</v>
      </c>
      <c r="CN299" s="22" t="str">
        <f>IF(E299="武器",IF(J299-1&gt;SUM(G299:I299),"盾",IF(MAX(G299:I299)=G299,"切断",IF(MAX(G299:I299)=H299,"貫通",IF(MAX(G299:I299)=I299,"打撃","射撃")))),E299)&amp;".webp"</f>
        <v>.webp</v>
      </c>
      <c r="CO299" t="str">
        <f>IFERROR(VLOOKUP($C299,武器!$1:$998,COLUMN(V$1),FALSE)*VLOOKUP($D299,素材!$1:$1016,COLUMN(N$1),FALSE)+IF(CJ299="",0,VLOOKUP($CJ299,装強!$1:$1008,COLUMN($CL$1),FALSE)),"")</f>
        <v/>
      </c>
      <c r="CP299" t="e">
        <f>VLOOKUP(D299,素材!$A:$O,COLUMN(素材!O$1),FALSE)</f>
        <v>#N/A</v>
      </c>
      <c r="CQ299" t="e">
        <f>VLOOKUP(C299,武器!$A:$W,COLUMN(武器!W$1),FALSE)</f>
        <v>#N/A</v>
      </c>
      <c r="CS299" t="str">
        <f t="shared" si="37"/>
        <v>e_299</v>
      </c>
      <c r="CT299" t="e">
        <f t="shared" si="38"/>
        <v>#VALUE!</v>
      </c>
    </row>
    <row r="300" spans="1:98" hidden="1" outlineLevel="1" x14ac:dyDescent="0.4">
      <c r="A300" t="str">
        <f>IF(CJ300="",D300&amp;"の"&amp;C300,CJ300&amp;"の"&amp;C300)</f>
        <v>の</v>
      </c>
      <c r="B300" t="str">
        <f>IFERROR(IF(CJ300="",VLOOKUP($D300,素材!$1:$1016,COLUMN($B$1),FALSE)&amp;"・"&amp;VLOOKUP($C300,武器!$1:$998,COLUMN(B$1),FALSE),VLOOKUP($CJ300,装強!$1:$1008,COLUMN($B$1),FALSE)&amp;"・"&amp;VLOOKUP($C300,武器!$1:$998,COLUMN(B$1),FALSE)),"")</f>
        <v/>
      </c>
      <c r="C300" s="24"/>
      <c r="D300" s="24"/>
      <c r="E300" t="str">
        <f>IFERROR(VLOOKUP(C300,武器!$1:$998,COLUMN(C$1),FALSE),"")</f>
        <v/>
      </c>
      <c r="F300" t="str">
        <f>IFERROR(ROUNDDOWN((VLOOKUP($C300,武器!$1:$998,COLUMN(D$1),FALSE)+IFERROR(VLOOKUP($CJ300,装強!$1:$999,COLUMN(F$1),FALSE),0))*VLOOKUP($D300,素材!$1:$1016,COLUMN(D$1),FALSE),0),"")</f>
        <v/>
      </c>
      <c r="G300" t="str">
        <f>IFERROR(ROUNDDOWN((VLOOKUP($C300,武器!$1:$998,COLUMN(E$1),FALSE)+IFERROR(VLOOKUP($CJ300,装強!$1:$999,COLUMN(G$1),FALSE),0))*VLOOKUP($D300,素材!$1:$1016,COLUMN($E$1),FALSE),0),"")</f>
        <v/>
      </c>
      <c r="H300" t="str">
        <f>IFERROR(ROUNDDOWN((VLOOKUP($C300,武器!$1:$998,COLUMN(F$1),FALSE)+IFERROR(VLOOKUP($CJ300,装強!$1:$999,COLUMN(H$1),FALSE),0))*VLOOKUP($D300,素材!$1:$1016,COLUMN($E$1),FALSE),0),"")</f>
        <v/>
      </c>
      <c r="I300" t="str">
        <f>IFERROR(ROUNDDOWN((VLOOKUP($C300,武器!$1:$998,COLUMN(G$1),FALSE)+IFERROR(VLOOKUP($CJ300,装強!$1:$999,COLUMN(I$1),FALSE),0))*VLOOKUP($D300,素材!$1:$1016,COLUMN($E$1),FALSE),0),"")</f>
        <v/>
      </c>
      <c r="J300" t="str">
        <f>IFERROR(ROUNDDOWN((VLOOKUP($C300,武器!$1:$998,COLUMN(H$1),FALSE)+IFERROR(VLOOKUP($CJ300,装強!$1:$999,COLUMN(J$1),FALSE),0))*VLOOKUP($D300,素材!$1:$1016,COLUMN($E$1),FALSE),0),"")</f>
        <v/>
      </c>
      <c r="K300" t="str">
        <f>IFERROR(ROUNDDOWN((VLOOKUP($C300,武器!$1:$998,COLUMN(I$1),FALSE)+IFERROR(VLOOKUP($CJ300,装強!$1:$999,COLUMN(K$1),FALSE),0))*VLOOKUP($D300,素材!$1:$1016,COLUMN($E$1),FALSE),0),"")</f>
        <v/>
      </c>
      <c r="L300" t="str">
        <f>IFERROR(VLOOKUP($D300,素材!$1:$1016,COLUMN($F$1),FALSE),"")</f>
        <v/>
      </c>
      <c r="M300" t="str">
        <f>IFERROR(VLOOKUP($C300,武器!$1:$998,COLUMN(AA$1),FALSE)*VLOOKUP($D300,素材!$1:$1016,COLUMN($G$1),FALSE),"")</f>
        <v/>
      </c>
      <c r="N300" t="str">
        <f>IFERROR(VLOOKUP($C300,武器!$1:$998,COLUMN(I$1),FALSE),"")</f>
        <v/>
      </c>
      <c r="O300" s="23" t="str">
        <f>IFERROR((VLOOKUP($C300,武器!$1:$998,COLUMN(K$1),FALSE)+VLOOKUP($D300,素材!$1:$1016,COLUMN(H$1),FALSE))*100+IFERROR(VLOOKUP($CJ300,装強!$1:$999,COLUMN(O$1),FALSE),0),"")</f>
        <v/>
      </c>
      <c r="P300" s="23" t="str">
        <f>IFERROR((VLOOKUP($C300,武器!$1:$998,COLUMN(L$1),FALSE)+VLOOKUP($D300,素材!$1:$1016,COLUMN(I$1),FALSE))*100+IFERROR(VLOOKUP($CJ300,装強!$1:$999,COLUMN(P$1),FALSE),0),"")</f>
        <v/>
      </c>
      <c r="Q300" t="str">
        <f>IFERROR(ROUNDUP(VLOOKUP($C300,武器!$1:$998,COLUMN(M$1),FALSE)*(VLOOKUP($D300,素材!$1:$1002,COLUMN(D$1),FALSE)/100),1),"")</f>
        <v/>
      </c>
      <c r="R300" t="str">
        <f>IFERROR(ROUNDUP(VLOOKUP($C300,武器!$1:$998,COLUMN(N$1),FALSE)*(VLOOKUP($D300,素材!$1:$1002,COLUMN(D$1),FALSE)/100),1),"")</f>
        <v/>
      </c>
      <c r="S300" t="str">
        <f>IFERROR(VLOOKUP($C300,武器!$1:$998,COLUMN(P$1),FALSE),"")</f>
        <v/>
      </c>
      <c r="T300" t="str">
        <f>IFERROR(VLOOKUP($C300,武器!$1:$998,COLUMN(Q$1),FALSE),"")</f>
        <v/>
      </c>
      <c r="U300" t="str">
        <f>IFERROR(VLOOKUP($C300,武器!$1:$998,COLUMN(R$1),FALSE),"")</f>
        <v/>
      </c>
      <c r="V300" t="str">
        <f>IFERROR(VLOOKUP($C300,武器!$1:$998,COLUMN(Q$1),FALSE),"")</f>
        <v/>
      </c>
      <c r="W300" t="str">
        <f>IFERROR(VLOOKUP($C300,武器!$1:$998,COLUMN(T$1),FALSE),"")</f>
        <v/>
      </c>
      <c r="Y300" t="str">
        <f>IFERROR(VLOOKUP($C300,武器!$1:$998,COLUMN(U$1),FALSE),"")</f>
        <v/>
      </c>
      <c r="Z300" t="str">
        <f>IFERROR(ROUNDUP(VLOOKUP($C300,武器!$1:$998,COLUMN(O$1),FALSE)*VLOOKUP($D300,素材!$1:$1016,COLUMN(E$1),FALSE),1),"")</f>
        <v/>
      </c>
      <c r="AA300">
        <f>IF(ISNUMBER(SEARCH(SUBSTITUTE(AA$1,RIGHT(AA$1,2),""),VLOOKUP($D300,素材!$1:$1016,COLUMN($F$1),FALSE))),VLOOKUP($C300,武器!$1:$998,COLUMN($O$1),FALSE)*VLOOKUP($D300,素材!$1:$1016,COLUMN($E$1),FALSE)/(LEN(VLOOKUP($D300,素材!$1:$1016,COLUMN($F$1),FALSE))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B300">
        <f>IF(ISNUMBER(SEARCH(SUBSTITUTE(AB$1,RIGHT(AB$1,2),""),VLOOKUP($D300,素材!$1:$1016,COLUMN($F$1),FALSE))),VLOOKUP($C300,武器!$1:$998,COLUMN($O$1),FALSE)*VLOOKUP($D300,素材!$1:$1016,COLUMN($E$1),FALSE)/(LEN(VLOOKUP($D300,素材!$1:$1016,COLUMN($F$1),FALSE))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C300">
        <f>IF(ISNUMBER(SEARCH(SUBSTITUTE(AC$1,RIGHT(AC$1,2),""),VLOOKUP($D300,素材!$1:$1016,COLUMN($F$1),FALSE))),VLOOKUP($C300,武器!$1:$998,COLUMN($O$1),FALSE)*VLOOKUP($D300,素材!$1:$1016,COLUMN($E$1),FALSE)/(LEN(VLOOKUP($D300,素材!$1:$1016,COLUMN($F$1),FALSE))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D300">
        <f>IF(ISNUMBER(SEARCH(SUBSTITUTE(AD$1,RIGHT(AD$1,2),""),VLOOKUP($D300,素材!$1:$1016,COLUMN($F$1),FALSE))),VLOOKUP($C300,武器!$1:$998,COLUMN($O$1),FALSE)*VLOOKUP($D300,素材!$1:$1016,COLUMN($E$1),FALSE)/(LEN(VLOOKUP($D300,素材!$1:$1016,COLUMN($F$1),FALSE))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E300">
        <f>IF(ISNUMBER(SEARCH(SUBSTITUTE(AE$1,RIGHT(AE$1,2),""),VLOOKUP($D300,素材!$1:$1016,COLUMN($F$1),FALSE))),VLOOKUP($C300,武器!$1:$998,COLUMN($O$1),FALSE)*VLOOKUP($D300,素材!$1:$1016,COLUMN($E$1),FALSE)/(LEN(VLOOKUP($D300,素材!$1:$1016,COLUMN($F$1),FALSE))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F300">
        <f>IF(ISNUMBER(SEARCH(SUBSTITUTE(AF$1,RIGHT(AF$1,2),""),VLOOKUP($D300,素材!$1:$1016,COLUMN($F$1),FALSE))),VLOOKUP($C300,武器!$1:$998,COLUMN($O$1),FALSE)*VLOOKUP($D300,素材!$1:$1016,COLUMN($E$1),FALSE)/(LEN(VLOOKUP($D300,素材!$1:$1016,COLUMN($F$1),FALSE))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G300">
        <f>IF(ISNUMBER(SEARCH(SUBSTITUTE(AG$1,RIGHT(AG$1,2),""),VLOOKUP($D300,素材!$1:$1016,COLUMN($F$1),FALSE))),VLOOKUP($C300,武器!$1:$998,COLUMN($O$1),FALSE)*VLOOKUP($D300,素材!$1:$1016,COLUMN($E$1),FALSE)/(LEN(VLOOKUP($D300,素材!$1:$1016,COLUMN($F$1),FALSE))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H300">
        <f>IF(ISNUMBER(SEARCH(SUBSTITUTE(AH$1,RIGHT(AH$1,2),""),VLOOKUP($D300,素材!$1:$1016,COLUMN($F$1),FALSE))),VLOOKUP($C300,武器!$1:$998,COLUMN($O$1),FALSE)*VLOOKUP($D300,素材!$1:$1016,COLUMN($E$1),FALSE)/(LEN(VLOOKUP($D300,素材!$1:$1016,COLUMN($F$1),FALSE))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I300">
        <f>IF(ISNUMBER(SEARCH(SUBSTITUTE(AI$1,RIGHT(AI$1,2),""),VLOOKUP($D300,素材!$1:$1016,COLUMN($F$1),FALSE))),VLOOKUP($C300,武器!$1:$998,COLUMN($O$1),FALSE)*VLOOKUP($D300,素材!$1:$1016,COLUMN($E$1),FALSE)/(LEN(VLOOKUP($D300,素材!$1:$1016,COLUMN($F$1),FALSE))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J300">
        <f>IF(ISNUMBER(SEARCH(SUBSTITUTE(AJ$1,RIGHT(AJ$1,2),""),VLOOKUP($D300,素材!$1:$1016,COLUMN($F$1),FALSE))),VLOOKUP($C300,武器!$1:$998,COLUMN($O$1),FALSE)*VLOOKUP($D300,素材!$1:$1016,COLUMN($E$1),FALSE)/(LEN(VLOOKUP($D300,素材!$1:$1016,COLUMN($F$1),FALSE))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K300">
        <f>IF(ISNUMBER(SEARCH(SUBSTITUTE(AK$1,RIGHT(AK$1,2),""),VLOOKUP($D300,素材!$1:$1016,COLUMN($F$1),FALSE))),VLOOKUP($C300,武器!$1:$998,COLUMN($O$1),FALSE)*VLOOKUP($D300,素材!$1:$1016,COLUMN($E$1),FALSE)/(LEN(VLOOKUP($D300,素材!$1:$1016,COLUMN($F$1),FALSE))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L300">
        <f>IF(ISNUMBER(SEARCH(SUBSTITUTE(AL$1,RIGHT(AL$1,2),""),VLOOKUP($D300,素材!$1:$1016,COLUMN($F$1),FALSE))),VLOOKUP($C300,武器!$1:$998,COLUMN($O$1),FALSE)*VLOOKUP($D300,素材!$1:$1016,COLUMN($E$1),FALSE)/(LEN(VLOOKUP($D300,素材!$1:$1016,COLUMN($F$1),FALSE))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M300">
        <f>IF(ISNUMBER(SEARCH(SUBSTITUTE(AM$1,RIGHT(AM$1,2),""),VLOOKUP($D300,素材!$1:$1016,COLUMN($F$1),FALSE))),VLOOKUP($C300,武器!$1:$998,COLUMN($O$1),FALSE)*VLOOKUP($D300,素材!$1:$1016,COLUMN($E$1),FALSE)/(LEN(VLOOKUP($D300,素材!$1:$1016,COLUMN($F$1),FALSE))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N300">
        <f>IF(ISNUMBER(SEARCH(SUBSTITUTE(AN$1,RIGHT(AN$1,2),""),VLOOKUP($D300,素材!$1:$1016,COLUMN($F$1),FALSE))),VLOOKUP($C300,武器!$1:$998,COLUMN($O$1),FALSE)*VLOOKUP($D300,素材!$1:$1016,COLUMN($E$1),FALSE)/(LEN(VLOOKUP($D300,素材!$1:$1016,COLUMN($F$1),FALSE))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O300">
        <f>IF(ISNUMBER(SEARCH(SUBSTITUTE(AO$1,RIGHT(AO$1,2),""),VLOOKUP($D300,素材!$1:$1016,COLUMN($F$1),FALSE))),VLOOKUP($C300,武器!$1:$998,COLUMN($O$1),FALSE)*VLOOKUP($D300,素材!$1:$1016,COLUMN($E$1),FALSE)/(LEN(VLOOKUP($D300,素材!$1:$1016,COLUMN($F$1),FALSE))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P300">
        <f>IF(ISNUMBER(SEARCH(SUBSTITUTE(AP$1,RIGHT(AP$1,2),""),VLOOKUP($D300,素材!$1:$1016,COLUMN($F$1),FALSE))),VLOOKUP($C300,武器!$1:$998,COLUMN($O$1),FALSE)*VLOOKUP($D300,素材!$1:$1016,COLUMN($E$1),FALSE)/(LEN(VLOOKUP($D300,素材!$1:$1016,COLUMN($F$1),FALSE))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Q300">
        <f>IF(ISNUMBER(SEARCH(SUBSTITUTE(AQ$1,RIGHT(AQ$1,2),""),VLOOKUP($D300,素材!$1:$1016,COLUMN($F$1),FALSE))),VLOOKUP($C300,武器!$1:$998,COLUMN($O$1),FALSE)*VLOOKUP($D300,素材!$1:$1016,COLUMN($E$1),FALSE)/(LEN(VLOOKUP($D300,素材!$1:$1016,COLUMN($F$1),FALSE))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R300">
        <f>IF(ISNUMBER(SEARCH(SUBSTITUTE(AR$1,RIGHT(AR$1,2),""),VLOOKUP($D300,素材!$1:$1016,COLUMN($F$1),FALSE))),VLOOKUP($C300,武器!$1:$998,COLUMN($O$1),FALSE)*VLOOKUP($D300,素材!$1:$1016,COLUMN($E$1),FALSE)/(LEN(VLOOKUP($D300,素材!$1:$1016,COLUMN($F$1),FALSE))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S300">
        <f>IF(ISNUMBER(SEARCH(SUBSTITUTE(AS$1,RIGHT(AS$1,2),""),VLOOKUP($D300,素材!$1:$1016,COLUMN($F$1),FALSE))),VLOOKUP($C300,武器!$1:$998,COLUMN($O$1),FALSE)*VLOOKUP($D300,素材!$1:$1016,COLUMN($E$1),FALSE)/(LEN(VLOOKUP($D300,素材!$1:$1016,COLUMN($F$1),FALSE))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T300">
        <f>IF(ISNUMBER(SEARCH(SUBSTITUTE(AT$1,RIGHT(AT$1,2),""),VLOOKUP($D300,素材!$1:$1016,COLUMN($F$1),FALSE))),VLOOKUP($C300,武器!$1:$998,COLUMN($O$1),FALSE)*VLOOKUP($D300,素材!$1:$1016,COLUMN($E$1),FALSE)/(LEN(VLOOKUP($D300,素材!$1:$1016,COLUMN($F$1),FALSE))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U300">
        <f>IF(ISNUMBER(SEARCH(SUBSTITUTE(AU$1,RIGHT(AU$1,2),""),VLOOKUP($D300,素材!$1:$1016,COLUMN($F$1),FALSE))),VLOOKUP($C300,武器!$1:$998,COLUMN($O$1),FALSE)*VLOOKUP($D300,素材!$1:$1016,COLUMN($E$1),FALSE)/(LEN(VLOOKUP($D300,素材!$1:$1016,COLUMN($F$1),FALSE))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V300">
        <f>IF(ISNUMBER(SEARCH(SUBSTITUTE(AV$1,RIGHT(AV$1,2),""),VLOOKUP($D300,素材!$1:$1016,COLUMN($F$1),FALSE))),VLOOKUP($C300,武器!$1:$998,COLUMN($O$1),FALSE)*VLOOKUP($D300,素材!$1:$1016,COLUMN($E$1),FALSE)/(LEN(VLOOKUP($D300,素材!$1:$1016,COLUMN($F$1),FALSE))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W300">
        <f>IF(ISNUMBER(SEARCH(SUBSTITUTE(AW$1,RIGHT(AW$1,2),""),VLOOKUP($D300,素材!$1:$1016,COLUMN($F$1),FALSE))),VLOOKUP($C300,武器!$1:$998,COLUMN($O$1),FALSE)*VLOOKUP($D300,素材!$1:$1016,COLUMN($E$1),FALSE)/(LEN(VLOOKUP($D300,素材!$1:$1016,COLUMN($F$1),FALSE))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X300">
        <f>IF(ISNUMBER(SEARCH(SUBSTITUTE(AX$1,RIGHT(AX$1,2),""),VLOOKUP($D300,素材!$1:$1016,COLUMN($F$1),FALSE))),VLOOKUP($C300,武器!$1:$998,COLUMN($O$1),FALSE)*VLOOKUP($D300,素材!$1:$1016,COLUMN($E$1),FALSE)/(LEN(VLOOKUP($D300,素材!$1:$1016,COLUMN($F$1),FALSE))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Y300">
        <f>IF(ISNUMBER(SEARCH(SUBSTITUTE(AY$1,RIGHT(AY$1,2),""),VLOOKUP($D300,素材!$1:$1016,COLUMN($F$1),FALSE))),VLOOKUP($C300,武器!$1:$998,COLUMN($O$1),FALSE)*VLOOKUP($D300,素材!$1:$1016,COLUMN($E$1),FALSE)/(LEN(VLOOKUP($D300,素材!$1:$1016,COLUMN($F$1),FALSE))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AZ300">
        <f>IF(ISNUMBER(SEARCH(SUBSTITUTE(AZ$1,RIGHT(AZ$1,2),""),VLOOKUP($D300,素材!$1:$1016,COLUMN($F$1),FALSE))),VLOOKUP($C300,武器!$1:$998,COLUMN($O$1),FALSE)*VLOOKUP($D300,素材!$1:$1016,COLUMN($E$1),FALSE)/(LEN(VLOOKUP($D300,素材!$1:$1016,COLUMN($F$1),FALSE))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BA300">
        <f>IF(ISNUMBER(SEARCH(SUBSTITUTE(BA$1,RIGHT(BA$1,2),""),VLOOKUP($D300,素材!$1:$1016,COLUMN($F$1),FALSE))),VLOOKUP($C300,武器!$1:$998,COLUMN($O$1),FALSE)*VLOOKUP($D300,素材!$1:$1016,COLUMN($E$1),FALSE)/(LEN(VLOOKUP($D300,素材!$1:$1016,COLUMN($F$1),FALSE))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BB300">
        <f>IF(ISNUMBER(SEARCH(SUBSTITUTE(BB$1,RIGHT(BB$1,2),""),VLOOKUP($D300,素材!$1:$1016,COLUMN($F$1),FALSE))),VLOOKUP($C300,武器!$1:$998,COLUMN($O$1),FALSE)*VLOOKUP($D300,素材!$1:$1016,COLUMN($E$1),FALSE)/(LEN(VLOOKUP($D300,素材!$1:$1016,COLUMN($F$1),FALSE))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BC300">
        <f>IF(ISNUMBER(SEARCH(SUBSTITUTE(BC$1,RIGHT(BC$1,2),""),VLOOKUP($D300,素材!$1:$1016,COLUMN($F$1),FALSE))),VLOOKUP($C300,武器!$1:$998,COLUMN($O$1),FALSE)*VLOOKUP($D300,素材!$1:$1016,COLUMN($E$1),FALSE)/(LEN(VLOOKUP($D300,素材!$1:$1016,COLUMN($F$1),FALSE))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BD300">
        <f>IF(ISNUMBER(SEARCH(SUBSTITUTE(BD$1,RIGHT(BD$1,2),""),VLOOKUP($D300,素材!$1:$1016,COLUMN($F$1),FALSE))),VLOOKUP($C300,武器!$1:$998,COLUMN($O$1),FALSE)*VLOOKUP($D300,素材!$1:$1016,COLUMN($E$1),FALSE)/(LEN(VLOOKUP($D300,素材!$1:$1016,COLUMN($F$1),FALSE))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BE300">
        <f>IF(ISNUMBER(SEARCH(SUBSTITUTE(BE$1,RIGHT(BE$1,2),""),VLOOKUP($D300,素材!$1:$1016,COLUMN($F$1),FALSE))),VLOOKUP($C300,武器!$1:$998,COLUMN($O$1),FALSE)*VLOOKUP($D300,素材!$1:$1016,COLUMN($E$1),FALSE)/(LEN(VLOOKUP($D300,素材!$1:$1016,COLUMN($F$1),FALSE))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BF300">
        <f>IF(ISNUMBER(SEARCH(SUBSTITUTE(BF$1,RIGHT(BF$1,2),""),VLOOKUP($D300,素材!$1:$1016,COLUMN($F$1),FALSE))),VLOOKUP($C300,武器!$1:$998,COLUMN($O$1),FALSE)*VLOOKUP($D300,素材!$1:$1016,COLUMN($E$1),FALSE)/(LEN(VLOOKUP($D300,素材!$1:$1016,COLUMN($F$1),FALSE)) - LEN(SUBSTITUTE(VLOOKUP($D300,素材!$1:$1016,COLUMN($F$1),FALSE), "・", 0)) + 1), 0)</f>
        <v>0</v>
      </c>
      <c r="CM300">
        <f t="shared" si="36"/>
        <v>0</v>
      </c>
      <c r="CN300" s="22" t="str">
        <f>IF(E300="武器",IF(J300-1&gt;SUM(G300:I300),"盾",IF(MAX(G300:I300)=G300,"切断",IF(MAX(G300:I300)=H300,"貫通",IF(MAX(G300:I300)=I300,"打撃","射撃")))),E300)&amp;".webp"</f>
        <v>.webp</v>
      </c>
      <c r="CO300" t="str">
        <f>IFERROR(VLOOKUP($C300,武器!$1:$998,COLUMN(V$1),FALSE)*VLOOKUP($D300,素材!$1:$1016,COLUMN(N$1),FALSE)+IF(CJ300="",0,VLOOKUP($CJ300,装強!$1:$1008,COLUMN($CL$1),FALSE)),"")</f>
        <v/>
      </c>
      <c r="CP300" t="e">
        <f>VLOOKUP(D300,素材!$A:$O,COLUMN(素材!O$1),FALSE)</f>
        <v>#N/A</v>
      </c>
      <c r="CQ300" t="e">
        <f>VLOOKUP(C300,武器!$A:$W,COLUMN(武器!W$1),FALSE)</f>
        <v>#N/A</v>
      </c>
      <c r="CS300" t="str">
        <f t="shared" si="37"/>
        <v>e_300</v>
      </c>
      <c r="CT300" t="e">
        <f t="shared" si="38"/>
        <v>#VALUE!</v>
      </c>
    </row>
    <row r="301" spans="1:98" hidden="1" outlineLevel="1" x14ac:dyDescent="0.4">
      <c r="A301" t="str">
        <f>IF(CJ301="",D301&amp;"の"&amp;C301,CJ301&amp;"の"&amp;C301)</f>
        <v>の</v>
      </c>
      <c r="B301" t="str">
        <f>IFERROR(IF(CJ301="",VLOOKUP($D301,素材!$1:$1016,COLUMN($B$1),FALSE)&amp;"・"&amp;VLOOKUP($C301,武器!$1:$998,COLUMN(B$1),FALSE),VLOOKUP($CJ301,装強!$1:$1008,COLUMN($B$1),FALSE)&amp;"・"&amp;VLOOKUP($C301,武器!$1:$998,COLUMN(B$1),FALSE)),"")</f>
        <v/>
      </c>
      <c r="C301" s="24"/>
      <c r="D301" s="24"/>
      <c r="E301" t="str">
        <f>IFERROR(VLOOKUP(C301,武器!$1:$998,COLUMN(C$1),FALSE),"")</f>
        <v/>
      </c>
      <c r="F301" t="str">
        <f>IFERROR(ROUNDDOWN((VLOOKUP($C301,武器!$1:$998,COLUMN(D$1),FALSE)+IFERROR(VLOOKUP($CJ301,装強!$1:$999,COLUMN(F$1),FALSE),0))*VLOOKUP($D301,素材!$1:$1016,COLUMN(D$1),FALSE),0),"")</f>
        <v/>
      </c>
      <c r="G301" t="str">
        <f>IFERROR(ROUNDDOWN((VLOOKUP($C301,武器!$1:$998,COLUMN(E$1),FALSE)+IFERROR(VLOOKUP($CJ301,装強!$1:$999,COLUMN(G$1),FALSE),0))*VLOOKUP($D301,素材!$1:$1016,COLUMN($E$1),FALSE),0),"")</f>
        <v/>
      </c>
      <c r="H301" t="str">
        <f>IFERROR(ROUNDDOWN((VLOOKUP($C301,武器!$1:$998,COLUMN(F$1),FALSE)+IFERROR(VLOOKUP($CJ301,装強!$1:$999,COLUMN(H$1),FALSE),0))*VLOOKUP($D301,素材!$1:$1016,COLUMN($E$1),FALSE),0),"")</f>
        <v/>
      </c>
      <c r="I301" t="str">
        <f>IFERROR(ROUNDDOWN((VLOOKUP($C301,武器!$1:$998,COLUMN(G$1),FALSE)+IFERROR(VLOOKUP($CJ301,装強!$1:$999,COLUMN(I$1),FALSE),0))*VLOOKUP($D301,素材!$1:$1016,COLUMN($E$1),FALSE),0),"")</f>
        <v/>
      </c>
      <c r="J301" t="str">
        <f>IFERROR(ROUNDDOWN((VLOOKUP($C301,武器!$1:$998,COLUMN(H$1),FALSE)+IFERROR(VLOOKUP($CJ301,装強!$1:$999,COLUMN(J$1),FALSE),0))*VLOOKUP($D301,素材!$1:$1016,COLUMN($E$1),FALSE),0),"")</f>
        <v/>
      </c>
      <c r="K301" t="str">
        <f>IFERROR(ROUNDDOWN((VLOOKUP($C301,武器!$1:$998,COLUMN(I$1),FALSE)+IFERROR(VLOOKUP($CJ301,装強!$1:$999,COLUMN(K$1),FALSE),0))*VLOOKUP($D301,素材!$1:$1016,COLUMN($E$1),FALSE),0),"")</f>
        <v/>
      </c>
      <c r="L301" t="str">
        <f>IFERROR(VLOOKUP($D301,素材!$1:$1016,COLUMN($F$1),FALSE),"")</f>
        <v/>
      </c>
      <c r="M301" t="str">
        <f>IFERROR(VLOOKUP($C301,武器!$1:$998,COLUMN(AA$1),FALSE)*VLOOKUP($D301,素材!$1:$1016,COLUMN($G$1),FALSE),"")</f>
        <v/>
      </c>
      <c r="N301" t="str">
        <f>IFERROR(VLOOKUP($C301,武器!$1:$998,COLUMN(I$1),FALSE),"")</f>
        <v/>
      </c>
      <c r="O301" s="23" t="str">
        <f>IFERROR((VLOOKUP($C301,武器!$1:$998,COLUMN(K$1),FALSE)+VLOOKUP($D301,素材!$1:$1016,COLUMN(H$1),FALSE))*100+IFERROR(VLOOKUP($CJ301,装強!$1:$999,COLUMN(O$1),FALSE),0),"")</f>
        <v/>
      </c>
      <c r="P301" s="23" t="str">
        <f>IFERROR((VLOOKUP($C301,武器!$1:$998,COLUMN(L$1),FALSE)+VLOOKUP($D301,素材!$1:$1016,COLUMN(I$1),FALSE))*100+IFERROR(VLOOKUP($CJ301,装強!$1:$999,COLUMN(P$1),FALSE),0),"")</f>
        <v/>
      </c>
      <c r="Q301" t="str">
        <f>IFERROR(ROUNDUP(VLOOKUP($C301,武器!$1:$998,COLUMN(M$1),FALSE)*(VLOOKUP($D301,素材!$1:$1002,COLUMN(D$1),FALSE)/100),1),"")</f>
        <v/>
      </c>
      <c r="R301" t="str">
        <f>IFERROR(ROUNDUP(VLOOKUP($C301,武器!$1:$998,COLUMN(N$1),FALSE)*(VLOOKUP($D301,素材!$1:$1002,COLUMN(D$1),FALSE)/100),1),"")</f>
        <v/>
      </c>
      <c r="S301" t="str">
        <f>IFERROR(VLOOKUP($C301,武器!$1:$998,COLUMN(P$1),FALSE),"")</f>
        <v/>
      </c>
      <c r="T301" t="str">
        <f>IFERROR(VLOOKUP($C301,武器!$1:$998,COLUMN(Q$1),FALSE),"")</f>
        <v/>
      </c>
      <c r="U301" t="str">
        <f>IFERROR(VLOOKUP($C301,武器!$1:$998,COLUMN(R$1),FALSE),"")</f>
        <v/>
      </c>
      <c r="V301" t="str">
        <f>IFERROR(VLOOKUP($C301,武器!$1:$998,COLUMN(Q$1),FALSE),"")</f>
        <v/>
      </c>
      <c r="W301" t="str">
        <f>IFERROR(VLOOKUP($C301,武器!$1:$998,COLUMN(T$1),FALSE),"")</f>
        <v/>
      </c>
      <c r="Y301" t="str">
        <f>IFERROR(VLOOKUP($C301,武器!$1:$998,COLUMN(U$1),FALSE),"")</f>
        <v/>
      </c>
      <c r="Z301" t="str">
        <f>IFERROR(ROUNDUP(VLOOKUP($C301,武器!$1:$998,COLUMN(O$1),FALSE)*VLOOKUP($D301,素材!$1:$1016,COLUMN(E$1),FALSE),1),"")</f>
        <v/>
      </c>
      <c r="AA301">
        <f>IF(ISNUMBER(SEARCH(SUBSTITUTE(AA$1,RIGHT(AA$1,2),""),VLOOKUP($D301,素材!$1:$1016,COLUMN($F$1),FALSE))),VLOOKUP($C301,武器!$1:$998,COLUMN($O$1),FALSE)*VLOOKUP($D301,素材!$1:$1016,COLUMN($E$1),FALSE)/(LEN(VLOOKUP($D301,素材!$1:$1016,COLUMN($F$1),FALSE))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B301">
        <f>IF(ISNUMBER(SEARCH(SUBSTITUTE(AB$1,RIGHT(AB$1,2),""),VLOOKUP($D301,素材!$1:$1016,COLUMN($F$1),FALSE))),VLOOKUP($C301,武器!$1:$998,COLUMN($O$1),FALSE)*VLOOKUP($D301,素材!$1:$1016,COLUMN($E$1),FALSE)/(LEN(VLOOKUP($D301,素材!$1:$1016,COLUMN($F$1),FALSE))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C301">
        <f>IF(ISNUMBER(SEARCH(SUBSTITUTE(AC$1,RIGHT(AC$1,2),""),VLOOKUP($D301,素材!$1:$1016,COLUMN($F$1),FALSE))),VLOOKUP($C301,武器!$1:$998,COLUMN($O$1),FALSE)*VLOOKUP($D301,素材!$1:$1016,COLUMN($E$1),FALSE)/(LEN(VLOOKUP($D301,素材!$1:$1016,COLUMN($F$1),FALSE))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D301">
        <f>IF(ISNUMBER(SEARCH(SUBSTITUTE(AD$1,RIGHT(AD$1,2),""),VLOOKUP($D301,素材!$1:$1016,COLUMN($F$1),FALSE))),VLOOKUP($C301,武器!$1:$998,COLUMN($O$1),FALSE)*VLOOKUP($D301,素材!$1:$1016,COLUMN($E$1),FALSE)/(LEN(VLOOKUP($D301,素材!$1:$1016,COLUMN($F$1),FALSE))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E301">
        <f>IF(ISNUMBER(SEARCH(SUBSTITUTE(AE$1,RIGHT(AE$1,2),""),VLOOKUP($D301,素材!$1:$1016,COLUMN($F$1),FALSE))),VLOOKUP($C301,武器!$1:$998,COLUMN($O$1),FALSE)*VLOOKUP($D301,素材!$1:$1016,COLUMN($E$1),FALSE)/(LEN(VLOOKUP($D301,素材!$1:$1016,COLUMN($F$1),FALSE))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F301">
        <f>IF(ISNUMBER(SEARCH(SUBSTITUTE(AF$1,RIGHT(AF$1,2),""),VLOOKUP($D301,素材!$1:$1016,COLUMN($F$1),FALSE))),VLOOKUP($C301,武器!$1:$998,COLUMN($O$1),FALSE)*VLOOKUP($D301,素材!$1:$1016,COLUMN($E$1),FALSE)/(LEN(VLOOKUP($D301,素材!$1:$1016,COLUMN($F$1),FALSE))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G301">
        <f>IF(ISNUMBER(SEARCH(SUBSTITUTE(AG$1,RIGHT(AG$1,2),""),VLOOKUP($D301,素材!$1:$1016,COLUMN($F$1),FALSE))),VLOOKUP($C301,武器!$1:$998,COLUMN($O$1),FALSE)*VLOOKUP($D301,素材!$1:$1016,COLUMN($E$1),FALSE)/(LEN(VLOOKUP($D301,素材!$1:$1016,COLUMN($F$1),FALSE))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H301">
        <f>IF(ISNUMBER(SEARCH(SUBSTITUTE(AH$1,RIGHT(AH$1,2),""),VLOOKUP($D301,素材!$1:$1016,COLUMN($F$1),FALSE))),VLOOKUP($C301,武器!$1:$998,COLUMN($O$1),FALSE)*VLOOKUP($D301,素材!$1:$1016,COLUMN($E$1),FALSE)/(LEN(VLOOKUP($D301,素材!$1:$1016,COLUMN($F$1),FALSE))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I301">
        <f>IF(ISNUMBER(SEARCH(SUBSTITUTE(AI$1,RIGHT(AI$1,2),""),VLOOKUP($D301,素材!$1:$1016,COLUMN($F$1),FALSE))),VLOOKUP($C301,武器!$1:$998,COLUMN($O$1),FALSE)*VLOOKUP($D301,素材!$1:$1016,COLUMN($E$1),FALSE)/(LEN(VLOOKUP($D301,素材!$1:$1016,COLUMN($F$1),FALSE))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J301">
        <f>IF(ISNUMBER(SEARCH(SUBSTITUTE(AJ$1,RIGHT(AJ$1,2),""),VLOOKUP($D301,素材!$1:$1016,COLUMN($F$1),FALSE))),VLOOKUP($C301,武器!$1:$998,COLUMN($O$1),FALSE)*VLOOKUP($D301,素材!$1:$1016,COLUMN($E$1),FALSE)/(LEN(VLOOKUP($D301,素材!$1:$1016,COLUMN($F$1),FALSE))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K301">
        <f>IF(ISNUMBER(SEARCH(SUBSTITUTE(AK$1,RIGHT(AK$1,2),""),VLOOKUP($D301,素材!$1:$1016,COLUMN($F$1),FALSE))),VLOOKUP($C301,武器!$1:$998,COLUMN($O$1),FALSE)*VLOOKUP($D301,素材!$1:$1016,COLUMN($E$1),FALSE)/(LEN(VLOOKUP($D301,素材!$1:$1016,COLUMN($F$1),FALSE))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L301">
        <f>IF(ISNUMBER(SEARCH(SUBSTITUTE(AL$1,RIGHT(AL$1,2),""),VLOOKUP($D301,素材!$1:$1016,COLUMN($F$1),FALSE))),VLOOKUP($C301,武器!$1:$998,COLUMN($O$1),FALSE)*VLOOKUP($D301,素材!$1:$1016,COLUMN($E$1),FALSE)/(LEN(VLOOKUP($D301,素材!$1:$1016,COLUMN($F$1),FALSE))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M301">
        <f>IF(ISNUMBER(SEARCH(SUBSTITUTE(AM$1,RIGHT(AM$1,2),""),VLOOKUP($D301,素材!$1:$1016,COLUMN($F$1),FALSE))),VLOOKUP($C301,武器!$1:$998,COLUMN($O$1),FALSE)*VLOOKUP($D301,素材!$1:$1016,COLUMN($E$1),FALSE)/(LEN(VLOOKUP($D301,素材!$1:$1016,COLUMN($F$1),FALSE))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N301">
        <f>IF(ISNUMBER(SEARCH(SUBSTITUTE(AN$1,RIGHT(AN$1,2),""),VLOOKUP($D301,素材!$1:$1016,COLUMN($F$1),FALSE))),VLOOKUP($C301,武器!$1:$998,COLUMN($O$1),FALSE)*VLOOKUP($D301,素材!$1:$1016,COLUMN($E$1),FALSE)/(LEN(VLOOKUP($D301,素材!$1:$1016,COLUMN($F$1),FALSE))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O301">
        <f>IF(ISNUMBER(SEARCH(SUBSTITUTE(AO$1,RIGHT(AO$1,2),""),VLOOKUP($D301,素材!$1:$1016,COLUMN($F$1),FALSE))),VLOOKUP($C301,武器!$1:$998,COLUMN($O$1),FALSE)*VLOOKUP($D301,素材!$1:$1016,COLUMN($E$1),FALSE)/(LEN(VLOOKUP($D301,素材!$1:$1016,COLUMN($F$1),FALSE))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P301">
        <f>IF(ISNUMBER(SEARCH(SUBSTITUTE(AP$1,RIGHT(AP$1,2),""),VLOOKUP($D301,素材!$1:$1016,COLUMN($F$1),FALSE))),VLOOKUP($C301,武器!$1:$998,COLUMN($O$1),FALSE)*VLOOKUP($D301,素材!$1:$1016,COLUMN($E$1),FALSE)/(LEN(VLOOKUP($D301,素材!$1:$1016,COLUMN($F$1),FALSE))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Q301">
        <f>IF(ISNUMBER(SEARCH(SUBSTITUTE(AQ$1,RIGHT(AQ$1,2),""),VLOOKUP($D301,素材!$1:$1016,COLUMN($F$1),FALSE))),VLOOKUP($C301,武器!$1:$998,COLUMN($O$1),FALSE)*VLOOKUP($D301,素材!$1:$1016,COLUMN($E$1),FALSE)/(LEN(VLOOKUP($D301,素材!$1:$1016,COLUMN($F$1),FALSE))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R301">
        <f>IF(ISNUMBER(SEARCH(SUBSTITUTE(AR$1,RIGHT(AR$1,2),""),VLOOKUP($D301,素材!$1:$1016,COLUMN($F$1),FALSE))),VLOOKUP($C301,武器!$1:$998,COLUMN($O$1),FALSE)*VLOOKUP($D301,素材!$1:$1016,COLUMN($E$1),FALSE)/(LEN(VLOOKUP($D301,素材!$1:$1016,COLUMN($F$1),FALSE))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S301">
        <f>IF(ISNUMBER(SEARCH(SUBSTITUTE(AS$1,RIGHT(AS$1,2),""),VLOOKUP($D301,素材!$1:$1016,COLUMN($F$1),FALSE))),VLOOKUP($C301,武器!$1:$998,COLUMN($O$1),FALSE)*VLOOKUP($D301,素材!$1:$1016,COLUMN($E$1),FALSE)/(LEN(VLOOKUP($D301,素材!$1:$1016,COLUMN($F$1),FALSE))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T301">
        <f>IF(ISNUMBER(SEARCH(SUBSTITUTE(AT$1,RIGHT(AT$1,2),""),VLOOKUP($D301,素材!$1:$1016,COLUMN($F$1),FALSE))),VLOOKUP($C301,武器!$1:$998,COLUMN($O$1),FALSE)*VLOOKUP($D301,素材!$1:$1016,COLUMN($E$1),FALSE)/(LEN(VLOOKUP($D301,素材!$1:$1016,COLUMN($F$1),FALSE))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U301">
        <f>IF(ISNUMBER(SEARCH(SUBSTITUTE(AU$1,RIGHT(AU$1,2),""),VLOOKUP($D301,素材!$1:$1016,COLUMN($F$1),FALSE))),VLOOKUP($C301,武器!$1:$998,COLUMN($O$1),FALSE)*VLOOKUP($D301,素材!$1:$1016,COLUMN($E$1),FALSE)/(LEN(VLOOKUP($D301,素材!$1:$1016,COLUMN($F$1),FALSE))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V301">
        <f>IF(ISNUMBER(SEARCH(SUBSTITUTE(AV$1,RIGHT(AV$1,2),""),VLOOKUP($D301,素材!$1:$1016,COLUMN($F$1),FALSE))),VLOOKUP($C301,武器!$1:$998,COLUMN($O$1),FALSE)*VLOOKUP($D301,素材!$1:$1016,COLUMN($E$1),FALSE)/(LEN(VLOOKUP($D301,素材!$1:$1016,COLUMN($F$1),FALSE))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W301">
        <f>IF(ISNUMBER(SEARCH(SUBSTITUTE(AW$1,RIGHT(AW$1,2),""),VLOOKUP($D301,素材!$1:$1016,COLUMN($F$1),FALSE))),VLOOKUP($C301,武器!$1:$998,COLUMN($O$1),FALSE)*VLOOKUP($D301,素材!$1:$1016,COLUMN($E$1),FALSE)/(LEN(VLOOKUP($D301,素材!$1:$1016,COLUMN($F$1),FALSE))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X301">
        <f>IF(ISNUMBER(SEARCH(SUBSTITUTE(AX$1,RIGHT(AX$1,2),""),VLOOKUP($D301,素材!$1:$1016,COLUMN($F$1),FALSE))),VLOOKUP($C301,武器!$1:$998,COLUMN($O$1),FALSE)*VLOOKUP($D301,素材!$1:$1016,COLUMN($E$1),FALSE)/(LEN(VLOOKUP($D301,素材!$1:$1016,COLUMN($F$1),FALSE))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Y301">
        <f>IF(ISNUMBER(SEARCH(SUBSTITUTE(AY$1,RIGHT(AY$1,2),""),VLOOKUP($D301,素材!$1:$1016,COLUMN($F$1),FALSE))),VLOOKUP($C301,武器!$1:$998,COLUMN($O$1),FALSE)*VLOOKUP($D301,素材!$1:$1016,COLUMN($E$1),FALSE)/(LEN(VLOOKUP($D301,素材!$1:$1016,COLUMN($F$1),FALSE))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AZ301">
        <f>IF(ISNUMBER(SEARCH(SUBSTITUTE(AZ$1,RIGHT(AZ$1,2),""),VLOOKUP($D301,素材!$1:$1016,COLUMN($F$1),FALSE))),VLOOKUP($C301,武器!$1:$998,COLUMN($O$1),FALSE)*VLOOKUP($D301,素材!$1:$1016,COLUMN($E$1),FALSE)/(LEN(VLOOKUP($D301,素材!$1:$1016,COLUMN($F$1),FALSE))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BA301">
        <f>IF(ISNUMBER(SEARCH(SUBSTITUTE(BA$1,RIGHT(BA$1,2),""),VLOOKUP($D301,素材!$1:$1016,COLUMN($F$1),FALSE))),VLOOKUP($C301,武器!$1:$998,COLUMN($O$1),FALSE)*VLOOKUP($D301,素材!$1:$1016,COLUMN($E$1),FALSE)/(LEN(VLOOKUP($D301,素材!$1:$1016,COLUMN($F$1),FALSE))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BB301">
        <f>IF(ISNUMBER(SEARCH(SUBSTITUTE(BB$1,RIGHT(BB$1,2),""),VLOOKUP($D301,素材!$1:$1016,COLUMN($F$1),FALSE))),VLOOKUP($C301,武器!$1:$998,COLUMN($O$1),FALSE)*VLOOKUP($D301,素材!$1:$1016,COLUMN($E$1),FALSE)/(LEN(VLOOKUP($D301,素材!$1:$1016,COLUMN($F$1),FALSE))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BC301">
        <f>IF(ISNUMBER(SEARCH(SUBSTITUTE(BC$1,RIGHT(BC$1,2),""),VLOOKUP($D301,素材!$1:$1016,COLUMN($F$1),FALSE))),VLOOKUP($C301,武器!$1:$998,COLUMN($O$1),FALSE)*VLOOKUP($D301,素材!$1:$1016,COLUMN($E$1),FALSE)/(LEN(VLOOKUP($D301,素材!$1:$1016,COLUMN($F$1),FALSE))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BD301">
        <f>IF(ISNUMBER(SEARCH(SUBSTITUTE(BD$1,RIGHT(BD$1,2),""),VLOOKUP($D301,素材!$1:$1016,COLUMN($F$1),FALSE))),VLOOKUP($C301,武器!$1:$998,COLUMN($O$1),FALSE)*VLOOKUP($D301,素材!$1:$1016,COLUMN($E$1),FALSE)/(LEN(VLOOKUP($D301,素材!$1:$1016,COLUMN($F$1),FALSE))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BE301">
        <f>IF(ISNUMBER(SEARCH(SUBSTITUTE(BE$1,RIGHT(BE$1,2),""),VLOOKUP($D301,素材!$1:$1016,COLUMN($F$1),FALSE))),VLOOKUP($C301,武器!$1:$998,COLUMN($O$1),FALSE)*VLOOKUP($D301,素材!$1:$1016,COLUMN($E$1),FALSE)/(LEN(VLOOKUP($D301,素材!$1:$1016,COLUMN($F$1),FALSE))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BF301">
        <f>IF(ISNUMBER(SEARCH(SUBSTITUTE(BF$1,RIGHT(BF$1,2),""),VLOOKUP($D301,素材!$1:$1016,COLUMN($F$1),FALSE))),VLOOKUP($C301,武器!$1:$998,COLUMN($O$1),FALSE)*VLOOKUP($D301,素材!$1:$1016,COLUMN($E$1),FALSE)/(LEN(VLOOKUP($D301,素材!$1:$1016,COLUMN($F$1),FALSE)) - LEN(SUBSTITUTE(VLOOKUP($D301,素材!$1:$1016,COLUMN($F$1),FALSE), "・", 0)) + 1), 0)</f>
        <v>0</v>
      </c>
      <c r="CM301">
        <f t="shared" si="36"/>
        <v>0</v>
      </c>
      <c r="CN301" s="22" t="str">
        <f>IF(E301="武器",IF(J301-1&gt;SUM(G301:I301),"盾",IF(MAX(G301:I301)=G301,"切断",IF(MAX(G301:I301)=H301,"貫通",IF(MAX(G301:I301)=I301,"打撃","射撃")))),E301)&amp;".webp"</f>
        <v>.webp</v>
      </c>
      <c r="CO301" t="str">
        <f>IFERROR(VLOOKUP($C301,武器!$1:$998,COLUMN(V$1),FALSE)*VLOOKUP($D301,素材!$1:$1016,COLUMN(N$1),FALSE)+IF(CJ301="",0,VLOOKUP($CJ301,装強!$1:$1008,COLUMN($CL$1),FALSE)),"")</f>
        <v/>
      </c>
      <c r="CP301" t="e">
        <f>VLOOKUP(D301,素材!$A:$O,COLUMN(素材!O$1),FALSE)</f>
        <v>#N/A</v>
      </c>
      <c r="CQ301" t="e">
        <f>VLOOKUP(C301,武器!$A:$W,COLUMN(武器!W$1),FALSE)</f>
        <v>#N/A</v>
      </c>
      <c r="CS301" t="str">
        <f t="shared" si="37"/>
        <v>e_301</v>
      </c>
      <c r="CT301" t="e">
        <f t="shared" si="38"/>
        <v>#VALUE!</v>
      </c>
    </row>
    <row r="302" spans="1:98" hidden="1" outlineLevel="1" x14ac:dyDescent="0.4">
      <c r="A302" t="str">
        <f>IF(CJ302="",D302&amp;"の"&amp;C302,CJ302&amp;"の"&amp;C302)</f>
        <v>の</v>
      </c>
      <c r="B302" t="str">
        <f>IFERROR(IF(CJ302="",VLOOKUP($D302,素材!$1:$1016,COLUMN($B$1),FALSE)&amp;"・"&amp;VLOOKUP($C302,武器!$1:$998,COLUMN(B$1),FALSE),VLOOKUP($CJ302,装強!$1:$1008,COLUMN($B$1),FALSE)&amp;"・"&amp;VLOOKUP($C302,武器!$1:$998,COLUMN(B$1),FALSE)),"")</f>
        <v/>
      </c>
      <c r="C302" s="24"/>
      <c r="D302" s="24"/>
      <c r="E302" t="str">
        <f>IFERROR(VLOOKUP(C302,武器!$1:$998,COLUMN(C$1),FALSE),"")</f>
        <v/>
      </c>
      <c r="F302" t="str">
        <f>IFERROR(ROUNDDOWN((VLOOKUP($C302,武器!$1:$998,COLUMN(D$1),FALSE)+IFERROR(VLOOKUP($CJ302,装強!$1:$999,COLUMN(F$1),FALSE),0))*VLOOKUP($D302,素材!$1:$1016,COLUMN(D$1),FALSE),0),"")</f>
        <v/>
      </c>
      <c r="G302" t="str">
        <f>IFERROR(ROUNDDOWN((VLOOKUP($C302,武器!$1:$998,COLUMN(E$1),FALSE)+IFERROR(VLOOKUP($CJ302,装強!$1:$999,COLUMN(G$1),FALSE),0))*VLOOKUP($D302,素材!$1:$1016,COLUMN($E$1),FALSE),0),"")</f>
        <v/>
      </c>
      <c r="H302" t="str">
        <f>IFERROR(ROUNDDOWN((VLOOKUP($C302,武器!$1:$998,COLUMN(F$1),FALSE)+IFERROR(VLOOKUP($CJ302,装強!$1:$999,COLUMN(H$1),FALSE),0))*VLOOKUP($D302,素材!$1:$1016,COLUMN($E$1),FALSE),0),"")</f>
        <v/>
      </c>
      <c r="I302" t="str">
        <f>IFERROR(ROUNDDOWN((VLOOKUP($C302,武器!$1:$998,COLUMN(G$1),FALSE)+IFERROR(VLOOKUP($CJ302,装強!$1:$999,COLUMN(I$1),FALSE),0))*VLOOKUP($D302,素材!$1:$1016,COLUMN($E$1),FALSE),0),"")</f>
        <v/>
      </c>
      <c r="J302" t="str">
        <f>IFERROR(ROUNDDOWN((VLOOKUP($C302,武器!$1:$998,COLUMN(H$1),FALSE)+IFERROR(VLOOKUP($CJ302,装強!$1:$999,COLUMN(J$1),FALSE),0))*VLOOKUP($D302,素材!$1:$1016,COLUMN($E$1),FALSE),0),"")</f>
        <v/>
      </c>
      <c r="K302" t="str">
        <f>IFERROR(ROUNDDOWN((VLOOKUP($C302,武器!$1:$998,COLUMN(I$1),FALSE)+IFERROR(VLOOKUP($CJ302,装強!$1:$999,COLUMN(K$1),FALSE),0))*VLOOKUP($D302,素材!$1:$1016,COLUMN($E$1),FALSE),0),"")</f>
        <v/>
      </c>
      <c r="L302" t="str">
        <f>IFERROR(VLOOKUP($D302,素材!$1:$1016,COLUMN($F$1),FALSE),"")</f>
        <v/>
      </c>
      <c r="M302" t="str">
        <f>IFERROR(VLOOKUP($C302,武器!$1:$998,COLUMN(AA$1),FALSE)*VLOOKUP($D302,素材!$1:$1016,COLUMN($G$1),FALSE),"")</f>
        <v/>
      </c>
      <c r="N302" t="str">
        <f>IFERROR(VLOOKUP($C302,武器!$1:$998,COLUMN(I$1),FALSE),"")</f>
        <v/>
      </c>
      <c r="O302" s="23" t="str">
        <f>IFERROR((VLOOKUP($C302,武器!$1:$998,COLUMN(K$1),FALSE)+VLOOKUP($D302,素材!$1:$1016,COLUMN(H$1),FALSE))*100+IFERROR(VLOOKUP($CJ302,装強!$1:$999,COLUMN(O$1),FALSE),0),"")</f>
        <v/>
      </c>
      <c r="P302" s="23" t="str">
        <f>IFERROR((VLOOKUP($C302,武器!$1:$998,COLUMN(L$1),FALSE)+VLOOKUP($D302,素材!$1:$1016,COLUMN(I$1),FALSE))*100+IFERROR(VLOOKUP($CJ302,装強!$1:$999,COLUMN(P$1),FALSE),0),"")</f>
        <v/>
      </c>
      <c r="Q302" t="str">
        <f>IFERROR(ROUNDUP(VLOOKUP($C302,武器!$1:$998,COLUMN(M$1),FALSE)*(VLOOKUP($D302,素材!$1:$1002,COLUMN(D$1),FALSE)/100),1),"")</f>
        <v/>
      </c>
      <c r="R302" t="str">
        <f>IFERROR(ROUNDUP(VLOOKUP($C302,武器!$1:$998,COLUMN(N$1),FALSE)*(VLOOKUP($D302,素材!$1:$1002,COLUMN(D$1),FALSE)/100),1),"")</f>
        <v/>
      </c>
      <c r="S302" t="str">
        <f>IFERROR(VLOOKUP($C302,武器!$1:$998,COLUMN(P$1),FALSE),"")</f>
        <v/>
      </c>
      <c r="T302" t="str">
        <f>IFERROR(VLOOKUP($C302,武器!$1:$998,COLUMN(Q$1),FALSE),"")</f>
        <v/>
      </c>
      <c r="U302" t="str">
        <f>IFERROR(VLOOKUP($C302,武器!$1:$998,COLUMN(R$1),FALSE),"")</f>
        <v/>
      </c>
      <c r="V302" t="str">
        <f>IFERROR(VLOOKUP($C302,武器!$1:$998,COLUMN(Q$1),FALSE),"")</f>
        <v/>
      </c>
      <c r="W302" t="str">
        <f>IFERROR(VLOOKUP($C302,武器!$1:$998,COLUMN(T$1),FALSE),"")</f>
        <v/>
      </c>
      <c r="Y302" t="str">
        <f>IFERROR(VLOOKUP($C302,武器!$1:$998,COLUMN(U$1),FALSE),"")</f>
        <v/>
      </c>
      <c r="Z302" t="str">
        <f>IFERROR(ROUNDUP(VLOOKUP($C302,武器!$1:$998,COLUMN(O$1),FALSE)*VLOOKUP($D302,素材!$1:$1016,COLUMN(E$1),FALSE),1),"")</f>
        <v/>
      </c>
      <c r="AA302">
        <f>IF(ISNUMBER(SEARCH(SUBSTITUTE(AA$1,RIGHT(AA$1,2),""),VLOOKUP($D302,素材!$1:$1016,COLUMN($F$1),FALSE))),VLOOKUP($C302,武器!$1:$998,COLUMN($O$1),FALSE)*VLOOKUP($D302,素材!$1:$1016,COLUMN($E$1),FALSE)/(LEN(VLOOKUP($D302,素材!$1:$1016,COLUMN($F$1),FALSE))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B302">
        <f>IF(ISNUMBER(SEARCH(SUBSTITUTE(AB$1,RIGHT(AB$1,2),""),VLOOKUP($D302,素材!$1:$1016,COLUMN($F$1),FALSE))),VLOOKUP($C302,武器!$1:$998,COLUMN($O$1),FALSE)*VLOOKUP($D302,素材!$1:$1016,COLUMN($E$1),FALSE)/(LEN(VLOOKUP($D302,素材!$1:$1016,COLUMN($F$1),FALSE))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C302">
        <f>IF(ISNUMBER(SEARCH(SUBSTITUTE(AC$1,RIGHT(AC$1,2),""),VLOOKUP($D302,素材!$1:$1016,COLUMN($F$1),FALSE))),VLOOKUP($C302,武器!$1:$998,COLUMN($O$1),FALSE)*VLOOKUP($D302,素材!$1:$1016,COLUMN($E$1),FALSE)/(LEN(VLOOKUP($D302,素材!$1:$1016,COLUMN($F$1),FALSE))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D302">
        <f>IF(ISNUMBER(SEARCH(SUBSTITUTE(AD$1,RIGHT(AD$1,2),""),VLOOKUP($D302,素材!$1:$1016,COLUMN($F$1),FALSE))),VLOOKUP($C302,武器!$1:$998,COLUMN($O$1),FALSE)*VLOOKUP($D302,素材!$1:$1016,COLUMN($E$1),FALSE)/(LEN(VLOOKUP($D302,素材!$1:$1016,COLUMN($F$1),FALSE))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E302">
        <f>IF(ISNUMBER(SEARCH(SUBSTITUTE(AE$1,RIGHT(AE$1,2),""),VLOOKUP($D302,素材!$1:$1016,COLUMN($F$1),FALSE))),VLOOKUP($C302,武器!$1:$998,COLUMN($O$1),FALSE)*VLOOKUP($D302,素材!$1:$1016,COLUMN($E$1),FALSE)/(LEN(VLOOKUP($D302,素材!$1:$1016,COLUMN($F$1),FALSE))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F302">
        <f>IF(ISNUMBER(SEARCH(SUBSTITUTE(AF$1,RIGHT(AF$1,2),""),VLOOKUP($D302,素材!$1:$1016,COLUMN($F$1),FALSE))),VLOOKUP($C302,武器!$1:$998,COLUMN($O$1),FALSE)*VLOOKUP($D302,素材!$1:$1016,COLUMN($E$1),FALSE)/(LEN(VLOOKUP($D302,素材!$1:$1016,COLUMN($F$1),FALSE))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G302">
        <f>IF(ISNUMBER(SEARCH(SUBSTITUTE(AG$1,RIGHT(AG$1,2),""),VLOOKUP($D302,素材!$1:$1016,COLUMN($F$1),FALSE))),VLOOKUP($C302,武器!$1:$998,COLUMN($O$1),FALSE)*VLOOKUP($D302,素材!$1:$1016,COLUMN($E$1),FALSE)/(LEN(VLOOKUP($D302,素材!$1:$1016,COLUMN($F$1),FALSE))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H302">
        <f>IF(ISNUMBER(SEARCH(SUBSTITUTE(AH$1,RIGHT(AH$1,2),""),VLOOKUP($D302,素材!$1:$1016,COLUMN($F$1),FALSE))),VLOOKUP($C302,武器!$1:$998,COLUMN($O$1),FALSE)*VLOOKUP($D302,素材!$1:$1016,COLUMN($E$1),FALSE)/(LEN(VLOOKUP($D302,素材!$1:$1016,COLUMN($F$1),FALSE))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I302">
        <f>IF(ISNUMBER(SEARCH(SUBSTITUTE(AI$1,RIGHT(AI$1,2),""),VLOOKUP($D302,素材!$1:$1016,COLUMN($F$1),FALSE))),VLOOKUP($C302,武器!$1:$998,COLUMN($O$1),FALSE)*VLOOKUP($D302,素材!$1:$1016,COLUMN($E$1),FALSE)/(LEN(VLOOKUP($D302,素材!$1:$1016,COLUMN($F$1),FALSE))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J302">
        <f>IF(ISNUMBER(SEARCH(SUBSTITUTE(AJ$1,RIGHT(AJ$1,2),""),VLOOKUP($D302,素材!$1:$1016,COLUMN($F$1),FALSE))),VLOOKUP($C302,武器!$1:$998,COLUMN($O$1),FALSE)*VLOOKUP($D302,素材!$1:$1016,COLUMN($E$1),FALSE)/(LEN(VLOOKUP($D302,素材!$1:$1016,COLUMN($F$1),FALSE))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K302">
        <f>IF(ISNUMBER(SEARCH(SUBSTITUTE(AK$1,RIGHT(AK$1,2),""),VLOOKUP($D302,素材!$1:$1016,COLUMN($F$1),FALSE))),VLOOKUP($C302,武器!$1:$998,COLUMN($O$1),FALSE)*VLOOKUP($D302,素材!$1:$1016,COLUMN($E$1),FALSE)/(LEN(VLOOKUP($D302,素材!$1:$1016,COLUMN($F$1),FALSE))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L302">
        <f>IF(ISNUMBER(SEARCH(SUBSTITUTE(AL$1,RIGHT(AL$1,2),""),VLOOKUP($D302,素材!$1:$1016,COLUMN($F$1),FALSE))),VLOOKUP($C302,武器!$1:$998,COLUMN($O$1),FALSE)*VLOOKUP($D302,素材!$1:$1016,COLUMN($E$1),FALSE)/(LEN(VLOOKUP($D302,素材!$1:$1016,COLUMN($F$1),FALSE))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M302">
        <f>IF(ISNUMBER(SEARCH(SUBSTITUTE(AM$1,RIGHT(AM$1,2),""),VLOOKUP($D302,素材!$1:$1016,COLUMN($F$1),FALSE))),VLOOKUP($C302,武器!$1:$998,COLUMN($O$1),FALSE)*VLOOKUP($D302,素材!$1:$1016,COLUMN($E$1),FALSE)/(LEN(VLOOKUP($D302,素材!$1:$1016,COLUMN($F$1),FALSE))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N302">
        <f>IF(ISNUMBER(SEARCH(SUBSTITUTE(AN$1,RIGHT(AN$1,2),""),VLOOKUP($D302,素材!$1:$1016,COLUMN($F$1),FALSE))),VLOOKUP($C302,武器!$1:$998,COLUMN($O$1),FALSE)*VLOOKUP($D302,素材!$1:$1016,COLUMN($E$1),FALSE)/(LEN(VLOOKUP($D302,素材!$1:$1016,COLUMN($F$1),FALSE))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O302">
        <f>IF(ISNUMBER(SEARCH(SUBSTITUTE(AO$1,RIGHT(AO$1,2),""),VLOOKUP($D302,素材!$1:$1016,COLUMN($F$1),FALSE))),VLOOKUP($C302,武器!$1:$998,COLUMN($O$1),FALSE)*VLOOKUP($D302,素材!$1:$1016,COLUMN($E$1),FALSE)/(LEN(VLOOKUP($D302,素材!$1:$1016,COLUMN($F$1),FALSE))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P302">
        <f>IF(ISNUMBER(SEARCH(SUBSTITUTE(AP$1,RIGHT(AP$1,2),""),VLOOKUP($D302,素材!$1:$1016,COLUMN($F$1),FALSE))),VLOOKUP($C302,武器!$1:$998,COLUMN($O$1),FALSE)*VLOOKUP($D302,素材!$1:$1016,COLUMN($E$1),FALSE)/(LEN(VLOOKUP($D302,素材!$1:$1016,COLUMN($F$1),FALSE))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Q302">
        <f>IF(ISNUMBER(SEARCH(SUBSTITUTE(AQ$1,RIGHT(AQ$1,2),""),VLOOKUP($D302,素材!$1:$1016,COLUMN($F$1),FALSE))),VLOOKUP($C302,武器!$1:$998,COLUMN($O$1),FALSE)*VLOOKUP($D302,素材!$1:$1016,COLUMN($E$1),FALSE)/(LEN(VLOOKUP($D302,素材!$1:$1016,COLUMN($F$1),FALSE))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R302">
        <f>IF(ISNUMBER(SEARCH(SUBSTITUTE(AR$1,RIGHT(AR$1,2),""),VLOOKUP($D302,素材!$1:$1016,COLUMN($F$1),FALSE))),VLOOKUP($C302,武器!$1:$998,COLUMN($O$1),FALSE)*VLOOKUP($D302,素材!$1:$1016,COLUMN($E$1),FALSE)/(LEN(VLOOKUP($D302,素材!$1:$1016,COLUMN($F$1),FALSE))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S302">
        <f>IF(ISNUMBER(SEARCH(SUBSTITUTE(AS$1,RIGHT(AS$1,2),""),VLOOKUP($D302,素材!$1:$1016,COLUMN($F$1),FALSE))),VLOOKUP($C302,武器!$1:$998,COLUMN($O$1),FALSE)*VLOOKUP($D302,素材!$1:$1016,COLUMN($E$1),FALSE)/(LEN(VLOOKUP($D302,素材!$1:$1016,COLUMN($F$1),FALSE))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T302">
        <f>IF(ISNUMBER(SEARCH(SUBSTITUTE(AT$1,RIGHT(AT$1,2),""),VLOOKUP($D302,素材!$1:$1016,COLUMN($F$1),FALSE))),VLOOKUP($C302,武器!$1:$998,COLUMN($O$1),FALSE)*VLOOKUP($D302,素材!$1:$1016,COLUMN($E$1),FALSE)/(LEN(VLOOKUP($D302,素材!$1:$1016,COLUMN($F$1),FALSE))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U302">
        <f>IF(ISNUMBER(SEARCH(SUBSTITUTE(AU$1,RIGHT(AU$1,2),""),VLOOKUP($D302,素材!$1:$1016,COLUMN($F$1),FALSE))),VLOOKUP($C302,武器!$1:$998,COLUMN($O$1),FALSE)*VLOOKUP($D302,素材!$1:$1016,COLUMN($E$1),FALSE)/(LEN(VLOOKUP($D302,素材!$1:$1016,COLUMN($F$1),FALSE))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V302">
        <f>IF(ISNUMBER(SEARCH(SUBSTITUTE(AV$1,RIGHT(AV$1,2),""),VLOOKUP($D302,素材!$1:$1016,COLUMN($F$1),FALSE))),VLOOKUP($C302,武器!$1:$998,COLUMN($O$1),FALSE)*VLOOKUP($D302,素材!$1:$1016,COLUMN($E$1),FALSE)/(LEN(VLOOKUP($D302,素材!$1:$1016,COLUMN($F$1),FALSE))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W302">
        <f>IF(ISNUMBER(SEARCH(SUBSTITUTE(AW$1,RIGHT(AW$1,2),""),VLOOKUP($D302,素材!$1:$1016,COLUMN($F$1),FALSE))),VLOOKUP($C302,武器!$1:$998,COLUMN($O$1),FALSE)*VLOOKUP($D302,素材!$1:$1016,COLUMN($E$1),FALSE)/(LEN(VLOOKUP($D302,素材!$1:$1016,COLUMN($F$1),FALSE))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X302">
        <f>IF(ISNUMBER(SEARCH(SUBSTITUTE(AX$1,RIGHT(AX$1,2),""),VLOOKUP($D302,素材!$1:$1016,COLUMN($F$1),FALSE))),VLOOKUP($C302,武器!$1:$998,COLUMN($O$1),FALSE)*VLOOKUP($D302,素材!$1:$1016,COLUMN($E$1),FALSE)/(LEN(VLOOKUP($D302,素材!$1:$1016,COLUMN($F$1),FALSE))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Y302">
        <f>IF(ISNUMBER(SEARCH(SUBSTITUTE(AY$1,RIGHT(AY$1,2),""),VLOOKUP($D302,素材!$1:$1016,COLUMN($F$1),FALSE))),VLOOKUP($C302,武器!$1:$998,COLUMN($O$1),FALSE)*VLOOKUP($D302,素材!$1:$1016,COLUMN($E$1),FALSE)/(LEN(VLOOKUP($D302,素材!$1:$1016,COLUMN($F$1),FALSE))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AZ302">
        <f>IF(ISNUMBER(SEARCH(SUBSTITUTE(AZ$1,RIGHT(AZ$1,2),""),VLOOKUP($D302,素材!$1:$1016,COLUMN($F$1),FALSE))),VLOOKUP($C302,武器!$1:$998,COLUMN($O$1),FALSE)*VLOOKUP($D302,素材!$1:$1016,COLUMN($E$1),FALSE)/(LEN(VLOOKUP($D302,素材!$1:$1016,COLUMN($F$1),FALSE))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BA302">
        <f>IF(ISNUMBER(SEARCH(SUBSTITUTE(BA$1,RIGHT(BA$1,2),""),VLOOKUP($D302,素材!$1:$1016,COLUMN($F$1),FALSE))),VLOOKUP($C302,武器!$1:$998,COLUMN($O$1),FALSE)*VLOOKUP($D302,素材!$1:$1016,COLUMN($E$1),FALSE)/(LEN(VLOOKUP($D302,素材!$1:$1016,COLUMN($F$1),FALSE))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BB302">
        <f>IF(ISNUMBER(SEARCH(SUBSTITUTE(BB$1,RIGHT(BB$1,2),""),VLOOKUP($D302,素材!$1:$1016,COLUMN($F$1),FALSE))),VLOOKUP($C302,武器!$1:$998,COLUMN($O$1),FALSE)*VLOOKUP($D302,素材!$1:$1016,COLUMN($E$1),FALSE)/(LEN(VLOOKUP($D302,素材!$1:$1016,COLUMN($F$1),FALSE))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BC302">
        <f>IF(ISNUMBER(SEARCH(SUBSTITUTE(BC$1,RIGHT(BC$1,2),""),VLOOKUP($D302,素材!$1:$1016,COLUMN($F$1),FALSE))),VLOOKUP($C302,武器!$1:$998,COLUMN($O$1),FALSE)*VLOOKUP($D302,素材!$1:$1016,COLUMN($E$1),FALSE)/(LEN(VLOOKUP($D302,素材!$1:$1016,COLUMN($F$1),FALSE))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BD302">
        <f>IF(ISNUMBER(SEARCH(SUBSTITUTE(BD$1,RIGHT(BD$1,2),""),VLOOKUP($D302,素材!$1:$1016,COLUMN($F$1),FALSE))),VLOOKUP($C302,武器!$1:$998,COLUMN($O$1),FALSE)*VLOOKUP($D302,素材!$1:$1016,COLUMN($E$1),FALSE)/(LEN(VLOOKUP($D302,素材!$1:$1016,COLUMN($F$1),FALSE))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BE302">
        <f>IF(ISNUMBER(SEARCH(SUBSTITUTE(BE$1,RIGHT(BE$1,2),""),VLOOKUP($D302,素材!$1:$1016,COLUMN($F$1),FALSE))),VLOOKUP($C302,武器!$1:$998,COLUMN($O$1),FALSE)*VLOOKUP($D302,素材!$1:$1016,COLUMN($E$1),FALSE)/(LEN(VLOOKUP($D302,素材!$1:$1016,COLUMN($F$1),FALSE))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BF302">
        <f>IF(ISNUMBER(SEARCH(SUBSTITUTE(BF$1,RIGHT(BF$1,2),""),VLOOKUP($D302,素材!$1:$1016,COLUMN($F$1),FALSE))),VLOOKUP($C302,武器!$1:$998,COLUMN($O$1),FALSE)*VLOOKUP($D302,素材!$1:$1016,COLUMN($E$1),FALSE)/(LEN(VLOOKUP($D302,素材!$1:$1016,COLUMN($F$1),FALSE)) - LEN(SUBSTITUTE(VLOOKUP($D302,素材!$1:$1016,COLUMN($F$1),FALSE), "・", 0)) + 1), 0)</f>
        <v>0</v>
      </c>
      <c r="CM302">
        <f t="shared" si="36"/>
        <v>0</v>
      </c>
      <c r="CN302" s="22" t="str">
        <f>IF(E302="武器",IF(J302-1&gt;SUM(G302:I302),"盾",IF(MAX(G302:I302)=G302,"切断",IF(MAX(G302:I302)=H302,"貫通",IF(MAX(G302:I302)=I302,"打撃","射撃")))),E302)&amp;".webp"</f>
        <v>.webp</v>
      </c>
      <c r="CO302" t="str">
        <f>IFERROR(VLOOKUP($C302,武器!$1:$998,COLUMN(V$1),FALSE)*VLOOKUP($D302,素材!$1:$1016,COLUMN(N$1),FALSE)+IF(CJ302="",0,VLOOKUP($CJ302,装強!$1:$1008,COLUMN($CL$1),FALSE)),"")</f>
        <v/>
      </c>
      <c r="CP302" t="e">
        <f>VLOOKUP(D302,素材!$A:$O,COLUMN(素材!O$1),FALSE)</f>
        <v>#N/A</v>
      </c>
      <c r="CQ302" t="e">
        <f>VLOOKUP(C302,武器!$A:$W,COLUMN(武器!W$1),FALSE)</f>
        <v>#N/A</v>
      </c>
      <c r="CS302" t="str">
        <f t="shared" si="37"/>
        <v>e_302</v>
      </c>
      <c r="CT302" t="e">
        <f t="shared" si="38"/>
        <v>#VALUE!</v>
      </c>
    </row>
    <row r="303" spans="1:98" hidden="1" outlineLevel="1" x14ac:dyDescent="0.4">
      <c r="A303" t="str">
        <f>IF(CJ303="",D303&amp;"の"&amp;C303,CJ303&amp;"の"&amp;C303)</f>
        <v>の</v>
      </c>
      <c r="B303" t="str">
        <f>IFERROR(IF(CJ303="",VLOOKUP($D303,素材!$1:$1016,COLUMN($B$1),FALSE)&amp;"・"&amp;VLOOKUP($C303,武器!$1:$998,COLUMN(B$1),FALSE),VLOOKUP($CJ303,装強!$1:$1008,COLUMN($B$1),FALSE)&amp;"・"&amp;VLOOKUP($C303,武器!$1:$998,COLUMN(B$1),FALSE)),"")</f>
        <v/>
      </c>
      <c r="C303" s="24"/>
      <c r="D303" s="24"/>
      <c r="E303" t="str">
        <f>IFERROR(VLOOKUP(C303,武器!$1:$998,COLUMN(C$1),FALSE),"")</f>
        <v/>
      </c>
      <c r="F303" t="str">
        <f>IFERROR(ROUNDDOWN((VLOOKUP($C303,武器!$1:$998,COLUMN(D$1),FALSE)+IFERROR(VLOOKUP($CJ303,装強!$1:$999,COLUMN(F$1),FALSE),0))*VLOOKUP($D303,素材!$1:$1016,COLUMN(D$1),FALSE),0),"")</f>
        <v/>
      </c>
      <c r="G303" t="str">
        <f>IFERROR(ROUNDDOWN((VLOOKUP($C303,武器!$1:$998,COLUMN(E$1),FALSE)+IFERROR(VLOOKUP($CJ303,装強!$1:$999,COLUMN(G$1),FALSE),0))*VLOOKUP($D303,素材!$1:$1016,COLUMN($E$1),FALSE),0),"")</f>
        <v/>
      </c>
      <c r="H303" t="str">
        <f>IFERROR(ROUNDDOWN((VLOOKUP($C303,武器!$1:$998,COLUMN(F$1),FALSE)+IFERROR(VLOOKUP($CJ303,装強!$1:$999,COLUMN(H$1),FALSE),0))*VLOOKUP($D303,素材!$1:$1016,COLUMN($E$1),FALSE),0),"")</f>
        <v/>
      </c>
      <c r="I303" t="str">
        <f>IFERROR(ROUNDDOWN((VLOOKUP($C303,武器!$1:$998,COLUMN(G$1),FALSE)+IFERROR(VLOOKUP($CJ303,装強!$1:$999,COLUMN(I$1),FALSE),0))*VLOOKUP($D303,素材!$1:$1016,COLUMN($E$1),FALSE),0),"")</f>
        <v/>
      </c>
      <c r="J303" t="str">
        <f>IFERROR(ROUNDDOWN((VLOOKUP($C303,武器!$1:$998,COLUMN(H$1),FALSE)+IFERROR(VLOOKUP($CJ303,装強!$1:$999,COLUMN(J$1),FALSE),0))*VLOOKUP($D303,素材!$1:$1016,COLUMN($E$1),FALSE),0),"")</f>
        <v/>
      </c>
      <c r="K303" t="str">
        <f>IFERROR(ROUNDDOWN((VLOOKUP($C303,武器!$1:$998,COLUMN(I$1),FALSE)+IFERROR(VLOOKUP($CJ303,装強!$1:$999,COLUMN(K$1),FALSE),0))*VLOOKUP($D303,素材!$1:$1016,COLUMN($E$1),FALSE),0),"")</f>
        <v/>
      </c>
      <c r="L303" t="str">
        <f>IFERROR(VLOOKUP($D303,素材!$1:$1016,COLUMN($F$1),FALSE),"")</f>
        <v/>
      </c>
      <c r="M303" t="str">
        <f>IFERROR(VLOOKUP($C303,武器!$1:$998,COLUMN(AA$1),FALSE)*VLOOKUP($D303,素材!$1:$1016,COLUMN($G$1),FALSE),"")</f>
        <v/>
      </c>
      <c r="N303" t="str">
        <f>IFERROR(VLOOKUP($C303,武器!$1:$998,COLUMN(I$1),FALSE),"")</f>
        <v/>
      </c>
      <c r="O303" s="23" t="str">
        <f>IFERROR((VLOOKUP($C303,武器!$1:$998,COLUMN(K$1),FALSE)+VLOOKUP($D303,素材!$1:$1016,COLUMN(H$1),FALSE))*100+IFERROR(VLOOKUP($CJ303,装強!$1:$999,COLUMN(O$1),FALSE),0),"")</f>
        <v/>
      </c>
      <c r="P303" s="23" t="str">
        <f>IFERROR((VLOOKUP($C303,武器!$1:$998,COLUMN(L$1),FALSE)+VLOOKUP($D303,素材!$1:$1016,COLUMN(I$1),FALSE))*100+IFERROR(VLOOKUP($CJ303,装強!$1:$999,COLUMN(P$1),FALSE),0),"")</f>
        <v/>
      </c>
      <c r="Q303" t="str">
        <f>IFERROR(ROUNDUP(VLOOKUP($C303,武器!$1:$998,COLUMN(M$1),FALSE)*(VLOOKUP($D303,素材!$1:$1002,COLUMN(D$1),FALSE)/100),1),"")</f>
        <v/>
      </c>
      <c r="R303" t="str">
        <f>IFERROR(ROUNDUP(VLOOKUP($C303,武器!$1:$998,COLUMN(N$1),FALSE)*(VLOOKUP($D303,素材!$1:$1002,COLUMN(D$1),FALSE)/100),1),"")</f>
        <v/>
      </c>
      <c r="S303" t="str">
        <f>IFERROR(VLOOKUP($C303,武器!$1:$998,COLUMN(P$1),FALSE),"")</f>
        <v/>
      </c>
      <c r="T303" t="str">
        <f>IFERROR(VLOOKUP($C303,武器!$1:$998,COLUMN(Q$1),FALSE),"")</f>
        <v/>
      </c>
      <c r="U303" t="str">
        <f>IFERROR(VLOOKUP($C303,武器!$1:$998,COLUMN(R$1),FALSE),"")</f>
        <v/>
      </c>
      <c r="V303" t="str">
        <f>IFERROR(VLOOKUP($C303,武器!$1:$998,COLUMN(Q$1),FALSE),"")</f>
        <v/>
      </c>
      <c r="W303" t="str">
        <f>IFERROR(VLOOKUP($C303,武器!$1:$998,COLUMN(T$1),FALSE),"")</f>
        <v/>
      </c>
      <c r="Y303" t="str">
        <f>IFERROR(VLOOKUP($C303,武器!$1:$998,COLUMN(U$1),FALSE),"")</f>
        <v/>
      </c>
      <c r="Z303" t="str">
        <f>IFERROR(ROUNDUP(VLOOKUP($C303,武器!$1:$998,COLUMN(O$1),FALSE)*VLOOKUP($D303,素材!$1:$1016,COLUMN(E$1),FALSE),1),"")</f>
        <v/>
      </c>
      <c r="AA303">
        <f>IF(ISNUMBER(SEARCH(SUBSTITUTE(AA$1,RIGHT(AA$1,2),""),VLOOKUP($D303,素材!$1:$1016,COLUMN($F$1),FALSE))),VLOOKUP($C303,武器!$1:$998,COLUMN($O$1),FALSE)*VLOOKUP($D303,素材!$1:$1016,COLUMN($E$1),FALSE)/(LEN(VLOOKUP($D303,素材!$1:$1016,COLUMN($F$1),FALSE))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B303">
        <f>IF(ISNUMBER(SEARCH(SUBSTITUTE(AB$1,RIGHT(AB$1,2),""),VLOOKUP($D303,素材!$1:$1016,COLUMN($F$1),FALSE))),VLOOKUP($C303,武器!$1:$998,COLUMN($O$1),FALSE)*VLOOKUP($D303,素材!$1:$1016,COLUMN($E$1),FALSE)/(LEN(VLOOKUP($D303,素材!$1:$1016,COLUMN($F$1),FALSE))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C303">
        <f>IF(ISNUMBER(SEARCH(SUBSTITUTE(AC$1,RIGHT(AC$1,2),""),VLOOKUP($D303,素材!$1:$1016,COLUMN($F$1),FALSE))),VLOOKUP($C303,武器!$1:$998,COLUMN($O$1),FALSE)*VLOOKUP($D303,素材!$1:$1016,COLUMN($E$1),FALSE)/(LEN(VLOOKUP($D303,素材!$1:$1016,COLUMN($F$1),FALSE))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D303">
        <f>IF(ISNUMBER(SEARCH(SUBSTITUTE(AD$1,RIGHT(AD$1,2),""),VLOOKUP($D303,素材!$1:$1016,COLUMN($F$1),FALSE))),VLOOKUP($C303,武器!$1:$998,COLUMN($O$1),FALSE)*VLOOKUP($D303,素材!$1:$1016,COLUMN($E$1),FALSE)/(LEN(VLOOKUP($D303,素材!$1:$1016,COLUMN($F$1),FALSE))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E303">
        <f>IF(ISNUMBER(SEARCH(SUBSTITUTE(AE$1,RIGHT(AE$1,2),""),VLOOKUP($D303,素材!$1:$1016,COLUMN($F$1),FALSE))),VLOOKUP($C303,武器!$1:$998,COLUMN($O$1),FALSE)*VLOOKUP($D303,素材!$1:$1016,COLUMN($E$1),FALSE)/(LEN(VLOOKUP($D303,素材!$1:$1016,COLUMN($F$1),FALSE))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F303">
        <f>IF(ISNUMBER(SEARCH(SUBSTITUTE(AF$1,RIGHT(AF$1,2),""),VLOOKUP($D303,素材!$1:$1016,COLUMN($F$1),FALSE))),VLOOKUP($C303,武器!$1:$998,COLUMN($O$1),FALSE)*VLOOKUP($D303,素材!$1:$1016,COLUMN($E$1),FALSE)/(LEN(VLOOKUP($D303,素材!$1:$1016,COLUMN($F$1),FALSE))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G303">
        <f>IF(ISNUMBER(SEARCH(SUBSTITUTE(AG$1,RIGHT(AG$1,2),""),VLOOKUP($D303,素材!$1:$1016,COLUMN($F$1),FALSE))),VLOOKUP($C303,武器!$1:$998,COLUMN($O$1),FALSE)*VLOOKUP($D303,素材!$1:$1016,COLUMN($E$1),FALSE)/(LEN(VLOOKUP($D303,素材!$1:$1016,COLUMN($F$1),FALSE))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H303">
        <f>IF(ISNUMBER(SEARCH(SUBSTITUTE(AH$1,RIGHT(AH$1,2),""),VLOOKUP($D303,素材!$1:$1016,COLUMN($F$1),FALSE))),VLOOKUP($C303,武器!$1:$998,COLUMN($O$1),FALSE)*VLOOKUP($D303,素材!$1:$1016,COLUMN($E$1),FALSE)/(LEN(VLOOKUP($D303,素材!$1:$1016,COLUMN($F$1),FALSE))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I303">
        <f>IF(ISNUMBER(SEARCH(SUBSTITUTE(AI$1,RIGHT(AI$1,2),""),VLOOKUP($D303,素材!$1:$1016,COLUMN($F$1),FALSE))),VLOOKUP($C303,武器!$1:$998,COLUMN($O$1),FALSE)*VLOOKUP($D303,素材!$1:$1016,COLUMN($E$1),FALSE)/(LEN(VLOOKUP($D303,素材!$1:$1016,COLUMN($F$1),FALSE))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J303">
        <f>IF(ISNUMBER(SEARCH(SUBSTITUTE(AJ$1,RIGHT(AJ$1,2),""),VLOOKUP($D303,素材!$1:$1016,COLUMN($F$1),FALSE))),VLOOKUP($C303,武器!$1:$998,COLUMN($O$1),FALSE)*VLOOKUP($D303,素材!$1:$1016,COLUMN($E$1),FALSE)/(LEN(VLOOKUP($D303,素材!$1:$1016,COLUMN($F$1),FALSE))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K303">
        <f>IF(ISNUMBER(SEARCH(SUBSTITUTE(AK$1,RIGHT(AK$1,2),""),VLOOKUP($D303,素材!$1:$1016,COLUMN($F$1),FALSE))),VLOOKUP($C303,武器!$1:$998,COLUMN($O$1),FALSE)*VLOOKUP($D303,素材!$1:$1016,COLUMN($E$1),FALSE)/(LEN(VLOOKUP($D303,素材!$1:$1016,COLUMN($F$1),FALSE))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L303">
        <f>IF(ISNUMBER(SEARCH(SUBSTITUTE(AL$1,RIGHT(AL$1,2),""),VLOOKUP($D303,素材!$1:$1016,COLUMN($F$1),FALSE))),VLOOKUP($C303,武器!$1:$998,COLUMN($O$1),FALSE)*VLOOKUP($D303,素材!$1:$1016,COLUMN($E$1),FALSE)/(LEN(VLOOKUP($D303,素材!$1:$1016,COLUMN($F$1),FALSE))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M303">
        <f>IF(ISNUMBER(SEARCH(SUBSTITUTE(AM$1,RIGHT(AM$1,2),""),VLOOKUP($D303,素材!$1:$1016,COLUMN($F$1),FALSE))),VLOOKUP($C303,武器!$1:$998,COLUMN($O$1),FALSE)*VLOOKUP($D303,素材!$1:$1016,COLUMN($E$1),FALSE)/(LEN(VLOOKUP($D303,素材!$1:$1016,COLUMN($F$1),FALSE))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N303">
        <f>IF(ISNUMBER(SEARCH(SUBSTITUTE(AN$1,RIGHT(AN$1,2),""),VLOOKUP($D303,素材!$1:$1016,COLUMN($F$1),FALSE))),VLOOKUP($C303,武器!$1:$998,COLUMN($O$1),FALSE)*VLOOKUP($D303,素材!$1:$1016,COLUMN($E$1),FALSE)/(LEN(VLOOKUP($D303,素材!$1:$1016,COLUMN($F$1),FALSE))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O303">
        <f>IF(ISNUMBER(SEARCH(SUBSTITUTE(AO$1,RIGHT(AO$1,2),""),VLOOKUP($D303,素材!$1:$1016,COLUMN($F$1),FALSE))),VLOOKUP($C303,武器!$1:$998,COLUMN($O$1),FALSE)*VLOOKUP($D303,素材!$1:$1016,COLUMN($E$1),FALSE)/(LEN(VLOOKUP($D303,素材!$1:$1016,COLUMN($F$1),FALSE))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P303">
        <f>IF(ISNUMBER(SEARCH(SUBSTITUTE(AP$1,RIGHT(AP$1,2),""),VLOOKUP($D303,素材!$1:$1016,COLUMN($F$1),FALSE))),VLOOKUP($C303,武器!$1:$998,COLUMN($O$1),FALSE)*VLOOKUP($D303,素材!$1:$1016,COLUMN($E$1),FALSE)/(LEN(VLOOKUP($D303,素材!$1:$1016,COLUMN($F$1),FALSE))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Q303">
        <f>IF(ISNUMBER(SEARCH(SUBSTITUTE(AQ$1,RIGHT(AQ$1,2),""),VLOOKUP($D303,素材!$1:$1016,COLUMN($F$1),FALSE))),VLOOKUP($C303,武器!$1:$998,COLUMN($O$1),FALSE)*VLOOKUP($D303,素材!$1:$1016,COLUMN($E$1),FALSE)/(LEN(VLOOKUP($D303,素材!$1:$1016,COLUMN($F$1),FALSE))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R303">
        <f>IF(ISNUMBER(SEARCH(SUBSTITUTE(AR$1,RIGHT(AR$1,2),""),VLOOKUP($D303,素材!$1:$1016,COLUMN($F$1),FALSE))),VLOOKUP($C303,武器!$1:$998,COLUMN($O$1),FALSE)*VLOOKUP($D303,素材!$1:$1016,COLUMN($E$1),FALSE)/(LEN(VLOOKUP($D303,素材!$1:$1016,COLUMN($F$1),FALSE))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S303">
        <f>IF(ISNUMBER(SEARCH(SUBSTITUTE(AS$1,RIGHT(AS$1,2),""),VLOOKUP($D303,素材!$1:$1016,COLUMN($F$1),FALSE))),VLOOKUP($C303,武器!$1:$998,COLUMN($O$1),FALSE)*VLOOKUP($D303,素材!$1:$1016,COLUMN($E$1),FALSE)/(LEN(VLOOKUP($D303,素材!$1:$1016,COLUMN($F$1),FALSE))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T303">
        <f>IF(ISNUMBER(SEARCH(SUBSTITUTE(AT$1,RIGHT(AT$1,2),""),VLOOKUP($D303,素材!$1:$1016,COLUMN($F$1),FALSE))),VLOOKUP($C303,武器!$1:$998,COLUMN($O$1),FALSE)*VLOOKUP($D303,素材!$1:$1016,COLUMN($E$1),FALSE)/(LEN(VLOOKUP($D303,素材!$1:$1016,COLUMN($F$1),FALSE))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U303">
        <f>IF(ISNUMBER(SEARCH(SUBSTITUTE(AU$1,RIGHT(AU$1,2),""),VLOOKUP($D303,素材!$1:$1016,COLUMN($F$1),FALSE))),VLOOKUP($C303,武器!$1:$998,COLUMN($O$1),FALSE)*VLOOKUP($D303,素材!$1:$1016,COLUMN($E$1),FALSE)/(LEN(VLOOKUP($D303,素材!$1:$1016,COLUMN($F$1),FALSE))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V303">
        <f>IF(ISNUMBER(SEARCH(SUBSTITUTE(AV$1,RIGHT(AV$1,2),""),VLOOKUP($D303,素材!$1:$1016,COLUMN($F$1),FALSE))),VLOOKUP($C303,武器!$1:$998,COLUMN($O$1),FALSE)*VLOOKUP($D303,素材!$1:$1016,COLUMN($E$1),FALSE)/(LEN(VLOOKUP($D303,素材!$1:$1016,COLUMN($F$1),FALSE))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W303">
        <f>IF(ISNUMBER(SEARCH(SUBSTITUTE(AW$1,RIGHT(AW$1,2),""),VLOOKUP($D303,素材!$1:$1016,COLUMN($F$1),FALSE))),VLOOKUP($C303,武器!$1:$998,COLUMN($O$1),FALSE)*VLOOKUP($D303,素材!$1:$1016,COLUMN($E$1),FALSE)/(LEN(VLOOKUP($D303,素材!$1:$1016,COLUMN($F$1),FALSE))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X303">
        <f>IF(ISNUMBER(SEARCH(SUBSTITUTE(AX$1,RIGHT(AX$1,2),""),VLOOKUP($D303,素材!$1:$1016,COLUMN($F$1),FALSE))),VLOOKUP($C303,武器!$1:$998,COLUMN($O$1),FALSE)*VLOOKUP($D303,素材!$1:$1016,COLUMN($E$1),FALSE)/(LEN(VLOOKUP($D303,素材!$1:$1016,COLUMN($F$1),FALSE))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Y303">
        <f>IF(ISNUMBER(SEARCH(SUBSTITUTE(AY$1,RIGHT(AY$1,2),""),VLOOKUP($D303,素材!$1:$1016,COLUMN($F$1),FALSE))),VLOOKUP($C303,武器!$1:$998,COLUMN($O$1),FALSE)*VLOOKUP($D303,素材!$1:$1016,COLUMN($E$1),FALSE)/(LEN(VLOOKUP($D303,素材!$1:$1016,COLUMN($F$1),FALSE))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AZ303">
        <f>IF(ISNUMBER(SEARCH(SUBSTITUTE(AZ$1,RIGHT(AZ$1,2),""),VLOOKUP($D303,素材!$1:$1016,COLUMN($F$1),FALSE))),VLOOKUP($C303,武器!$1:$998,COLUMN($O$1),FALSE)*VLOOKUP($D303,素材!$1:$1016,COLUMN($E$1),FALSE)/(LEN(VLOOKUP($D303,素材!$1:$1016,COLUMN($F$1),FALSE))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BA303">
        <f>IF(ISNUMBER(SEARCH(SUBSTITUTE(BA$1,RIGHT(BA$1,2),""),VLOOKUP($D303,素材!$1:$1016,COLUMN($F$1),FALSE))),VLOOKUP($C303,武器!$1:$998,COLUMN($O$1),FALSE)*VLOOKUP($D303,素材!$1:$1016,COLUMN($E$1),FALSE)/(LEN(VLOOKUP($D303,素材!$1:$1016,COLUMN($F$1),FALSE))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BB303">
        <f>IF(ISNUMBER(SEARCH(SUBSTITUTE(BB$1,RIGHT(BB$1,2),""),VLOOKUP($D303,素材!$1:$1016,COLUMN($F$1),FALSE))),VLOOKUP($C303,武器!$1:$998,COLUMN($O$1),FALSE)*VLOOKUP($D303,素材!$1:$1016,COLUMN($E$1),FALSE)/(LEN(VLOOKUP($D303,素材!$1:$1016,COLUMN($F$1),FALSE))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BC303">
        <f>IF(ISNUMBER(SEARCH(SUBSTITUTE(BC$1,RIGHT(BC$1,2),""),VLOOKUP($D303,素材!$1:$1016,COLUMN($F$1),FALSE))),VLOOKUP($C303,武器!$1:$998,COLUMN($O$1),FALSE)*VLOOKUP($D303,素材!$1:$1016,COLUMN($E$1),FALSE)/(LEN(VLOOKUP($D303,素材!$1:$1016,COLUMN($F$1),FALSE))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BD303">
        <f>IF(ISNUMBER(SEARCH(SUBSTITUTE(BD$1,RIGHT(BD$1,2),""),VLOOKUP($D303,素材!$1:$1016,COLUMN($F$1),FALSE))),VLOOKUP($C303,武器!$1:$998,COLUMN($O$1),FALSE)*VLOOKUP($D303,素材!$1:$1016,COLUMN($E$1),FALSE)/(LEN(VLOOKUP($D303,素材!$1:$1016,COLUMN($F$1),FALSE))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BE303">
        <f>IF(ISNUMBER(SEARCH(SUBSTITUTE(BE$1,RIGHT(BE$1,2),""),VLOOKUP($D303,素材!$1:$1016,COLUMN($F$1),FALSE))),VLOOKUP($C303,武器!$1:$998,COLUMN($O$1),FALSE)*VLOOKUP($D303,素材!$1:$1016,COLUMN($E$1),FALSE)/(LEN(VLOOKUP($D303,素材!$1:$1016,COLUMN($F$1),FALSE))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BF303">
        <f>IF(ISNUMBER(SEARCH(SUBSTITUTE(BF$1,RIGHT(BF$1,2),""),VLOOKUP($D303,素材!$1:$1016,COLUMN($F$1),FALSE))),VLOOKUP($C303,武器!$1:$998,COLUMN($O$1),FALSE)*VLOOKUP($D303,素材!$1:$1016,COLUMN($E$1),FALSE)/(LEN(VLOOKUP($D303,素材!$1:$1016,COLUMN($F$1),FALSE)) - LEN(SUBSTITUTE(VLOOKUP($D303,素材!$1:$1016,COLUMN($F$1),FALSE), "・", 0)) + 1), 0)</f>
        <v>0</v>
      </c>
      <c r="CM303">
        <f t="shared" si="36"/>
        <v>0</v>
      </c>
      <c r="CN303" s="22" t="str">
        <f>IF(E303="武器",IF(J303-1&gt;SUM(G303:I303),"盾",IF(MAX(G303:I303)=G303,"切断",IF(MAX(G303:I303)=H303,"貫通",IF(MAX(G303:I303)=I303,"打撃","射撃")))),E303)&amp;".webp"</f>
        <v>.webp</v>
      </c>
      <c r="CO303" t="str">
        <f>IFERROR(VLOOKUP($C303,武器!$1:$998,COLUMN(V$1),FALSE)*VLOOKUP($D303,素材!$1:$1016,COLUMN(N$1),FALSE)+IF(CJ303="",0,VLOOKUP($CJ303,装強!$1:$1008,COLUMN($CL$1),FALSE)),"")</f>
        <v/>
      </c>
      <c r="CP303" t="e">
        <f>VLOOKUP(D303,素材!$A:$O,COLUMN(素材!O$1),FALSE)</f>
        <v>#N/A</v>
      </c>
      <c r="CQ303" t="e">
        <f>VLOOKUP(C303,武器!$A:$W,COLUMN(武器!W$1),FALSE)</f>
        <v>#N/A</v>
      </c>
      <c r="CS303" t="str">
        <f t="shared" si="37"/>
        <v>e_303</v>
      </c>
      <c r="CT303" t="e">
        <f t="shared" si="38"/>
        <v>#VALUE!</v>
      </c>
    </row>
    <row r="304" spans="1:98" hidden="1" outlineLevel="1" x14ac:dyDescent="0.4">
      <c r="A304" t="str">
        <f>IF(CJ304="",D304&amp;"の"&amp;C304,CJ304&amp;"の"&amp;C304)</f>
        <v>の</v>
      </c>
      <c r="B304" t="str">
        <f>IFERROR(IF(CJ304="",VLOOKUP($D304,素材!$1:$1016,COLUMN($B$1),FALSE)&amp;"・"&amp;VLOOKUP($C304,武器!$1:$998,COLUMN(B$1),FALSE),VLOOKUP($CJ304,装強!$1:$1008,COLUMN($B$1),FALSE)&amp;"・"&amp;VLOOKUP($C304,武器!$1:$998,COLUMN(B$1),FALSE)),"")</f>
        <v/>
      </c>
      <c r="C304" s="24"/>
      <c r="D304" s="24"/>
      <c r="E304" t="str">
        <f>IFERROR(VLOOKUP(C304,武器!$1:$998,COLUMN(C$1),FALSE),"")</f>
        <v/>
      </c>
      <c r="F304" t="str">
        <f>IFERROR(ROUNDDOWN((VLOOKUP($C304,武器!$1:$998,COLUMN(D$1),FALSE)+IFERROR(VLOOKUP($CJ304,装強!$1:$999,COLUMN(F$1),FALSE),0))*VLOOKUP($D304,素材!$1:$1016,COLUMN(D$1),FALSE),0),"")</f>
        <v/>
      </c>
      <c r="G304" t="str">
        <f>IFERROR(ROUNDDOWN((VLOOKUP($C304,武器!$1:$998,COLUMN(E$1),FALSE)+IFERROR(VLOOKUP($CJ304,装強!$1:$999,COLUMN(G$1),FALSE),0))*VLOOKUP($D304,素材!$1:$1016,COLUMN($E$1),FALSE),0),"")</f>
        <v/>
      </c>
      <c r="H304" t="str">
        <f>IFERROR(ROUNDDOWN((VLOOKUP($C304,武器!$1:$998,COLUMN(F$1),FALSE)+IFERROR(VLOOKUP($CJ304,装強!$1:$999,COLUMN(H$1),FALSE),0))*VLOOKUP($D304,素材!$1:$1016,COLUMN($E$1),FALSE),0),"")</f>
        <v/>
      </c>
      <c r="I304" t="str">
        <f>IFERROR(ROUNDDOWN((VLOOKUP($C304,武器!$1:$998,COLUMN(G$1),FALSE)+IFERROR(VLOOKUP($CJ304,装強!$1:$999,COLUMN(I$1),FALSE),0))*VLOOKUP($D304,素材!$1:$1016,COLUMN($E$1),FALSE),0),"")</f>
        <v/>
      </c>
      <c r="J304" t="str">
        <f>IFERROR(ROUNDDOWN((VLOOKUP($C304,武器!$1:$998,COLUMN(H$1),FALSE)+IFERROR(VLOOKUP($CJ304,装強!$1:$999,COLUMN(J$1),FALSE),0))*VLOOKUP($D304,素材!$1:$1016,COLUMN($E$1),FALSE),0),"")</f>
        <v/>
      </c>
      <c r="K304" t="str">
        <f>IFERROR(ROUNDDOWN((VLOOKUP($C304,武器!$1:$998,COLUMN(I$1),FALSE)+IFERROR(VLOOKUP($CJ304,装強!$1:$999,COLUMN(K$1),FALSE),0))*VLOOKUP($D304,素材!$1:$1016,COLUMN($E$1),FALSE),0),"")</f>
        <v/>
      </c>
      <c r="L304" t="str">
        <f>IFERROR(VLOOKUP($D304,素材!$1:$1016,COLUMN($F$1),FALSE),"")</f>
        <v/>
      </c>
      <c r="M304" t="str">
        <f>IFERROR(VLOOKUP($C304,武器!$1:$998,COLUMN(AA$1),FALSE)*VLOOKUP($D304,素材!$1:$1016,COLUMN($G$1),FALSE),"")</f>
        <v/>
      </c>
      <c r="N304" t="str">
        <f>IFERROR(VLOOKUP($C304,武器!$1:$998,COLUMN(I$1),FALSE),"")</f>
        <v/>
      </c>
      <c r="O304" s="23" t="str">
        <f>IFERROR((VLOOKUP($C304,武器!$1:$998,COLUMN(K$1),FALSE)+VLOOKUP($D304,素材!$1:$1016,COLUMN(H$1),FALSE))*100+IFERROR(VLOOKUP($CJ304,装強!$1:$999,COLUMN(O$1),FALSE),0),"")</f>
        <v/>
      </c>
      <c r="P304" s="23" t="str">
        <f>IFERROR((VLOOKUP($C304,武器!$1:$998,COLUMN(L$1),FALSE)+VLOOKUP($D304,素材!$1:$1016,COLUMN(I$1),FALSE))*100+IFERROR(VLOOKUP($CJ304,装強!$1:$999,COLUMN(P$1),FALSE),0),"")</f>
        <v/>
      </c>
      <c r="Q304" t="str">
        <f>IFERROR(ROUNDUP(VLOOKUP($C304,武器!$1:$998,COLUMN(M$1),FALSE)*(VLOOKUP($D304,素材!$1:$1002,COLUMN(D$1),FALSE)/100),1),"")</f>
        <v/>
      </c>
      <c r="R304" t="str">
        <f>IFERROR(ROUNDUP(VLOOKUP($C304,武器!$1:$998,COLUMN(N$1),FALSE)*(VLOOKUP($D304,素材!$1:$1002,COLUMN(D$1),FALSE)/100),1),"")</f>
        <v/>
      </c>
      <c r="S304" t="str">
        <f>IFERROR(VLOOKUP($C304,武器!$1:$998,COLUMN(P$1),FALSE),"")</f>
        <v/>
      </c>
      <c r="T304" t="str">
        <f>IFERROR(VLOOKUP($C304,武器!$1:$998,COLUMN(Q$1),FALSE),"")</f>
        <v/>
      </c>
      <c r="U304" t="str">
        <f>IFERROR(VLOOKUP($C304,武器!$1:$998,COLUMN(R$1),FALSE),"")</f>
        <v/>
      </c>
      <c r="V304" t="str">
        <f>IFERROR(VLOOKUP($C304,武器!$1:$998,COLUMN(Q$1),FALSE),"")</f>
        <v/>
      </c>
      <c r="W304" t="str">
        <f>IFERROR(VLOOKUP($C304,武器!$1:$998,COLUMN(T$1),FALSE),"")</f>
        <v/>
      </c>
      <c r="Y304" t="str">
        <f>IFERROR(VLOOKUP($C304,武器!$1:$998,COLUMN(U$1),FALSE),"")</f>
        <v/>
      </c>
      <c r="Z304" t="str">
        <f>IFERROR(ROUNDUP(VLOOKUP($C304,武器!$1:$998,COLUMN(O$1),FALSE)*VLOOKUP($D304,素材!$1:$1016,COLUMN(E$1),FALSE),1),"")</f>
        <v/>
      </c>
      <c r="AA304">
        <f>IF(ISNUMBER(SEARCH(SUBSTITUTE(AA$1,RIGHT(AA$1,2),""),VLOOKUP($D304,素材!$1:$1016,COLUMN($F$1),FALSE))),VLOOKUP($C304,武器!$1:$998,COLUMN($O$1),FALSE)*VLOOKUP($D304,素材!$1:$1016,COLUMN($E$1),FALSE)/(LEN(VLOOKUP($D304,素材!$1:$1016,COLUMN($F$1),FALSE))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B304">
        <f>IF(ISNUMBER(SEARCH(SUBSTITUTE(AB$1,RIGHT(AB$1,2),""),VLOOKUP($D304,素材!$1:$1016,COLUMN($F$1),FALSE))),VLOOKUP($C304,武器!$1:$998,COLUMN($O$1),FALSE)*VLOOKUP($D304,素材!$1:$1016,COLUMN($E$1),FALSE)/(LEN(VLOOKUP($D304,素材!$1:$1016,COLUMN($F$1),FALSE))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C304">
        <f>IF(ISNUMBER(SEARCH(SUBSTITUTE(AC$1,RIGHT(AC$1,2),""),VLOOKUP($D304,素材!$1:$1016,COLUMN($F$1),FALSE))),VLOOKUP($C304,武器!$1:$998,COLUMN($O$1),FALSE)*VLOOKUP($D304,素材!$1:$1016,COLUMN($E$1),FALSE)/(LEN(VLOOKUP($D304,素材!$1:$1016,COLUMN($F$1),FALSE))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D304">
        <f>IF(ISNUMBER(SEARCH(SUBSTITUTE(AD$1,RIGHT(AD$1,2),""),VLOOKUP($D304,素材!$1:$1016,COLUMN($F$1),FALSE))),VLOOKUP($C304,武器!$1:$998,COLUMN($O$1),FALSE)*VLOOKUP($D304,素材!$1:$1016,COLUMN($E$1),FALSE)/(LEN(VLOOKUP($D304,素材!$1:$1016,COLUMN($F$1),FALSE))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E304">
        <f>IF(ISNUMBER(SEARCH(SUBSTITUTE(AE$1,RIGHT(AE$1,2),""),VLOOKUP($D304,素材!$1:$1016,COLUMN($F$1),FALSE))),VLOOKUP($C304,武器!$1:$998,COLUMN($O$1),FALSE)*VLOOKUP($D304,素材!$1:$1016,COLUMN($E$1),FALSE)/(LEN(VLOOKUP($D304,素材!$1:$1016,COLUMN($F$1),FALSE))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F304">
        <f>IF(ISNUMBER(SEARCH(SUBSTITUTE(AF$1,RIGHT(AF$1,2),""),VLOOKUP($D304,素材!$1:$1016,COLUMN($F$1),FALSE))),VLOOKUP($C304,武器!$1:$998,COLUMN($O$1),FALSE)*VLOOKUP($D304,素材!$1:$1016,COLUMN($E$1),FALSE)/(LEN(VLOOKUP($D304,素材!$1:$1016,COLUMN($F$1),FALSE))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G304">
        <f>IF(ISNUMBER(SEARCH(SUBSTITUTE(AG$1,RIGHT(AG$1,2),""),VLOOKUP($D304,素材!$1:$1016,COLUMN($F$1),FALSE))),VLOOKUP($C304,武器!$1:$998,COLUMN($O$1),FALSE)*VLOOKUP($D304,素材!$1:$1016,COLUMN($E$1),FALSE)/(LEN(VLOOKUP($D304,素材!$1:$1016,COLUMN($F$1),FALSE))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H304">
        <f>IF(ISNUMBER(SEARCH(SUBSTITUTE(AH$1,RIGHT(AH$1,2),""),VLOOKUP($D304,素材!$1:$1016,COLUMN($F$1),FALSE))),VLOOKUP($C304,武器!$1:$998,COLUMN($O$1),FALSE)*VLOOKUP($D304,素材!$1:$1016,COLUMN($E$1),FALSE)/(LEN(VLOOKUP($D304,素材!$1:$1016,COLUMN($F$1),FALSE))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I304">
        <f>IF(ISNUMBER(SEARCH(SUBSTITUTE(AI$1,RIGHT(AI$1,2),""),VLOOKUP($D304,素材!$1:$1016,COLUMN($F$1),FALSE))),VLOOKUP($C304,武器!$1:$998,COLUMN($O$1),FALSE)*VLOOKUP($D304,素材!$1:$1016,COLUMN($E$1),FALSE)/(LEN(VLOOKUP($D304,素材!$1:$1016,COLUMN($F$1),FALSE))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J304">
        <f>IF(ISNUMBER(SEARCH(SUBSTITUTE(AJ$1,RIGHT(AJ$1,2),""),VLOOKUP($D304,素材!$1:$1016,COLUMN($F$1),FALSE))),VLOOKUP($C304,武器!$1:$998,COLUMN($O$1),FALSE)*VLOOKUP($D304,素材!$1:$1016,COLUMN($E$1),FALSE)/(LEN(VLOOKUP($D304,素材!$1:$1016,COLUMN($F$1),FALSE))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K304">
        <f>IF(ISNUMBER(SEARCH(SUBSTITUTE(AK$1,RIGHT(AK$1,2),""),VLOOKUP($D304,素材!$1:$1016,COLUMN($F$1),FALSE))),VLOOKUP($C304,武器!$1:$998,COLUMN($O$1),FALSE)*VLOOKUP($D304,素材!$1:$1016,COLUMN($E$1),FALSE)/(LEN(VLOOKUP($D304,素材!$1:$1016,COLUMN($F$1),FALSE))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L304">
        <f>IF(ISNUMBER(SEARCH(SUBSTITUTE(AL$1,RIGHT(AL$1,2),""),VLOOKUP($D304,素材!$1:$1016,COLUMN($F$1),FALSE))),VLOOKUP($C304,武器!$1:$998,COLUMN($O$1),FALSE)*VLOOKUP($D304,素材!$1:$1016,COLUMN($E$1),FALSE)/(LEN(VLOOKUP($D304,素材!$1:$1016,COLUMN($F$1),FALSE))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M304">
        <f>IF(ISNUMBER(SEARCH(SUBSTITUTE(AM$1,RIGHT(AM$1,2),""),VLOOKUP($D304,素材!$1:$1016,COLUMN($F$1),FALSE))),VLOOKUP($C304,武器!$1:$998,COLUMN($O$1),FALSE)*VLOOKUP($D304,素材!$1:$1016,COLUMN($E$1),FALSE)/(LEN(VLOOKUP($D304,素材!$1:$1016,COLUMN($F$1),FALSE))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N304">
        <f>IF(ISNUMBER(SEARCH(SUBSTITUTE(AN$1,RIGHT(AN$1,2),""),VLOOKUP($D304,素材!$1:$1016,COLUMN($F$1),FALSE))),VLOOKUP($C304,武器!$1:$998,COLUMN($O$1),FALSE)*VLOOKUP($D304,素材!$1:$1016,COLUMN($E$1),FALSE)/(LEN(VLOOKUP($D304,素材!$1:$1016,COLUMN($F$1),FALSE))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O304">
        <f>IF(ISNUMBER(SEARCH(SUBSTITUTE(AO$1,RIGHT(AO$1,2),""),VLOOKUP($D304,素材!$1:$1016,COLUMN($F$1),FALSE))),VLOOKUP($C304,武器!$1:$998,COLUMN($O$1),FALSE)*VLOOKUP($D304,素材!$1:$1016,COLUMN($E$1),FALSE)/(LEN(VLOOKUP($D304,素材!$1:$1016,COLUMN($F$1),FALSE))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P304">
        <f>IF(ISNUMBER(SEARCH(SUBSTITUTE(AP$1,RIGHT(AP$1,2),""),VLOOKUP($D304,素材!$1:$1016,COLUMN($F$1),FALSE))),VLOOKUP($C304,武器!$1:$998,COLUMN($O$1),FALSE)*VLOOKUP($D304,素材!$1:$1016,COLUMN($E$1),FALSE)/(LEN(VLOOKUP($D304,素材!$1:$1016,COLUMN($F$1),FALSE))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Q304">
        <f>IF(ISNUMBER(SEARCH(SUBSTITUTE(AQ$1,RIGHT(AQ$1,2),""),VLOOKUP($D304,素材!$1:$1016,COLUMN($F$1),FALSE))),VLOOKUP($C304,武器!$1:$998,COLUMN($O$1),FALSE)*VLOOKUP($D304,素材!$1:$1016,COLUMN($E$1),FALSE)/(LEN(VLOOKUP($D304,素材!$1:$1016,COLUMN($F$1),FALSE))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R304">
        <f>IF(ISNUMBER(SEARCH(SUBSTITUTE(AR$1,RIGHT(AR$1,2),""),VLOOKUP($D304,素材!$1:$1016,COLUMN($F$1),FALSE))),VLOOKUP($C304,武器!$1:$998,COLUMN($O$1),FALSE)*VLOOKUP($D304,素材!$1:$1016,COLUMN($E$1),FALSE)/(LEN(VLOOKUP($D304,素材!$1:$1016,COLUMN($F$1),FALSE))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S304">
        <f>IF(ISNUMBER(SEARCH(SUBSTITUTE(AS$1,RIGHT(AS$1,2),""),VLOOKUP($D304,素材!$1:$1016,COLUMN($F$1),FALSE))),VLOOKUP($C304,武器!$1:$998,COLUMN($O$1),FALSE)*VLOOKUP($D304,素材!$1:$1016,COLUMN($E$1),FALSE)/(LEN(VLOOKUP($D304,素材!$1:$1016,COLUMN($F$1),FALSE))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T304">
        <f>IF(ISNUMBER(SEARCH(SUBSTITUTE(AT$1,RIGHT(AT$1,2),""),VLOOKUP($D304,素材!$1:$1016,COLUMN($F$1),FALSE))),VLOOKUP($C304,武器!$1:$998,COLUMN($O$1),FALSE)*VLOOKUP($D304,素材!$1:$1016,COLUMN($E$1),FALSE)/(LEN(VLOOKUP($D304,素材!$1:$1016,COLUMN($F$1),FALSE))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U304">
        <f>IF(ISNUMBER(SEARCH(SUBSTITUTE(AU$1,RIGHT(AU$1,2),""),VLOOKUP($D304,素材!$1:$1016,COLUMN($F$1),FALSE))),VLOOKUP($C304,武器!$1:$998,COLUMN($O$1),FALSE)*VLOOKUP($D304,素材!$1:$1016,COLUMN($E$1),FALSE)/(LEN(VLOOKUP($D304,素材!$1:$1016,COLUMN($F$1),FALSE))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V304">
        <f>IF(ISNUMBER(SEARCH(SUBSTITUTE(AV$1,RIGHT(AV$1,2),""),VLOOKUP($D304,素材!$1:$1016,COLUMN($F$1),FALSE))),VLOOKUP($C304,武器!$1:$998,COLUMN($O$1),FALSE)*VLOOKUP($D304,素材!$1:$1016,COLUMN($E$1),FALSE)/(LEN(VLOOKUP($D304,素材!$1:$1016,COLUMN($F$1),FALSE))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W304">
        <f>IF(ISNUMBER(SEARCH(SUBSTITUTE(AW$1,RIGHT(AW$1,2),""),VLOOKUP($D304,素材!$1:$1016,COLUMN($F$1),FALSE))),VLOOKUP($C304,武器!$1:$998,COLUMN($O$1),FALSE)*VLOOKUP($D304,素材!$1:$1016,COLUMN($E$1),FALSE)/(LEN(VLOOKUP($D304,素材!$1:$1016,COLUMN($F$1),FALSE))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X304">
        <f>IF(ISNUMBER(SEARCH(SUBSTITUTE(AX$1,RIGHT(AX$1,2),""),VLOOKUP($D304,素材!$1:$1016,COLUMN($F$1),FALSE))),VLOOKUP($C304,武器!$1:$998,COLUMN($O$1),FALSE)*VLOOKUP($D304,素材!$1:$1016,COLUMN($E$1),FALSE)/(LEN(VLOOKUP($D304,素材!$1:$1016,COLUMN($F$1),FALSE))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Y304">
        <f>IF(ISNUMBER(SEARCH(SUBSTITUTE(AY$1,RIGHT(AY$1,2),""),VLOOKUP($D304,素材!$1:$1016,COLUMN($F$1),FALSE))),VLOOKUP($C304,武器!$1:$998,COLUMN($O$1),FALSE)*VLOOKUP($D304,素材!$1:$1016,COLUMN($E$1),FALSE)/(LEN(VLOOKUP($D304,素材!$1:$1016,COLUMN($F$1),FALSE))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AZ304">
        <f>IF(ISNUMBER(SEARCH(SUBSTITUTE(AZ$1,RIGHT(AZ$1,2),""),VLOOKUP($D304,素材!$1:$1016,COLUMN($F$1),FALSE))),VLOOKUP($C304,武器!$1:$998,COLUMN($O$1),FALSE)*VLOOKUP($D304,素材!$1:$1016,COLUMN($E$1),FALSE)/(LEN(VLOOKUP($D304,素材!$1:$1016,COLUMN($F$1),FALSE))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BA304">
        <f>IF(ISNUMBER(SEARCH(SUBSTITUTE(BA$1,RIGHT(BA$1,2),""),VLOOKUP($D304,素材!$1:$1016,COLUMN($F$1),FALSE))),VLOOKUP($C304,武器!$1:$998,COLUMN($O$1),FALSE)*VLOOKUP($D304,素材!$1:$1016,COLUMN($E$1),FALSE)/(LEN(VLOOKUP($D304,素材!$1:$1016,COLUMN($F$1),FALSE))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BB304">
        <f>IF(ISNUMBER(SEARCH(SUBSTITUTE(BB$1,RIGHT(BB$1,2),""),VLOOKUP($D304,素材!$1:$1016,COLUMN($F$1),FALSE))),VLOOKUP($C304,武器!$1:$998,COLUMN($O$1),FALSE)*VLOOKUP($D304,素材!$1:$1016,COLUMN($E$1),FALSE)/(LEN(VLOOKUP($D304,素材!$1:$1016,COLUMN($F$1),FALSE))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BC304">
        <f>IF(ISNUMBER(SEARCH(SUBSTITUTE(BC$1,RIGHT(BC$1,2),""),VLOOKUP($D304,素材!$1:$1016,COLUMN($F$1),FALSE))),VLOOKUP($C304,武器!$1:$998,COLUMN($O$1),FALSE)*VLOOKUP($D304,素材!$1:$1016,COLUMN($E$1),FALSE)/(LEN(VLOOKUP($D304,素材!$1:$1016,COLUMN($F$1),FALSE))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BD304">
        <f>IF(ISNUMBER(SEARCH(SUBSTITUTE(BD$1,RIGHT(BD$1,2),""),VLOOKUP($D304,素材!$1:$1016,COLUMN($F$1),FALSE))),VLOOKUP($C304,武器!$1:$998,COLUMN($O$1),FALSE)*VLOOKUP($D304,素材!$1:$1016,COLUMN($E$1),FALSE)/(LEN(VLOOKUP($D304,素材!$1:$1016,COLUMN($F$1),FALSE))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BE304">
        <f>IF(ISNUMBER(SEARCH(SUBSTITUTE(BE$1,RIGHT(BE$1,2),""),VLOOKUP($D304,素材!$1:$1016,COLUMN($F$1),FALSE))),VLOOKUP($C304,武器!$1:$998,COLUMN($O$1),FALSE)*VLOOKUP($D304,素材!$1:$1016,COLUMN($E$1),FALSE)/(LEN(VLOOKUP($D304,素材!$1:$1016,COLUMN($F$1),FALSE))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BF304">
        <f>IF(ISNUMBER(SEARCH(SUBSTITUTE(BF$1,RIGHT(BF$1,2),""),VLOOKUP($D304,素材!$1:$1016,COLUMN($F$1),FALSE))),VLOOKUP($C304,武器!$1:$998,COLUMN($O$1),FALSE)*VLOOKUP($D304,素材!$1:$1016,COLUMN($E$1),FALSE)/(LEN(VLOOKUP($D304,素材!$1:$1016,COLUMN($F$1),FALSE)) - LEN(SUBSTITUTE(VLOOKUP($D304,素材!$1:$1016,COLUMN($F$1),FALSE), "・", 0)) + 1), 0)</f>
        <v>0</v>
      </c>
      <c r="CM304">
        <f t="shared" si="36"/>
        <v>0</v>
      </c>
      <c r="CN304" s="22" t="str">
        <f>IF(E304="武器",IF(J304-1&gt;SUM(G304:I304),"盾",IF(MAX(G304:I304)=G304,"切断",IF(MAX(G304:I304)=H304,"貫通",IF(MAX(G304:I304)=I304,"打撃","射撃")))),E304)&amp;".webp"</f>
        <v>.webp</v>
      </c>
      <c r="CO304" t="str">
        <f>IFERROR(VLOOKUP($C304,武器!$1:$998,COLUMN(V$1),FALSE)*VLOOKUP($D304,素材!$1:$1016,COLUMN(N$1),FALSE)+IF(CJ304="",0,VLOOKUP($CJ304,装強!$1:$1008,COLUMN($CL$1),FALSE)),"")</f>
        <v/>
      </c>
      <c r="CP304" t="e">
        <f>VLOOKUP(D304,素材!$A:$O,COLUMN(素材!O$1),FALSE)</f>
        <v>#N/A</v>
      </c>
      <c r="CQ304" t="e">
        <f>VLOOKUP(C304,武器!$A:$W,COLUMN(武器!W$1),FALSE)</f>
        <v>#N/A</v>
      </c>
      <c r="CS304" t="str">
        <f t="shared" si="37"/>
        <v>e_304</v>
      </c>
      <c r="CT304" t="e">
        <f t="shared" si="38"/>
        <v>#VALUE!</v>
      </c>
    </row>
    <row r="305" spans="1:98" hidden="1" outlineLevel="1" x14ac:dyDescent="0.4">
      <c r="A305" t="str">
        <f>IF(CJ305="",D305&amp;"の"&amp;C305,CJ305&amp;"の"&amp;C305)</f>
        <v>の</v>
      </c>
      <c r="B305" t="str">
        <f>IFERROR(IF(CJ305="",VLOOKUP($D305,素材!$1:$1016,COLUMN($B$1),FALSE)&amp;"・"&amp;VLOOKUP($C305,武器!$1:$998,COLUMN(B$1),FALSE),VLOOKUP($CJ305,装強!$1:$1008,COLUMN($B$1),FALSE)&amp;"・"&amp;VLOOKUP($C305,武器!$1:$998,COLUMN(B$1),FALSE)),"")</f>
        <v/>
      </c>
      <c r="C305" s="24"/>
      <c r="D305" s="24"/>
      <c r="E305" t="str">
        <f>IFERROR(VLOOKUP(C305,武器!$1:$998,COLUMN(C$1),FALSE),"")</f>
        <v/>
      </c>
      <c r="F305" t="str">
        <f>IFERROR(ROUNDDOWN((VLOOKUP($C305,武器!$1:$998,COLUMN(D$1),FALSE)+IFERROR(VLOOKUP($CJ305,装強!$1:$999,COLUMN(F$1),FALSE),0))*VLOOKUP($D305,素材!$1:$1016,COLUMN(D$1),FALSE),0),"")</f>
        <v/>
      </c>
      <c r="G305" t="str">
        <f>IFERROR(ROUNDDOWN((VLOOKUP($C305,武器!$1:$998,COLUMN(E$1),FALSE)+IFERROR(VLOOKUP($CJ305,装強!$1:$999,COLUMN(G$1),FALSE),0))*VLOOKUP($D305,素材!$1:$1016,COLUMN($E$1),FALSE),0),"")</f>
        <v/>
      </c>
      <c r="H305" t="str">
        <f>IFERROR(ROUNDDOWN((VLOOKUP($C305,武器!$1:$998,COLUMN(F$1),FALSE)+IFERROR(VLOOKUP($CJ305,装強!$1:$999,COLUMN(H$1),FALSE),0))*VLOOKUP($D305,素材!$1:$1016,COLUMN($E$1),FALSE),0),"")</f>
        <v/>
      </c>
      <c r="I305" t="str">
        <f>IFERROR(ROUNDDOWN((VLOOKUP($C305,武器!$1:$998,COLUMN(G$1),FALSE)+IFERROR(VLOOKUP($CJ305,装強!$1:$999,COLUMN(I$1),FALSE),0))*VLOOKUP($D305,素材!$1:$1016,COLUMN($E$1),FALSE),0),"")</f>
        <v/>
      </c>
      <c r="J305" t="str">
        <f>IFERROR(ROUNDDOWN((VLOOKUP($C305,武器!$1:$998,COLUMN(H$1),FALSE)+IFERROR(VLOOKUP($CJ305,装強!$1:$999,COLUMN(J$1),FALSE),0))*VLOOKUP($D305,素材!$1:$1016,COLUMN($E$1),FALSE),0),"")</f>
        <v/>
      </c>
      <c r="K305" t="str">
        <f>IFERROR(ROUNDDOWN((VLOOKUP($C305,武器!$1:$998,COLUMN(I$1),FALSE)+IFERROR(VLOOKUP($CJ305,装強!$1:$999,COLUMN(K$1),FALSE),0))*VLOOKUP($D305,素材!$1:$1016,COLUMN($E$1),FALSE),0),"")</f>
        <v/>
      </c>
      <c r="L305" t="str">
        <f>IFERROR(VLOOKUP($D305,素材!$1:$1016,COLUMN($F$1),FALSE),"")</f>
        <v/>
      </c>
      <c r="M305" t="str">
        <f>IFERROR(VLOOKUP($C305,武器!$1:$998,COLUMN(AA$1),FALSE)*VLOOKUP($D305,素材!$1:$1016,COLUMN($G$1),FALSE),"")</f>
        <v/>
      </c>
      <c r="N305" t="str">
        <f>IFERROR(VLOOKUP($C305,武器!$1:$998,COLUMN(I$1),FALSE),"")</f>
        <v/>
      </c>
      <c r="O305" s="23" t="str">
        <f>IFERROR((VLOOKUP($C305,武器!$1:$998,COLUMN(K$1),FALSE)+VLOOKUP($D305,素材!$1:$1016,COLUMN(H$1),FALSE))*100+IFERROR(VLOOKUP($CJ305,装強!$1:$999,COLUMN(O$1),FALSE),0),"")</f>
        <v/>
      </c>
      <c r="P305" s="23" t="str">
        <f>IFERROR((VLOOKUP($C305,武器!$1:$998,COLUMN(L$1),FALSE)+VLOOKUP($D305,素材!$1:$1016,COLUMN(I$1),FALSE))*100+IFERROR(VLOOKUP($CJ305,装強!$1:$999,COLUMN(P$1),FALSE),0),"")</f>
        <v/>
      </c>
      <c r="Q305" t="str">
        <f>IFERROR(ROUNDUP(VLOOKUP($C305,武器!$1:$998,COLUMN(M$1),FALSE)*(VLOOKUP($D305,素材!$1:$1002,COLUMN(D$1),FALSE)/100),1),"")</f>
        <v/>
      </c>
      <c r="R305" t="str">
        <f>IFERROR(ROUNDUP(VLOOKUP($C305,武器!$1:$998,COLUMN(N$1),FALSE)*(VLOOKUP($D305,素材!$1:$1002,COLUMN(D$1),FALSE)/100),1),"")</f>
        <v/>
      </c>
      <c r="S305" t="str">
        <f>IFERROR(VLOOKUP($C305,武器!$1:$998,COLUMN(P$1),FALSE),"")</f>
        <v/>
      </c>
      <c r="T305" t="str">
        <f>IFERROR(VLOOKUP($C305,武器!$1:$998,COLUMN(Q$1),FALSE),"")</f>
        <v/>
      </c>
      <c r="U305" t="str">
        <f>IFERROR(VLOOKUP($C305,武器!$1:$998,COLUMN(R$1),FALSE),"")</f>
        <v/>
      </c>
      <c r="V305" t="str">
        <f>IFERROR(VLOOKUP($C305,武器!$1:$998,COLUMN(Q$1),FALSE),"")</f>
        <v/>
      </c>
      <c r="W305" t="str">
        <f>IFERROR(VLOOKUP($C305,武器!$1:$998,COLUMN(T$1),FALSE),"")</f>
        <v/>
      </c>
      <c r="Y305" t="str">
        <f>IFERROR(VLOOKUP($C305,武器!$1:$998,COLUMN(U$1),FALSE),"")</f>
        <v/>
      </c>
      <c r="Z305" t="str">
        <f>IFERROR(ROUNDUP(VLOOKUP($C305,武器!$1:$998,COLUMN(O$1),FALSE)*VLOOKUP($D305,素材!$1:$1016,COLUMN(E$1),FALSE),1),"")</f>
        <v/>
      </c>
      <c r="AA305">
        <f>IF(ISNUMBER(SEARCH(SUBSTITUTE(AA$1,RIGHT(AA$1,2),""),VLOOKUP($D305,素材!$1:$1016,COLUMN($F$1),FALSE))),VLOOKUP($C305,武器!$1:$998,COLUMN($O$1),FALSE)*VLOOKUP($D305,素材!$1:$1016,COLUMN($E$1),FALSE)/(LEN(VLOOKUP($D305,素材!$1:$1016,COLUMN($F$1),FALSE))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B305">
        <f>IF(ISNUMBER(SEARCH(SUBSTITUTE(AB$1,RIGHT(AB$1,2),""),VLOOKUP($D305,素材!$1:$1016,COLUMN($F$1),FALSE))),VLOOKUP($C305,武器!$1:$998,COLUMN($O$1),FALSE)*VLOOKUP($D305,素材!$1:$1016,COLUMN($E$1),FALSE)/(LEN(VLOOKUP($D305,素材!$1:$1016,COLUMN($F$1),FALSE))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C305">
        <f>IF(ISNUMBER(SEARCH(SUBSTITUTE(AC$1,RIGHT(AC$1,2),""),VLOOKUP($D305,素材!$1:$1016,COLUMN($F$1),FALSE))),VLOOKUP($C305,武器!$1:$998,COLUMN($O$1),FALSE)*VLOOKUP($D305,素材!$1:$1016,COLUMN($E$1),FALSE)/(LEN(VLOOKUP($D305,素材!$1:$1016,COLUMN($F$1),FALSE))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D305">
        <f>IF(ISNUMBER(SEARCH(SUBSTITUTE(AD$1,RIGHT(AD$1,2),""),VLOOKUP($D305,素材!$1:$1016,COLUMN($F$1),FALSE))),VLOOKUP($C305,武器!$1:$998,COLUMN($O$1),FALSE)*VLOOKUP($D305,素材!$1:$1016,COLUMN($E$1),FALSE)/(LEN(VLOOKUP($D305,素材!$1:$1016,COLUMN($F$1),FALSE))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E305">
        <f>IF(ISNUMBER(SEARCH(SUBSTITUTE(AE$1,RIGHT(AE$1,2),""),VLOOKUP($D305,素材!$1:$1016,COLUMN($F$1),FALSE))),VLOOKUP($C305,武器!$1:$998,COLUMN($O$1),FALSE)*VLOOKUP($D305,素材!$1:$1016,COLUMN($E$1),FALSE)/(LEN(VLOOKUP($D305,素材!$1:$1016,COLUMN($F$1),FALSE))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F305">
        <f>IF(ISNUMBER(SEARCH(SUBSTITUTE(AF$1,RIGHT(AF$1,2),""),VLOOKUP($D305,素材!$1:$1016,COLUMN($F$1),FALSE))),VLOOKUP($C305,武器!$1:$998,COLUMN($O$1),FALSE)*VLOOKUP($D305,素材!$1:$1016,COLUMN($E$1),FALSE)/(LEN(VLOOKUP($D305,素材!$1:$1016,COLUMN($F$1),FALSE))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G305">
        <f>IF(ISNUMBER(SEARCH(SUBSTITUTE(AG$1,RIGHT(AG$1,2),""),VLOOKUP($D305,素材!$1:$1016,COLUMN($F$1),FALSE))),VLOOKUP($C305,武器!$1:$998,COLUMN($O$1),FALSE)*VLOOKUP($D305,素材!$1:$1016,COLUMN($E$1),FALSE)/(LEN(VLOOKUP($D305,素材!$1:$1016,COLUMN($F$1),FALSE))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H305">
        <f>IF(ISNUMBER(SEARCH(SUBSTITUTE(AH$1,RIGHT(AH$1,2),""),VLOOKUP($D305,素材!$1:$1016,COLUMN($F$1),FALSE))),VLOOKUP($C305,武器!$1:$998,COLUMN($O$1),FALSE)*VLOOKUP($D305,素材!$1:$1016,COLUMN($E$1),FALSE)/(LEN(VLOOKUP($D305,素材!$1:$1016,COLUMN($F$1),FALSE))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I305">
        <f>IF(ISNUMBER(SEARCH(SUBSTITUTE(AI$1,RIGHT(AI$1,2),""),VLOOKUP($D305,素材!$1:$1016,COLUMN($F$1),FALSE))),VLOOKUP($C305,武器!$1:$998,COLUMN($O$1),FALSE)*VLOOKUP($D305,素材!$1:$1016,COLUMN($E$1),FALSE)/(LEN(VLOOKUP($D305,素材!$1:$1016,COLUMN($F$1),FALSE))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J305">
        <f>IF(ISNUMBER(SEARCH(SUBSTITUTE(AJ$1,RIGHT(AJ$1,2),""),VLOOKUP($D305,素材!$1:$1016,COLUMN($F$1),FALSE))),VLOOKUP($C305,武器!$1:$998,COLUMN($O$1),FALSE)*VLOOKUP($D305,素材!$1:$1016,COLUMN($E$1),FALSE)/(LEN(VLOOKUP($D305,素材!$1:$1016,COLUMN($F$1),FALSE))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K305">
        <f>IF(ISNUMBER(SEARCH(SUBSTITUTE(AK$1,RIGHT(AK$1,2),""),VLOOKUP($D305,素材!$1:$1016,COLUMN($F$1),FALSE))),VLOOKUP($C305,武器!$1:$998,COLUMN($O$1),FALSE)*VLOOKUP($D305,素材!$1:$1016,COLUMN($E$1),FALSE)/(LEN(VLOOKUP($D305,素材!$1:$1016,COLUMN($F$1),FALSE))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L305">
        <f>IF(ISNUMBER(SEARCH(SUBSTITUTE(AL$1,RIGHT(AL$1,2),""),VLOOKUP($D305,素材!$1:$1016,COLUMN($F$1),FALSE))),VLOOKUP($C305,武器!$1:$998,COLUMN($O$1),FALSE)*VLOOKUP($D305,素材!$1:$1016,COLUMN($E$1),FALSE)/(LEN(VLOOKUP($D305,素材!$1:$1016,COLUMN($F$1),FALSE))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M305">
        <f>IF(ISNUMBER(SEARCH(SUBSTITUTE(AM$1,RIGHT(AM$1,2),""),VLOOKUP($D305,素材!$1:$1016,COLUMN($F$1),FALSE))),VLOOKUP($C305,武器!$1:$998,COLUMN($O$1),FALSE)*VLOOKUP($D305,素材!$1:$1016,COLUMN($E$1),FALSE)/(LEN(VLOOKUP($D305,素材!$1:$1016,COLUMN($F$1),FALSE))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N305">
        <f>IF(ISNUMBER(SEARCH(SUBSTITUTE(AN$1,RIGHT(AN$1,2),""),VLOOKUP($D305,素材!$1:$1016,COLUMN($F$1),FALSE))),VLOOKUP($C305,武器!$1:$998,COLUMN($O$1),FALSE)*VLOOKUP($D305,素材!$1:$1016,COLUMN($E$1),FALSE)/(LEN(VLOOKUP($D305,素材!$1:$1016,COLUMN($F$1),FALSE))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O305">
        <f>IF(ISNUMBER(SEARCH(SUBSTITUTE(AO$1,RIGHT(AO$1,2),""),VLOOKUP($D305,素材!$1:$1016,COLUMN($F$1),FALSE))),VLOOKUP($C305,武器!$1:$998,COLUMN($O$1),FALSE)*VLOOKUP($D305,素材!$1:$1016,COLUMN($E$1),FALSE)/(LEN(VLOOKUP($D305,素材!$1:$1016,COLUMN($F$1),FALSE))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P305">
        <f>IF(ISNUMBER(SEARCH(SUBSTITUTE(AP$1,RIGHT(AP$1,2),""),VLOOKUP($D305,素材!$1:$1016,COLUMN($F$1),FALSE))),VLOOKUP($C305,武器!$1:$998,COLUMN($O$1),FALSE)*VLOOKUP($D305,素材!$1:$1016,COLUMN($E$1),FALSE)/(LEN(VLOOKUP($D305,素材!$1:$1016,COLUMN($F$1),FALSE))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Q305">
        <f>IF(ISNUMBER(SEARCH(SUBSTITUTE(AQ$1,RIGHT(AQ$1,2),""),VLOOKUP($D305,素材!$1:$1016,COLUMN($F$1),FALSE))),VLOOKUP($C305,武器!$1:$998,COLUMN($O$1),FALSE)*VLOOKUP($D305,素材!$1:$1016,COLUMN($E$1),FALSE)/(LEN(VLOOKUP($D305,素材!$1:$1016,COLUMN($F$1),FALSE))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R305">
        <f>IF(ISNUMBER(SEARCH(SUBSTITUTE(AR$1,RIGHT(AR$1,2),""),VLOOKUP($D305,素材!$1:$1016,COLUMN($F$1),FALSE))),VLOOKUP($C305,武器!$1:$998,COLUMN($O$1),FALSE)*VLOOKUP($D305,素材!$1:$1016,COLUMN($E$1),FALSE)/(LEN(VLOOKUP($D305,素材!$1:$1016,COLUMN($F$1),FALSE))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S305">
        <f>IF(ISNUMBER(SEARCH(SUBSTITUTE(AS$1,RIGHT(AS$1,2),""),VLOOKUP($D305,素材!$1:$1016,COLUMN($F$1),FALSE))),VLOOKUP($C305,武器!$1:$998,COLUMN($O$1),FALSE)*VLOOKUP($D305,素材!$1:$1016,COLUMN($E$1),FALSE)/(LEN(VLOOKUP($D305,素材!$1:$1016,COLUMN($F$1),FALSE))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T305">
        <f>IF(ISNUMBER(SEARCH(SUBSTITUTE(AT$1,RIGHT(AT$1,2),""),VLOOKUP($D305,素材!$1:$1016,COLUMN($F$1),FALSE))),VLOOKUP($C305,武器!$1:$998,COLUMN($O$1),FALSE)*VLOOKUP($D305,素材!$1:$1016,COLUMN($E$1),FALSE)/(LEN(VLOOKUP($D305,素材!$1:$1016,COLUMN($F$1),FALSE))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U305">
        <f>IF(ISNUMBER(SEARCH(SUBSTITUTE(AU$1,RIGHT(AU$1,2),""),VLOOKUP($D305,素材!$1:$1016,COLUMN($F$1),FALSE))),VLOOKUP($C305,武器!$1:$998,COLUMN($O$1),FALSE)*VLOOKUP($D305,素材!$1:$1016,COLUMN($E$1),FALSE)/(LEN(VLOOKUP($D305,素材!$1:$1016,COLUMN($F$1),FALSE))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V305">
        <f>IF(ISNUMBER(SEARCH(SUBSTITUTE(AV$1,RIGHT(AV$1,2),""),VLOOKUP($D305,素材!$1:$1016,COLUMN($F$1),FALSE))),VLOOKUP($C305,武器!$1:$998,COLUMN($O$1),FALSE)*VLOOKUP($D305,素材!$1:$1016,COLUMN($E$1),FALSE)/(LEN(VLOOKUP($D305,素材!$1:$1016,COLUMN($F$1),FALSE))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W305">
        <f>IF(ISNUMBER(SEARCH(SUBSTITUTE(AW$1,RIGHT(AW$1,2),""),VLOOKUP($D305,素材!$1:$1016,COLUMN($F$1),FALSE))),VLOOKUP($C305,武器!$1:$998,COLUMN($O$1),FALSE)*VLOOKUP($D305,素材!$1:$1016,COLUMN($E$1),FALSE)/(LEN(VLOOKUP($D305,素材!$1:$1016,COLUMN($F$1),FALSE))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X305">
        <f>IF(ISNUMBER(SEARCH(SUBSTITUTE(AX$1,RIGHT(AX$1,2),""),VLOOKUP($D305,素材!$1:$1016,COLUMN($F$1),FALSE))),VLOOKUP($C305,武器!$1:$998,COLUMN($O$1),FALSE)*VLOOKUP($D305,素材!$1:$1016,COLUMN($E$1),FALSE)/(LEN(VLOOKUP($D305,素材!$1:$1016,COLUMN($F$1),FALSE))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Y305">
        <f>IF(ISNUMBER(SEARCH(SUBSTITUTE(AY$1,RIGHT(AY$1,2),""),VLOOKUP($D305,素材!$1:$1016,COLUMN($F$1),FALSE))),VLOOKUP($C305,武器!$1:$998,COLUMN($O$1),FALSE)*VLOOKUP($D305,素材!$1:$1016,COLUMN($E$1),FALSE)/(LEN(VLOOKUP($D305,素材!$1:$1016,COLUMN($F$1),FALSE))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AZ305">
        <f>IF(ISNUMBER(SEARCH(SUBSTITUTE(AZ$1,RIGHT(AZ$1,2),""),VLOOKUP($D305,素材!$1:$1016,COLUMN($F$1),FALSE))),VLOOKUP($C305,武器!$1:$998,COLUMN($O$1),FALSE)*VLOOKUP($D305,素材!$1:$1016,COLUMN($E$1),FALSE)/(LEN(VLOOKUP($D305,素材!$1:$1016,COLUMN($F$1),FALSE))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BA305">
        <f>IF(ISNUMBER(SEARCH(SUBSTITUTE(BA$1,RIGHT(BA$1,2),""),VLOOKUP($D305,素材!$1:$1016,COLUMN($F$1),FALSE))),VLOOKUP($C305,武器!$1:$998,COLUMN($O$1),FALSE)*VLOOKUP($D305,素材!$1:$1016,COLUMN($E$1),FALSE)/(LEN(VLOOKUP($D305,素材!$1:$1016,COLUMN($F$1),FALSE))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BB305">
        <f>IF(ISNUMBER(SEARCH(SUBSTITUTE(BB$1,RIGHT(BB$1,2),""),VLOOKUP($D305,素材!$1:$1016,COLUMN($F$1),FALSE))),VLOOKUP($C305,武器!$1:$998,COLUMN($O$1),FALSE)*VLOOKUP($D305,素材!$1:$1016,COLUMN($E$1),FALSE)/(LEN(VLOOKUP($D305,素材!$1:$1016,COLUMN($F$1),FALSE))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BC305">
        <f>IF(ISNUMBER(SEARCH(SUBSTITUTE(BC$1,RIGHT(BC$1,2),""),VLOOKUP($D305,素材!$1:$1016,COLUMN($F$1),FALSE))),VLOOKUP($C305,武器!$1:$998,COLUMN($O$1),FALSE)*VLOOKUP($D305,素材!$1:$1016,COLUMN($E$1),FALSE)/(LEN(VLOOKUP($D305,素材!$1:$1016,COLUMN($F$1),FALSE))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BD305">
        <f>IF(ISNUMBER(SEARCH(SUBSTITUTE(BD$1,RIGHT(BD$1,2),""),VLOOKUP($D305,素材!$1:$1016,COLUMN($F$1),FALSE))),VLOOKUP($C305,武器!$1:$998,COLUMN($O$1),FALSE)*VLOOKUP($D305,素材!$1:$1016,COLUMN($E$1),FALSE)/(LEN(VLOOKUP($D305,素材!$1:$1016,COLUMN($F$1),FALSE))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BE305">
        <f>IF(ISNUMBER(SEARCH(SUBSTITUTE(BE$1,RIGHT(BE$1,2),""),VLOOKUP($D305,素材!$1:$1016,COLUMN($F$1),FALSE))),VLOOKUP($C305,武器!$1:$998,COLUMN($O$1),FALSE)*VLOOKUP($D305,素材!$1:$1016,COLUMN($E$1),FALSE)/(LEN(VLOOKUP($D305,素材!$1:$1016,COLUMN($F$1),FALSE))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BF305">
        <f>IF(ISNUMBER(SEARCH(SUBSTITUTE(BF$1,RIGHT(BF$1,2),""),VLOOKUP($D305,素材!$1:$1016,COLUMN($F$1),FALSE))),VLOOKUP($C305,武器!$1:$998,COLUMN($O$1),FALSE)*VLOOKUP($D305,素材!$1:$1016,COLUMN($E$1),FALSE)/(LEN(VLOOKUP($D305,素材!$1:$1016,COLUMN($F$1),FALSE)) - LEN(SUBSTITUTE(VLOOKUP($D305,素材!$1:$1016,COLUMN($F$1),FALSE), "・", 0)) + 1), 0)</f>
        <v>0</v>
      </c>
      <c r="CM305">
        <f t="shared" si="36"/>
        <v>0</v>
      </c>
      <c r="CN305" s="22" t="str">
        <f>IF(E305="武器",IF(J305-1&gt;SUM(G305:I305),"盾",IF(MAX(G305:I305)=G305,"切断",IF(MAX(G305:I305)=H305,"貫通",IF(MAX(G305:I305)=I305,"打撃","射撃")))),E305)&amp;".webp"</f>
        <v>.webp</v>
      </c>
      <c r="CO305" t="str">
        <f>IFERROR(VLOOKUP($C305,武器!$1:$998,COLUMN(V$1),FALSE)*VLOOKUP($D305,素材!$1:$1016,COLUMN(N$1),FALSE)+IF(CJ305="",0,VLOOKUP($CJ305,装強!$1:$1008,COLUMN($CL$1),FALSE)),"")</f>
        <v/>
      </c>
      <c r="CP305" t="e">
        <f>VLOOKUP(D305,素材!$A:$O,COLUMN(素材!O$1),FALSE)</f>
        <v>#N/A</v>
      </c>
      <c r="CQ305" t="e">
        <f>VLOOKUP(C305,武器!$A:$W,COLUMN(武器!W$1),FALSE)</f>
        <v>#N/A</v>
      </c>
      <c r="CS305" t="str">
        <f t="shared" si="37"/>
        <v>e_305</v>
      </c>
      <c r="CT305" t="e">
        <f t="shared" si="38"/>
        <v>#VALUE!</v>
      </c>
    </row>
    <row r="306" spans="1:98" hidden="1" outlineLevel="1" x14ac:dyDescent="0.4">
      <c r="A306" t="str">
        <f>IF(CJ306="",D306&amp;"の"&amp;C306,CJ306&amp;"の"&amp;C306)</f>
        <v>の</v>
      </c>
      <c r="B306" t="str">
        <f>IFERROR(IF(CJ306="",VLOOKUP($D306,素材!$1:$1016,COLUMN($B$1),FALSE)&amp;"・"&amp;VLOOKUP($C306,武器!$1:$998,COLUMN(B$1),FALSE),VLOOKUP($CJ306,装強!$1:$1008,COLUMN($B$1),FALSE)&amp;"・"&amp;VLOOKUP($C306,武器!$1:$998,COLUMN(B$1),FALSE)),"")</f>
        <v/>
      </c>
      <c r="C306" s="24"/>
      <c r="D306" s="24"/>
      <c r="E306" t="str">
        <f>IFERROR(VLOOKUP(C306,武器!$1:$998,COLUMN(C$1),FALSE),"")</f>
        <v/>
      </c>
      <c r="F306" t="str">
        <f>IFERROR(ROUNDDOWN((VLOOKUP($C306,武器!$1:$998,COLUMN(D$1),FALSE)+IFERROR(VLOOKUP($CJ306,装強!$1:$999,COLUMN(F$1),FALSE),0))*VLOOKUP($D306,素材!$1:$1016,COLUMN(D$1),FALSE),0),"")</f>
        <v/>
      </c>
      <c r="G306" t="str">
        <f>IFERROR(ROUNDDOWN((VLOOKUP($C306,武器!$1:$998,COLUMN(E$1),FALSE)+IFERROR(VLOOKUP($CJ306,装強!$1:$999,COLUMN(G$1),FALSE),0))*VLOOKUP($D306,素材!$1:$1016,COLUMN($E$1),FALSE),0),"")</f>
        <v/>
      </c>
      <c r="H306" t="str">
        <f>IFERROR(ROUNDDOWN((VLOOKUP($C306,武器!$1:$998,COLUMN(F$1),FALSE)+IFERROR(VLOOKUP($CJ306,装強!$1:$999,COLUMN(H$1),FALSE),0))*VLOOKUP($D306,素材!$1:$1016,COLUMN($E$1),FALSE),0),"")</f>
        <v/>
      </c>
      <c r="I306" t="str">
        <f>IFERROR(ROUNDDOWN((VLOOKUP($C306,武器!$1:$998,COLUMN(G$1),FALSE)+IFERROR(VLOOKUP($CJ306,装強!$1:$999,COLUMN(I$1),FALSE),0))*VLOOKUP($D306,素材!$1:$1016,COLUMN($E$1),FALSE),0),"")</f>
        <v/>
      </c>
      <c r="J306" t="str">
        <f>IFERROR(ROUNDDOWN((VLOOKUP($C306,武器!$1:$998,COLUMN(H$1),FALSE)+IFERROR(VLOOKUP($CJ306,装強!$1:$999,COLUMN(J$1),FALSE),0))*VLOOKUP($D306,素材!$1:$1016,COLUMN($E$1),FALSE),0),"")</f>
        <v/>
      </c>
      <c r="K306" t="str">
        <f>IFERROR(ROUNDDOWN((VLOOKUP($C306,武器!$1:$998,COLUMN(I$1),FALSE)+IFERROR(VLOOKUP($CJ306,装強!$1:$999,COLUMN(K$1),FALSE),0))*VLOOKUP($D306,素材!$1:$1016,COLUMN($E$1),FALSE),0),"")</f>
        <v/>
      </c>
      <c r="L306" t="str">
        <f>IFERROR(VLOOKUP($D306,素材!$1:$1016,COLUMN($F$1),FALSE),"")</f>
        <v/>
      </c>
      <c r="M306" t="str">
        <f>IFERROR(VLOOKUP($C306,武器!$1:$998,COLUMN(AA$1),FALSE)*VLOOKUP($D306,素材!$1:$1016,COLUMN($G$1),FALSE),"")</f>
        <v/>
      </c>
      <c r="N306" t="str">
        <f>IFERROR(VLOOKUP($C306,武器!$1:$998,COLUMN(I$1),FALSE),"")</f>
        <v/>
      </c>
      <c r="O306" s="23" t="str">
        <f>IFERROR((VLOOKUP($C306,武器!$1:$998,COLUMN(K$1),FALSE)+VLOOKUP($D306,素材!$1:$1016,COLUMN(H$1),FALSE))*100+IFERROR(VLOOKUP($CJ306,装強!$1:$999,COLUMN(O$1),FALSE),0),"")</f>
        <v/>
      </c>
      <c r="P306" s="23" t="str">
        <f>IFERROR((VLOOKUP($C306,武器!$1:$998,COLUMN(L$1),FALSE)+VLOOKUP($D306,素材!$1:$1016,COLUMN(I$1),FALSE))*100+IFERROR(VLOOKUP($CJ306,装強!$1:$999,COLUMN(P$1),FALSE),0),"")</f>
        <v/>
      </c>
      <c r="Q306" t="str">
        <f>IFERROR(ROUNDUP(VLOOKUP($C306,武器!$1:$998,COLUMN(M$1),FALSE)*(VLOOKUP($D306,素材!$1:$1002,COLUMN(D$1),FALSE)/100),1),"")</f>
        <v/>
      </c>
      <c r="R306" t="str">
        <f>IFERROR(ROUNDUP(VLOOKUP($C306,武器!$1:$998,COLUMN(N$1),FALSE)*(VLOOKUP($D306,素材!$1:$1002,COLUMN(D$1),FALSE)/100),1),"")</f>
        <v/>
      </c>
      <c r="S306" t="str">
        <f>IFERROR(VLOOKUP($C306,武器!$1:$998,COLUMN(P$1),FALSE),"")</f>
        <v/>
      </c>
      <c r="T306" t="str">
        <f>IFERROR(VLOOKUP($C306,武器!$1:$998,COLUMN(Q$1),FALSE),"")</f>
        <v/>
      </c>
      <c r="U306" t="str">
        <f>IFERROR(VLOOKUP($C306,武器!$1:$998,COLUMN(R$1),FALSE),"")</f>
        <v/>
      </c>
      <c r="V306" t="str">
        <f>IFERROR(VLOOKUP($C306,武器!$1:$998,COLUMN(Q$1),FALSE),"")</f>
        <v/>
      </c>
      <c r="W306" t="str">
        <f>IFERROR(VLOOKUP($C306,武器!$1:$998,COLUMN(T$1),FALSE),"")</f>
        <v/>
      </c>
      <c r="Y306" t="str">
        <f>IFERROR(VLOOKUP($C306,武器!$1:$998,COLUMN(U$1),FALSE),"")</f>
        <v/>
      </c>
      <c r="Z306" t="str">
        <f>IFERROR(ROUNDUP(VLOOKUP($C306,武器!$1:$998,COLUMN(O$1),FALSE)*VLOOKUP($D306,素材!$1:$1016,COLUMN(E$1),FALSE),1),"")</f>
        <v/>
      </c>
      <c r="AA306">
        <f>IF(ISNUMBER(SEARCH(SUBSTITUTE(AA$1,RIGHT(AA$1,2),""),VLOOKUP($D306,素材!$1:$1016,COLUMN($F$1),FALSE))),VLOOKUP($C306,武器!$1:$998,COLUMN($O$1),FALSE)*VLOOKUP($D306,素材!$1:$1016,COLUMN($E$1),FALSE)/(LEN(VLOOKUP($D306,素材!$1:$1016,COLUMN($F$1),FALSE))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B306">
        <f>IF(ISNUMBER(SEARCH(SUBSTITUTE(AB$1,RIGHT(AB$1,2),""),VLOOKUP($D306,素材!$1:$1016,COLUMN($F$1),FALSE))),VLOOKUP($C306,武器!$1:$998,COLUMN($O$1),FALSE)*VLOOKUP($D306,素材!$1:$1016,COLUMN($E$1),FALSE)/(LEN(VLOOKUP($D306,素材!$1:$1016,COLUMN($F$1),FALSE))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C306">
        <f>IF(ISNUMBER(SEARCH(SUBSTITUTE(AC$1,RIGHT(AC$1,2),""),VLOOKUP($D306,素材!$1:$1016,COLUMN($F$1),FALSE))),VLOOKUP($C306,武器!$1:$998,COLUMN($O$1),FALSE)*VLOOKUP($D306,素材!$1:$1016,COLUMN($E$1),FALSE)/(LEN(VLOOKUP($D306,素材!$1:$1016,COLUMN($F$1),FALSE))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D306">
        <f>IF(ISNUMBER(SEARCH(SUBSTITUTE(AD$1,RIGHT(AD$1,2),""),VLOOKUP($D306,素材!$1:$1016,COLUMN($F$1),FALSE))),VLOOKUP($C306,武器!$1:$998,COLUMN($O$1),FALSE)*VLOOKUP($D306,素材!$1:$1016,COLUMN($E$1),FALSE)/(LEN(VLOOKUP($D306,素材!$1:$1016,COLUMN($F$1),FALSE))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E306">
        <f>IF(ISNUMBER(SEARCH(SUBSTITUTE(AE$1,RIGHT(AE$1,2),""),VLOOKUP($D306,素材!$1:$1016,COLUMN($F$1),FALSE))),VLOOKUP($C306,武器!$1:$998,COLUMN($O$1),FALSE)*VLOOKUP($D306,素材!$1:$1016,COLUMN($E$1),FALSE)/(LEN(VLOOKUP($D306,素材!$1:$1016,COLUMN($F$1),FALSE))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F306">
        <f>IF(ISNUMBER(SEARCH(SUBSTITUTE(AF$1,RIGHT(AF$1,2),""),VLOOKUP($D306,素材!$1:$1016,COLUMN($F$1),FALSE))),VLOOKUP($C306,武器!$1:$998,COLUMN($O$1),FALSE)*VLOOKUP($D306,素材!$1:$1016,COLUMN($E$1),FALSE)/(LEN(VLOOKUP($D306,素材!$1:$1016,COLUMN($F$1),FALSE))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G306">
        <f>IF(ISNUMBER(SEARCH(SUBSTITUTE(AG$1,RIGHT(AG$1,2),""),VLOOKUP($D306,素材!$1:$1016,COLUMN($F$1),FALSE))),VLOOKUP($C306,武器!$1:$998,COLUMN($O$1),FALSE)*VLOOKUP($D306,素材!$1:$1016,COLUMN($E$1),FALSE)/(LEN(VLOOKUP($D306,素材!$1:$1016,COLUMN($F$1),FALSE))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H306">
        <f>IF(ISNUMBER(SEARCH(SUBSTITUTE(AH$1,RIGHT(AH$1,2),""),VLOOKUP($D306,素材!$1:$1016,COLUMN($F$1),FALSE))),VLOOKUP($C306,武器!$1:$998,COLUMN($O$1),FALSE)*VLOOKUP($D306,素材!$1:$1016,COLUMN($E$1),FALSE)/(LEN(VLOOKUP($D306,素材!$1:$1016,COLUMN($F$1),FALSE))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I306">
        <f>IF(ISNUMBER(SEARCH(SUBSTITUTE(AI$1,RIGHT(AI$1,2),""),VLOOKUP($D306,素材!$1:$1016,COLUMN($F$1),FALSE))),VLOOKUP($C306,武器!$1:$998,COLUMN($O$1),FALSE)*VLOOKUP($D306,素材!$1:$1016,COLUMN($E$1),FALSE)/(LEN(VLOOKUP($D306,素材!$1:$1016,COLUMN($F$1),FALSE))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J306">
        <f>IF(ISNUMBER(SEARCH(SUBSTITUTE(AJ$1,RIGHT(AJ$1,2),""),VLOOKUP($D306,素材!$1:$1016,COLUMN($F$1),FALSE))),VLOOKUP($C306,武器!$1:$998,COLUMN($O$1),FALSE)*VLOOKUP($D306,素材!$1:$1016,COLUMN($E$1),FALSE)/(LEN(VLOOKUP($D306,素材!$1:$1016,COLUMN($F$1),FALSE))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K306">
        <f>IF(ISNUMBER(SEARCH(SUBSTITUTE(AK$1,RIGHT(AK$1,2),""),VLOOKUP($D306,素材!$1:$1016,COLUMN($F$1),FALSE))),VLOOKUP($C306,武器!$1:$998,COLUMN($O$1),FALSE)*VLOOKUP($D306,素材!$1:$1016,COLUMN($E$1),FALSE)/(LEN(VLOOKUP($D306,素材!$1:$1016,COLUMN($F$1),FALSE))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L306">
        <f>IF(ISNUMBER(SEARCH(SUBSTITUTE(AL$1,RIGHT(AL$1,2),""),VLOOKUP($D306,素材!$1:$1016,COLUMN($F$1),FALSE))),VLOOKUP($C306,武器!$1:$998,COLUMN($O$1),FALSE)*VLOOKUP($D306,素材!$1:$1016,COLUMN($E$1),FALSE)/(LEN(VLOOKUP($D306,素材!$1:$1016,COLUMN($F$1),FALSE))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M306">
        <f>IF(ISNUMBER(SEARCH(SUBSTITUTE(AM$1,RIGHT(AM$1,2),""),VLOOKUP($D306,素材!$1:$1016,COLUMN($F$1),FALSE))),VLOOKUP($C306,武器!$1:$998,COLUMN($O$1),FALSE)*VLOOKUP($D306,素材!$1:$1016,COLUMN($E$1),FALSE)/(LEN(VLOOKUP($D306,素材!$1:$1016,COLUMN($F$1),FALSE))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N306">
        <f>IF(ISNUMBER(SEARCH(SUBSTITUTE(AN$1,RIGHT(AN$1,2),""),VLOOKUP($D306,素材!$1:$1016,COLUMN($F$1),FALSE))),VLOOKUP($C306,武器!$1:$998,COLUMN($O$1),FALSE)*VLOOKUP($D306,素材!$1:$1016,COLUMN($E$1),FALSE)/(LEN(VLOOKUP($D306,素材!$1:$1016,COLUMN($F$1),FALSE))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O306">
        <f>IF(ISNUMBER(SEARCH(SUBSTITUTE(AO$1,RIGHT(AO$1,2),""),VLOOKUP($D306,素材!$1:$1016,COLUMN($F$1),FALSE))),VLOOKUP($C306,武器!$1:$998,COLUMN($O$1),FALSE)*VLOOKUP($D306,素材!$1:$1016,COLUMN($E$1),FALSE)/(LEN(VLOOKUP($D306,素材!$1:$1016,COLUMN($F$1),FALSE))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P306">
        <f>IF(ISNUMBER(SEARCH(SUBSTITUTE(AP$1,RIGHT(AP$1,2),""),VLOOKUP($D306,素材!$1:$1016,COLUMN($F$1),FALSE))),VLOOKUP($C306,武器!$1:$998,COLUMN($O$1),FALSE)*VLOOKUP($D306,素材!$1:$1016,COLUMN($E$1),FALSE)/(LEN(VLOOKUP($D306,素材!$1:$1016,COLUMN($F$1),FALSE))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Q306">
        <f>IF(ISNUMBER(SEARCH(SUBSTITUTE(AQ$1,RIGHT(AQ$1,2),""),VLOOKUP($D306,素材!$1:$1016,COLUMN($F$1),FALSE))),VLOOKUP($C306,武器!$1:$998,COLUMN($O$1),FALSE)*VLOOKUP($D306,素材!$1:$1016,COLUMN($E$1),FALSE)/(LEN(VLOOKUP($D306,素材!$1:$1016,COLUMN($F$1),FALSE))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R306">
        <f>IF(ISNUMBER(SEARCH(SUBSTITUTE(AR$1,RIGHT(AR$1,2),""),VLOOKUP($D306,素材!$1:$1016,COLUMN($F$1),FALSE))),VLOOKUP($C306,武器!$1:$998,COLUMN($O$1),FALSE)*VLOOKUP($D306,素材!$1:$1016,COLUMN($E$1),FALSE)/(LEN(VLOOKUP($D306,素材!$1:$1016,COLUMN($F$1),FALSE))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S306">
        <f>IF(ISNUMBER(SEARCH(SUBSTITUTE(AS$1,RIGHT(AS$1,2),""),VLOOKUP($D306,素材!$1:$1016,COLUMN($F$1),FALSE))),VLOOKUP($C306,武器!$1:$998,COLUMN($O$1),FALSE)*VLOOKUP($D306,素材!$1:$1016,COLUMN($E$1),FALSE)/(LEN(VLOOKUP($D306,素材!$1:$1016,COLUMN($F$1),FALSE))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T306">
        <f>IF(ISNUMBER(SEARCH(SUBSTITUTE(AT$1,RIGHT(AT$1,2),""),VLOOKUP($D306,素材!$1:$1016,COLUMN($F$1),FALSE))),VLOOKUP($C306,武器!$1:$998,COLUMN($O$1),FALSE)*VLOOKUP($D306,素材!$1:$1016,COLUMN($E$1),FALSE)/(LEN(VLOOKUP($D306,素材!$1:$1016,COLUMN($F$1),FALSE))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U306">
        <f>IF(ISNUMBER(SEARCH(SUBSTITUTE(AU$1,RIGHT(AU$1,2),""),VLOOKUP($D306,素材!$1:$1016,COLUMN($F$1),FALSE))),VLOOKUP($C306,武器!$1:$998,COLUMN($O$1),FALSE)*VLOOKUP($D306,素材!$1:$1016,COLUMN($E$1),FALSE)/(LEN(VLOOKUP($D306,素材!$1:$1016,COLUMN($F$1),FALSE))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V306">
        <f>IF(ISNUMBER(SEARCH(SUBSTITUTE(AV$1,RIGHT(AV$1,2),""),VLOOKUP($D306,素材!$1:$1016,COLUMN($F$1),FALSE))),VLOOKUP($C306,武器!$1:$998,COLUMN($O$1),FALSE)*VLOOKUP($D306,素材!$1:$1016,COLUMN($E$1),FALSE)/(LEN(VLOOKUP($D306,素材!$1:$1016,COLUMN($F$1),FALSE))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W306">
        <f>IF(ISNUMBER(SEARCH(SUBSTITUTE(AW$1,RIGHT(AW$1,2),""),VLOOKUP($D306,素材!$1:$1016,COLUMN($F$1),FALSE))),VLOOKUP($C306,武器!$1:$998,COLUMN($O$1),FALSE)*VLOOKUP($D306,素材!$1:$1016,COLUMN($E$1),FALSE)/(LEN(VLOOKUP($D306,素材!$1:$1016,COLUMN($F$1),FALSE))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X306">
        <f>IF(ISNUMBER(SEARCH(SUBSTITUTE(AX$1,RIGHT(AX$1,2),""),VLOOKUP($D306,素材!$1:$1016,COLUMN($F$1),FALSE))),VLOOKUP($C306,武器!$1:$998,COLUMN($O$1),FALSE)*VLOOKUP($D306,素材!$1:$1016,COLUMN($E$1),FALSE)/(LEN(VLOOKUP($D306,素材!$1:$1016,COLUMN($F$1),FALSE))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Y306">
        <f>IF(ISNUMBER(SEARCH(SUBSTITUTE(AY$1,RIGHT(AY$1,2),""),VLOOKUP($D306,素材!$1:$1016,COLUMN($F$1),FALSE))),VLOOKUP($C306,武器!$1:$998,COLUMN($O$1),FALSE)*VLOOKUP($D306,素材!$1:$1016,COLUMN($E$1),FALSE)/(LEN(VLOOKUP($D306,素材!$1:$1016,COLUMN($F$1),FALSE))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AZ306">
        <f>IF(ISNUMBER(SEARCH(SUBSTITUTE(AZ$1,RIGHT(AZ$1,2),""),VLOOKUP($D306,素材!$1:$1016,COLUMN($F$1),FALSE))),VLOOKUP($C306,武器!$1:$998,COLUMN($O$1),FALSE)*VLOOKUP($D306,素材!$1:$1016,COLUMN($E$1),FALSE)/(LEN(VLOOKUP($D306,素材!$1:$1016,COLUMN($F$1),FALSE))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BA306">
        <f>IF(ISNUMBER(SEARCH(SUBSTITUTE(BA$1,RIGHT(BA$1,2),""),VLOOKUP($D306,素材!$1:$1016,COLUMN($F$1),FALSE))),VLOOKUP($C306,武器!$1:$998,COLUMN($O$1),FALSE)*VLOOKUP($D306,素材!$1:$1016,COLUMN($E$1),FALSE)/(LEN(VLOOKUP($D306,素材!$1:$1016,COLUMN($F$1),FALSE))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BB306">
        <f>IF(ISNUMBER(SEARCH(SUBSTITUTE(BB$1,RIGHT(BB$1,2),""),VLOOKUP($D306,素材!$1:$1016,COLUMN($F$1),FALSE))),VLOOKUP($C306,武器!$1:$998,COLUMN($O$1),FALSE)*VLOOKUP($D306,素材!$1:$1016,COLUMN($E$1),FALSE)/(LEN(VLOOKUP($D306,素材!$1:$1016,COLUMN($F$1),FALSE))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BC306">
        <f>IF(ISNUMBER(SEARCH(SUBSTITUTE(BC$1,RIGHT(BC$1,2),""),VLOOKUP($D306,素材!$1:$1016,COLUMN($F$1),FALSE))),VLOOKUP($C306,武器!$1:$998,COLUMN($O$1),FALSE)*VLOOKUP($D306,素材!$1:$1016,COLUMN($E$1),FALSE)/(LEN(VLOOKUP($D306,素材!$1:$1016,COLUMN($F$1),FALSE))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BD306">
        <f>IF(ISNUMBER(SEARCH(SUBSTITUTE(BD$1,RIGHT(BD$1,2),""),VLOOKUP($D306,素材!$1:$1016,COLUMN($F$1),FALSE))),VLOOKUP($C306,武器!$1:$998,COLUMN($O$1),FALSE)*VLOOKUP($D306,素材!$1:$1016,COLUMN($E$1),FALSE)/(LEN(VLOOKUP($D306,素材!$1:$1016,COLUMN($F$1),FALSE))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BE306">
        <f>IF(ISNUMBER(SEARCH(SUBSTITUTE(BE$1,RIGHT(BE$1,2),""),VLOOKUP($D306,素材!$1:$1016,COLUMN($F$1),FALSE))),VLOOKUP($C306,武器!$1:$998,COLUMN($O$1),FALSE)*VLOOKUP($D306,素材!$1:$1016,COLUMN($E$1),FALSE)/(LEN(VLOOKUP($D306,素材!$1:$1016,COLUMN($F$1),FALSE))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BF306">
        <f>IF(ISNUMBER(SEARCH(SUBSTITUTE(BF$1,RIGHT(BF$1,2),""),VLOOKUP($D306,素材!$1:$1016,COLUMN($F$1),FALSE))),VLOOKUP($C306,武器!$1:$998,COLUMN($O$1),FALSE)*VLOOKUP($D306,素材!$1:$1016,COLUMN($E$1),FALSE)/(LEN(VLOOKUP($D306,素材!$1:$1016,COLUMN($F$1),FALSE)) - LEN(SUBSTITUTE(VLOOKUP($D306,素材!$1:$1016,COLUMN($F$1),FALSE), "・", 0)) + 1), 0)</f>
        <v>0</v>
      </c>
      <c r="CM306">
        <f t="shared" si="36"/>
        <v>0</v>
      </c>
      <c r="CN306" s="22" t="str">
        <f>IF(E306="武器",IF(J306-1&gt;SUM(G306:I306),"盾",IF(MAX(G306:I306)=G306,"切断",IF(MAX(G306:I306)=H306,"貫通",IF(MAX(G306:I306)=I306,"打撃","射撃")))),E306)&amp;".webp"</f>
        <v>.webp</v>
      </c>
      <c r="CO306" t="str">
        <f>IFERROR(VLOOKUP($C306,武器!$1:$998,COLUMN(V$1),FALSE)*VLOOKUP($D306,素材!$1:$1016,COLUMN(N$1),FALSE)+IF(CJ306="",0,VLOOKUP($CJ306,装強!$1:$1008,COLUMN($CL$1),FALSE)),"")</f>
        <v/>
      </c>
      <c r="CP306" t="e">
        <f>VLOOKUP(D306,素材!$A:$O,COLUMN(素材!O$1),FALSE)</f>
        <v>#N/A</v>
      </c>
      <c r="CQ306" t="e">
        <f>VLOOKUP(C306,武器!$A:$W,COLUMN(武器!W$1),FALSE)</f>
        <v>#N/A</v>
      </c>
      <c r="CS306" t="str">
        <f t="shared" si="37"/>
        <v>e_306</v>
      </c>
      <c r="CT306" t="e">
        <f t="shared" si="38"/>
        <v>#VALUE!</v>
      </c>
    </row>
    <row r="307" spans="1:98" hidden="1" outlineLevel="1" x14ac:dyDescent="0.4">
      <c r="A307" t="str">
        <f>IF(CJ307="",D307&amp;"の"&amp;C307,CJ307&amp;"の"&amp;C307)</f>
        <v>の</v>
      </c>
      <c r="B307" t="str">
        <f>IFERROR(IF(CJ307="",VLOOKUP($D307,素材!$1:$1016,COLUMN($B$1),FALSE)&amp;"・"&amp;VLOOKUP($C307,武器!$1:$998,COLUMN(B$1),FALSE),VLOOKUP($CJ307,装強!$1:$1008,COLUMN($B$1),FALSE)&amp;"・"&amp;VLOOKUP($C307,武器!$1:$998,COLUMN(B$1),FALSE)),"")</f>
        <v/>
      </c>
      <c r="C307" s="24"/>
      <c r="D307" s="24"/>
      <c r="E307" t="str">
        <f>IFERROR(VLOOKUP(C307,武器!$1:$998,COLUMN(C$1),FALSE),"")</f>
        <v/>
      </c>
      <c r="F307" t="str">
        <f>IFERROR(ROUNDDOWN((VLOOKUP($C307,武器!$1:$998,COLUMN(D$1),FALSE)+IFERROR(VLOOKUP($CJ307,装強!$1:$999,COLUMN(F$1),FALSE),0))*VLOOKUP($D307,素材!$1:$1016,COLUMN(D$1),FALSE),0),"")</f>
        <v/>
      </c>
      <c r="G307" t="str">
        <f>IFERROR(ROUNDDOWN((VLOOKUP($C307,武器!$1:$998,COLUMN(E$1),FALSE)+IFERROR(VLOOKUP($CJ307,装強!$1:$999,COLUMN(G$1),FALSE),0))*VLOOKUP($D307,素材!$1:$1016,COLUMN($E$1),FALSE),0),"")</f>
        <v/>
      </c>
      <c r="H307" t="str">
        <f>IFERROR(ROUNDDOWN((VLOOKUP($C307,武器!$1:$998,COLUMN(F$1),FALSE)+IFERROR(VLOOKUP($CJ307,装強!$1:$999,COLUMN(H$1),FALSE),0))*VLOOKUP($D307,素材!$1:$1016,COLUMN($E$1),FALSE),0),"")</f>
        <v/>
      </c>
      <c r="I307" t="str">
        <f>IFERROR(ROUNDDOWN((VLOOKUP($C307,武器!$1:$998,COLUMN(G$1),FALSE)+IFERROR(VLOOKUP($CJ307,装強!$1:$999,COLUMN(I$1),FALSE),0))*VLOOKUP($D307,素材!$1:$1016,COLUMN($E$1),FALSE),0),"")</f>
        <v/>
      </c>
      <c r="J307" t="str">
        <f>IFERROR(ROUNDDOWN((VLOOKUP($C307,武器!$1:$998,COLUMN(H$1),FALSE)+IFERROR(VLOOKUP($CJ307,装強!$1:$999,COLUMN(J$1),FALSE),0))*VLOOKUP($D307,素材!$1:$1016,COLUMN($E$1),FALSE),0),"")</f>
        <v/>
      </c>
      <c r="K307" t="str">
        <f>IFERROR(ROUNDDOWN((VLOOKUP($C307,武器!$1:$998,COLUMN(I$1),FALSE)+IFERROR(VLOOKUP($CJ307,装強!$1:$999,COLUMN(K$1),FALSE),0))*VLOOKUP($D307,素材!$1:$1016,COLUMN($E$1),FALSE),0),"")</f>
        <v/>
      </c>
      <c r="L307" t="str">
        <f>IFERROR(VLOOKUP($D307,素材!$1:$1016,COLUMN($F$1),FALSE),"")</f>
        <v/>
      </c>
      <c r="M307" t="str">
        <f>IFERROR(VLOOKUP($C307,武器!$1:$998,COLUMN(AA$1),FALSE)*VLOOKUP($D307,素材!$1:$1016,COLUMN($G$1),FALSE),"")</f>
        <v/>
      </c>
      <c r="N307" t="str">
        <f>IFERROR(VLOOKUP($C307,武器!$1:$998,COLUMN(I$1),FALSE),"")</f>
        <v/>
      </c>
      <c r="O307" s="23" t="str">
        <f>IFERROR((VLOOKUP($C307,武器!$1:$998,COLUMN(K$1),FALSE)+VLOOKUP($D307,素材!$1:$1016,COLUMN(H$1),FALSE))*100+IFERROR(VLOOKUP($CJ307,装強!$1:$999,COLUMN(O$1),FALSE),0),"")</f>
        <v/>
      </c>
      <c r="P307" s="23" t="str">
        <f>IFERROR((VLOOKUP($C307,武器!$1:$998,COLUMN(L$1),FALSE)+VLOOKUP($D307,素材!$1:$1016,COLUMN(I$1),FALSE))*100+IFERROR(VLOOKUP($CJ307,装強!$1:$999,COLUMN(P$1),FALSE),0),"")</f>
        <v/>
      </c>
      <c r="Q307" t="str">
        <f>IFERROR(ROUNDUP(VLOOKUP($C307,武器!$1:$998,COLUMN(M$1),FALSE)*(VLOOKUP($D307,素材!$1:$1002,COLUMN(D$1),FALSE)/100),1),"")</f>
        <v/>
      </c>
      <c r="R307" t="str">
        <f>IFERROR(ROUNDUP(VLOOKUP($C307,武器!$1:$998,COLUMN(N$1),FALSE)*(VLOOKUP($D307,素材!$1:$1002,COLUMN(D$1),FALSE)/100),1),"")</f>
        <v/>
      </c>
      <c r="S307" t="str">
        <f>IFERROR(VLOOKUP($C307,武器!$1:$998,COLUMN(P$1),FALSE),"")</f>
        <v/>
      </c>
      <c r="T307" t="str">
        <f>IFERROR(VLOOKUP($C307,武器!$1:$998,COLUMN(Q$1),FALSE),"")</f>
        <v/>
      </c>
      <c r="U307" t="str">
        <f>IFERROR(VLOOKUP($C307,武器!$1:$998,COLUMN(R$1),FALSE),"")</f>
        <v/>
      </c>
      <c r="V307" t="str">
        <f>IFERROR(VLOOKUP($C307,武器!$1:$998,COLUMN(Q$1),FALSE),"")</f>
        <v/>
      </c>
      <c r="W307" t="str">
        <f>IFERROR(VLOOKUP($C307,武器!$1:$998,COLUMN(T$1),FALSE),"")</f>
        <v/>
      </c>
      <c r="Y307" t="str">
        <f>IFERROR(VLOOKUP($C307,武器!$1:$998,COLUMN(U$1),FALSE),"")</f>
        <v/>
      </c>
      <c r="Z307" t="str">
        <f>IFERROR(ROUNDUP(VLOOKUP($C307,武器!$1:$998,COLUMN(O$1),FALSE)*VLOOKUP($D307,素材!$1:$1016,COLUMN(E$1),FALSE),1),"")</f>
        <v/>
      </c>
      <c r="AA307">
        <f>IF(ISNUMBER(SEARCH(SUBSTITUTE(AA$1,RIGHT(AA$1,2),""),VLOOKUP($D307,素材!$1:$1016,COLUMN($F$1),FALSE))),VLOOKUP($C307,武器!$1:$998,COLUMN($O$1),FALSE)*VLOOKUP($D307,素材!$1:$1016,COLUMN($E$1),FALSE)/(LEN(VLOOKUP($D307,素材!$1:$1016,COLUMN($F$1),FALSE))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B307">
        <f>IF(ISNUMBER(SEARCH(SUBSTITUTE(AB$1,RIGHT(AB$1,2),""),VLOOKUP($D307,素材!$1:$1016,COLUMN($F$1),FALSE))),VLOOKUP($C307,武器!$1:$998,COLUMN($O$1),FALSE)*VLOOKUP($D307,素材!$1:$1016,COLUMN($E$1),FALSE)/(LEN(VLOOKUP($D307,素材!$1:$1016,COLUMN($F$1),FALSE))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C307">
        <f>IF(ISNUMBER(SEARCH(SUBSTITUTE(AC$1,RIGHT(AC$1,2),""),VLOOKUP($D307,素材!$1:$1016,COLUMN($F$1),FALSE))),VLOOKUP($C307,武器!$1:$998,COLUMN($O$1),FALSE)*VLOOKUP($D307,素材!$1:$1016,COLUMN($E$1),FALSE)/(LEN(VLOOKUP($D307,素材!$1:$1016,COLUMN($F$1),FALSE))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D307">
        <f>IF(ISNUMBER(SEARCH(SUBSTITUTE(AD$1,RIGHT(AD$1,2),""),VLOOKUP($D307,素材!$1:$1016,COLUMN($F$1),FALSE))),VLOOKUP($C307,武器!$1:$998,COLUMN($O$1),FALSE)*VLOOKUP($D307,素材!$1:$1016,COLUMN($E$1),FALSE)/(LEN(VLOOKUP($D307,素材!$1:$1016,COLUMN($F$1),FALSE))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E307">
        <f>IF(ISNUMBER(SEARCH(SUBSTITUTE(AE$1,RIGHT(AE$1,2),""),VLOOKUP($D307,素材!$1:$1016,COLUMN($F$1),FALSE))),VLOOKUP($C307,武器!$1:$998,COLUMN($O$1),FALSE)*VLOOKUP($D307,素材!$1:$1016,COLUMN($E$1),FALSE)/(LEN(VLOOKUP($D307,素材!$1:$1016,COLUMN($F$1),FALSE))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F307">
        <f>IF(ISNUMBER(SEARCH(SUBSTITUTE(AF$1,RIGHT(AF$1,2),""),VLOOKUP($D307,素材!$1:$1016,COLUMN($F$1),FALSE))),VLOOKUP($C307,武器!$1:$998,COLUMN($O$1),FALSE)*VLOOKUP($D307,素材!$1:$1016,COLUMN($E$1),FALSE)/(LEN(VLOOKUP($D307,素材!$1:$1016,COLUMN($F$1),FALSE))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G307">
        <f>IF(ISNUMBER(SEARCH(SUBSTITUTE(AG$1,RIGHT(AG$1,2),""),VLOOKUP($D307,素材!$1:$1016,COLUMN($F$1),FALSE))),VLOOKUP($C307,武器!$1:$998,COLUMN($O$1),FALSE)*VLOOKUP($D307,素材!$1:$1016,COLUMN($E$1),FALSE)/(LEN(VLOOKUP($D307,素材!$1:$1016,COLUMN($F$1),FALSE))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H307">
        <f>IF(ISNUMBER(SEARCH(SUBSTITUTE(AH$1,RIGHT(AH$1,2),""),VLOOKUP($D307,素材!$1:$1016,COLUMN($F$1),FALSE))),VLOOKUP($C307,武器!$1:$998,COLUMN($O$1),FALSE)*VLOOKUP($D307,素材!$1:$1016,COLUMN($E$1),FALSE)/(LEN(VLOOKUP($D307,素材!$1:$1016,COLUMN($F$1),FALSE))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I307">
        <f>IF(ISNUMBER(SEARCH(SUBSTITUTE(AI$1,RIGHT(AI$1,2),""),VLOOKUP($D307,素材!$1:$1016,COLUMN($F$1),FALSE))),VLOOKUP($C307,武器!$1:$998,COLUMN($O$1),FALSE)*VLOOKUP($D307,素材!$1:$1016,COLUMN($E$1),FALSE)/(LEN(VLOOKUP($D307,素材!$1:$1016,COLUMN($F$1),FALSE))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J307">
        <f>IF(ISNUMBER(SEARCH(SUBSTITUTE(AJ$1,RIGHT(AJ$1,2),""),VLOOKUP($D307,素材!$1:$1016,COLUMN($F$1),FALSE))),VLOOKUP($C307,武器!$1:$998,COLUMN($O$1),FALSE)*VLOOKUP($D307,素材!$1:$1016,COLUMN($E$1),FALSE)/(LEN(VLOOKUP($D307,素材!$1:$1016,COLUMN($F$1),FALSE))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K307">
        <f>IF(ISNUMBER(SEARCH(SUBSTITUTE(AK$1,RIGHT(AK$1,2),""),VLOOKUP($D307,素材!$1:$1016,COLUMN($F$1),FALSE))),VLOOKUP($C307,武器!$1:$998,COLUMN($O$1),FALSE)*VLOOKUP($D307,素材!$1:$1016,COLUMN($E$1),FALSE)/(LEN(VLOOKUP($D307,素材!$1:$1016,COLUMN($F$1),FALSE))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L307">
        <f>IF(ISNUMBER(SEARCH(SUBSTITUTE(AL$1,RIGHT(AL$1,2),""),VLOOKUP($D307,素材!$1:$1016,COLUMN($F$1),FALSE))),VLOOKUP($C307,武器!$1:$998,COLUMN($O$1),FALSE)*VLOOKUP($D307,素材!$1:$1016,COLUMN($E$1),FALSE)/(LEN(VLOOKUP($D307,素材!$1:$1016,COLUMN($F$1),FALSE))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M307">
        <f>IF(ISNUMBER(SEARCH(SUBSTITUTE(AM$1,RIGHT(AM$1,2),""),VLOOKUP($D307,素材!$1:$1016,COLUMN($F$1),FALSE))),VLOOKUP($C307,武器!$1:$998,COLUMN($O$1),FALSE)*VLOOKUP($D307,素材!$1:$1016,COLUMN($E$1),FALSE)/(LEN(VLOOKUP($D307,素材!$1:$1016,COLUMN($F$1),FALSE))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N307">
        <f>IF(ISNUMBER(SEARCH(SUBSTITUTE(AN$1,RIGHT(AN$1,2),""),VLOOKUP($D307,素材!$1:$1016,COLUMN($F$1),FALSE))),VLOOKUP($C307,武器!$1:$998,COLUMN($O$1),FALSE)*VLOOKUP($D307,素材!$1:$1016,COLUMN($E$1),FALSE)/(LEN(VLOOKUP($D307,素材!$1:$1016,COLUMN($F$1),FALSE))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O307">
        <f>IF(ISNUMBER(SEARCH(SUBSTITUTE(AO$1,RIGHT(AO$1,2),""),VLOOKUP($D307,素材!$1:$1016,COLUMN($F$1),FALSE))),VLOOKUP($C307,武器!$1:$998,COLUMN($O$1),FALSE)*VLOOKUP($D307,素材!$1:$1016,COLUMN($E$1),FALSE)/(LEN(VLOOKUP($D307,素材!$1:$1016,COLUMN($F$1),FALSE))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P307">
        <f>IF(ISNUMBER(SEARCH(SUBSTITUTE(AP$1,RIGHT(AP$1,2),""),VLOOKUP($D307,素材!$1:$1016,COLUMN($F$1),FALSE))),VLOOKUP($C307,武器!$1:$998,COLUMN($O$1),FALSE)*VLOOKUP($D307,素材!$1:$1016,COLUMN($E$1),FALSE)/(LEN(VLOOKUP($D307,素材!$1:$1016,COLUMN($F$1),FALSE))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Q307">
        <f>IF(ISNUMBER(SEARCH(SUBSTITUTE(AQ$1,RIGHT(AQ$1,2),""),VLOOKUP($D307,素材!$1:$1016,COLUMN($F$1),FALSE))),VLOOKUP($C307,武器!$1:$998,COLUMN($O$1),FALSE)*VLOOKUP($D307,素材!$1:$1016,COLUMN($E$1),FALSE)/(LEN(VLOOKUP($D307,素材!$1:$1016,COLUMN($F$1),FALSE))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R307">
        <f>IF(ISNUMBER(SEARCH(SUBSTITUTE(AR$1,RIGHT(AR$1,2),""),VLOOKUP($D307,素材!$1:$1016,COLUMN($F$1),FALSE))),VLOOKUP($C307,武器!$1:$998,COLUMN($O$1),FALSE)*VLOOKUP($D307,素材!$1:$1016,COLUMN($E$1),FALSE)/(LEN(VLOOKUP($D307,素材!$1:$1016,COLUMN($F$1),FALSE))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S307">
        <f>IF(ISNUMBER(SEARCH(SUBSTITUTE(AS$1,RIGHT(AS$1,2),""),VLOOKUP($D307,素材!$1:$1016,COLUMN($F$1),FALSE))),VLOOKUP($C307,武器!$1:$998,COLUMN($O$1),FALSE)*VLOOKUP($D307,素材!$1:$1016,COLUMN($E$1),FALSE)/(LEN(VLOOKUP($D307,素材!$1:$1016,COLUMN($F$1),FALSE))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T307">
        <f>IF(ISNUMBER(SEARCH(SUBSTITUTE(AT$1,RIGHT(AT$1,2),""),VLOOKUP($D307,素材!$1:$1016,COLUMN($F$1),FALSE))),VLOOKUP($C307,武器!$1:$998,COLUMN($O$1),FALSE)*VLOOKUP($D307,素材!$1:$1016,COLUMN($E$1),FALSE)/(LEN(VLOOKUP($D307,素材!$1:$1016,COLUMN($F$1),FALSE))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U307">
        <f>IF(ISNUMBER(SEARCH(SUBSTITUTE(AU$1,RIGHT(AU$1,2),""),VLOOKUP($D307,素材!$1:$1016,COLUMN($F$1),FALSE))),VLOOKUP($C307,武器!$1:$998,COLUMN($O$1),FALSE)*VLOOKUP($D307,素材!$1:$1016,COLUMN($E$1),FALSE)/(LEN(VLOOKUP($D307,素材!$1:$1016,COLUMN($F$1),FALSE))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V307">
        <f>IF(ISNUMBER(SEARCH(SUBSTITUTE(AV$1,RIGHT(AV$1,2),""),VLOOKUP($D307,素材!$1:$1016,COLUMN($F$1),FALSE))),VLOOKUP($C307,武器!$1:$998,COLUMN($O$1),FALSE)*VLOOKUP($D307,素材!$1:$1016,COLUMN($E$1),FALSE)/(LEN(VLOOKUP($D307,素材!$1:$1016,COLUMN($F$1),FALSE))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W307">
        <f>IF(ISNUMBER(SEARCH(SUBSTITUTE(AW$1,RIGHT(AW$1,2),""),VLOOKUP($D307,素材!$1:$1016,COLUMN($F$1),FALSE))),VLOOKUP($C307,武器!$1:$998,COLUMN($O$1),FALSE)*VLOOKUP($D307,素材!$1:$1016,COLUMN($E$1),FALSE)/(LEN(VLOOKUP($D307,素材!$1:$1016,COLUMN($F$1),FALSE))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X307">
        <f>IF(ISNUMBER(SEARCH(SUBSTITUTE(AX$1,RIGHT(AX$1,2),""),VLOOKUP($D307,素材!$1:$1016,COLUMN($F$1),FALSE))),VLOOKUP($C307,武器!$1:$998,COLUMN($O$1),FALSE)*VLOOKUP($D307,素材!$1:$1016,COLUMN($E$1),FALSE)/(LEN(VLOOKUP($D307,素材!$1:$1016,COLUMN($F$1),FALSE))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Y307">
        <f>IF(ISNUMBER(SEARCH(SUBSTITUTE(AY$1,RIGHT(AY$1,2),""),VLOOKUP($D307,素材!$1:$1016,COLUMN($F$1),FALSE))),VLOOKUP($C307,武器!$1:$998,COLUMN($O$1),FALSE)*VLOOKUP($D307,素材!$1:$1016,COLUMN($E$1),FALSE)/(LEN(VLOOKUP($D307,素材!$1:$1016,COLUMN($F$1),FALSE))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AZ307">
        <f>IF(ISNUMBER(SEARCH(SUBSTITUTE(AZ$1,RIGHT(AZ$1,2),""),VLOOKUP($D307,素材!$1:$1016,COLUMN($F$1),FALSE))),VLOOKUP($C307,武器!$1:$998,COLUMN($O$1),FALSE)*VLOOKUP($D307,素材!$1:$1016,COLUMN($E$1),FALSE)/(LEN(VLOOKUP($D307,素材!$1:$1016,COLUMN($F$1),FALSE))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BA307">
        <f>IF(ISNUMBER(SEARCH(SUBSTITUTE(BA$1,RIGHT(BA$1,2),""),VLOOKUP($D307,素材!$1:$1016,COLUMN($F$1),FALSE))),VLOOKUP($C307,武器!$1:$998,COLUMN($O$1),FALSE)*VLOOKUP($D307,素材!$1:$1016,COLUMN($E$1),FALSE)/(LEN(VLOOKUP($D307,素材!$1:$1016,COLUMN($F$1),FALSE))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BB307">
        <f>IF(ISNUMBER(SEARCH(SUBSTITUTE(BB$1,RIGHT(BB$1,2),""),VLOOKUP($D307,素材!$1:$1016,COLUMN($F$1),FALSE))),VLOOKUP($C307,武器!$1:$998,COLUMN($O$1),FALSE)*VLOOKUP($D307,素材!$1:$1016,COLUMN($E$1),FALSE)/(LEN(VLOOKUP($D307,素材!$1:$1016,COLUMN($F$1),FALSE))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BC307">
        <f>IF(ISNUMBER(SEARCH(SUBSTITUTE(BC$1,RIGHT(BC$1,2),""),VLOOKUP($D307,素材!$1:$1016,COLUMN($F$1),FALSE))),VLOOKUP($C307,武器!$1:$998,COLUMN($O$1),FALSE)*VLOOKUP($D307,素材!$1:$1016,COLUMN($E$1),FALSE)/(LEN(VLOOKUP($D307,素材!$1:$1016,COLUMN($F$1),FALSE))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BD307">
        <f>IF(ISNUMBER(SEARCH(SUBSTITUTE(BD$1,RIGHT(BD$1,2),""),VLOOKUP($D307,素材!$1:$1016,COLUMN($F$1),FALSE))),VLOOKUP($C307,武器!$1:$998,COLUMN($O$1),FALSE)*VLOOKUP($D307,素材!$1:$1016,COLUMN($E$1),FALSE)/(LEN(VLOOKUP($D307,素材!$1:$1016,COLUMN($F$1),FALSE))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BE307">
        <f>IF(ISNUMBER(SEARCH(SUBSTITUTE(BE$1,RIGHT(BE$1,2),""),VLOOKUP($D307,素材!$1:$1016,COLUMN($F$1),FALSE))),VLOOKUP($C307,武器!$1:$998,COLUMN($O$1),FALSE)*VLOOKUP($D307,素材!$1:$1016,COLUMN($E$1),FALSE)/(LEN(VLOOKUP($D307,素材!$1:$1016,COLUMN($F$1),FALSE))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BF307">
        <f>IF(ISNUMBER(SEARCH(SUBSTITUTE(BF$1,RIGHT(BF$1,2),""),VLOOKUP($D307,素材!$1:$1016,COLUMN($F$1),FALSE))),VLOOKUP($C307,武器!$1:$998,COLUMN($O$1),FALSE)*VLOOKUP($D307,素材!$1:$1016,COLUMN($E$1),FALSE)/(LEN(VLOOKUP($D307,素材!$1:$1016,COLUMN($F$1),FALSE)) - LEN(SUBSTITUTE(VLOOKUP($D307,素材!$1:$1016,COLUMN($F$1),FALSE), "・", 0)) + 1), 0)</f>
        <v>0</v>
      </c>
      <c r="CM307">
        <f t="shared" si="36"/>
        <v>0</v>
      </c>
      <c r="CN307" s="22" t="str">
        <f>IF(E307="武器",IF(J307-1&gt;SUM(G307:I307),"盾",IF(MAX(G307:I307)=G307,"切断",IF(MAX(G307:I307)=H307,"貫通",IF(MAX(G307:I307)=I307,"打撃","射撃")))),E307)&amp;".webp"</f>
        <v>.webp</v>
      </c>
      <c r="CO307" t="str">
        <f>IFERROR(VLOOKUP($C307,武器!$1:$998,COLUMN(V$1),FALSE)*VLOOKUP($D307,素材!$1:$1016,COLUMN(N$1),FALSE)+IF(CJ307="",0,VLOOKUP($CJ307,装強!$1:$1008,COLUMN($CL$1),FALSE)),"")</f>
        <v/>
      </c>
      <c r="CP307" t="e">
        <f>VLOOKUP(D307,素材!$A:$O,COLUMN(素材!O$1),FALSE)</f>
        <v>#N/A</v>
      </c>
      <c r="CQ307" t="e">
        <f>VLOOKUP(C307,武器!$A:$W,COLUMN(武器!W$1),FALSE)</f>
        <v>#N/A</v>
      </c>
      <c r="CS307" t="str">
        <f t="shared" si="37"/>
        <v>e_307</v>
      </c>
      <c r="CT307" t="e">
        <f t="shared" si="38"/>
        <v>#VALUE!</v>
      </c>
    </row>
    <row r="308" spans="1:98" hidden="1" outlineLevel="1" x14ac:dyDescent="0.4">
      <c r="A308" t="str">
        <f>IF(CJ308="",D308&amp;"の"&amp;C308,CJ308&amp;"の"&amp;C308)</f>
        <v>の</v>
      </c>
      <c r="B308" t="str">
        <f>IFERROR(IF(CJ308="",VLOOKUP($D308,素材!$1:$1016,COLUMN($B$1),FALSE)&amp;"・"&amp;VLOOKUP($C308,武器!$1:$998,COLUMN(B$1),FALSE),VLOOKUP($CJ308,装強!$1:$1008,COLUMN($B$1),FALSE)&amp;"・"&amp;VLOOKUP($C308,武器!$1:$998,COLUMN(B$1),FALSE)),"")</f>
        <v/>
      </c>
      <c r="C308" s="24"/>
      <c r="D308" s="24"/>
      <c r="E308" t="str">
        <f>IFERROR(VLOOKUP(C308,武器!$1:$998,COLUMN(C$1),FALSE),"")</f>
        <v/>
      </c>
      <c r="F308" t="str">
        <f>IFERROR(ROUNDDOWN((VLOOKUP($C308,武器!$1:$998,COLUMN(D$1),FALSE)+IFERROR(VLOOKUP($CJ308,装強!$1:$999,COLUMN(F$1),FALSE),0))*VLOOKUP($D308,素材!$1:$1016,COLUMN(D$1),FALSE),0),"")</f>
        <v/>
      </c>
      <c r="G308" t="str">
        <f>IFERROR(ROUNDDOWN((VLOOKUP($C308,武器!$1:$998,COLUMN(E$1),FALSE)+IFERROR(VLOOKUP($CJ308,装強!$1:$999,COLUMN(G$1),FALSE),0))*VLOOKUP($D308,素材!$1:$1016,COLUMN($E$1),FALSE),0),"")</f>
        <v/>
      </c>
      <c r="H308" t="str">
        <f>IFERROR(ROUNDDOWN((VLOOKUP($C308,武器!$1:$998,COLUMN(F$1),FALSE)+IFERROR(VLOOKUP($CJ308,装強!$1:$999,COLUMN(H$1),FALSE),0))*VLOOKUP($D308,素材!$1:$1016,COLUMN($E$1),FALSE),0),"")</f>
        <v/>
      </c>
      <c r="I308" t="str">
        <f>IFERROR(ROUNDDOWN((VLOOKUP($C308,武器!$1:$998,COLUMN(G$1),FALSE)+IFERROR(VLOOKUP($CJ308,装強!$1:$999,COLUMN(I$1),FALSE),0))*VLOOKUP($D308,素材!$1:$1016,COLUMN($E$1),FALSE),0),"")</f>
        <v/>
      </c>
      <c r="J308" t="str">
        <f>IFERROR(ROUNDDOWN((VLOOKUP($C308,武器!$1:$998,COLUMN(H$1),FALSE)+IFERROR(VLOOKUP($CJ308,装強!$1:$999,COLUMN(J$1),FALSE),0))*VLOOKUP($D308,素材!$1:$1016,COLUMN($E$1),FALSE),0),"")</f>
        <v/>
      </c>
      <c r="K308" t="str">
        <f>IFERROR(ROUNDDOWN((VLOOKUP($C308,武器!$1:$998,COLUMN(I$1),FALSE)+IFERROR(VLOOKUP($CJ308,装強!$1:$999,COLUMN(K$1),FALSE),0))*VLOOKUP($D308,素材!$1:$1016,COLUMN($E$1),FALSE),0),"")</f>
        <v/>
      </c>
      <c r="L308" t="str">
        <f>IFERROR(VLOOKUP($D308,素材!$1:$1016,COLUMN($F$1),FALSE),"")</f>
        <v/>
      </c>
      <c r="M308" t="str">
        <f>IFERROR(VLOOKUP($C308,武器!$1:$998,COLUMN(AA$1),FALSE)*VLOOKUP($D308,素材!$1:$1016,COLUMN($G$1),FALSE),"")</f>
        <v/>
      </c>
      <c r="N308" t="str">
        <f>IFERROR(VLOOKUP($C308,武器!$1:$998,COLUMN(I$1),FALSE),"")</f>
        <v/>
      </c>
      <c r="O308" s="23" t="str">
        <f>IFERROR((VLOOKUP($C308,武器!$1:$998,COLUMN(K$1),FALSE)+VLOOKUP($D308,素材!$1:$1016,COLUMN(H$1),FALSE))*100+IFERROR(VLOOKUP($CJ308,装強!$1:$999,COLUMN(O$1),FALSE),0),"")</f>
        <v/>
      </c>
      <c r="P308" s="23" t="str">
        <f>IFERROR((VLOOKUP($C308,武器!$1:$998,COLUMN(L$1),FALSE)+VLOOKUP($D308,素材!$1:$1016,COLUMN(I$1),FALSE))*100+IFERROR(VLOOKUP($CJ308,装強!$1:$999,COLUMN(P$1),FALSE),0),"")</f>
        <v/>
      </c>
      <c r="Q308" t="str">
        <f>IFERROR(ROUNDUP(VLOOKUP($C308,武器!$1:$998,COLUMN(M$1),FALSE)*(VLOOKUP($D308,素材!$1:$1002,COLUMN(D$1),FALSE)/100),1),"")</f>
        <v/>
      </c>
      <c r="R308" t="str">
        <f>IFERROR(ROUNDUP(VLOOKUP($C308,武器!$1:$998,COLUMN(N$1),FALSE)*(VLOOKUP($D308,素材!$1:$1002,COLUMN(D$1),FALSE)/100),1),"")</f>
        <v/>
      </c>
      <c r="S308" t="str">
        <f>IFERROR(VLOOKUP($C308,武器!$1:$998,COLUMN(P$1),FALSE),"")</f>
        <v/>
      </c>
      <c r="T308" t="str">
        <f>IFERROR(VLOOKUP($C308,武器!$1:$998,COLUMN(Q$1),FALSE),"")</f>
        <v/>
      </c>
      <c r="U308" t="str">
        <f>IFERROR(VLOOKUP($C308,武器!$1:$998,COLUMN(R$1),FALSE),"")</f>
        <v/>
      </c>
      <c r="V308" t="str">
        <f>IFERROR(VLOOKUP($C308,武器!$1:$998,COLUMN(Q$1),FALSE),"")</f>
        <v/>
      </c>
      <c r="W308" t="str">
        <f>IFERROR(VLOOKUP($C308,武器!$1:$998,COLUMN(T$1),FALSE),"")</f>
        <v/>
      </c>
      <c r="Y308" t="str">
        <f>IFERROR(VLOOKUP($C308,武器!$1:$998,COLUMN(U$1),FALSE),"")</f>
        <v/>
      </c>
      <c r="Z308" t="str">
        <f>IFERROR(ROUNDUP(VLOOKUP($C308,武器!$1:$998,COLUMN(O$1),FALSE)*VLOOKUP($D308,素材!$1:$1016,COLUMN(E$1),FALSE),1),"")</f>
        <v/>
      </c>
      <c r="AA308">
        <f>IF(ISNUMBER(SEARCH(SUBSTITUTE(AA$1,RIGHT(AA$1,2),""),VLOOKUP($D308,素材!$1:$1016,COLUMN($F$1),FALSE))),VLOOKUP($C308,武器!$1:$998,COLUMN($O$1),FALSE)*VLOOKUP($D308,素材!$1:$1016,COLUMN($E$1),FALSE)/(LEN(VLOOKUP($D308,素材!$1:$1016,COLUMN($F$1),FALSE))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B308">
        <f>IF(ISNUMBER(SEARCH(SUBSTITUTE(AB$1,RIGHT(AB$1,2),""),VLOOKUP($D308,素材!$1:$1016,COLUMN($F$1),FALSE))),VLOOKUP($C308,武器!$1:$998,COLUMN($O$1),FALSE)*VLOOKUP($D308,素材!$1:$1016,COLUMN($E$1),FALSE)/(LEN(VLOOKUP($D308,素材!$1:$1016,COLUMN($F$1),FALSE))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C308">
        <f>IF(ISNUMBER(SEARCH(SUBSTITUTE(AC$1,RIGHT(AC$1,2),""),VLOOKUP($D308,素材!$1:$1016,COLUMN($F$1),FALSE))),VLOOKUP($C308,武器!$1:$998,COLUMN($O$1),FALSE)*VLOOKUP($D308,素材!$1:$1016,COLUMN($E$1),FALSE)/(LEN(VLOOKUP($D308,素材!$1:$1016,COLUMN($F$1),FALSE))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D308">
        <f>IF(ISNUMBER(SEARCH(SUBSTITUTE(AD$1,RIGHT(AD$1,2),""),VLOOKUP($D308,素材!$1:$1016,COLUMN($F$1),FALSE))),VLOOKUP($C308,武器!$1:$998,COLUMN($O$1),FALSE)*VLOOKUP($D308,素材!$1:$1016,COLUMN($E$1),FALSE)/(LEN(VLOOKUP($D308,素材!$1:$1016,COLUMN($F$1),FALSE))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E308">
        <f>IF(ISNUMBER(SEARCH(SUBSTITUTE(AE$1,RIGHT(AE$1,2),""),VLOOKUP($D308,素材!$1:$1016,COLUMN($F$1),FALSE))),VLOOKUP($C308,武器!$1:$998,COLUMN($O$1),FALSE)*VLOOKUP($D308,素材!$1:$1016,COLUMN($E$1),FALSE)/(LEN(VLOOKUP($D308,素材!$1:$1016,COLUMN($F$1),FALSE))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F308">
        <f>IF(ISNUMBER(SEARCH(SUBSTITUTE(AF$1,RIGHT(AF$1,2),""),VLOOKUP($D308,素材!$1:$1016,COLUMN($F$1),FALSE))),VLOOKUP($C308,武器!$1:$998,COLUMN($O$1),FALSE)*VLOOKUP($D308,素材!$1:$1016,COLUMN($E$1),FALSE)/(LEN(VLOOKUP($D308,素材!$1:$1016,COLUMN($F$1),FALSE))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G308">
        <f>IF(ISNUMBER(SEARCH(SUBSTITUTE(AG$1,RIGHT(AG$1,2),""),VLOOKUP($D308,素材!$1:$1016,COLUMN($F$1),FALSE))),VLOOKUP($C308,武器!$1:$998,COLUMN($O$1),FALSE)*VLOOKUP($D308,素材!$1:$1016,COLUMN($E$1),FALSE)/(LEN(VLOOKUP($D308,素材!$1:$1016,COLUMN($F$1),FALSE))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H308">
        <f>IF(ISNUMBER(SEARCH(SUBSTITUTE(AH$1,RIGHT(AH$1,2),""),VLOOKUP($D308,素材!$1:$1016,COLUMN($F$1),FALSE))),VLOOKUP($C308,武器!$1:$998,COLUMN($O$1),FALSE)*VLOOKUP($D308,素材!$1:$1016,COLUMN($E$1),FALSE)/(LEN(VLOOKUP($D308,素材!$1:$1016,COLUMN($F$1),FALSE))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I308">
        <f>IF(ISNUMBER(SEARCH(SUBSTITUTE(AI$1,RIGHT(AI$1,2),""),VLOOKUP($D308,素材!$1:$1016,COLUMN($F$1),FALSE))),VLOOKUP($C308,武器!$1:$998,COLUMN($O$1),FALSE)*VLOOKUP($D308,素材!$1:$1016,COLUMN($E$1),FALSE)/(LEN(VLOOKUP($D308,素材!$1:$1016,COLUMN($F$1),FALSE))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J308">
        <f>IF(ISNUMBER(SEARCH(SUBSTITUTE(AJ$1,RIGHT(AJ$1,2),""),VLOOKUP($D308,素材!$1:$1016,COLUMN($F$1),FALSE))),VLOOKUP($C308,武器!$1:$998,COLUMN($O$1),FALSE)*VLOOKUP($D308,素材!$1:$1016,COLUMN($E$1),FALSE)/(LEN(VLOOKUP($D308,素材!$1:$1016,COLUMN($F$1),FALSE))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K308">
        <f>IF(ISNUMBER(SEARCH(SUBSTITUTE(AK$1,RIGHT(AK$1,2),""),VLOOKUP($D308,素材!$1:$1016,COLUMN($F$1),FALSE))),VLOOKUP($C308,武器!$1:$998,COLUMN($O$1),FALSE)*VLOOKUP($D308,素材!$1:$1016,COLUMN($E$1),FALSE)/(LEN(VLOOKUP($D308,素材!$1:$1016,COLUMN($F$1),FALSE))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L308">
        <f>IF(ISNUMBER(SEARCH(SUBSTITUTE(AL$1,RIGHT(AL$1,2),""),VLOOKUP($D308,素材!$1:$1016,COLUMN($F$1),FALSE))),VLOOKUP($C308,武器!$1:$998,COLUMN($O$1),FALSE)*VLOOKUP($D308,素材!$1:$1016,COLUMN($E$1),FALSE)/(LEN(VLOOKUP($D308,素材!$1:$1016,COLUMN($F$1),FALSE))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M308">
        <f>IF(ISNUMBER(SEARCH(SUBSTITUTE(AM$1,RIGHT(AM$1,2),""),VLOOKUP($D308,素材!$1:$1016,COLUMN($F$1),FALSE))),VLOOKUP($C308,武器!$1:$998,COLUMN($O$1),FALSE)*VLOOKUP($D308,素材!$1:$1016,COLUMN($E$1),FALSE)/(LEN(VLOOKUP($D308,素材!$1:$1016,COLUMN($F$1),FALSE))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N308">
        <f>IF(ISNUMBER(SEARCH(SUBSTITUTE(AN$1,RIGHT(AN$1,2),""),VLOOKUP($D308,素材!$1:$1016,COLUMN($F$1),FALSE))),VLOOKUP($C308,武器!$1:$998,COLUMN($O$1),FALSE)*VLOOKUP($D308,素材!$1:$1016,COLUMN($E$1),FALSE)/(LEN(VLOOKUP($D308,素材!$1:$1016,COLUMN($F$1),FALSE))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O308">
        <f>IF(ISNUMBER(SEARCH(SUBSTITUTE(AO$1,RIGHT(AO$1,2),""),VLOOKUP($D308,素材!$1:$1016,COLUMN($F$1),FALSE))),VLOOKUP($C308,武器!$1:$998,COLUMN($O$1),FALSE)*VLOOKUP($D308,素材!$1:$1016,COLUMN($E$1),FALSE)/(LEN(VLOOKUP($D308,素材!$1:$1016,COLUMN($F$1),FALSE))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P308">
        <f>IF(ISNUMBER(SEARCH(SUBSTITUTE(AP$1,RIGHT(AP$1,2),""),VLOOKUP($D308,素材!$1:$1016,COLUMN($F$1),FALSE))),VLOOKUP($C308,武器!$1:$998,COLUMN($O$1),FALSE)*VLOOKUP($D308,素材!$1:$1016,COLUMN($E$1),FALSE)/(LEN(VLOOKUP($D308,素材!$1:$1016,COLUMN($F$1),FALSE))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Q308">
        <f>IF(ISNUMBER(SEARCH(SUBSTITUTE(AQ$1,RIGHT(AQ$1,2),""),VLOOKUP($D308,素材!$1:$1016,COLUMN($F$1),FALSE))),VLOOKUP($C308,武器!$1:$998,COLUMN($O$1),FALSE)*VLOOKUP($D308,素材!$1:$1016,COLUMN($E$1),FALSE)/(LEN(VLOOKUP($D308,素材!$1:$1016,COLUMN($F$1),FALSE))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R308">
        <f>IF(ISNUMBER(SEARCH(SUBSTITUTE(AR$1,RIGHT(AR$1,2),""),VLOOKUP($D308,素材!$1:$1016,COLUMN($F$1),FALSE))),VLOOKUP($C308,武器!$1:$998,COLUMN($O$1),FALSE)*VLOOKUP($D308,素材!$1:$1016,COLUMN($E$1),FALSE)/(LEN(VLOOKUP($D308,素材!$1:$1016,COLUMN($F$1),FALSE))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S308">
        <f>IF(ISNUMBER(SEARCH(SUBSTITUTE(AS$1,RIGHT(AS$1,2),""),VLOOKUP($D308,素材!$1:$1016,COLUMN($F$1),FALSE))),VLOOKUP($C308,武器!$1:$998,COLUMN($O$1),FALSE)*VLOOKUP($D308,素材!$1:$1016,COLUMN($E$1),FALSE)/(LEN(VLOOKUP($D308,素材!$1:$1016,COLUMN($F$1),FALSE))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T308">
        <f>IF(ISNUMBER(SEARCH(SUBSTITUTE(AT$1,RIGHT(AT$1,2),""),VLOOKUP($D308,素材!$1:$1016,COLUMN($F$1),FALSE))),VLOOKUP($C308,武器!$1:$998,COLUMN($O$1),FALSE)*VLOOKUP($D308,素材!$1:$1016,COLUMN($E$1),FALSE)/(LEN(VLOOKUP($D308,素材!$1:$1016,COLUMN($F$1),FALSE))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U308">
        <f>IF(ISNUMBER(SEARCH(SUBSTITUTE(AU$1,RIGHT(AU$1,2),""),VLOOKUP($D308,素材!$1:$1016,COLUMN($F$1),FALSE))),VLOOKUP($C308,武器!$1:$998,COLUMN($O$1),FALSE)*VLOOKUP($D308,素材!$1:$1016,COLUMN($E$1),FALSE)/(LEN(VLOOKUP($D308,素材!$1:$1016,COLUMN($F$1),FALSE))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V308">
        <f>IF(ISNUMBER(SEARCH(SUBSTITUTE(AV$1,RIGHT(AV$1,2),""),VLOOKUP($D308,素材!$1:$1016,COLUMN($F$1),FALSE))),VLOOKUP($C308,武器!$1:$998,COLUMN($O$1),FALSE)*VLOOKUP($D308,素材!$1:$1016,COLUMN($E$1),FALSE)/(LEN(VLOOKUP($D308,素材!$1:$1016,COLUMN($F$1),FALSE))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W308">
        <f>IF(ISNUMBER(SEARCH(SUBSTITUTE(AW$1,RIGHT(AW$1,2),""),VLOOKUP($D308,素材!$1:$1016,COLUMN($F$1),FALSE))),VLOOKUP($C308,武器!$1:$998,COLUMN($O$1),FALSE)*VLOOKUP($D308,素材!$1:$1016,COLUMN($E$1),FALSE)/(LEN(VLOOKUP($D308,素材!$1:$1016,COLUMN($F$1),FALSE))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X308">
        <f>IF(ISNUMBER(SEARCH(SUBSTITUTE(AX$1,RIGHT(AX$1,2),""),VLOOKUP($D308,素材!$1:$1016,COLUMN($F$1),FALSE))),VLOOKUP($C308,武器!$1:$998,COLUMN($O$1),FALSE)*VLOOKUP($D308,素材!$1:$1016,COLUMN($E$1),FALSE)/(LEN(VLOOKUP($D308,素材!$1:$1016,COLUMN($F$1),FALSE))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Y308">
        <f>IF(ISNUMBER(SEARCH(SUBSTITUTE(AY$1,RIGHT(AY$1,2),""),VLOOKUP($D308,素材!$1:$1016,COLUMN($F$1),FALSE))),VLOOKUP($C308,武器!$1:$998,COLUMN($O$1),FALSE)*VLOOKUP($D308,素材!$1:$1016,COLUMN($E$1),FALSE)/(LEN(VLOOKUP($D308,素材!$1:$1016,COLUMN($F$1),FALSE))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AZ308">
        <f>IF(ISNUMBER(SEARCH(SUBSTITUTE(AZ$1,RIGHT(AZ$1,2),""),VLOOKUP($D308,素材!$1:$1016,COLUMN($F$1),FALSE))),VLOOKUP($C308,武器!$1:$998,COLUMN($O$1),FALSE)*VLOOKUP($D308,素材!$1:$1016,COLUMN($E$1),FALSE)/(LEN(VLOOKUP($D308,素材!$1:$1016,COLUMN($F$1),FALSE))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BA308">
        <f>IF(ISNUMBER(SEARCH(SUBSTITUTE(BA$1,RIGHT(BA$1,2),""),VLOOKUP($D308,素材!$1:$1016,COLUMN($F$1),FALSE))),VLOOKUP($C308,武器!$1:$998,COLUMN($O$1),FALSE)*VLOOKUP($D308,素材!$1:$1016,COLUMN($E$1),FALSE)/(LEN(VLOOKUP($D308,素材!$1:$1016,COLUMN($F$1),FALSE))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BB308">
        <f>IF(ISNUMBER(SEARCH(SUBSTITUTE(BB$1,RIGHT(BB$1,2),""),VLOOKUP($D308,素材!$1:$1016,COLUMN($F$1),FALSE))),VLOOKUP($C308,武器!$1:$998,COLUMN($O$1),FALSE)*VLOOKUP($D308,素材!$1:$1016,COLUMN($E$1),FALSE)/(LEN(VLOOKUP($D308,素材!$1:$1016,COLUMN($F$1),FALSE))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BC308">
        <f>IF(ISNUMBER(SEARCH(SUBSTITUTE(BC$1,RIGHT(BC$1,2),""),VLOOKUP($D308,素材!$1:$1016,COLUMN($F$1),FALSE))),VLOOKUP($C308,武器!$1:$998,COLUMN($O$1),FALSE)*VLOOKUP($D308,素材!$1:$1016,COLUMN($E$1),FALSE)/(LEN(VLOOKUP($D308,素材!$1:$1016,COLUMN($F$1),FALSE))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BD308">
        <f>IF(ISNUMBER(SEARCH(SUBSTITUTE(BD$1,RIGHT(BD$1,2),""),VLOOKUP($D308,素材!$1:$1016,COLUMN($F$1),FALSE))),VLOOKUP($C308,武器!$1:$998,COLUMN($O$1),FALSE)*VLOOKUP($D308,素材!$1:$1016,COLUMN($E$1),FALSE)/(LEN(VLOOKUP($D308,素材!$1:$1016,COLUMN($F$1),FALSE))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BE308">
        <f>IF(ISNUMBER(SEARCH(SUBSTITUTE(BE$1,RIGHT(BE$1,2),""),VLOOKUP($D308,素材!$1:$1016,COLUMN($F$1),FALSE))),VLOOKUP($C308,武器!$1:$998,COLUMN($O$1),FALSE)*VLOOKUP($D308,素材!$1:$1016,COLUMN($E$1),FALSE)/(LEN(VLOOKUP($D308,素材!$1:$1016,COLUMN($F$1),FALSE))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BF308">
        <f>IF(ISNUMBER(SEARCH(SUBSTITUTE(BF$1,RIGHT(BF$1,2),""),VLOOKUP($D308,素材!$1:$1016,COLUMN($F$1),FALSE))),VLOOKUP($C308,武器!$1:$998,COLUMN($O$1),FALSE)*VLOOKUP($D308,素材!$1:$1016,COLUMN($E$1),FALSE)/(LEN(VLOOKUP($D308,素材!$1:$1016,COLUMN($F$1),FALSE)) - LEN(SUBSTITUTE(VLOOKUP($D308,素材!$1:$1016,COLUMN($F$1),FALSE), "・", 0)) + 1), 0)</f>
        <v>0</v>
      </c>
      <c r="CM308">
        <f t="shared" si="36"/>
        <v>0</v>
      </c>
      <c r="CN308" s="22" t="str">
        <f>IF(E308="武器",IF(J308-1&gt;SUM(G308:I308),"盾",IF(MAX(G308:I308)=G308,"切断",IF(MAX(G308:I308)=H308,"貫通",IF(MAX(G308:I308)=I308,"打撃","射撃")))),E308)&amp;".webp"</f>
        <v>.webp</v>
      </c>
      <c r="CO308" t="str">
        <f>IFERROR(VLOOKUP($C308,武器!$1:$998,COLUMN(V$1),FALSE)*VLOOKUP($D308,素材!$1:$1016,COLUMN(N$1),FALSE)+IF(CJ308="",0,VLOOKUP($CJ308,装強!$1:$1008,COLUMN($CL$1),FALSE)),"")</f>
        <v/>
      </c>
      <c r="CP308" t="e">
        <f>VLOOKUP(D308,素材!$A:$O,COLUMN(素材!O$1),FALSE)</f>
        <v>#N/A</v>
      </c>
      <c r="CQ308" t="e">
        <f>VLOOKUP(C308,武器!$A:$W,COLUMN(武器!W$1),FALSE)</f>
        <v>#N/A</v>
      </c>
      <c r="CS308" t="str">
        <f t="shared" si="37"/>
        <v>e_308</v>
      </c>
      <c r="CT308" t="e">
        <f t="shared" si="38"/>
        <v>#VALUE!</v>
      </c>
    </row>
    <row r="309" spans="1:98" hidden="1" outlineLevel="1" x14ac:dyDescent="0.4">
      <c r="A309" t="str">
        <f>IF(CJ309="",D309&amp;"の"&amp;C309,CJ309&amp;"の"&amp;C309)</f>
        <v>の</v>
      </c>
      <c r="B309" t="str">
        <f>IFERROR(IF(CJ309="",VLOOKUP($D309,素材!$1:$1016,COLUMN($B$1),FALSE)&amp;"・"&amp;VLOOKUP($C309,武器!$1:$998,COLUMN(B$1),FALSE),VLOOKUP($CJ309,装強!$1:$1008,COLUMN($B$1),FALSE)&amp;"・"&amp;VLOOKUP($C309,武器!$1:$998,COLUMN(B$1),FALSE)),"")</f>
        <v/>
      </c>
      <c r="C309" s="24"/>
      <c r="D309" s="24"/>
      <c r="E309" t="str">
        <f>IFERROR(VLOOKUP(C309,武器!$1:$998,COLUMN(C$1),FALSE),"")</f>
        <v/>
      </c>
      <c r="F309" t="str">
        <f>IFERROR(ROUNDDOWN((VLOOKUP($C309,武器!$1:$998,COLUMN(D$1),FALSE)+IFERROR(VLOOKUP($CJ309,装強!$1:$999,COLUMN(F$1),FALSE),0))*VLOOKUP($D309,素材!$1:$1016,COLUMN(D$1),FALSE),0),"")</f>
        <v/>
      </c>
      <c r="G309" t="str">
        <f>IFERROR(ROUNDDOWN((VLOOKUP($C309,武器!$1:$998,COLUMN(E$1),FALSE)+IFERROR(VLOOKUP($CJ309,装強!$1:$999,COLUMN(G$1),FALSE),0))*VLOOKUP($D309,素材!$1:$1016,COLUMN($E$1),FALSE),0),"")</f>
        <v/>
      </c>
      <c r="H309" t="str">
        <f>IFERROR(ROUNDDOWN((VLOOKUP($C309,武器!$1:$998,COLUMN(F$1),FALSE)+IFERROR(VLOOKUP($CJ309,装強!$1:$999,COLUMN(H$1),FALSE),0))*VLOOKUP($D309,素材!$1:$1016,COLUMN($E$1),FALSE),0),"")</f>
        <v/>
      </c>
      <c r="I309" t="str">
        <f>IFERROR(ROUNDDOWN((VLOOKUP($C309,武器!$1:$998,COLUMN(G$1),FALSE)+IFERROR(VLOOKUP($CJ309,装強!$1:$999,COLUMN(I$1),FALSE),0))*VLOOKUP($D309,素材!$1:$1016,COLUMN($E$1),FALSE),0),"")</f>
        <v/>
      </c>
      <c r="J309" t="str">
        <f>IFERROR(ROUNDDOWN((VLOOKUP($C309,武器!$1:$998,COLUMN(H$1),FALSE)+IFERROR(VLOOKUP($CJ309,装強!$1:$999,COLUMN(J$1),FALSE),0))*VLOOKUP($D309,素材!$1:$1016,COLUMN($E$1),FALSE),0),"")</f>
        <v/>
      </c>
      <c r="K309" t="str">
        <f>IFERROR(ROUNDDOWN((VLOOKUP($C309,武器!$1:$998,COLUMN(I$1),FALSE)+IFERROR(VLOOKUP($CJ309,装強!$1:$999,COLUMN(K$1),FALSE),0))*VLOOKUP($D309,素材!$1:$1016,COLUMN($E$1),FALSE),0),"")</f>
        <v/>
      </c>
      <c r="L309" t="str">
        <f>IFERROR(VLOOKUP($D309,素材!$1:$1016,COLUMN($F$1),FALSE),"")</f>
        <v/>
      </c>
      <c r="M309" t="str">
        <f>IFERROR(VLOOKUP($C309,武器!$1:$998,COLUMN(AA$1),FALSE)*VLOOKUP($D309,素材!$1:$1016,COLUMN($G$1),FALSE),"")</f>
        <v/>
      </c>
      <c r="N309" t="str">
        <f>IFERROR(VLOOKUP($C309,武器!$1:$998,COLUMN(I$1),FALSE),"")</f>
        <v/>
      </c>
      <c r="O309" s="23" t="str">
        <f>IFERROR((VLOOKUP($C309,武器!$1:$998,COLUMN(K$1),FALSE)+VLOOKUP($D309,素材!$1:$1016,COLUMN(H$1),FALSE))*100+IFERROR(VLOOKUP($CJ309,装強!$1:$999,COLUMN(O$1),FALSE),0),"")</f>
        <v/>
      </c>
      <c r="P309" s="23" t="str">
        <f>IFERROR((VLOOKUP($C309,武器!$1:$998,COLUMN(L$1),FALSE)+VLOOKUP($D309,素材!$1:$1016,COLUMN(I$1),FALSE))*100+IFERROR(VLOOKUP($CJ309,装強!$1:$999,COLUMN(P$1),FALSE),0),"")</f>
        <v/>
      </c>
      <c r="Q309" t="str">
        <f>IFERROR(ROUNDUP(VLOOKUP($C309,武器!$1:$998,COLUMN(M$1),FALSE)*(VLOOKUP($D309,素材!$1:$1002,COLUMN(D$1),FALSE)/100),1),"")</f>
        <v/>
      </c>
      <c r="R309" t="str">
        <f>IFERROR(ROUNDUP(VLOOKUP($C309,武器!$1:$998,COLUMN(N$1),FALSE)*(VLOOKUP($D309,素材!$1:$1002,COLUMN(D$1),FALSE)/100),1),"")</f>
        <v/>
      </c>
      <c r="S309" t="str">
        <f>IFERROR(VLOOKUP($C309,武器!$1:$998,COLUMN(P$1),FALSE),"")</f>
        <v/>
      </c>
      <c r="T309" t="str">
        <f>IFERROR(VLOOKUP($C309,武器!$1:$998,COLUMN(Q$1),FALSE),"")</f>
        <v/>
      </c>
      <c r="U309" t="str">
        <f>IFERROR(VLOOKUP($C309,武器!$1:$998,COLUMN(R$1),FALSE),"")</f>
        <v/>
      </c>
      <c r="V309" t="str">
        <f>IFERROR(VLOOKUP($C309,武器!$1:$998,COLUMN(Q$1),FALSE),"")</f>
        <v/>
      </c>
      <c r="W309" t="str">
        <f>IFERROR(VLOOKUP($C309,武器!$1:$998,COLUMN(T$1),FALSE),"")</f>
        <v/>
      </c>
      <c r="Y309" t="str">
        <f>IFERROR(VLOOKUP($C309,武器!$1:$998,COLUMN(U$1),FALSE),"")</f>
        <v/>
      </c>
      <c r="Z309" t="str">
        <f>IFERROR(ROUNDUP(VLOOKUP($C309,武器!$1:$998,COLUMN(O$1),FALSE)*VLOOKUP($D309,素材!$1:$1016,COLUMN(E$1),FALSE),1),"")</f>
        <v/>
      </c>
      <c r="AA309">
        <f>IF(ISNUMBER(SEARCH(SUBSTITUTE(AA$1,RIGHT(AA$1,2),""),VLOOKUP($D309,素材!$1:$1016,COLUMN($F$1),FALSE))),VLOOKUP($C309,武器!$1:$998,COLUMN($O$1),FALSE)*VLOOKUP($D309,素材!$1:$1016,COLUMN($E$1),FALSE)/(LEN(VLOOKUP($D309,素材!$1:$1016,COLUMN($F$1),FALSE))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B309">
        <f>IF(ISNUMBER(SEARCH(SUBSTITUTE(AB$1,RIGHT(AB$1,2),""),VLOOKUP($D309,素材!$1:$1016,COLUMN($F$1),FALSE))),VLOOKUP($C309,武器!$1:$998,COLUMN($O$1),FALSE)*VLOOKUP($D309,素材!$1:$1016,COLUMN($E$1),FALSE)/(LEN(VLOOKUP($D309,素材!$1:$1016,COLUMN($F$1),FALSE))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C309">
        <f>IF(ISNUMBER(SEARCH(SUBSTITUTE(AC$1,RIGHT(AC$1,2),""),VLOOKUP($D309,素材!$1:$1016,COLUMN($F$1),FALSE))),VLOOKUP($C309,武器!$1:$998,COLUMN($O$1),FALSE)*VLOOKUP($D309,素材!$1:$1016,COLUMN($E$1),FALSE)/(LEN(VLOOKUP($D309,素材!$1:$1016,COLUMN($F$1),FALSE))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D309">
        <f>IF(ISNUMBER(SEARCH(SUBSTITUTE(AD$1,RIGHT(AD$1,2),""),VLOOKUP($D309,素材!$1:$1016,COLUMN($F$1),FALSE))),VLOOKUP($C309,武器!$1:$998,COLUMN($O$1),FALSE)*VLOOKUP($D309,素材!$1:$1016,COLUMN($E$1),FALSE)/(LEN(VLOOKUP($D309,素材!$1:$1016,COLUMN($F$1),FALSE))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E309">
        <f>IF(ISNUMBER(SEARCH(SUBSTITUTE(AE$1,RIGHT(AE$1,2),""),VLOOKUP($D309,素材!$1:$1016,COLUMN($F$1),FALSE))),VLOOKUP($C309,武器!$1:$998,COLUMN($O$1),FALSE)*VLOOKUP($D309,素材!$1:$1016,COLUMN($E$1),FALSE)/(LEN(VLOOKUP($D309,素材!$1:$1016,COLUMN($F$1),FALSE))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F309">
        <f>IF(ISNUMBER(SEARCH(SUBSTITUTE(AF$1,RIGHT(AF$1,2),""),VLOOKUP($D309,素材!$1:$1016,COLUMN($F$1),FALSE))),VLOOKUP($C309,武器!$1:$998,COLUMN($O$1),FALSE)*VLOOKUP($D309,素材!$1:$1016,COLUMN($E$1),FALSE)/(LEN(VLOOKUP($D309,素材!$1:$1016,COLUMN($F$1),FALSE))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G309">
        <f>IF(ISNUMBER(SEARCH(SUBSTITUTE(AG$1,RIGHT(AG$1,2),""),VLOOKUP($D309,素材!$1:$1016,COLUMN($F$1),FALSE))),VLOOKUP($C309,武器!$1:$998,COLUMN($O$1),FALSE)*VLOOKUP($D309,素材!$1:$1016,COLUMN($E$1),FALSE)/(LEN(VLOOKUP($D309,素材!$1:$1016,COLUMN($F$1),FALSE))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H309">
        <f>IF(ISNUMBER(SEARCH(SUBSTITUTE(AH$1,RIGHT(AH$1,2),""),VLOOKUP($D309,素材!$1:$1016,COLUMN($F$1),FALSE))),VLOOKUP($C309,武器!$1:$998,COLUMN($O$1),FALSE)*VLOOKUP($D309,素材!$1:$1016,COLUMN($E$1),FALSE)/(LEN(VLOOKUP($D309,素材!$1:$1016,COLUMN($F$1),FALSE))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I309">
        <f>IF(ISNUMBER(SEARCH(SUBSTITUTE(AI$1,RIGHT(AI$1,2),""),VLOOKUP($D309,素材!$1:$1016,COLUMN($F$1),FALSE))),VLOOKUP($C309,武器!$1:$998,COLUMN($O$1),FALSE)*VLOOKUP($D309,素材!$1:$1016,COLUMN($E$1),FALSE)/(LEN(VLOOKUP($D309,素材!$1:$1016,COLUMN($F$1),FALSE))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J309">
        <f>IF(ISNUMBER(SEARCH(SUBSTITUTE(AJ$1,RIGHT(AJ$1,2),""),VLOOKUP($D309,素材!$1:$1016,COLUMN($F$1),FALSE))),VLOOKUP($C309,武器!$1:$998,COLUMN($O$1),FALSE)*VLOOKUP($D309,素材!$1:$1016,COLUMN($E$1),FALSE)/(LEN(VLOOKUP($D309,素材!$1:$1016,COLUMN($F$1),FALSE))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K309">
        <f>IF(ISNUMBER(SEARCH(SUBSTITUTE(AK$1,RIGHT(AK$1,2),""),VLOOKUP($D309,素材!$1:$1016,COLUMN($F$1),FALSE))),VLOOKUP($C309,武器!$1:$998,COLUMN($O$1),FALSE)*VLOOKUP($D309,素材!$1:$1016,COLUMN($E$1),FALSE)/(LEN(VLOOKUP($D309,素材!$1:$1016,COLUMN($F$1),FALSE))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L309">
        <f>IF(ISNUMBER(SEARCH(SUBSTITUTE(AL$1,RIGHT(AL$1,2),""),VLOOKUP($D309,素材!$1:$1016,COLUMN($F$1),FALSE))),VLOOKUP($C309,武器!$1:$998,COLUMN($O$1),FALSE)*VLOOKUP($D309,素材!$1:$1016,COLUMN($E$1),FALSE)/(LEN(VLOOKUP($D309,素材!$1:$1016,COLUMN($F$1),FALSE))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M309">
        <f>IF(ISNUMBER(SEARCH(SUBSTITUTE(AM$1,RIGHT(AM$1,2),""),VLOOKUP($D309,素材!$1:$1016,COLUMN($F$1),FALSE))),VLOOKUP($C309,武器!$1:$998,COLUMN($O$1),FALSE)*VLOOKUP($D309,素材!$1:$1016,COLUMN($E$1),FALSE)/(LEN(VLOOKUP($D309,素材!$1:$1016,COLUMN($F$1),FALSE))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N309">
        <f>IF(ISNUMBER(SEARCH(SUBSTITUTE(AN$1,RIGHT(AN$1,2),""),VLOOKUP($D309,素材!$1:$1016,COLUMN($F$1),FALSE))),VLOOKUP($C309,武器!$1:$998,COLUMN($O$1),FALSE)*VLOOKUP($D309,素材!$1:$1016,COLUMN($E$1),FALSE)/(LEN(VLOOKUP($D309,素材!$1:$1016,COLUMN($F$1),FALSE))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O309">
        <f>IF(ISNUMBER(SEARCH(SUBSTITUTE(AO$1,RIGHT(AO$1,2),""),VLOOKUP($D309,素材!$1:$1016,COLUMN($F$1),FALSE))),VLOOKUP($C309,武器!$1:$998,COLUMN($O$1),FALSE)*VLOOKUP($D309,素材!$1:$1016,COLUMN($E$1),FALSE)/(LEN(VLOOKUP($D309,素材!$1:$1016,COLUMN($F$1),FALSE))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P309">
        <f>IF(ISNUMBER(SEARCH(SUBSTITUTE(AP$1,RIGHT(AP$1,2),""),VLOOKUP($D309,素材!$1:$1016,COLUMN($F$1),FALSE))),VLOOKUP($C309,武器!$1:$998,COLUMN($O$1),FALSE)*VLOOKUP($D309,素材!$1:$1016,COLUMN($E$1),FALSE)/(LEN(VLOOKUP($D309,素材!$1:$1016,COLUMN($F$1),FALSE))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Q309">
        <f>IF(ISNUMBER(SEARCH(SUBSTITUTE(AQ$1,RIGHT(AQ$1,2),""),VLOOKUP($D309,素材!$1:$1016,COLUMN($F$1),FALSE))),VLOOKUP($C309,武器!$1:$998,COLUMN($O$1),FALSE)*VLOOKUP($D309,素材!$1:$1016,COLUMN($E$1),FALSE)/(LEN(VLOOKUP($D309,素材!$1:$1016,COLUMN($F$1),FALSE))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R309">
        <f>IF(ISNUMBER(SEARCH(SUBSTITUTE(AR$1,RIGHT(AR$1,2),""),VLOOKUP($D309,素材!$1:$1016,COLUMN($F$1),FALSE))),VLOOKUP($C309,武器!$1:$998,COLUMN($O$1),FALSE)*VLOOKUP($D309,素材!$1:$1016,COLUMN($E$1),FALSE)/(LEN(VLOOKUP($D309,素材!$1:$1016,COLUMN($F$1),FALSE))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S309">
        <f>IF(ISNUMBER(SEARCH(SUBSTITUTE(AS$1,RIGHT(AS$1,2),""),VLOOKUP($D309,素材!$1:$1016,COLUMN($F$1),FALSE))),VLOOKUP($C309,武器!$1:$998,COLUMN($O$1),FALSE)*VLOOKUP($D309,素材!$1:$1016,COLUMN($E$1),FALSE)/(LEN(VLOOKUP($D309,素材!$1:$1016,COLUMN($F$1),FALSE))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T309">
        <f>IF(ISNUMBER(SEARCH(SUBSTITUTE(AT$1,RIGHT(AT$1,2),""),VLOOKUP($D309,素材!$1:$1016,COLUMN($F$1),FALSE))),VLOOKUP($C309,武器!$1:$998,COLUMN($O$1),FALSE)*VLOOKUP($D309,素材!$1:$1016,COLUMN($E$1),FALSE)/(LEN(VLOOKUP($D309,素材!$1:$1016,COLUMN($F$1),FALSE))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U309">
        <f>IF(ISNUMBER(SEARCH(SUBSTITUTE(AU$1,RIGHT(AU$1,2),""),VLOOKUP($D309,素材!$1:$1016,COLUMN($F$1),FALSE))),VLOOKUP($C309,武器!$1:$998,COLUMN($O$1),FALSE)*VLOOKUP($D309,素材!$1:$1016,COLUMN($E$1),FALSE)/(LEN(VLOOKUP($D309,素材!$1:$1016,COLUMN($F$1),FALSE))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V309">
        <f>IF(ISNUMBER(SEARCH(SUBSTITUTE(AV$1,RIGHT(AV$1,2),""),VLOOKUP($D309,素材!$1:$1016,COLUMN($F$1),FALSE))),VLOOKUP($C309,武器!$1:$998,COLUMN($O$1),FALSE)*VLOOKUP($D309,素材!$1:$1016,COLUMN($E$1),FALSE)/(LEN(VLOOKUP($D309,素材!$1:$1016,COLUMN($F$1),FALSE))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W309">
        <f>IF(ISNUMBER(SEARCH(SUBSTITUTE(AW$1,RIGHT(AW$1,2),""),VLOOKUP($D309,素材!$1:$1016,COLUMN($F$1),FALSE))),VLOOKUP($C309,武器!$1:$998,COLUMN($O$1),FALSE)*VLOOKUP($D309,素材!$1:$1016,COLUMN($E$1),FALSE)/(LEN(VLOOKUP($D309,素材!$1:$1016,COLUMN($F$1),FALSE))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X309">
        <f>IF(ISNUMBER(SEARCH(SUBSTITUTE(AX$1,RIGHT(AX$1,2),""),VLOOKUP($D309,素材!$1:$1016,COLUMN($F$1),FALSE))),VLOOKUP($C309,武器!$1:$998,COLUMN($O$1),FALSE)*VLOOKUP($D309,素材!$1:$1016,COLUMN($E$1),FALSE)/(LEN(VLOOKUP($D309,素材!$1:$1016,COLUMN($F$1),FALSE))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Y309">
        <f>IF(ISNUMBER(SEARCH(SUBSTITUTE(AY$1,RIGHT(AY$1,2),""),VLOOKUP($D309,素材!$1:$1016,COLUMN($F$1),FALSE))),VLOOKUP($C309,武器!$1:$998,COLUMN($O$1),FALSE)*VLOOKUP($D309,素材!$1:$1016,COLUMN($E$1),FALSE)/(LEN(VLOOKUP($D309,素材!$1:$1016,COLUMN($F$1),FALSE))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AZ309">
        <f>IF(ISNUMBER(SEARCH(SUBSTITUTE(AZ$1,RIGHT(AZ$1,2),""),VLOOKUP($D309,素材!$1:$1016,COLUMN($F$1),FALSE))),VLOOKUP($C309,武器!$1:$998,COLUMN($O$1),FALSE)*VLOOKUP($D309,素材!$1:$1016,COLUMN($E$1),FALSE)/(LEN(VLOOKUP($D309,素材!$1:$1016,COLUMN($F$1),FALSE))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BA309">
        <f>IF(ISNUMBER(SEARCH(SUBSTITUTE(BA$1,RIGHT(BA$1,2),""),VLOOKUP($D309,素材!$1:$1016,COLUMN($F$1),FALSE))),VLOOKUP($C309,武器!$1:$998,COLUMN($O$1),FALSE)*VLOOKUP($D309,素材!$1:$1016,COLUMN($E$1),FALSE)/(LEN(VLOOKUP($D309,素材!$1:$1016,COLUMN($F$1),FALSE))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BB309">
        <f>IF(ISNUMBER(SEARCH(SUBSTITUTE(BB$1,RIGHT(BB$1,2),""),VLOOKUP($D309,素材!$1:$1016,COLUMN($F$1),FALSE))),VLOOKUP($C309,武器!$1:$998,COLUMN($O$1),FALSE)*VLOOKUP($D309,素材!$1:$1016,COLUMN($E$1),FALSE)/(LEN(VLOOKUP($D309,素材!$1:$1016,COLUMN($F$1),FALSE))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BC309">
        <f>IF(ISNUMBER(SEARCH(SUBSTITUTE(BC$1,RIGHT(BC$1,2),""),VLOOKUP($D309,素材!$1:$1016,COLUMN($F$1),FALSE))),VLOOKUP($C309,武器!$1:$998,COLUMN($O$1),FALSE)*VLOOKUP($D309,素材!$1:$1016,COLUMN($E$1),FALSE)/(LEN(VLOOKUP($D309,素材!$1:$1016,COLUMN($F$1),FALSE))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BD309">
        <f>IF(ISNUMBER(SEARCH(SUBSTITUTE(BD$1,RIGHT(BD$1,2),""),VLOOKUP($D309,素材!$1:$1016,COLUMN($F$1),FALSE))),VLOOKUP($C309,武器!$1:$998,COLUMN($O$1),FALSE)*VLOOKUP($D309,素材!$1:$1016,COLUMN($E$1),FALSE)/(LEN(VLOOKUP($D309,素材!$1:$1016,COLUMN($F$1),FALSE))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BE309">
        <f>IF(ISNUMBER(SEARCH(SUBSTITUTE(BE$1,RIGHT(BE$1,2),""),VLOOKUP($D309,素材!$1:$1016,COLUMN($F$1),FALSE))),VLOOKUP($C309,武器!$1:$998,COLUMN($O$1),FALSE)*VLOOKUP($D309,素材!$1:$1016,COLUMN($E$1),FALSE)/(LEN(VLOOKUP($D309,素材!$1:$1016,COLUMN($F$1),FALSE))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BF309">
        <f>IF(ISNUMBER(SEARCH(SUBSTITUTE(BF$1,RIGHT(BF$1,2),""),VLOOKUP($D309,素材!$1:$1016,COLUMN($F$1),FALSE))),VLOOKUP($C309,武器!$1:$998,COLUMN($O$1),FALSE)*VLOOKUP($D309,素材!$1:$1016,COLUMN($E$1),FALSE)/(LEN(VLOOKUP($D309,素材!$1:$1016,COLUMN($F$1),FALSE)) - LEN(SUBSTITUTE(VLOOKUP($D309,素材!$1:$1016,COLUMN($F$1),FALSE), "・", 0)) + 1), 0)</f>
        <v>0</v>
      </c>
      <c r="CM309">
        <f t="shared" si="36"/>
        <v>0</v>
      </c>
      <c r="CN309" s="22" t="str">
        <f>IF(E309="武器",IF(J309-1&gt;SUM(G309:I309),"盾",IF(MAX(G309:I309)=G309,"切断",IF(MAX(G309:I309)=H309,"貫通",IF(MAX(G309:I309)=I309,"打撃","射撃")))),E309)&amp;".webp"</f>
        <v>.webp</v>
      </c>
      <c r="CO309" t="str">
        <f>IFERROR(VLOOKUP($C309,武器!$1:$998,COLUMN(V$1),FALSE)*VLOOKUP($D309,素材!$1:$1016,COLUMN(N$1),FALSE)+IF(CJ309="",0,VLOOKUP($CJ309,装強!$1:$1008,COLUMN($CL$1),FALSE)),"")</f>
        <v/>
      </c>
      <c r="CP309" t="e">
        <f>VLOOKUP(D309,素材!$A:$O,COLUMN(素材!O$1),FALSE)</f>
        <v>#N/A</v>
      </c>
      <c r="CQ309" t="e">
        <f>VLOOKUP(C309,武器!$A:$W,COLUMN(武器!W$1),FALSE)</f>
        <v>#N/A</v>
      </c>
      <c r="CS309" t="str">
        <f t="shared" si="37"/>
        <v>e_309</v>
      </c>
      <c r="CT309" t="e">
        <f t="shared" si="38"/>
        <v>#VALUE!</v>
      </c>
    </row>
    <row r="310" spans="1:98" hidden="1" outlineLevel="1" x14ac:dyDescent="0.4">
      <c r="A310" t="str">
        <f>IF(CJ310="",D310&amp;"の"&amp;C310,CJ310&amp;"の"&amp;C310)</f>
        <v>の</v>
      </c>
      <c r="B310" t="str">
        <f>IFERROR(IF(CJ310="",VLOOKUP($D310,素材!$1:$1016,COLUMN($B$1),FALSE)&amp;"・"&amp;VLOOKUP($C310,武器!$1:$998,COLUMN(B$1),FALSE),VLOOKUP($CJ310,装強!$1:$1008,COLUMN($B$1),FALSE)&amp;"・"&amp;VLOOKUP($C310,武器!$1:$998,COLUMN(B$1),FALSE)),"")</f>
        <v/>
      </c>
      <c r="C310" s="24"/>
      <c r="D310" s="24"/>
      <c r="E310" t="str">
        <f>IFERROR(VLOOKUP(C310,武器!$1:$998,COLUMN(C$1),FALSE),"")</f>
        <v/>
      </c>
      <c r="F310" t="str">
        <f>IFERROR(ROUNDDOWN((VLOOKUP($C310,武器!$1:$998,COLUMN(D$1),FALSE)+IFERROR(VLOOKUP($CJ310,装強!$1:$999,COLUMN(F$1),FALSE),0))*VLOOKUP($D310,素材!$1:$1016,COLUMN(D$1),FALSE),0),"")</f>
        <v/>
      </c>
      <c r="G310" t="str">
        <f>IFERROR(ROUNDDOWN((VLOOKUP($C310,武器!$1:$998,COLUMN(E$1),FALSE)+IFERROR(VLOOKUP($CJ310,装強!$1:$999,COLUMN(G$1),FALSE),0))*VLOOKUP($D310,素材!$1:$1016,COLUMN($E$1),FALSE),0),"")</f>
        <v/>
      </c>
      <c r="H310" t="str">
        <f>IFERROR(ROUNDDOWN((VLOOKUP($C310,武器!$1:$998,COLUMN(F$1),FALSE)+IFERROR(VLOOKUP($CJ310,装強!$1:$999,COLUMN(H$1),FALSE),0))*VLOOKUP($D310,素材!$1:$1016,COLUMN($E$1),FALSE),0),"")</f>
        <v/>
      </c>
      <c r="I310" t="str">
        <f>IFERROR(ROUNDDOWN((VLOOKUP($C310,武器!$1:$998,COLUMN(G$1),FALSE)+IFERROR(VLOOKUP($CJ310,装強!$1:$999,COLUMN(I$1),FALSE),0))*VLOOKUP($D310,素材!$1:$1016,COLUMN($E$1),FALSE),0),"")</f>
        <v/>
      </c>
      <c r="J310" t="str">
        <f>IFERROR(ROUNDDOWN((VLOOKUP($C310,武器!$1:$998,COLUMN(H$1),FALSE)+IFERROR(VLOOKUP($CJ310,装強!$1:$999,COLUMN(J$1),FALSE),0))*VLOOKUP($D310,素材!$1:$1016,COLUMN($E$1),FALSE),0),"")</f>
        <v/>
      </c>
      <c r="K310" t="str">
        <f>IFERROR(ROUNDDOWN((VLOOKUP($C310,武器!$1:$998,COLUMN(I$1),FALSE)+IFERROR(VLOOKUP($CJ310,装強!$1:$999,COLUMN(K$1),FALSE),0))*VLOOKUP($D310,素材!$1:$1016,COLUMN($E$1),FALSE),0),"")</f>
        <v/>
      </c>
      <c r="L310" t="str">
        <f>IFERROR(VLOOKUP($D310,素材!$1:$1016,COLUMN($F$1),FALSE),"")</f>
        <v/>
      </c>
      <c r="M310" t="str">
        <f>IFERROR(VLOOKUP($C310,武器!$1:$998,COLUMN(AA$1),FALSE)*VLOOKUP($D310,素材!$1:$1016,COLUMN($G$1),FALSE),"")</f>
        <v/>
      </c>
      <c r="N310" t="str">
        <f>IFERROR(VLOOKUP($C310,武器!$1:$998,COLUMN(I$1),FALSE),"")</f>
        <v/>
      </c>
      <c r="O310" s="23" t="str">
        <f>IFERROR((VLOOKUP($C310,武器!$1:$998,COLUMN(K$1),FALSE)+VLOOKUP($D310,素材!$1:$1016,COLUMN(H$1),FALSE))*100+IFERROR(VLOOKUP($CJ310,装強!$1:$999,COLUMN(O$1),FALSE),0),"")</f>
        <v/>
      </c>
      <c r="P310" s="23" t="str">
        <f>IFERROR((VLOOKUP($C310,武器!$1:$998,COLUMN(L$1),FALSE)+VLOOKUP($D310,素材!$1:$1016,COLUMN(I$1),FALSE))*100+IFERROR(VLOOKUP($CJ310,装強!$1:$999,COLUMN(P$1),FALSE),0),"")</f>
        <v/>
      </c>
      <c r="Q310" t="str">
        <f>IFERROR(ROUNDUP(VLOOKUP($C310,武器!$1:$998,COLUMN(M$1),FALSE)*(VLOOKUP($D310,素材!$1:$1002,COLUMN(D$1),FALSE)/100),1),"")</f>
        <v/>
      </c>
      <c r="R310" t="str">
        <f>IFERROR(ROUNDUP(VLOOKUP($C310,武器!$1:$998,COLUMN(N$1),FALSE)*(VLOOKUP($D310,素材!$1:$1002,COLUMN(D$1),FALSE)/100),1),"")</f>
        <v/>
      </c>
      <c r="S310" t="str">
        <f>IFERROR(VLOOKUP($C310,武器!$1:$998,COLUMN(P$1),FALSE),"")</f>
        <v/>
      </c>
      <c r="T310" t="str">
        <f>IFERROR(VLOOKUP($C310,武器!$1:$998,COLUMN(Q$1),FALSE),"")</f>
        <v/>
      </c>
      <c r="U310" t="str">
        <f>IFERROR(VLOOKUP($C310,武器!$1:$998,COLUMN(R$1),FALSE),"")</f>
        <v/>
      </c>
      <c r="V310" t="str">
        <f>IFERROR(VLOOKUP($C310,武器!$1:$998,COLUMN(Q$1),FALSE),"")</f>
        <v/>
      </c>
      <c r="W310" t="str">
        <f>IFERROR(VLOOKUP($C310,武器!$1:$998,COLUMN(T$1),FALSE),"")</f>
        <v/>
      </c>
      <c r="Y310" t="str">
        <f>IFERROR(VLOOKUP($C310,武器!$1:$998,COLUMN(U$1),FALSE),"")</f>
        <v/>
      </c>
      <c r="Z310" t="str">
        <f>IFERROR(ROUNDUP(VLOOKUP($C310,武器!$1:$998,COLUMN(O$1),FALSE)*VLOOKUP($D310,素材!$1:$1016,COLUMN(E$1),FALSE),1),"")</f>
        <v/>
      </c>
      <c r="AA310">
        <f>IF(ISNUMBER(SEARCH(SUBSTITUTE(AA$1,RIGHT(AA$1,2),""),VLOOKUP($D310,素材!$1:$1016,COLUMN($F$1),FALSE))),VLOOKUP($C310,武器!$1:$998,COLUMN($O$1),FALSE)*VLOOKUP($D310,素材!$1:$1016,COLUMN($E$1),FALSE)/(LEN(VLOOKUP($D310,素材!$1:$1016,COLUMN($F$1),FALSE))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B310">
        <f>IF(ISNUMBER(SEARCH(SUBSTITUTE(AB$1,RIGHT(AB$1,2),""),VLOOKUP($D310,素材!$1:$1016,COLUMN($F$1),FALSE))),VLOOKUP($C310,武器!$1:$998,COLUMN($O$1),FALSE)*VLOOKUP($D310,素材!$1:$1016,COLUMN($E$1),FALSE)/(LEN(VLOOKUP($D310,素材!$1:$1016,COLUMN($F$1),FALSE))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C310">
        <f>IF(ISNUMBER(SEARCH(SUBSTITUTE(AC$1,RIGHT(AC$1,2),""),VLOOKUP($D310,素材!$1:$1016,COLUMN($F$1),FALSE))),VLOOKUP($C310,武器!$1:$998,COLUMN($O$1),FALSE)*VLOOKUP($D310,素材!$1:$1016,COLUMN($E$1),FALSE)/(LEN(VLOOKUP($D310,素材!$1:$1016,COLUMN($F$1),FALSE))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D310">
        <f>IF(ISNUMBER(SEARCH(SUBSTITUTE(AD$1,RIGHT(AD$1,2),""),VLOOKUP($D310,素材!$1:$1016,COLUMN($F$1),FALSE))),VLOOKUP($C310,武器!$1:$998,COLUMN($O$1),FALSE)*VLOOKUP($D310,素材!$1:$1016,COLUMN($E$1),FALSE)/(LEN(VLOOKUP($D310,素材!$1:$1016,COLUMN($F$1),FALSE))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E310">
        <f>IF(ISNUMBER(SEARCH(SUBSTITUTE(AE$1,RIGHT(AE$1,2),""),VLOOKUP($D310,素材!$1:$1016,COLUMN($F$1),FALSE))),VLOOKUP($C310,武器!$1:$998,COLUMN($O$1),FALSE)*VLOOKUP($D310,素材!$1:$1016,COLUMN($E$1),FALSE)/(LEN(VLOOKUP($D310,素材!$1:$1016,COLUMN($F$1),FALSE))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F310">
        <f>IF(ISNUMBER(SEARCH(SUBSTITUTE(AF$1,RIGHT(AF$1,2),""),VLOOKUP($D310,素材!$1:$1016,COLUMN($F$1),FALSE))),VLOOKUP($C310,武器!$1:$998,COLUMN($O$1),FALSE)*VLOOKUP($D310,素材!$1:$1016,COLUMN($E$1),FALSE)/(LEN(VLOOKUP($D310,素材!$1:$1016,COLUMN($F$1),FALSE))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G310">
        <f>IF(ISNUMBER(SEARCH(SUBSTITUTE(AG$1,RIGHT(AG$1,2),""),VLOOKUP($D310,素材!$1:$1016,COLUMN($F$1),FALSE))),VLOOKUP($C310,武器!$1:$998,COLUMN($O$1),FALSE)*VLOOKUP($D310,素材!$1:$1016,COLUMN($E$1),FALSE)/(LEN(VLOOKUP($D310,素材!$1:$1016,COLUMN($F$1),FALSE))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H310">
        <f>IF(ISNUMBER(SEARCH(SUBSTITUTE(AH$1,RIGHT(AH$1,2),""),VLOOKUP($D310,素材!$1:$1016,COLUMN($F$1),FALSE))),VLOOKUP($C310,武器!$1:$998,COLUMN($O$1),FALSE)*VLOOKUP($D310,素材!$1:$1016,COLUMN($E$1),FALSE)/(LEN(VLOOKUP($D310,素材!$1:$1016,COLUMN($F$1),FALSE))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I310">
        <f>IF(ISNUMBER(SEARCH(SUBSTITUTE(AI$1,RIGHT(AI$1,2),""),VLOOKUP($D310,素材!$1:$1016,COLUMN($F$1),FALSE))),VLOOKUP($C310,武器!$1:$998,COLUMN($O$1),FALSE)*VLOOKUP($D310,素材!$1:$1016,COLUMN($E$1),FALSE)/(LEN(VLOOKUP($D310,素材!$1:$1016,COLUMN($F$1),FALSE))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J310">
        <f>IF(ISNUMBER(SEARCH(SUBSTITUTE(AJ$1,RIGHT(AJ$1,2),""),VLOOKUP($D310,素材!$1:$1016,COLUMN($F$1),FALSE))),VLOOKUP($C310,武器!$1:$998,COLUMN($O$1),FALSE)*VLOOKUP($D310,素材!$1:$1016,COLUMN($E$1),FALSE)/(LEN(VLOOKUP($D310,素材!$1:$1016,COLUMN($F$1),FALSE))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K310">
        <f>IF(ISNUMBER(SEARCH(SUBSTITUTE(AK$1,RIGHT(AK$1,2),""),VLOOKUP($D310,素材!$1:$1016,COLUMN($F$1),FALSE))),VLOOKUP($C310,武器!$1:$998,COLUMN($O$1),FALSE)*VLOOKUP($D310,素材!$1:$1016,COLUMN($E$1),FALSE)/(LEN(VLOOKUP($D310,素材!$1:$1016,COLUMN($F$1),FALSE))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L310">
        <f>IF(ISNUMBER(SEARCH(SUBSTITUTE(AL$1,RIGHT(AL$1,2),""),VLOOKUP($D310,素材!$1:$1016,COLUMN($F$1),FALSE))),VLOOKUP($C310,武器!$1:$998,COLUMN($O$1),FALSE)*VLOOKUP($D310,素材!$1:$1016,COLUMN($E$1),FALSE)/(LEN(VLOOKUP($D310,素材!$1:$1016,COLUMN($F$1),FALSE))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M310">
        <f>IF(ISNUMBER(SEARCH(SUBSTITUTE(AM$1,RIGHT(AM$1,2),""),VLOOKUP($D310,素材!$1:$1016,COLUMN($F$1),FALSE))),VLOOKUP($C310,武器!$1:$998,COLUMN($O$1),FALSE)*VLOOKUP($D310,素材!$1:$1016,COLUMN($E$1),FALSE)/(LEN(VLOOKUP($D310,素材!$1:$1016,COLUMN($F$1),FALSE))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N310">
        <f>IF(ISNUMBER(SEARCH(SUBSTITUTE(AN$1,RIGHT(AN$1,2),""),VLOOKUP($D310,素材!$1:$1016,COLUMN($F$1),FALSE))),VLOOKUP($C310,武器!$1:$998,COLUMN($O$1),FALSE)*VLOOKUP($D310,素材!$1:$1016,COLUMN($E$1),FALSE)/(LEN(VLOOKUP($D310,素材!$1:$1016,COLUMN($F$1),FALSE))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O310">
        <f>IF(ISNUMBER(SEARCH(SUBSTITUTE(AO$1,RIGHT(AO$1,2),""),VLOOKUP($D310,素材!$1:$1016,COLUMN($F$1),FALSE))),VLOOKUP($C310,武器!$1:$998,COLUMN($O$1),FALSE)*VLOOKUP($D310,素材!$1:$1016,COLUMN($E$1),FALSE)/(LEN(VLOOKUP($D310,素材!$1:$1016,COLUMN($F$1),FALSE))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P310">
        <f>IF(ISNUMBER(SEARCH(SUBSTITUTE(AP$1,RIGHT(AP$1,2),""),VLOOKUP($D310,素材!$1:$1016,COLUMN($F$1),FALSE))),VLOOKUP($C310,武器!$1:$998,COLUMN($O$1),FALSE)*VLOOKUP($D310,素材!$1:$1016,COLUMN($E$1),FALSE)/(LEN(VLOOKUP($D310,素材!$1:$1016,COLUMN($F$1),FALSE))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Q310">
        <f>IF(ISNUMBER(SEARCH(SUBSTITUTE(AQ$1,RIGHT(AQ$1,2),""),VLOOKUP($D310,素材!$1:$1016,COLUMN($F$1),FALSE))),VLOOKUP($C310,武器!$1:$998,COLUMN($O$1),FALSE)*VLOOKUP($D310,素材!$1:$1016,COLUMN($E$1),FALSE)/(LEN(VLOOKUP($D310,素材!$1:$1016,COLUMN($F$1),FALSE))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R310">
        <f>IF(ISNUMBER(SEARCH(SUBSTITUTE(AR$1,RIGHT(AR$1,2),""),VLOOKUP($D310,素材!$1:$1016,COLUMN($F$1),FALSE))),VLOOKUP($C310,武器!$1:$998,COLUMN($O$1),FALSE)*VLOOKUP($D310,素材!$1:$1016,COLUMN($E$1),FALSE)/(LEN(VLOOKUP($D310,素材!$1:$1016,COLUMN($F$1),FALSE))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S310">
        <f>IF(ISNUMBER(SEARCH(SUBSTITUTE(AS$1,RIGHT(AS$1,2),""),VLOOKUP($D310,素材!$1:$1016,COLUMN($F$1),FALSE))),VLOOKUP($C310,武器!$1:$998,COLUMN($O$1),FALSE)*VLOOKUP($D310,素材!$1:$1016,COLUMN($E$1),FALSE)/(LEN(VLOOKUP($D310,素材!$1:$1016,COLUMN($F$1),FALSE))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T310">
        <f>IF(ISNUMBER(SEARCH(SUBSTITUTE(AT$1,RIGHT(AT$1,2),""),VLOOKUP($D310,素材!$1:$1016,COLUMN($F$1),FALSE))),VLOOKUP($C310,武器!$1:$998,COLUMN($O$1),FALSE)*VLOOKUP($D310,素材!$1:$1016,COLUMN($E$1),FALSE)/(LEN(VLOOKUP($D310,素材!$1:$1016,COLUMN($F$1),FALSE))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U310">
        <f>IF(ISNUMBER(SEARCH(SUBSTITUTE(AU$1,RIGHT(AU$1,2),""),VLOOKUP($D310,素材!$1:$1016,COLUMN($F$1),FALSE))),VLOOKUP($C310,武器!$1:$998,COLUMN($O$1),FALSE)*VLOOKUP($D310,素材!$1:$1016,COLUMN($E$1),FALSE)/(LEN(VLOOKUP($D310,素材!$1:$1016,COLUMN($F$1),FALSE))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V310">
        <f>IF(ISNUMBER(SEARCH(SUBSTITUTE(AV$1,RIGHT(AV$1,2),""),VLOOKUP($D310,素材!$1:$1016,COLUMN($F$1),FALSE))),VLOOKUP($C310,武器!$1:$998,COLUMN($O$1),FALSE)*VLOOKUP($D310,素材!$1:$1016,COLUMN($E$1),FALSE)/(LEN(VLOOKUP($D310,素材!$1:$1016,COLUMN($F$1),FALSE))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W310">
        <f>IF(ISNUMBER(SEARCH(SUBSTITUTE(AW$1,RIGHT(AW$1,2),""),VLOOKUP($D310,素材!$1:$1016,COLUMN($F$1),FALSE))),VLOOKUP($C310,武器!$1:$998,COLUMN($O$1),FALSE)*VLOOKUP($D310,素材!$1:$1016,COLUMN($E$1),FALSE)/(LEN(VLOOKUP($D310,素材!$1:$1016,COLUMN($F$1),FALSE))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X310">
        <f>IF(ISNUMBER(SEARCH(SUBSTITUTE(AX$1,RIGHT(AX$1,2),""),VLOOKUP($D310,素材!$1:$1016,COLUMN($F$1),FALSE))),VLOOKUP($C310,武器!$1:$998,COLUMN($O$1),FALSE)*VLOOKUP($D310,素材!$1:$1016,COLUMN($E$1),FALSE)/(LEN(VLOOKUP($D310,素材!$1:$1016,COLUMN($F$1),FALSE))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Y310">
        <f>IF(ISNUMBER(SEARCH(SUBSTITUTE(AY$1,RIGHT(AY$1,2),""),VLOOKUP($D310,素材!$1:$1016,COLUMN($F$1),FALSE))),VLOOKUP($C310,武器!$1:$998,COLUMN($O$1),FALSE)*VLOOKUP($D310,素材!$1:$1016,COLUMN($E$1),FALSE)/(LEN(VLOOKUP($D310,素材!$1:$1016,COLUMN($F$1),FALSE))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AZ310">
        <f>IF(ISNUMBER(SEARCH(SUBSTITUTE(AZ$1,RIGHT(AZ$1,2),""),VLOOKUP($D310,素材!$1:$1016,COLUMN($F$1),FALSE))),VLOOKUP($C310,武器!$1:$998,COLUMN($O$1),FALSE)*VLOOKUP($D310,素材!$1:$1016,COLUMN($E$1),FALSE)/(LEN(VLOOKUP($D310,素材!$1:$1016,COLUMN($F$1),FALSE))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BA310">
        <f>IF(ISNUMBER(SEARCH(SUBSTITUTE(BA$1,RIGHT(BA$1,2),""),VLOOKUP($D310,素材!$1:$1016,COLUMN($F$1),FALSE))),VLOOKUP($C310,武器!$1:$998,COLUMN($O$1),FALSE)*VLOOKUP($D310,素材!$1:$1016,COLUMN($E$1),FALSE)/(LEN(VLOOKUP($D310,素材!$1:$1016,COLUMN($F$1),FALSE))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BB310">
        <f>IF(ISNUMBER(SEARCH(SUBSTITUTE(BB$1,RIGHT(BB$1,2),""),VLOOKUP($D310,素材!$1:$1016,COLUMN($F$1),FALSE))),VLOOKUP($C310,武器!$1:$998,COLUMN($O$1),FALSE)*VLOOKUP($D310,素材!$1:$1016,COLUMN($E$1),FALSE)/(LEN(VLOOKUP($D310,素材!$1:$1016,COLUMN($F$1),FALSE))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BC310">
        <f>IF(ISNUMBER(SEARCH(SUBSTITUTE(BC$1,RIGHT(BC$1,2),""),VLOOKUP($D310,素材!$1:$1016,COLUMN($F$1),FALSE))),VLOOKUP($C310,武器!$1:$998,COLUMN($O$1),FALSE)*VLOOKUP($D310,素材!$1:$1016,COLUMN($E$1),FALSE)/(LEN(VLOOKUP($D310,素材!$1:$1016,COLUMN($F$1),FALSE))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BD310">
        <f>IF(ISNUMBER(SEARCH(SUBSTITUTE(BD$1,RIGHT(BD$1,2),""),VLOOKUP($D310,素材!$1:$1016,COLUMN($F$1),FALSE))),VLOOKUP($C310,武器!$1:$998,COLUMN($O$1),FALSE)*VLOOKUP($D310,素材!$1:$1016,COLUMN($E$1),FALSE)/(LEN(VLOOKUP($D310,素材!$1:$1016,COLUMN($F$1),FALSE))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BE310">
        <f>IF(ISNUMBER(SEARCH(SUBSTITUTE(BE$1,RIGHT(BE$1,2),""),VLOOKUP($D310,素材!$1:$1016,COLUMN($F$1),FALSE))),VLOOKUP($C310,武器!$1:$998,COLUMN($O$1),FALSE)*VLOOKUP($D310,素材!$1:$1016,COLUMN($E$1),FALSE)/(LEN(VLOOKUP($D310,素材!$1:$1016,COLUMN($F$1),FALSE))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BF310">
        <f>IF(ISNUMBER(SEARCH(SUBSTITUTE(BF$1,RIGHT(BF$1,2),""),VLOOKUP($D310,素材!$1:$1016,COLUMN($F$1),FALSE))),VLOOKUP($C310,武器!$1:$998,COLUMN($O$1),FALSE)*VLOOKUP($D310,素材!$1:$1016,COLUMN($E$1),FALSE)/(LEN(VLOOKUP($D310,素材!$1:$1016,COLUMN($F$1),FALSE)) - LEN(SUBSTITUTE(VLOOKUP($D310,素材!$1:$1016,COLUMN($F$1),FALSE), "・", 0)) + 1), 0)</f>
        <v>0</v>
      </c>
      <c r="CM310">
        <f t="shared" si="36"/>
        <v>0</v>
      </c>
      <c r="CN310" s="22" t="str">
        <f>IF(E310="武器",IF(J310-1&gt;SUM(G310:I310),"盾",IF(MAX(G310:I310)=G310,"切断",IF(MAX(G310:I310)=H310,"貫通",IF(MAX(G310:I310)=I310,"打撃","射撃")))),E310)&amp;".webp"</f>
        <v>.webp</v>
      </c>
      <c r="CO310" t="str">
        <f>IFERROR(VLOOKUP($C310,武器!$1:$998,COLUMN(V$1),FALSE)*VLOOKUP($D310,素材!$1:$1016,COLUMN(N$1),FALSE)+IF(CJ310="",0,VLOOKUP($CJ310,装強!$1:$1008,COLUMN($CL$1),FALSE)),"")</f>
        <v/>
      </c>
      <c r="CP310" t="e">
        <f>VLOOKUP(D310,素材!$A:$O,COLUMN(素材!O$1),FALSE)</f>
        <v>#N/A</v>
      </c>
      <c r="CQ310" t="e">
        <f>VLOOKUP(C310,武器!$A:$W,COLUMN(武器!W$1),FALSE)</f>
        <v>#N/A</v>
      </c>
      <c r="CS310" t="str">
        <f t="shared" si="37"/>
        <v>e_310</v>
      </c>
      <c r="CT310" t="e">
        <f t="shared" si="38"/>
        <v>#VALUE!</v>
      </c>
    </row>
    <row r="311" spans="1:98" hidden="1" outlineLevel="1" x14ac:dyDescent="0.4">
      <c r="A311" t="str">
        <f>IF(CJ311="",D311&amp;"の"&amp;C311,CJ311&amp;"の"&amp;C311)</f>
        <v>の</v>
      </c>
      <c r="B311" t="str">
        <f>IFERROR(IF(CJ311="",VLOOKUP($D311,素材!$1:$1016,COLUMN($B$1),FALSE)&amp;"・"&amp;VLOOKUP($C311,武器!$1:$998,COLUMN(B$1),FALSE),VLOOKUP($CJ311,装強!$1:$1008,COLUMN($B$1),FALSE)&amp;"・"&amp;VLOOKUP($C311,武器!$1:$998,COLUMN(B$1),FALSE)),"")</f>
        <v/>
      </c>
      <c r="C311" s="24"/>
      <c r="D311" s="24"/>
      <c r="E311" t="str">
        <f>IFERROR(VLOOKUP(C311,武器!$1:$998,COLUMN(C$1),FALSE),"")</f>
        <v/>
      </c>
      <c r="F311" t="str">
        <f>IFERROR(ROUNDDOWN((VLOOKUP($C311,武器!$1:$998,COLUMN(D$1),FALSE)+IFERROR(VLOOKUP($CJ311,装強!$1:$999,COLUMN(F$1),FALSE),0))*VLOOKUP($D311,素材!$1:$1016,COLUMN(D$1),FALSE),0),"")</f>
        <v/>
      </c>
      <c r="G311" t="str">
        <f>IFERROR(ROUNDDOWN((VLOOKUP($C311,武器!$1:$998,COLUMN(E$1),FALSE)+IFERROR(VLOOKUP($CJ311,装強!$1:$999,COLUMN(G$1),FALSE),0))*VLOOKUP($D311,素材!$1:$1016,COLUMN($E$1),FALSE),0),"")</f>
        <v/>
      </c>
      <c r="H311" t="str">
        <f>IFERROR(ROUNDDOWN((VLOOKUP($C311,武器!$1:$998,COLUMN(F$1),FALSE)+IFERROR(VLOOKUP($CJ311,装強!$1:$999,COLUMN(H$1),FALSE),0))*VLOOKUP($D311,素材!$1:$1016,COLUMN($E$1),FALSE),0),"")</f>
        <v/>
      </c>
      <c r="I311" t="str">
        <f>IFERROR(ROUNDDOWN((VLOOKUP($C311,武器!$1:$998,COLUMN(G$1),FALSE)+IFERROR(VLOOKUP($CJ311,装強!$1:$999,COLUMN(I$1),FALSE),0))*VLOOKUP($D311,素材!$1:$1016,COLUMN($E$1),FALSE),0),"")</f>
        <v/>
      </c>
      <c r="J311" t="str">
        <f>IFERROR(ROUNDDOWN((VLOOKUP($C311,武器!$1:$998,COLUMN(H$1),FALSE)+IFERROR(VLOOKUP($CJ311,装強!$1:$999,COLUMN(J$1),FALSE),0))*VLOOKUP($D311,素材!$1:$1016,COLUMN($E$1),FALSE),0),"")</f>
        <v/>
      </c>
      <c r="K311" t="str">
        <f>IFERROR(ROUNDDOWN((VLOOKUP($C311,武器!$1:$998,COLUMN(I$1),FALSE)+IFERROR(VLOOKUP($CJ311,装強!$1:$999,COLUMN(K$1),FALSE),0))*VLOOKUP($D311,素材!$1:$1016,COLUMN($E$1),FALSE),0),"")</f>
        <v/>
      </c>
      <c r="L311" t="str">
        <f>IFERROR(VLOOKUP($D311,素材!$1:$1016,COLUMN($F$1),FALSE),"")</f>
        <v/>
      </c>
      <c r="M311" t="str">
        <f>IFERROR(VLOOKUP($C311,武器!$1:$998,COLUMN(AA$1),FALSE)*VLOOKUP($D311,素材!$1:$1016,COLUMN($G$1),FALSE),"")</f>
        <v/>
      </c>
      <c r="N311" t="str">
        <f>IFERROR(VLOOKUP($C311,武器!$1:$998,COLUMN(I$1),FALSE),"")</f>
        <v/>
      </c>
      <c r="O311" s="23" t="str">
        <f>IFERROR((VLOOKUP($C311,武器!$1:$998,COLUMN(K$1),FALSE)+VLOOKUP($D311,素材!$1:$1016,COLUMN(H$1),FALSE))*100+IFERROR(VLOOKUP($CJ311,装強!$1:$999,COLUMN(O$1),FALSE),0),"")</f>
        <v/>
      </c>
      <c r="P311" s="23" t="str">
        <f>IFERROR((VLOOKUP($C311,武器!$1:$998,COLUMN(L$1),FALSE)+VLOOKUP($D311,素材!$1:$1016,COLUMN(I$1),FALSE))*100+IFERROR(VLOOKUP($CJ311,装強!$1:$999,COLUMN(P$1),FALSE),0),"")</f>
        <v/>
      </c>
      <c r="Q311" t="str">
        <f>IFERROR(ROUNDUP(VLOOKUP($C311,武器!$1:$998,COLUMN(M$1),FALSE)*(VLOOKUP($D311,素材!$1:$1002,COLUMN(D$1),FALSE)/100),1),"")</f>
        <v/>
      </c>
      <c r="R311" t="str">
        <f>IFERROR(ROUNDUP(VLOOKUP($C311,武器!$1:$998,COLUMN(N$1),FALSE)*(VLOOKUP($D311,素材!$1:$1002,COLUMN(D$1),FALSE)/100),1),"")</f>
        <v/>
      </c>
      <c r="S311" t="str">
        <f>IFERROR(VLOOKUP($C311,武器!$1:$998,COLUMN(P$1),FALSE),"")</f>
        <v/>
      </c>
      <c r="T311" t="str">
        <f>IFERROR(VLOOKUP($C311,武器!$1:$998,COLUMN(Q$1),FALSE),"")</f>
        <v/>
      </c>
      <c r="U311" t="str">
        <f>IFERROR(VLOOKUP($C311,武器!$1:$998,COLUMN(R$1),FALSE),"")</f>
        <v/>
      </c>
      <c r="V311" t="str">
        <f>IFERROR(VLOOKUP($C311,武器!$1:$998,COLUMN(Q$1),FALSE),"")</f>
        <v/>
      </c>
      <c r="W311" t="str">
        <f>IFERROR(VLOOKUP($C311,武器!$1:$998,COLUMN(T$1),FALSE),"")</f>
        <v/>
      </c>
      <c r="Y311" t="str">
        <f>IFERROR(VLOOKUP($C311,武器!$1:$998,COLUMN(U$1),FALSE),"")</f>
        <v/>
      </c>
      <c r="Z311" t="str">
        <f>IFERROR(ROUNDUP(VLOOKUP($C311,武器!$1:$998,COLUMN(O$1),FALSE)*VLOOKUP($D311,素材!$1:$1016,COLUMN(E$1),FALSE),1),"")</f>
        <v/>
      </c>
      <c r="AA311">
        <f>IF(ISNUMBER(SEARCH(SUBSTITUTE(AA$1,RIGHT(AA$1,2),""),VLOOKUP($D311,素材!$1:$1016,COLUMN($F$1),FALSE))),VLOOKUP($C311,武器!$1:$998,COLUMN($O$1),FALSE)*VLOOKUP($D311,素材!$1:$1016,COLUMN($E$1),FALSE)/(LEN(VLOOKUP($D311,素材!$1:$1016,COLUMN($F$1),FALSE))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B311">
        <f>IF(ISNUMBER(SEARCH(SUBSTITUTE(AB$1,RIGHT(AB$1,2),""),VLOOKUP($D311,素材!$1:$1016,COLUMN($F$1),FALSE))),VLOOKUP($C311,武器!$1:$998,COLUMN($O$1),FALSE)*VLOOKUP($D311,素材!$1:$1016,COLUMN($E$1),FALSE)/(LEN(VLOOKUP($D311,素材!$1:$1016,COLUMN($F$1),FALSE))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C311">
        <f>IF(ISNUMBER(SEARCH(SUBSTITUTE(AC$1,RIGHT(AC$1,2),""),VLOOKUP($D311,素材!$1:$1016,COLUMN($F$1),FALSE))),VLOOKUP($C311,武器!$1:$998,COLUMN($O$1),FALSE)*VLOOKUP($D311,素材!$1:$1016,COLUMN($E$1),FALSE)/(LEN(VLOOKUP($D311,素材!$1:$1016,COLUMN($F$1),FALSE))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D311">
        <f>IF(ISNUMBER(SEARCH(SUBSTITUTE(AD$1,RIGHT(AD$1,2),""),VLOOKUP($D311,素材!$1:$1016,COLUMN($F$1),FALSE))),VLOOKUP($C311,武器!$1:$998,COLUMN($O$1),FALSE)*VLOOKUP($D311,素材!$1:$1016,COLUMN($E$1),FALSE)/(LEN(VLOOKUP($D311,素材!$1:$1016,COLUMN($F$1),FALSE))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E311">
        <f>IF(ISNUMBER(SEARCH(SUBSTITUTE(AE$1,RIGHT(AE$1,2),""),VLOOKUP($D311,素材!$1:$1016,COLUMN($F$1),FALSE))),VLOOKUP($C311,武器!$1:$998,COLUMN($O$1),FALSE)*VLOOKUP($D311,素材!$1:$1016,COLUMN($E$1),FALSE)/(LEN(VLOOKUP($D311,素材!$1:$1016,COLUMN($F$1),FALSE))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F311">
        <f>IF(ISNUMBER(SEARCH(SUBSTITUTE(AF$1,RIGHT(AF$1,2),""),VLOOKUP($D311,素材!$1:$1016,COLUMN($F$1),FALSE))),VLOOKUP($C311,武器!$1:$998,COLUMN($O$1),FALSE)*VLOOKUP($D311,素材!$1:$1016,COLUMN($E$1),FALSE)/(LEN(VLOOKUP($D311,素材!$1:$1016,COLUMN($F$1),FALSE))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G311">
        <f>IF(ISNUMBER(SEARCH(SUBSTITUTE(AG$1,RIGHT(AG$1,2),""),VLOOKUP($D311,素材!$1:$1016,COLUMN($F$1),FALSE))),VLOOKUP($C311,武器!$1:$998,COLUMN($O$1),FALSE)*VLOOKUP($D311,素材!$1:$1016,COLUMN($E$1),FALSE)/(LEN(VLOOKUP($D311,素材!$1:$1016,COLUMN($F$1),FALSE))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H311">
        <f>IF(ISNUMBER(SEARCH(SUBSTITUTE(AH$1,RIGHT(AH$1,2),""),VLOOKUP($D311,素材!$1:$1016,COLUMN($F$1),FALSE))),VLOOKUP($C311,武器!$1:$998,COLUMN($O$1),FALSE)*VLOOKUP($D311,素材!$1:$1016,COLUMN($E$1),FALSE)/(LEN(VLOOKUP($D311,素材!$1:$1016,COLUMN($F$1),FALSE))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I311">
        <f>IF(ISNUMBER(SEARCH(SUBSTITUTE(AI$1,RIGHT(AI$1,2),""),VLOOKUP($D311,素材!$1:$1016,COLUMN($F$1),FALSE))),VLOOKUP($C311,武器!$1:$998,COLUMN($O$1),FALSE)*VLOOKUP($D311,素材!$1:$1016,COLUMN($E$1),FALSE)/(LEN(VLOOKUP($D311,素材!$1:$1016,COLUMN($F$1),FALSE))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J311">
        <f>IF(ISNUMBER(SEARCH(SUBSTITUTE(AJ$1,RIGHT(AJ$1,2),""),VLOOKUP($D311,素材!$1:$1016,COLUMN($F$1),FALSE))),VLOOKUP($C311,武器!$1:$998,COLUMN($O$1),FALSE)*VLOOKUP($D311,素材!$1:$1016,COLUMN($E$1),FALSE)/(LEN(VLOOKUP($D311,素材!$1:$1016,COLUMN($F$1),FALSE))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K311">
        <f>IF(ISNUMBER(SEARCH(SUBSTITUTE(AK$1,RIGHT(AK$1,2),""),VLOOKUP($D311,素材!$1:$1016,COLUMN($F$1),FALSE))),VLOOKUP($C311,武器!$1:$998,COLUMN($O$1),FALSE)*VLOOKUP($D311,素材!$1:$1016,COLUMN($E$1),FALSE)/(LEN(VLOOKUP($D311,素材!$1:$1016,COLUMN($F$1),FALSE))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L311">
        <f>IF(ISNUMBER(SEARCH(SUBSTITUTE(AL$1,RIGHT(AL$1,2),""),VLOOKUP($D311,素材!$1:$1016,COLUMN($F$1),FALSE))),VLOOKUP($C311,武器!$1:$998,COLUMN($O$1),FALSE)*VLOOKUP($D311,素材!$1:$1016,COLUMN($E$1),FALSE)/(LEN(VLOOKUP($D311,素材!$1:$1016,COLUMN($F$1),FALSE))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M311">
        <f>IF(ISNUMBER(SEARCH(SUBSTITUTE(AM$1,RIGHT(AM$1,2),""),VLOOKUP($D311,素材!$1:$1016,COLUMN($F$1),FALSE))),VLOOKUP($C311,武器!$1:$998,COLUMN($O$1),FALSE)*VLOOKUP($D311,素材!$1:$1016,COLUMN($E$1),FALSE)/(LEN(VLOOKUP($D311,素材!$1:$1016,COLUMN($F$1),FALSE))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N311">
        <f>IF(ISNUMBER(SEARCH(SUBSTITUTE(AN$1,RIGHT(AN$1,2),""),VLOOKUP($D311,素材!$1:$1016,COLUMN($F$1),FALSE))),VLOOKUP($C311,武器!$1:$998,COLUMN($O$1),FALSE)*VLOOKUP($D311,素材!$1:$1016,COLUMN($E$1),FALSE)/(LEN(VLOOKUP($D311,素材!$1:$1016,COLUMN($F$1),FALSE))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O311">
        <f>IF(ISNUMBER(SEARCH(SUBSTITUTE(AO$1,RIGHT(AO$1,2),""),VLOOKUP($D311,素材!$1:$1016,COLUMN($F$1),FALSE))),VLOOKUP($C311,武器!$1:$998,COLUMN($O$1),FALSE)*VLOOKUP($D311,素材!$1:$1016,COLUMN($E$1),FALSE)/(LEN(VLOOKUP($D311,素材!$1:$1016,COLUMN($F$1),FALSE))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P311">
        <f>IF(ISNUMBER(SEARCH(SUBSTITUTE(AP$1,RIGHT(AP$1,2),""),VLOOKUP($D311,素材!$1:$1016,COLUMN($F$1),FALSE))),VLOOKUP($C311,武器!$1:$998,COLUMN($O$1),FALSE)*VLOOKUP($D311,素材!$1:$1016,COLUMN($E$1),FALSE)/(LEN(VLOOKUP($D311,素材!$1:$1016,COLUMN($F$1),FALSE))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Q311">
        <f>IF(ISNUMBER(SEARCH(SUBSTITUTE(AQ$1,RIGHT(AQ$1,2),""),VLOOKUP($D311,素材!$1:$1016,COLUMN($F$1),FALSE))),VLOOKUP($C311,武器!$1:$998,COLUMN($O$1),FALSE)*VLOOKUP($D311,素材!$1:$1016,COLUMN($E$1),FALSE)/(LEN(VLOOKUP($D311,素材!$1:$1016,COLUMN($F$1),FALSE))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R311">
        <f>IF(ISNUMBER(SEARCH(SUBSTITUTE(AR$1,RIGHT(AR$1,2),""),VLOOKUP($D311,素材!$1:$1016,COLUMN($F$1),FALSE))),VLOOKUP($C311,武器!$1:$998,COLUMN($O$1),FALSE)*VLOOKUP($D311,素材!$1:$1016,COLUMN($E$1),FALSE)/(LEN(VLOOKUP($D311,素材!$1:$1016,COLUMN($F$1),FALSE))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S311">
        <f>IF(ISNUMBER(SEARCH(SUBSTITUTE(AS$1,RIGHT(AS$1,2),""),VLOOKUP($D311,素材!$1:$1016,COLUMN($F$1),FALSE))),VLOOKUP($C311,武器!$1:$998,COLUMN($O$1),FALSE)*VLOOKUP($D311,素材!$1:$1016,COLUMN($E$1),FALSE)/(LEN(VLOOKUP($D311,素材!$1:$1016,COLUMN($F$1),FALSE))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T311">
        <f>IF(ISNUMBER(SEARCH(SUBSTITUTE(AT$1,RIGHT(AT$1,2),""),VLOOKUP($D311,素材!$1:$1016,COLUMN($F$1),FALSE))),VLOOKUP($C311,武器!$1:$998,COLUMN($O$1),FALSE)*VLOOKUP($D311,素材!$1:$1016,COLUMN($E$1),FALSE)/(LEN(VLOOKUP($D311,素材!$1:$1016,COLUMN($F$1),FALSE))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U311">
        <f>IF(ISNUMBER(SEARCH(SUBSTITUTE(AU$1,RIGHT(AU$1,2),""),VLOOKUP($D311,素材!$1:$1016,COLUMN($F$1),FALSE))),VLOOKUP($C311,武器!$1:$998,COLUMN($O$1),FALSE)*VLOOKUP($D311,素材!$1:$1016,COLUMN($E$1),FALSE)/(LEN(VLOOKUP($D311,素材!$1:$1016,COLUMN($F$1),FALSE))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V311">
        <f>IF(ISNUMBER(SEARCH(SUBSTITUTE(AV$1,RIGHT(AV$1,2),""),VLOOKUP($D311,素材!$1:$1016,COLUMN($F$1),FALSE))),VLOOKUP($C311,武器!$1:$998,COLUMN($O$1),FALSE)*VLOOKUP($D311,素材!$1:$1016,COLUMN($E$1),FALSE)/(LEN(VLOOKUP($D311,素材!$1:$1016,COLUMN($F$1),FALSE))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W311">
        <f>IF(ISNUMBER(SEARCH(SUBSTITUTE(AW$1,RIGHT(AW$1,2),""),VLOOKUP($D311,素材!$1:$1016,COLUMN($F$1),FALSE))),VLOOKUP($C311,武器!$1:$998,COLUMN($O$1),FALSE)*VLOOKUP($D311,素材!$1:$1016,COLUMN($E$1),FALSE)/(LEN(VLOOKUP($D311,素材!$1:$1016,COLUMN($F$1),FALSE))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X311">
        <f>IF(ISNUMBER(SEARCH(SUBSTITUTE(AX$1,RIGHT(AX$1,2),""),VLOOKUP($D311,素材!$1:$1016,COLUMN($F$1),FALSE))),VLOOKUP($C311,武器!$1:$998,COLUMN($O$1),FALSE)*VLOOKUP($D311,素材!$1:$1016,COLUMN($E$1),FALSE)/(LEN(VLOOKUP($D311,素材!$1:$1016,COLUMN($F$1),FALSE))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Y311">
        <f>IF(ISNUMBER(SEARCH(SUBSTITUTE(AY$1,RIGHT(AY$1,2),""),VLOOKUP($D311,素材!$1:$1016,COLUMN($F$1),FALSE))),VLOOKUP($C311,武器!$1:$998,COLUMN($O$1),FALSE)*VLOOKUP($D311,素材!$1:$1016,COLUMN($E$1),FALSE)/(LEN(VLOOKUP($D311,素材!$1:$1016,COLUMN($F$1),FALSE))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AZ311">
        <f>IF(ISNUMBER(SEARCH(SUBSTITUTE(AZ$1,RIGHT(AZ$1,2),""),VLOOKUP($D311,素材!$1:$1016,COLUMN($F$1),FALSE))),VLOOKUP($C311,武器!$1:$998,COLUMN($O$1),FALSE)*VLOOKUP($D311,素材!$1:$1016,COLUMN($E$1),FALSE)/(LEN(VLOOKUP($D311,素材!$1:$1016,COLUMN($F$1),FALSE))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BA311">
        <f>IF(ISNUMBER(SEARCH(SUBSTITUTE(BA$1,RIGHT(BA$1,2),""),VLOOKUP($D311,素材!$1:$1016,COLUMN($F$1),FALSE))),VLOOKUP($C311,武器!$1:$998,COLUMN($O$1),FALSE)*VLOOKUP($D311,素材!$1:$1016,COLUMN($E$1),FALSE)/(LEN(VLOOKUP($D311,素材!$1:$1016,COLUMN($F$1),FALSE))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BB311">
        <f>IF(ISNUMBER(SEARCH(SUBSTITUTE(BB$1,RIGHT(BB$1,2),""),VLOOKUP($D311,素材!$1:$1016,COLUMN($F$1),FALSE))),VLOOKUP($C311,武器!$1:$998,COLUMN($O$1),FALSE)*VLOOKUP($D311,素材!$1:$1016,COLUMN($E$1),FALSE)/(LEN(VLOOKUP($D311,素材!$1:$1016,COLUMN($F$1),FALSE))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BC311">
        <f>IF(ISNUMBER(SEARCH(SUBSTITUTE(BC$1,RIGHT(BC$1,2),""),VLOOKUP($D311,素材!$1:$1016,COLUMN($F$1),FALSE))),VLOOKUP($C311,武器!$1:$998,COLUMN($O$1),FALSE)*VLOOKUP($D311,素材!$1:$1016,COLUMN($E$1),FALSE)/(LEN(VLOOKUP($D311,素材!$1:$1016,COLUMN($F$1),FALSE))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BD311">
        <f>IF(ISNUMBER(SEARCH(SUBSTITUTE(BD$1,RIGHT(BD$1,2),""),VLOOKUP($D311,素材!$1:$1016,COLUMN($F$1),FALSE))),VLOOKUP($C311,武器!$1:$998,COLUMN($O$1),FALSE)*VLOOKUP($D311,素材!$1:$1016,COLUMN($E$1),FALSE)/(LEN(VLOOKUP($D311,素材!$1:$1016,COLUMN($F$1),FALSE))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BE311">
        <f>IF(ISNUMBER(SEARCH(SUBSTITUTE(BE$1,RIGHT(BE$1,2),""),VLOOKUP($D311,素材!$1:$1016,COLUMN($F$1),FALSE))),VLOOKUP($C311,武器!$1:$998,COLUMN($O$1),FALSE)*VLOOKUP($D311,素材!$1:$1016,COLUMN($E$1),FALSE)/(LEN(VLOOKUP($D311,素材!$1:$1016,COLUMN($F$1),FALSE))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BF311">
        <f>IF(ISNUMBER(SEARCH(SUBSTITUTE(BF$1,RIGHT(BF$1,2),""),VLOOKUP($D311,素材!$1:$1016,COLUMN($F$1),FALSE))),VLOOKUP($C311,武器!$1:$998,COLUMN($O$1),FALSE)*VLOOKUP($D311,素材!$1:$1016,COLUMN($E$1),FALSE)/(LEN(VLOOKUP($D311,素材!$1:$1016,COLUMN($F$1),FALSE)) - LEN(SUBSTITUTE(VLOOKUP($D311,素材!$1:$1016,COLUMN($F$1),FALSE), "・", 0)) + 1), 0)</f>
        <v>0</v>
      </c>
      <c r="CM311">
        <f t="shared" si="36"/>
        <v>0</v>
      </c>
      <c r="CN311" s="22" t="str">
        <f>IF(E311="武器",IF(J311-1&gt;SUM(G311:I311),"盾",IF(MAX(G311:I311)=G311,"切断",IF(MAX(G311:I311)=H311,"貫通",IF(MAX(G311:I311)=I311,"打撃","射撃")))),E311)&amp;".webp"</f>
        <v>.webp</v>
      </c>
      <c r="CO311" t="str">
        <f>IFERROR(VLOOKUP($C311,武器!$1:$998,COLUMN(V$1),FALSE)*VLOOKUP($D311,素材!$1:$1016,COLUMN(N$1),FALSE)+IF(CJ311="",0,VLOOKUP($CJ311,装強!$1:$1008,COLUMN($CL$1),FALSE)),"")</f>
        <v/>
      </c>
      <c r="CP311" t="e">
        <f>VLOOKUP(D311,素材!$A:$O,COLUMN(素材!O$1),FALSE)</f>
        <v>#N/A</v>
      </c>
      <c r="CQ311" t="e">
        <f>VLOOKUP(C311,武器!$A:$W,COLUMN(武器!W$1),FALSE)</f>
        <v>#N/A</v>
      </c>
      <c r="CS311" t="str">
        <f t="shared" si="37"/>
        <v>e_311</v>
      </c>
      <c r="CT311" t="e">
        <f t="shared" si="38"/>
        <v>#VALUE!</v>
      </c>
    </row>
    <row r="312" spans="1:98" hidden="1" outlineLevel="1" x14ac:dyDescent="0.4">
      <c r="A312" t="str">
        <f>IF(CJ312="",D312&amp;"の"&amp;C312,CJ312&amp;"の"&amp;C312)</f>
        <v>の</v>
      </c>
      <c r="B312" t="str">
        <f>IFERROR(IF(CJ312="",VLOOKUP($D312,素材!$1:$1016,COLUMN($B$1),FALSE)&amp;"・"&amp;VLOOKUP($C312,武器!$1:$998,COLUMN(B$1),FALSE),VLOOKUP($CJ312,装強!$1:$1008,COLUMN($B$1),FALSE)&amp;"・"&amp;VLOOKUP($C312,武器!$1:$998,COLUMN(B$1),FALSE)),"")</f>
        <v/>
      </c>
      <c r="C312" s="24"/>
      <c r="D312" s="24"/>
      <c r="E312" t="str">
        <f>IFERROR(VLOOKUP(C312,武器!$1:$998,COLUMN(C$1),FALSE),"")</f>
        <v/>
      </c>
      <c r="F312" t="str">
        <f>IFERROR(ROUNDDOWN((VLOOKUP($C312,武器!$1:$998,COLUMN(D$1),FALSE)+IFERROR(VLOOKUP($CJ312,装強!$1:$999,COLUMN(F$1),FALSE),0))*VLOOKUP($D312,素材!$1:$1016,COLUMN(D$1),FALSE),0),"")</f>
        <v/>
      </c>
      <c r="G312" t="str">
        <f>IFERROR(ROUNDDOWN((VLOOKUP($C312,武器!$1:$998,COLUMN(E$1),FALSE)+IFERROR(VLOOKUP($CJ312,装強!$1:$999,COLUMN(G$1),FALSE),0))*VLOOKUP($D312,素材!$1:$1016,COLUMN($E$1),FALSE),0),"")</f>
        <v/>
      </c>
      <c r="H312" t="str">
        <f>IFERROR(ROUNDDOWN((VLOOKUP($C312,武器!$1:$998,COLUMN(F$1),FALSE)+IFERROR(VLOOKUP($CJ312,装強!$1:$999,COLUMN(H$1),FALSE),0))*VLOOKUP($D312,素材!$1:$1016,COLUMN($E$1),FALSE),0),"")</f>
        <v/>
      </c>
      <c r="I312" t="str">
        <f>IFERROR(ROUNDDOWN((VLOOKUP($C312,武器!$1:$998,COLUMN(G$1),FALSE)+IFERROR(VLOOKUP($CJ312,装強!$1:$999,COLUMN(I$1),FALSE),0))*VLOOKUP($D312,素材!$1:$1016,COLUMN($E$1),FALSE),0),"")</f>
        <v/>
      </c>
      <c r="J312" t="str">
        <f>IFERROR(ROUNDDOWN((VLOOKUP($C312,武器!$1:$998,COLUMN(H$1),FALSE)+IFERROR(VLOOKUP($CJ312,装強!$1:$999,COLUMN(J$1),FALSE),0))*VLOOKUP($D312,素材!$1:$1016,COLUMN($E$1),FALSE),0),"")</f>
        <v/>
      </c>
      <c r="K312" t="str">
        <f>IFERROR(ROUNDDOWN((VLOOKUP($C312,武器!$1:$998,COLUMN(I$1),FALSE)+IFERROR(VLOOKUP($CJ312,装強!$1:$999,COLUMN(K$1),FALSE),0))*VLOOKUP($D312,素材!$1:$1016,COLUMN($E$1),FALSE),0),"")</f>
        <v/>
      </c>
      <c r="L312" t="str">
        <f>IFERROR(VLOOKUP($D312,素材!$1:$1016,COLUMN($F$1),FALSE),"")</f>
        <v/>
      </c>
      <c r="M312" t="str">
        <f>IFERROR(VLOOKUP($C312,武器!$1:$998,COLUMN(AA$1),FALSE)*VLOOKUP($D312,素材!$1:$1016,COLUMN($G$1),FALSE),"")</f>
        <v/>
      </c>
      <c r="N312" t="str">
        <f>IFERROR(VLOOKUP($C312,武器!$1:$998,COLUMN(I$1),FALSE),"")</f>
        <v/>
      </c>
      <c r="O312" s="23" t="str">
        <f>IFERROR((VLOOKUP($C312,武器!$1:$998,COLUMN(K$1),FALSE)+VLOOKUP($D312,素材!$1:$1016,COLUMN(H$1),FALSE))*100+IFERROR(VLOOKUP($CJ312,装強!$1:$999,COLUMN(O$1),FALSE),0),"")</f>
        <v/>
      </c>
      <c r="P312" s="23" t="str">
        <f>IFERROR((VLOOKUP($C312,武器!$1:$998,COLUMN(L$1),FALSE)+VLOOKUP($D312,素材!$1:$1016,COLUMN(I$1),FALSE))*100+IFERROR(VLOOKUP($CJ312,装強!$1:$999,COLUMN(P$1),FALSE),0),"")</f>
        <v/>
      </c>
      <c r="Q312" t="str">
        <f>IFERROR(ROUNDUP(VLOOKUP($C312,武器!$1:$998,COLUMN(M$1),FALSE)*(VLOOKUP($D312,素材!$1:$1002,COLUMN(D$1),FALSE)/100),1),"")</f>
        <v/>
      </c>
      <c r="R312" t="str">
        <f>IFERROR(ROUNDUP(VLOOKUP($C312,武器!$1:$998,COLUMN(N$1),FALSE)*(VLOOKUP($D312,素材!$1:$1002,COLUMN(D$1),FALSE)/100),1),"")</f>
        <v/>
      </c>
      <c r="S312" t="str">
        <f>IFERROR(VLOOKUP($C312,武器!$1:$998,COLUMN(P$1),FALSE),"")</f>
        <v/>
      </c>
      <c r="T312" t="str">
        <f>IFERROR(VLOOKUP($C312,武器!$1:$998,COLUMN(Q$1),FALSE),"")</f>
        <v/>
      </c>
      <c r="U312" t="str">
        <f>IFERROR(VLOOKUP($C312,武器!$1:$998,COLUMN(R$1),FALSE),"")</f>
        <v/>
      </c>
      <c r="V312" t="str">
        <f>IFERROR(VLOOKUP($C312,武器!$1:$998,COLUMN(Q$1),FALSE),"")</f>
        <v/>
      </c>
      <c r="W312" t="str">
        <f>IFERROR(VLOOKUP($C312,武器!$1:$998,COLUMN(T$1),FALSE),"")</f>
        <v/>
      </c>
      <c r="Y312" t="str">
        <f>IFERROR(VLOOKUP($C312,武器!$1:$998,COLUMN(U$1),FALSE),"")</f>
        <v/>
      </c>
      <c r="Z312" t="str">
        <f>IFERROR(ROUNDUP(VLOOKUP($C312,武器!$1:$998,COLUMN(O$1),FALSE)*VLOOKUP($D312,素材!$1:$1016,COLUMN(E$1),FALSE),1),"")</f>
        <v/>
      </c>
      <c r="AA312">
        <f>IF(ISNUMBER(SEARCH(SUBSTITUTE(AA$1,RIGHT(AA$1,2),""),VLOOKUP($D312,素材!$1:$1016,COLUMN($F$1),FALSE))),VLOOKUP($C312,武器!$1:$998,COLUMN($O$1),FALSE)*VLOOKUP($D312,素材!$1:$1016,COLUMN($E$1),FALSE)/(LEN(VLOOKUP($D312,素材!$1:$1016,COLUMN($F$1),FALSE))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B312">
        <f>IF(ISNUMBER(SEARCH(SUBSTITUTE(AB$1,RIGHT(AB$1,2),""),VLOOKUP($D312,素材!$1:$1016,COLUMN($F$1),FALSE))),VLOOKUP($C312,武器!$1:$998,COLUMN($O$1),FALSE)*VLOOKUP($D312,素材!$1:$1016,COLUMN($E$1),FALSE)/(LEN(VLOOKUP($D312,素材!$1:$1016,COLUMN($F$1),FALSE))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C312">
        <f>IF(ISNUMBER(SEARCH(SUBSTITUTE(AC$1,RIGHT(AC$1,2),""),VLOOKUP($D312,素材!$1:$1016,COLUMN($F$1),FALSE))),VLOOKUP($C312,武器!$1:$998,COLUMN($O$1),FALSE)*VLOOKUP($D312,素材!$1:$1016,COLUMN($E$1),FALSE)/(LEN(VLOOKUP($D312,素材!$1:$1016,COLUMN($F$1),FALSE))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D312">
        <f>IF(ISNUMBER(SEARCH(SUBSTITUTE(AD$1,RIGHT(AD$1,2),""),VLOOKUP($D312,素材!$1:$1016,COLUMN($F$1),FALSE))),VLOOKUP($C312,武器!$1:$998,COLUMN($O$1),FALSE)*VLOOKUP($D312,素材!$1:$1016,COLUMN($E$1),FALSE)/(LEN(VLOOKUP($D312,素材!$1:$1016,COLUMN($F$1),FALSE))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E312">
        <f>IF(ISNUMBER(SEARCH(SUBSTITUTE(AE$1,RIGHT(AE$1,2),""),VLOOKUP($D312,素材!$1:$1016,COLUMN($F$1),FALSE))),VLOOKUP($C312,武器!$1:$998,COLUMN($O$1),FALSE)*VLOOKUP($D312,素材!$1:$1016,COLUMN($E$1),FALSE)/(LEN(VLOOKUP($D312,素材!$1:$1016,COLUMN($F$1),FALSE))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F312">
        <f>IF(ISNUMBER(SEARCH(SUBSTITUTE(AF$1,RIGHT(AF$1,2),""),VLOOKUP($D312,素材!$1:$1016,COLUMN($F$1),FALSE))),VLOOKUP($C312,武器!$1:$998,COLUMN($O$1),FALSE)*VLOOKUP($D312,素材!$1:$1016,COLUMN($E$1),FALSE)/(LEN(VLOOKUP($D312,素材!$1:$1016,COLUMN($F$1),FALSE))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G312">
        <f>IF(ISNUMBER(SEARCH(SUBSTITUTE(AG$1,RIGHT(AG$1,2),""),VLOOKUP($D312,素材!$1:$1016,COLUMN($F$1),FALSE))),VLOOKUP($C312,武器!$1:$998,COLUMN($O$1),FALSE)*VLOOKUP($D312,素材!$1:$1016,COLUMN($E$1),FALSE)/(LEN(VLOOKUP($D312,素材!$1:$1016,COLUMN($F$1),FALSE))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H312">
        <f>IF(ISNUMBER(SEARCH(SUBSTITUTE(AH$1,RIGHT(AH$1,2),""),VLOOKUP($D312,素材!$1:$1016,COLUMN($F$1),FALSE))),VLOOKUP($C312,武器!$1:$998,COLUMN($O$1),FALSE)*VLOOKUP($D312,素材!$1:$1016,COLUMN($E$1),FALSE)/(LEN(VLOOKUP($D312,素材!$1:$1016,COLUMN($F$1),FALSE))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I312">
        <f>IF(ISNUMBER(SEARCH(SUBSTITUTE(AI$1,RIGHT(AI$1,2),""),VLOOKUP($D312,素材!$1:$1016,COLUMN($F$1),FALSE))),VLOOKUP($C312,武器!$1:$998,COLUMN($O$1),FALSE)*VLOOKUP($D312,素材!$1:$1016,COLUMN($E$1),FALSE)/(LEN(VLOOKUP($D312,素材!$1:$1016,COLUMN($F$1),FALSE))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J312">
        <f>IF(ISNUMBER(SEARCH(SUBSTITUTE(AJ$1,RIGHT(AJ$1,2),""),VLOOKUP($D312,素材!$1:$1016,COLUMN($F$1),FALSE))),VLOOKUP($C312,武器!$1:$998,COLUMN($O$1),FALSE)*VLOOKUP($D312,素材!$1:$1016,COLUMN($E$1),FALSE)/(LEN(VLOOKUP($D312,素材!$1:$1016,COLUMN($F$1),FALSE))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K312">
        <f>IF(ISNUMBER(SEARCH(SUBSTITUTE(AK$1,RIGHT(AK$1,2),""),VLOOKUP($D312,素材!$1:$1016,COLUMN($F$1),FALSE))),VLOOKUP($C312,武器!$1:$998,COLUMN($O$1),FALSE)*VLOOKUP($D312,素材!$1:$1016,COLUMN($E$1),FALSE)/(LEN(VLOOKUP($D312,素材!$1:$1016,COLUMN($F$1),FALSE))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L312">
        <f>IF(ISNUMBER(SEARCH(SUBSTITUTE(AL$1,RIGHT(AL$1,2),""),VLOOKUP($D312,素材!$1:$1016,COLUMN($F$1),FALSE))),VLOOKUP($C312,武器!$1:$998,COLUMN($O$1),FALSE)*VLOOKUP($D312,素材!$1:$1016,COLUMN($E$1),FALSE)/(LEN(VLOOKUP($D312,素材!$1:$1016,COLUMN($F$1),FALSE))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M312">
        <f>IF(ISNUMBER(SEARCH(SUBSTITUTE(AM$1,RIGHT(AM$1,2),""),VLOOKUP($D312,素材!$1:$1016,COLUMN($F$1),FALSE))),VLOOKUP($C312,武器!$1:$998,COLUMN($O$1),FALSE)*VLOOKUP($D312,素材!$1:$1016,COLUMN($E$1),FALSE)/(LEN(VLOOKUP($D312,素材!$1:$1016,COLUMN($F$1),FALSE))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N312">
        <f>IF(ISNUMBER(SEARCH(SUBSTITUTE(AN$1,RIGHT(AN$1,2),""),VLOOKUP($D312,素材!$1:$1016,COLUMN($F$1),FALSE))),VLOOKUP($C312,武器!$1:$998,COLUMN($O$1),FALSE)*VLOOKUP($D312,素材!$1:$1016,COLUMN($E$1),FALSE)/(LEN(VLOOKUP($D312,素材!$1:$1016,COLUMN($F$1),FALSE))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O312">
        <f>IF(ISNUMBER(SEARCH(SUBSTITUTE(AO$1,RIGHT(AO$1,2),""),VLOOKUP($D312,素材!$1:$1016,COLUMN($F$1),FALSE))),VLOOKUP($C312,武器!$1:$998,COLUMN($O$1),FALSE)*VLOOKUP($D312,素材!$1:$1016,COLUMN($E$1),FALSE)/(LEN(VLOOKUP($D312,素材!$1:$1016,COLUMN($F$1),FALSE))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P312">
        <f>IF(ISNUMBER(SEARCH(SUBSTITUTE(AP$1,RIGHT(AP$1,2),""),VLOOKUP($D312,素材!$1:$1016,COLUMN($F$1),FALSE))),VLOOKUP($C312,武器!$1:$998,COLUMN($O$1),FALSE)*VLOOKUP($D312,素材!$1:$1016,COLUMN($E$1),FALSE)/(LEN(VLOOKUP($D312,素材!$1:$1016,COLUMN($F$1),FALSE))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Q312">
        <f>IF(ISNUMBER(SEARCH(SUBSTITUTE(AQ$1,RIGHT(AQ$1,2),""),VLOOKUP($D312,素材!$1:$1016,COLUMN($F$1),FALSE))),VLOOKUP($C312,武器!$1:$998,COLUMN($O$1),FALSE)*VLOOKUP($D312,素材!$1:$1016,COLUMN($E$1),FALSE)/(LEN(VLOOKUP($D312,素材!$1:$1016,COLUMN($F$1),FALSE))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R312">
        <f>IF(ISNUMBER(SEARCH(SUBSTITUTE(AR$1,RIGHT(AR$1,2),""),VLOOKUP($D312,素材!$1:$1016,COLUMN($F$1),FALSE))),VLOOKUP($C312,武器!$1:$998,COLUMN($O$1),FALSE)*VLOOKUP($D312,素材!$1:$1016,COLUMN($E$1),FALSE)/(LEN(VLOOKUP($D312,素材!$1:$1016,COLUMN($F$1),FALSE))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S312">
        <f>IF(ISNUMBER(SEARCH(SUBSTITUTE(AS$1,RIGHT(AS$1,2),""),VLOOKUP($D312,素材!$1:$1016,COLUMN($F$1),FALSE))),VLOOKUP($C312,武器!$1:$998,COLUMN($O$1),FALSE)*VLOOKUP($D312,素材!$1:$1016,COLUMN($E$1),FALSE)/(LEN(VLOOKUP($D312,素材!$1:$1016,COLUMN($F$1),FALSE))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T312">
        <f>IF(ISNUMBER(SEARCH(SUBSTITUTE(AT$1,RIGHT(AT$1,2),""),VLOOKUP($D312,素材!$1:$1016,COLUMN($F$1),FALSE))),VLOOKUP($C312,武器!$1:$998,COLUMN($O$1),FALSE)*VLOOKUP($D312,素材!$1:$1016,COLUMN($E$1),FALSE)/(LEN(VLOOKUP($D312,素材!$1:$1016,COLUMN($F$1),FALSE))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U312">
        <f>IF(ISNUMBER(SEARCH(SUBSTITUTE(AU$1,RIGHT(AU$1,2),""),VLOOKUP($D312,素材!$1:$1016,COLUMN($F$1),FALSE))),VLOOKUP($C312,武器!$1:$998,COLUMN($O$1),FALSE)*VLOOKUP($D312,素材!$1:$1016,COLUMN($E$1),FALSE)/(LEN(VLOOKUP($D312,素材!$1:$1016,COLUMN($F$1),FALSE))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V312">
        <f>IF(ISNUMBER(SEARCH(SUBSTITUTE(AV$1,RIGHT(AV$1,2),""),VLOOKUP($D312,素材!$1:$1016,COLUMN($F$1),FALSE))),VLOOKUP($C312,武器!$1:$998,COLUMN($O$1),FALSE)*VLOOKUP($D312,素材!$1:$1016,COLUMN($E$1),FALSE)/(LEN(VLOOKUP($D312,素材!$1:$1016,COLUMN($F$1),FALSE))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W312">
        <f>IF(ISNUMBER(SEARCH(SUBSTITUTE(AW$1,RIGHT(AW$1,2),""),VLOOKUP($D312,素材!$1:$1016,COLUMN($F$1),FALSE))),VLOOKUP($C312,武器!$1:$998,COLUMN($O$1),FALSE)*VLOOKUP($D312,素材!$1:$1016,COLUMN($E$1),FALSE)/(LEN(VLOOKUP($D312,素材!$1:$1016,COLUMN($F$1),FALSE))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X312">
        <f>IF(ISNUMBER(SEARCH(SUBSTITUTE(AX$1,RIGHT(AX$1,2),""),VLOOKUP($D312,素材!$1:$1016,COLUMN($F$1),FALSE))),VLOOKUP($C312,武器!$1:$998,COLUMN($O$1),FALSE)*VLOOKUP($D312,素材!$1:$1016,COLUMN($E$1),FALSE)/(LEN(VLOOKUP($D312,素材!$1:$1016,COLUMN($F$1),FALSE))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Y312">
        <f>IF(ISNUMBER(SEARCH(SUBSTITUTE(AY$1,RIGHT(AY$1,2),""),VLOOKUP($D312,素材!$1:$1016,COLUMN($F$1),FALSE))),VLOOKUP($C312,武器!$1:$998,COLUMN($O$1),FALSE)*VLOOKUP($D312,素材!$1:$1016,COLUMN($E$1),FALSE)/(LEN(VLOOKUP($D312,素材!$1:$1016,COLUMN($F$1),FALSE))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AZ312">
        <f>IF(ISNUMBER(SEARCH(SUBSTITUTE(AZ$1,RIGHT(AZ$1,2),""),VLOOKUP($D312,素材!$1:$1016,COLUMN($F$1),FALSE))),VLOOKUP($C312,武器!$1:$998,COLUMN($O$1),FALSE)*VLOOKUP($D312,素材!$1:$1016,COLUMN($E$1),FALSE)/(LEN(VLOOKUP($D312,素材!$1:$1016,COLUMN($F$1),FALSE))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BA312">
        <f>IF(ISNUMBER(SEARCH(SUBSTITUTE(BA$1,RIGHT(BA$1,2),""),VLOOKUP($D312,素材!$1:$1016,COLUMN($F$1),FALSE))),VLOOKUP($C312,武器!$1:$998,COLUMN($O$1),FALSE)*VLOOKUP($D312,素材!$1:$1016,COLUMN($E$1),FALSE)/(LEN(VLOOKUP($D312,素材!$1:$1016,COLUMN($F$1),FALSE))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BB312">
        <f>IF(ISNUMBER(SEARCH(SUBSTITUTE(BB$1,RIGHT(BB$1,2),""),VLOOKUP($D312,素材!$1:$1016,COLUMN($F$1),FALSE))),VLOOKUP($C312,武器!$1:$998,COLUMN($O$1),FALSE)*VLOOKUP($D312,素材!$1:$1016,COLUMN($E$1),FALSE)/(LEN(VLOOKUP($D312,素材!$1:$1016,COLUMN($F$1),FALSE))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BC312">
        <f>IF(ISNUMBER(SEARCH(SUBSTITUTE(BC$1,RIGHT(BC$1,2),""),VLOOKUP($D312,素材!$1:$1016,COLUMN($F$1),FALSE))),VLOOKUP($C312,武器!$1:$998,COLUMN($O$1),FALSE)*VLOOKUP($D312,素材!$1:$1016,COLUMN($E$1),FALSE)/(LEN(VLOOKUP($D312,素材!$1:$1016,COLUMN($F$1),FALSE))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BD312">
        <f>IF(ISNUMBER(SEARCH(SUBSTITUTE(BD$1,RIGHT(BD$1,2),""),VLOOKUP($D312,素材!$1:$1016,COLUMN($F$1),FALSE))),VLOOKUP($C312,武器!$1:$998,COLUMN($O$1),FALSE)*VLOOKUP($D312,素材!$1:$1016,COLUMN($E$1),FALSE)/(LEN(VLOOKUP($D312,素材!$1:$1016,COLUMN($F$1),FALSE))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BE312">
        <f>IF(ISNUMBER(SEARCH(SUBSTITUTE(BE$1,RIGHT(BE$1,2),""),VLOOKUP($D312,素材!$1:$1016,COLUMN($F$1),FALSE))),VLOOKUP($C312,武器!$1:$998,COLUMN($O$1),FALSE)*VLOOKUP($D312,素材!$1:$1016,COLUMN($E$1),FALSE)/(LEN(VLOOKUP($D312,素材!$1:$1016,COLUMN($F$1),FALSE))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BF312">
        <f>IF(ISNUMBER(SEARCH(SUBSTITUTE(BF$1,RIGHT(BF$1,2),""),VLOOKUP($D312,素材!$1:$1016,COLUMN($F$1),FALSE))),VLOOKUP($C312,武器!$1:$998,COLUMN($O$1),FALSE)*VLOOKUP($D312,素材!$1:$1016,COLUMN($E$1),FALSE)/(LEN(VLOOKUP($D312,素材!$1:$1016,COLUMN($F$1),FALSE)) - LEN(SUBSTITUTE(VLOOKUP($D312,素材!$1:$1016,COLUMN($F$1),FALSE), "・", 0)) + 1), 0)</f>
        <v>0</v>
      </c>
      <c r="CM312">
        <f t="shared" si="36"/>
        <v>0</v>
      </c>
      <c r="CN312" s="22" t="str">
        <f>IF(E312="武器",IF(J312-1&gt;SUM(G312:I312),"盾",IF(MAX(G312:I312)=G312,"切断",IF(MAX(G312:I312)=H312,"貫通",IF(MAX(G312:I312)=I312,"打撃","射撃")))),E312)&amp;".webp"</f>
        <v>.webp</v>
      </c>
      <c r="CO312" t="str">
        <f>IFERROR(VLOOKUP($C312,武器!$1:$998,COLUMN(V$1),FALSE)*VLOOKUP($D312,素材!$1:$1016,COLUMN(N$1),FALSE)+IF(CJ312="",0,VLOOKUP($CJ312,装強!$1:$1008,COLUMN($CL$1),FALSE)),"")</f>
        <v/>
      </c>
      <c r="CP312" t="e">
        <f>VLOOKUP(D312,素材!$A:$O,COLUMN(素材!O$1),FALSE)</f>
        <v>#N/A</v>
      </c>
      <c r="CQ312" t="e">
        <f>VLOOKUP(C312,武器!$A:$W,COLUMN(武器!W$1),FALSE)</f>
        <v>#N/A</v>
      </c>
      <c r="CS312" t="str">
        <f t="shared" si="37"/>
        <v>e_312</v>
      </c>
      <c r="CT312" t="e">
        <f t="shared" si="38"/>
        <v>#VALUE!</v>
      </c>
    </row>
    <row r="313" spans="1:98" hidden="1" outlineLevel="1" x14ac:dyDescent="0.4">
      <c r="A313" t="str">
        <f>IF(CJ313="",D313&amp;"の"&amp;C313,CJ313&amp;"の"&amp;C313)</f>
        <v>の</v>
      </c>
      <c r="B313" t="str">
        <f>IFERROR(IF(CJ313="",VLOOKUP($D313,素材!$1:$1016,COLUMN($B$1),FALSE)&amp;"・"&amp;VLOOKUP($C313,武器!$1:$998,COLUMN(B$1),FALSE),VLOOKUP($CJ313,装強!$1:$1008,COLUMN($B$1),FALSE)&amp;"・"&amp;VLOOKUP($C313,武器!$1:$998,COLUMN(B$1),FALSE)),"")</f>
        <v/>
      </c>
      <c r="C313" s="24"/>
      <c r="D313" s="24"/>
      <c r="E313" t="str">
        <f>IFERROR(VLOOKUP(C313,武器!$1:$998,COLUMN(C$1),FALSE),"")</f>
        <v/>
      </c>
      <c r="F313" t="str">
        <f>IFERROR(ROUNDDOWN((VLOOKUP($C313,武器!$1:$998,COLUMN(D$1),FALSE)+IFERROR(VLOOKUP($CJ313,装強!$1:$999,COLUMN(F$1),FALSE),0))*VLOOKUP($D313,素材!$1:$1016,COLUMN(D$1),FALSE),0),"")</f>
        <v/>
      </c>
      <c r="G313" t="str">
        <f>IFERROR(ROUNDDOWN((VLOOKUP($C313,武器!$1:$998,COLUMN(E$1),FALSE)+IFERROR(VLOOKUP($CJ313,装強!$1:$999,COLUMN(G$1),FALSE),0))*VLOOKUP($D313,素材!$1:$1016,COLUMN($E$1),FALSE),0),"")</f>
        <v/>
      </c>
      <c r="H313" t="str">
        <f>IFERROR(ROUNDDOWN((VLOOKUP($C313,武器!$1:$998,COLUMN(F$1),FALSE)+IFERROR(VLOOKUP($CJ313,装強!$1:$999,COLUMN(H$1),FALSE),0))*VLOOKUP($D313,素材!$1:$1016,COLUMN($E$1),FALSE),0),"")</f>
        <v/>
      </c>
      <c r="I313" t="str">
        <f>IFERROR(ROUNDDOWN((VLOOKUP($C313,武器!$1:$998,COLUMN(G$1),FALSE)+IFERROR(VLOOKUP($CJ313,装強!$1:$999,COLUMN(I$1),FALSE),0))*VLOOKUP($D313,素材!$1:$1016,COLUMN($E$1),FALSE),0),"")</f>
        <v/>
      </c>
      <c r="J313" t="str">
        <f>IFERROR(ROUNDDOWN((VLOOKUP($C313,武器!$1:$998,COLUMN(H$1),FALSE)+IFERROR(VLOOKUP($CJ313,装強!$1:$999,COLUMN(J$1),FALSE),0))*VLOOKUP($D313,素材!$1:$1016,COLUMN($E$1),FALSE),0),"")</f>
        <v/>
      </c>
      <c r="K313" t="str">
        <f>IFERROR(ROUNDDOWN((VLOOKUP($C313,武器!$1:$998,COLUMN(I$1),FALSE)+IFERROR(VLOOKUP($CJ313,装強!$1:$999,COLUMN(K$1),FALSE),0))*VLOOKUP($D313,素材!$1:$1016,COLUMN($E$1),FALSE),0),"")</f>
        <v/>
      </c>
      <c r="L313" t="str">
        <f>IFERROR(VLOOKUP($D313,素材!$1:$1016,COLUMN($F$1),FALSE),"")</f>
        <v/>
      </c>
      <c r="M313" t="str">
        <f>IFERROR(VLOOKUP($C313,武器!$1:$998,COLUMN(AA$1),FALSE)*VLOOKUP($D313,素材!$1:$1016,COLUMN($G$1),FALSE),"")</f>
        <v/>
      </c>
      <c r="N313" t="str">
        <f>IFERROR(VLOOKUP($C313,武器!$1:$998,COLUMN(I$1),FALSE),"")</f>
        <v/>
      </c>
      <c r="O313" s="23" t="str">
        <f>IFERROR((VLOOKUP($C313,武器!$1:$998,COLUMN(K$1),FALSE)+VLOOKUP($D313,素材!$1:$1016,COLUMN(H$1),FALSE))*100+IFERROR(VLOOKUP($CJ313,装強!$1:$999,COLUMN(O$1),FALSE),0),"")</f>
        <v/>
      </c>
      <c r="P313" s="23" t="str">
        <f>IFERROR((VLOOKUP($C313,武器!$1:$998,COLUMN(L$1),FALSE)+VLOOKUP($D313,素材!$1:$1016,COLUMN(I$1),FALSE))*100+IFERROR(VLOOKUP($CJ313,装強!$1:$999,COLUMN(P$1),FALSE),0),"")</f>
        <v/>
      </c>
      <c r="Q313" t="str">
        <f>IFERROR(ROUNDUP(VLOOKUP($C313,武器!$1:$998,COLUMN(M$1),FALSE)*(VLOOKUP($D313,素材!$1:$1002,COLUMN(D$1),FALSE)/100),1),"")</f>
        <v/>
      </c>
      <c r="R313" t="str">
        <f>IFERROR(ROUNDUP(VLOOKUP($C313,武器!$1:$998,COLUMN(N$1),FALSE)*(VLOOKUP($D313,素材!$1:$1002,COLUMN(D$1),FALSE)/100),1),"")</f>
        <v/>
      </c>
      <c r="S313" t="str">
        <f>IFERROR(VLOOKUP($C313,武器!$1:$998,COLUMN(P$1),FALSE),"")</f>
        <v/>
      </c>
      <c r="T313" t="str">
        <f>IFERROR(VLOOKUP($C313,武器!$1:$998,COLUMN(Q$1),FALSE),"")</f>
        <v/>
      </c>
      <c r="U313" t="str">
        <f>IFERROR(VLOOKUP($C313,武器!$1:$998,COLUMN(R$1),FALSE),"")</f>
        <v/>
      </c>
      <c r="V313" t="str">
        <f>IFERROR(VLOOKUP($C313,武器!$1:$998,COLUMN(Q$1),FALSE),"")</f>
        <v/>
      </c>
      <c r="W313" t="str">
        <f>IFERROR(VLOOKUP($C313,武器!$1:$998,COLUMN(T$1),FALSE),"")</f>
        <v/>
      </c>
      <c r="Y313" t="str">
        <f>IFERROR(VLOOKUP($C313,武器!$1:$998,COLUMN(U$1),FALSE),"")</f>
        <v/>
      </c>
      <c r="Z313" t="str">
        <f>IFERROR(ROUNDUP(VLOOKUP($C313,武器!$1:$998,COLUMN(O$1),FALSE)*VLOOKUP($D313,素材!$1:$1016,COLUMN(E$1),FALSE),1),"")</f>
        <v/>
      </c>
      <c r="AA313">
        <f>IF(ISNUMBER(SEARCH(SUBSTITUTE(AA$1,RIGHT(AA$1,2),""),VLOOKUP($D313,素材!$1:$1016,COLUMN($F$1),FALSE))),VLOOKUP($C313,武器!$1:$998,COLUMN($O$1),FALSE)*VLOOKUP($D313,素材!$1:$1016,COLUMN($E$1),FALSE)/(LEN(VLOOKUP($D313,素材!$1:$1016,COLUMN($F$1),FALSE))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B313">
        <f>IF(ISNUMBER(SEARCH(SUBSTITUTE(AB$1,RIGHT(AB$1,2),""),VLOOKUP($D313,素材!$1:$1016,COLUMN($F$1),FALSE))),VLOOKUP($C313,武器!$1:$998,COLUMN($O$1),FALSE)*VLOOKUP($D313,素材!$1:$1016,COLUMN($E$1),FALSE)/(LEN(VLOOKUP($D313,素材!$1:$1016,COLUMN($F$1),FALSE))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C313">
        <f>IF(ISNUMBER(SEARCH(SUBSTITUTE(AC$1,RIGHT(AC$1,2),""),VLOOKUP($D313,素材!$1:$1016,COLUMN($F$1),FALSE))),VLOOKUP($C313,武器!$1:$998,COLUMN($O$1),FALSE)*VLOOKUP($D313,素材!$1:$1016,COLUMN($E$1),FALSE)/(LEN(VLOOKUP($D313,素材!$1:$1016,COLUMN($F$1),FALSE))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D313">
        <f>IF(ISNUMBER(SEARCH(SUBSTITUTE(AD$1,RIGHT(AD$1,2),""),VLOOKUP($D313,素材!$1:$1016,COLUMN($F$1),FALSE))),VLOOKUP($C313,武器!$1:$998,COLUMN($O$1),FALSE)*VLOOKUP($D313,素材!$1:$1016,COLUMN($E$1),FALSE)/(LEN(VLOOKUP($D313,素材!$1:$1016,COLUMN($F$1),FALSE))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E313">
        <f>IF(ISNUMBER(SEARCH(SUBSTITUTE(AE$1,RIGHT(AE$1,2),""),VLOOKUP($D313,素材!$1:$1016,COLUMN($F$1),FALSE))),VLOOKUP($C313,武器!$1:$998,COLUMN($O$1),FALSE)*VLOOKUP($D313,素材!$1:$1016,COLUMN($E$1),FALSE)/(LEN(VLOOKUP($D313,素材!$1:$1016,COLUMN($F$1),FALSE))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F313">
        <f>IF(ISNUMBER(SEARCH(SUBSTITUTE(AF$1,RIGHT(AF$1,2),""),VLOOKUP($D313,素材!$1:$1016,COLUMN($F$1),FALSE))),VLOOKUP($C313,武器!$1:$998,COLUMN($O$1),FALSE)*VLOOKUP($D313,素材!$1:$1016,COLUMN($E$1),FALSE)/(LEN(VLOOKUP($D313,素材!$1:$1016,COLUMN($F$1),FALSE))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G313">
        <f>IF(ISNUMBER(SEARCH(SUBSTITUTE(AG$1,RIGHT(AG$1,2),""),VLOOKUP($D313,素材!$1:$1016,COLUMN($F$1),FALSE))),VLOOKUP($C313,武器!$1:$998,COLUMN($O$1),FALSE)*VLOOKUP($D313,素材!$1:$1016,COLUMN($E$1),FALSE)/(LEN(VLOOKUP($D313,素材!$1:$1016,COLUMN($F$1),FALSE))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H313">
        <f>IF(ISNUMBER(SEARCH(SUBSTITUTE(AH$1,RIGHT(AH$1,2),""),VLOOKUP($D313,素材!$1:$1016,COLUMN($F$1),FALSE))),VLOOKUP($C313,武器!$1:$998,COLUMN($O$1),FALSE)*VLOOKUP($D313,素材!$1:$1016,COLUMN($E$1),FALSE)/(LEN(VLOOKUP($D313,素材!$1:$1016,COLUMN($F$1),FALSE))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I313">
        <f>IF(ISNUMBER(SEARCH(SUBSTITUTE(AI$1,RIGHT(AI$1,2),""),VLOOKUP($D313,素材!$1:$1016,COLUMN($F$1),FALSE))),VLOOKUP($C313,武器!$1:$998,COLUMN($O$1),FALSE)*VLOOKUP($D313,素材!$1:$1016,COLUMN($E$1),FALSE)/(LEN(VLOOKUP($D313,素材!$1:$1016,COLUMN($F$1),FALSE))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J313">
        <f>IF(ISNUMBER(SEARCH(SUBSTITUTE(AJ$1,RIGHT(AJ$1,2),""),VLOOKUP($D313,素材!$1:$1016,COLUMN($F$1),FALSE))),VLOOKUP($C313,武器!$1:$998,COLUMN($O$1),FALSE)*VLOOKUP($D313,素材!$1:$1016,COLUMN($E$1),FALSE)/(LEN(VLOOKUP($D313,素材!$1:$1016,COLUMN($F$1),FALSE))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K313">
        <f>IF(ISNUMBER(SEARCH(SUBSTITUTE(AK$1,RIGHT(AK$1,2),""),VLOOKUP($D313,素材!$1:$1016,COLUMN($F$1),FALSE))),VLOOKUP($C313,武器!$1:$998,COLUMN($O$1),FALSE)*VLOOKUP($D313,素材!$1:$1016,COLUMN($E$1),FALSE)/(LEN(VLOOKUP($D313,素材!$1:$1016,COLUMN($F$1),FALSE))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L313">
        <f>IF(ISNUMBER(SEARCH(SUBSTITUTE(AL$1,RIGHT(AL$1,2),""),VLOOKUP($D313,素材!$1:$1016,COLUMN($F$1),FALSE))),VLOOKUP($C313,武器!$1:$998,COLUMN($O$1),FALSE)*VLOOKUP($D313,素材!$1:$1016,COLUMN($E$1),FALSE)/(LEN(VLOOKUP($D313,素材!$1:$1016,COLUMN($F$1),FALSE))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M313">
        <f>IF(ISNUMBER(SEARCH(SUBSTITUTE(AM$1,RIGHT(AM$1,2),""),VLOOKUP($D313,素材!$1:$1016,COLUMN($F$1),FALSE))),VLOOKUP($C313,武器!$1:$998,COLUMN($O$1),FALSE)*VLOOKUP($D313,素材!$1:$1016,COLUMN($E$1),FALSE)/(LEN(VLOOKUP($D313,素材!$1:$1016,COLUMN($F$1),FALSE))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N313">
        <f>IF(ISNUMBER(SEARCH(SUBSTITUTE(AN$1,RIGHT(AN$1,2),""),VLOOKUP($D313,素材!$1:$1016,COLUMN($F$1),FALSE))),VLOOKUP($C313,武器!$1:$998,COLUMN($O$1),FALSE)*VLOOKUP($D313,素材!$1:$1016,COLUMN($E$1),FALSE)/(LEN(VLOOKUP($D313,素材!$1:$1016,COLUMN($F$1),FALSE))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O313">
        <f>IF(ISNUMBER(SEARCH(SUBSTITUTE(AO$1,RIGHT(AO$1,2),""),VLOOKUP($D313,素材!$1:$1016,COLUMN($F$1),FALSE))),VLOOKUP($C313,武器!$1:$998,COLUMN($O$1),FALSE)*VLOOKUP($D313,素材!$1:$1016,COLUMN($E$1),FALSE)/(LEN(VLOOKUP($D313,素材!$1:$1016,COLUMN($F$1),FALSE))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P313">
        <f>IF(ISNUMBER(SEARCH(SUBSTITUTE(AP$1,RIGHT(AP$1,2),""),VLOOKUP($D313,素材!$1:$1016,COLUMN($F$1),FALSE))),VLOOKUP($C313,武器!$1:$998,COLUMN($O$1),FALSE)*VLOOKUP($D313,素材!$1:$1016,COLUMN($E$1),FALSE)/(LEN(VLOOKUP($D313,素材!$1:$1016,COLUMN($F$1),FALSE))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Q313">
        <f>IF(ISNUMBER(SEARCH(SUBSTITUTE(AQ$1,RIGHT(AQ$1,2),""),VLOOKUP($D313,素材!$1:$1016,COLUMN($F$1),FALSE))),VLOOKUP($C313,武器!$1:$998,COLUMN($O$1),FALSE)*VLOOKUP($D313,素材!$1:$1016,COLUMN($E$1),FALSE)/(LEN(VLOOKUP($D313,素材!$1:$1016,COLUMN($F$1),FALSE))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R313">
        <f>IF(ISNUMBER(SEARCH(SUBSTITUTE(AR$1,RIGHT(AR$1,2),""),VLOOKUP($D313,素材!$1:$1016,COLUMN($F$1),FALSE))),VLOOKUP($C313,武器!$1:$998,COLUMN($O$1),FALSE)*VLOOKUP($D313,素材!$1:$1016,COLUMN($E$1),FALSE)/(LEN(VLOOKUP($D313,素材!$1:$1016,COLUMN($F$1),FALSE))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S313">
        <f>IF(ISNUMBER(SEARCH(SUBSTITUTE(AS$1,RIGHT(AS$1,2),""),VLOOKUP($D313,素材!$1:$1016,COLUMN($F$1),FALSE))),VLOOKUP($C313,武器!$1:$998,COLUMN($O$1),FALSE)*VLOOKUP($D313,素材!$1:$1016,COLUMN($E$1),FALSE)/(LEN(VLOOKUP($D313,素材!$1:$1016,COLUMN($F$1),FALSE))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T313">
        <f>IF(ISNUMBER(SEARCH(SUBSTITUTE(AT$1,RIGHT(AT$1,2),""),VLOOKUP($D313,素材!$1:$1016,COLUMN($F$1),FALSE))),VLOOKUP($C313,武器!$1:$998,COLUMN($O$1),FALSE)*VLOOKUP($D313,素材!$1:$1016,COLUMN($E$1),FALSE)/(LEN(VLOOKUP($D313,素材!$1:$1016,COLUMN($F$1),FALSE))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U313">
        <f>IF(ISNUMBER(SEARCH(SUBSTITUTE(AU$1,RIGHT(AU$1,2),""),VLOOKUP($D313,素材!$1:$1016,COLUMN($F$1),FALSE))),VLOOKUP($C313,武器!$1:$998,COLUMN($O$1),FALSE)*VLOOKUP($D313,素材!$1:$1016,COLUMN($E$1),FALSE)/(LEN(VLOOKUP($D313,素材!$1:$1016,COLUMN($F$1),FALSE))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V313">
        <f>IF(ISNUMBER(SEARCH(SUBSTITUTE(AV$1,RIGHT(AV$1,2),""),VLOOKUP($D313,素材!$1:$1016,COLUMN($F$1),FALSE))),VLOOKUP($C313,武器!$1:$998,COLUMN($O$1),FALSE)*VLOOKUP($D313,素材!$1:$1016,COLUMN($E$1),FALSE)/(LEN(VLOOKUP($D313,素材!$1:$1016,COLUMN($F$1),FALSE))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W313">
        <f>IF(ISNUMBER(SEARCH(SUBSTITUTE(AW$1,RIGHT(AW$1,2),""),VLOOKUP($D313,素材!$1:$1016,COLUMN($F$1),FALSE))),VLOOKUP($C313,武器!$1:$998,COLUMN($O$1),FALSE)*VLOOKUP($D313,素材!$1:$1016,COLUMN($E$1),FALSE)/(LEN(VLOOKUP($D313,素材!$1:$1016,COLUMN($F$1),FALSE))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X313">
        <f>IF(ISNUMBER(SEARCH(SUBSTITUTE(AX$1,RIGHT(AX$1,2),""),VLOOKUP($D313,素材!$1:$1016,COLUMN($F$1),FALSE))),VLOOKUP($C313,武器!$1:$998,COLUMN($O$1),FALSE)*VLOOKUP($D313,素材!$1:$1016,COLUMN($E$1),FALSE)/(LEN(VLOOKUP($D313,素材!$1:$1016,COLUMN($F$1),FALSE))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Y313">
        <f>IF(ISNUMBER(SEARCH(SUBSTITUTE(AY$1,RIGHT(AY$1,2),""),VLOOKUP($D313,素材!$1:$1016,COLUMN($F$1),FALSE))),VLOOKUP($C313,武器!$1:$998,COLUMN($O$1),FALSE)*VLOOKUP($D313,素材!$1:$1016,COLUMN($E$1),FALSE)/(LEN(VLOOKUP($D313,素材!$1:$1016,COLUMN($F$1),FALSE))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AZ313">
        <f>IF(ISNUMBER(SEARCH(SUBSTITUTE(AZ$1,RIGHT(AZ$1,2),""),VLOOKUP($D313,素材!$1:$1016,COLUMN($F$1),FALSE))),VLOOKUP($C313,武器!$1:$998,COLUMN($O$1),FALSE)*VLOOKUP($D313,素材!$1:$1016,COLUMN($E$1),FALSE)/(LEN(VLOOKUP($D313,素材!$1:$1016,COLUMN($F$1),FALSE))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BA313">
        <f>IF(ISNUMBER(SEARCH(SUBSTITUTE(BA$1,RIGHT(BA$1,2),""),VLOOKUP($D313,素材!$1:$1016,COLUMN($F$1),FALSE))),VLOOKUP($C313,武器!$1:$998,COLUMN($O$1),FALSE)*VLOOKUP($D313,素材!$1:$1016,COLUMN($E$1),FALSE)/(LEN(VLOOKUP($D313,素材!$1:$1016,COLUMN($F$1),FALSE))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BB313">
        <f>IF(ISNUMBER(SEARCH(SUBSTITUTE(BB$1,RIGHT(BB$1,2),""),VLOOKUP($D313,素材!$1:$1016,COLUMN($F$1),FALSE))),VLOOKUP($C313,武器!$1:$998,COLUMN($O$1),FALSE)*VLOOKUP($D313,素材!$1:$1016,COLUMN($E$1),FALSE)/(LEN(VLOOKUP($D313,素材!$1:$1016,COLUMN($F$1),FALSE))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BC313">
        <f>IF(ISNUMBER(SEARCH(SUBSTITUTE(BC$1,RIGHT(BC$1,2),""),VLOOKUP($D313,素材!$1:$1016,COLUMN($F$1),FALSE))),VLOOKUP($C313,武器!$1:$998,COLUMN($O$1),FALSE)*VLOOKUP($D313,素材!$1:$1016,COLUMN($E$1),FALSE)/(LEN(VLOOKUP($D313,素材!$1:$1016,COLUMN($F$1),FALSE))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BD313">
        <f>IF(ISNUMBER(SEARCH(SUBSTITUTE(BD$1,RIGHT(BD$1,2),""),VLOOKUP($D313,素材!$1:$1016,COLUMN($F$1),FALSE))),VLOOKUP($C313,武器!$1:$998,COLUMN($O$1),FALSE)*VLOOKUP($D313,素材!$1:$1016,COLUMN($E$1),FALSE)/(LEN(VLOOKUP($D313,素材!$1:$1016,COLUMN($F$1),FALSE))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BE313">
        <f>IF(ISNUMBER(SEARCH(SUBSTITUTE(BE$1,RIGHT(BE$1,2),""),VLOOKUP($D313,素材!$1:$1016,COLUMN($F$1),FALSE))),VLOOKUP($C313,武器!$1:$998,COLUMN($O$1),FALSE)*VLOOKUP($D313,素材!$1:$1016,COLUMN($E$1),FALSE)/(LEN(VLOOKUP($D313,素材!$1:$1016,COLUMN($F$1),FALSE))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BF313">
        <f>IF(ISNUMBER(SEARCH(SUBSTITUTE(BF$1,RIGHT(BF$1,2),""),VLOOKUP($D313,素材!$1:$1016,COLUMN($F$1),FALSE))),VLOOKUP($C313,武器!$1:$998,COLUMN($O$1),FALSE)*VLOOKUP($D313,素材!$1:$1016,COLUMN($E$1),FALSE)/(LEN(VLOOKUP($D313,素材!$1:$1016,COLUMN($F$1),FALSE)) - LEN(SUBSTITUTE(VLOOKUP($D313,素材!$1:$1016,COLUMN($F$1),FALSE), "・", 0)) + 1), 0)</f>
        <v>0</v>
      </c>
      <c r="CM313">
        <f t="shared" si="36"/>
        <v>0</v>
      </c>
      <c r="CN313" s="22" t="str">
        <f>IF(E313="武器",IF(J313-1&gt;SUM(G313:I313),"盾",IF(MAX(G313:I313)=G313,"切断",IF(MAX(G313:I313)=H313,"貫通",IF(MAX(G313:I313)=I313,"打撃","射撃")))),E313)&amp;".webp"</f>
        <v>.webp</v>
      </c>
      <c r="CO313" t="str">
        <f>IFERROR(VLOOKUP($C313,武器!$1:$998,COLUMN(V$1),FALSE)*VLOOKUP($D313,素材!$1:$1016,COLUMN(N$1),FALSE)+IF(CJ313="",0,VLOOKUP($CJ313,装強!$1:$1008,COLUMN($CL$1),FALSE)),"")</f>
        <v/>
      </c>
      <c r="CP313" t="e">
        <f>VLOOKUP(D313,素材!$A:$O,COLUMN(素材!O$1),FALSE)</f>
        <v>#N/A</v>
      </c>
      <c r="CQ313" t="e">
        <f>VLOOKUP(C313,武器!$A:$W,COLUMN(武器!W$1),FALSE)</f>
        <v>#N/A</v>
      </c>
      <c r="CS313" t="str">
        <f t="shared" si="37"/>
        <v>e_313</v>
      </c>
      <c r="CT313" t="e">
        <f t="shared" si="38"/>
        <v>#VALUE!</v>
      </c>
    </row>
    <row r="314" spans="1:98" hidden="1" outlineLevel="1" x14ac:dyDescent="0.4">
      <c r="A314" t="str">
        <f>IF(CJ314="",D314&amp;"の"&amp;C314,CJ314&amp;"の"&amp;C314)</f>
        <v>の</v>
      </c>
      <c r="B314" t="str">
        <f>IFERROR(IF(CJ314="",VLOOKUP($D314,素材!$1:$1016,COLUMN($B$1),FALSE)&amp;"・"&amp;VLOOKUP($C314,武器!$1:$998,COLUMN(B$1),FALSE),VLOOKUP($CJ314,装強!$1:$1008,COLUMN($B$1),FALSE)&amp;"・"&amp;VLOOKUP($C314,武器!$1:$998,COLUMN(B$1),FALSE)),"")</f>
        <v/>
      </c>
      <c r="C314" s="24"/>
      <c r="D314" s="24"/>
      <c r="E314" t="str">
        <f>IFERROR(VLOOKUP(C314,武器!$1:$998,COLUMN(C$1),FALSE),"")</f>
        <v/>
      </c>
      <c r="F314" t="str">
        <f>IFERROR(ROUNDDOWN((VLOOKUP($C314,武器!$1:$998,COLUMN(D$1),FALSE)+IFERROR(VLOOKUP($CJ314,装強!$1:$999,COLUMN(F$1),FALSE),0))*VLOOKUP($D314,素材!$1:$1016,COLUMN(D$1),FALSE),0),"")</f>
        <v/>
      </c>
      <c r="G314" t="str">
        <f>IFERROR(ROUNDDOWN((VLOOKUP($C314,武器!$1:$998,COLUMN(E$1),FALSE)+IFERROR(VLOOKUP($CJ314,装強!$1:$999,COLUMN(G$1),FALSE),0))*VLOOKUP($D314,素材!$1:$1016,COLUMN($E$1),FALSE),0),"")</f>
        <v/>
      </c>
      <c r="H314" t="str">
        <f>IFERROR(ROUNDDOWN((VLOOKUP($C314,武器!$1:$998,COLUMN(F$1),FALSE)+IFERROR(VLOOKUP($CJ314,装強!$1:$999,COLUMN(H$1),FALSE),0))*VLOOKUP($D314,素材!$1:$1016,COLUMN($E$1),FALSE),0),"")</f>
        <v/>
      </c>
      <c r="I314" t="str">
        <f>IFERROR(ROUNDDOWN((VLOOKUP($C314,武器!$1:$998,COLUMN(G$1),FALSE)+IFERROR(VLOOKUP($CJ314,装強!$1:$999,COLUMN(I$1),FALSE),0))*VLOOKUP($D314,素材!$1:$1016,COLUMN($E$1),FALSE),0),"")</f>
        <v/>
      </c>
      <c r="J314" t="str">
        <f>IFERROR(ROUNDDOWN((VLOOKUP($C314,武器!$1:$998,COLUMN(H$1),FALSE)+IFERROR(VLOOKUP($CJ314,装強!$1:$999,COLUMN(J$1),FALSE),0))*VLOOKUP($D314,素材!$1:$1016,COLUMN($E$1),FALSE),0),"")</f>
        <v/>
      </c>
      <c r="K314" t="str">
        <f>IFERROR(ROUNDDOWN((VLOOKUP($C314,武器!$1:$998,COLUMN(I$1),FALSE)+IFERROR(VLOOKUP($CJ314,装強!$1:$999,COLUMN(K$1),FALSE),0))*VLOOKUP($D314,素材!$1:$1016,COLUMN($E$1),FALSE),0),"")</f>
        <v/>
      </c>
      <c r="L314" t="str">
        <f>IFERROR(VLOOKUP($D314,素材!$1:$1016,COLUMN($F$1),FALSE),"")</f>
        <v/>
      </c>
      <c r="M314" t="str">
        <f>IFERROR(VLOOKUP($C314,武器!$1:$998,COLUMN(AA$1),FALSE)*VLOOKUP($D314,素材!$1:$1016,COLUMN($G$1),FALSE),"")</f>
        <v/>
      </c>
      <c r="N314" t="str">
        <f>IFERROR(VLOOKUP($C314,武器!$1:$998,COLUMN(I$1),FALSE),"")</f>
        <v/>
      </c>
      <c r="O314" s="23" t="str">
        <f>IFERROR((VLOOKUP($C314,武器!$1:$998,COLUMN(K$1),FALSE)+VLOOKUP($D314,素材!$1:$1016,COLUMN(H$1),FALSE))*100+IFERROR(VLOOKUP($CJ314,装強!$1:$999,COLUMN(O$1),FALSE),0),"")</f>
        <v/>
      </c>
      <c r="P314" s="23" t="str">
        <f>IFERROR((VLOOKUP($C314,武器!$1:$998,COLUMN(L$1),FALSE)+VLOOKUP($D314,素材!$1:$1016,COLUMN(I$1),FALSE))*100+IFERROR(VLOOKUP($CJ314,装強!$1:$999,COLUMN(P$1),FALSE),0),"")</f>
        <v/>
      </c>
      <c r="Q314" t="str">
        <f>IFERROR(ROUNDUP(VLOOKUP($C314,武器!$1:$998,COLUMN(M$1),FALSE)*(VLOOKUP($D314,素材!$1:$1002,COLUMN(D$1),FALSE)/100),1),"")</f>
        <v/>
      </c>
      <c r="R314" t="str">
        <f>IFERROR(ROUNDUP(VLOOKUP($C314,武器!$1:$998,COLUMN(N$1),FALSE)*(VLOOKUP($D314,素材!$1:$1002,COLUMN(D$1),FALSE)/100),1),"")</f>
        <v/>
      </c>
      <c r="S314" t="str">
        <f>IFERROR(VLOOKUP($C314,武器!$1:$998,COLUMN(P$1),FALSE),"")</f>
        <v/>
      </c>
      <c r="T314" t="str">
        <f>IFERROR(VLOOKUP($C314,武器!$1:$998,COLUMN(Q$1),FALSE),"")</f>
        <v/>
      </c>
      <c r="U314" t="str">
        <f>IFERROR(VLOOKUP($C314,武器!$1:$998,COLUMN(R$1),FALSE),"")</f>
        <v/>
      </c>
      <c r="V314" t="str">
        <f>IFERROR(VLOOKUP($C314,武器!$1:$998,COLUMN(Q$1),FALSE),"")</f>
        <v/>
      </c>
      <c r="W314" t="str">
        <f>IFERROR(VLOOKUP($C314,武器!$1:$998,COLUMN(T$1),FALSE),"")</f>
        <v/>
      </c>
      <c r="Y314" t="str">
        <f>IFERROR(VLOOKUP($C314,武器!$1:$998,COLUMN(U$1),FALSE),"")</f>
        <v/>
      </c>
      <c r="Z314" t="str">
        <f>IFERROR(ROUNDUP(VLOOKUP($C314,武器!$1:$998,COLUMN(O$1),FALSE)*VLOOKUP($D314,素材!$1:$1016,COLUMN(E$1),FALSE),1),"")</f>
        <v/>
      </c>
      <c r="AA314">
        <f>IF(ISNUMBER(SEARCH(SUBSTITUTE(AA$1,RIGHT(AA$1,2),""),VLOOKUP($D314,素材!$1:$1016,COLUMN($F$1),FALSE))),VLOOKUP($C314,武器!$1:$998,COLUMN($O$1),FALSE)*VLOOKUP($D314,素材!$1:$1016,COLUMN($E$1),FALSE)/(LEN(VLOOKUP($D314,素材!$1:$1016,COLUMN($F$1),FALSE))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B314">
        <f>IF(ISNUMBER(SEARCH(SUBSTITUTE(AB$1,RIGHT(AB$1,2),""),VLOOKUP($D314,素材!$1:$1016,COLUMN($F$1),FALSE))),VLOOKUP($C314,武器!$1:$998,COLUMN($O$1),FALSE)*VLOOKUP($D314,素材!$1:$1016,COLUMN($E$1),FALSE)/(LEN(VLOOKUP($D314,素材!$1:$1016,COLUMN($F$1),FALSE))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C314">
        <f>IF(ISNUMBER(SEARCH(SUBSTITUTE(AC$1,RIGHT(AC$1,2),""),VLOOKUP($D314,素材!$1:$1016,COLUMN($F$1),FALSE))),VLOOKUP($C314,武器!$1:$998,COLUMN($O$1),FALSE)*VLOOKUP($D314,素材!$1:$1016,COLUMN($E$1),FALSE)/(LEN(VLOOKUP($D314,素材!$1:$1016,COLUMN($F$1),FALSE))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D314">
        <f>IF(ISNUMBER(SEARCH(SUBSTITUTE(AD$1,RIGHT(AD$1,2),""),VLOOKUP($D314,素材!$1:$1016,COLUMN($F$1),FALSE))),VLOOKUP($C314,武器!$1:$998,COLUMN($O$1),FALSE)*VLOOKUP($D314,素材!$1:$1016,COLUMN($E$1),FALSE)/(LEN(VLOOKUP($D314,素材!$1:$1016,COLUMN($F$1),FALSE))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E314">
        <f>IF(ISNUMBER(SEARCH(SUBSTITUTE(AE$1,RIGHT(AE$1,2),""),VLOOKUP($D314,素材!$1:$1016,COLUMN($F$1),FALSE))),VLOOKUP($C314,武器!$1:$998,COLUMN($O$1),FALSE)*VLOOKUP($D314,素材!$1:$1016,COLUMN($E$1),FALSE)/(LEN(VLOOKUP($D314,素材!$1:$1016,COLUMN($F$1),FALSE))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F314">
        <f>IF(ISNUMBER(SEARCH(SUBSTITUTE(AF$1,RIGHT(AF$1,2),""),VLOOKUP($D314,素材!$1:$1016,COLUMN($F$1),FALSE))),VLOOKUP($C314,武器!$1:$998,COLUMN($O$1),FALSE)*VLOOKUP($D314,素材!$1:$1016,COLUMN($E$1),FALSE)/(LEN(VLOOKUP($D314,素材!$1:$1016,COLUMN($F$1),FALSE))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G314">
        <f>IF(ISNUMBER(SEARCH(SUBSTITUTE(AG$1,RIGHT(AG$1,2),""),VLOOKUP($D314,素材!$1:$1016,COLUMN($F$1),FALSE))),VLOOKUP($C314,武器!$1:$998,COLUMN($O$1),FALSE)*VLOOKUP($D314,素材!$1:$1016,COLUMN($E$1),FALSE)/(LEN(VLOOKUP($D314,素材!$1:$1016,COLUMN($F$1),FALSE))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H314">
        <f>IF(ISNUMBER(SEARCH(SUBSTITUTE(AH$1,RIGHT(AH$1,2),""),VLOOKUP($D314,素材!$1:$1016,COLUMN($F$1),FALSE))),VLOOKUP($C314,武器!$1:$998,COLUMN($O$1),FALSE)*VLOOKUP($D314,素材!$1:$1016,COLUMN($E$1),FALSE)/(LEN(VLOOKUP($D314,素材!$1:$1016,COLUMN($F$1),FALSE))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I314">
        <f>IF(ISNUMBER(SEARCH(SUBSTITUTE(AI$1,RIGHT(AI$1,2),""),VLOOKUP($D314,素材!$1:$1016,COLUMN($F$1),FALSE))),VLOOKUP($C314,武器!$1:$998,COLUMN($O$1),FALSE)*VLOOKUP($D314,素材!$1:$1016,COLUMN($E$1),FALSE)/(LEN(VLOOKUP($D314,素材!$1:$1016,COLUMN($F$1),FALSE))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J314">
        <f>IF(ISNUMBER(SEARCH(SUBSTITUTE(AJ$1,RIGHT(AJ$1,2),""),VLOOKUP($D314,素材!$1:$1016,COLUMN($F$1),FALSE))),VLOOKUP($C314,武器!$1:$998,COLUMN($O$1),FALSE)*VLOOKUP($D314,素材!$1:$1016,COLUMN($E$1),FALSE)/(LEN(VLOOKUP($D314,素材!$1:$1016,COLUMN($F$1),FALSE))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K314">
        <f>IF(ISNUMBER(SEARCH(SUBSTITUTE(AK$1,RIGHT(AK$1,2),""),VLOOKUP($D314,素材!$1:$1016,COLUMN($F$1),FALSE))),VLOOKUP($C314,武器!$1:$998,COLUMN($O$1),FALSE)*VLOOKUP($D314,素材!$1:$1016,COLUMN($E$1),FALSE)/(LEN(VLOOKUP($D314,素材!$1:$1016,COLUMN($F$1),FALSE))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L314">
        <f>IF(ISNUMBER(SEARCH(SUBSTITUTE(AL$1,RIGHT(AL$1,2),""),VLOOKUP($D314,素材!$1:$1016,COLUMN($F$1),FALSE))),VLOOKUP($C314,武器!$1:$998,COLUMN($O$1),FALSE)*VLOOKUP($D314,素材!$1:$1016,COLUMN($E$1),FALSE)/(LEN(VLOOKUP($D314,素材!$1:$1016,COLUMN($F$1),FALSE))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M314">
        <f>IF(ISNUMBER(SEARCH(SUBSTITUTE(AM$1,RIGHT(AM$1,2),""),VLOOKUP($D314,素材!$1:$1016,COLUMN($F$1),FALSE))),VLOOKUP($C314,武器!$1:$998,COLUMN($O$1),FALSE)*VLOOKUP($D314,素材!$1:$1016,COLUMN($E$1),FALSE)/(LEN(VLOOKUP($D314,素材!$1:$1016,COLUMN($F$1),FALSE))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N314">
        <f>IF(ISNUMBER(SEARCH(SUBSTITUTE(AN$1,RIGHT(AN$1,2),""),VLOOKUP($D314,素材!$1:$1016,COLUMN($F$1),FALSE))),VLOOKUP($C314,武器!$1:$998,COLUMN($O$1),FALSE)*VLOOKUP($D314,素材!$1:$1016,COLUMN($E$1),FALSE)/(LEN(VLOOKUP($D314,素材!$1:$1016,COLUMN($F$1),FALSE))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O314">
        <f>IF(ISNUMBER(SEARCH(SUBSTITUTE(AO$1,RIGHT(AO$1,2),""),VLOOKUP($D314,素材!$1:$1016,COLUMN($F$1),FALSE))),VLOOKUP($C314,武器!$1:$998,COLUMN($O$1),FALSE)*VLOOKUP($D314,素材!$1:$1016,COLUMN($E$1),FALSE)/(LEN(VLOOKUP($D314,素材!$1:$1016,COLUMN($F$1),FALSE))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P314">
        <f>IF(ISNUMBER(SEARCH(SUBSTITUTE(AP$1,RIGHT(AP$1,2),""),VLOOKUP($D314,素材!$1:$1016,COLUMN($F$1),FALSE))),VLOOKUP($C314,武器!$1:$998,COLUMN($O$1),FALSE)*VLOOKUP($D314,素材!$1:$1016,COLUMN($E$1),FALSE)/(LEN(VLOOKUP($D314,素材!$1:$1016,COLUMN($F$1),FALSE))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Q314">
        <f>IF(ISNUMBER(SEARCH(SUBSTITUTE(AQ$1,RIGHT(AQ$1,2),""),VLOOKUP($D314,素材!$1:$1016,COLUMN($F$1),FALSE))),VLOOKUP($C314,武器!$1:$998,COLUMN($O$1),FALSE)*VLOOKUP($D314,素材!$1:$1016,COLUMN($E$1),FALSE)/(LEN(VLOOKUP($D314,素材!$1:$1016,COLUMN($F$1),FALSE))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R314">
        <f>IF(ISNUMBER(SEARCH(SUBSTITUTE(AR$1,RIGHT(AR$1,2),""),VLOOKUP($D314,素材!$1:$1016,COLUMN($F$1),FALSE))),VLOOKUP($C314,武器!$1:$998,COLUMN($O$1),FALSE)*VLOOKUP($D314,素材!$1:$1016,COLUMN($E$1),FALSE)/(LEN(VLOOKUP($D314,素材!$1:$1016,COLUMN($F$1),FALSE))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S314">
        <f>IF(ISNUMBER(SEARCH(SUBSTITUTE(AS$1,RIGHT(AS$1,2),""),VLOOKUP($D314,素材!$1:$1016,COLUMN($F$1),FALSE))),VLOOKUP($C314,武器!$1:$998,COLUMN($O$1),FALSE)*VLOOKUP($D314,素材!$1:$1016,COLUMN($E$1),FALSE)/(LEN(VLOOKUP($D314,素材!$1:$1016,COLUMN($F$1),FALSE))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T314">
        <f>IF(ISNUMBER(SEARCH(SUBSTITUTE(AT$1,RIGHT(AT$1,2),""),VLOOKUP($D314,素材!$1:$1016,COLUMN($F$1),FALSE))),VLOOKUP($C314,武器!$1:$998,COLUMN($O$1),FALSE)*VLOOKUP($D314,素材!$1:$1016,COLUMN($E$1),FALSE)/(LEN(VLOOKUP($D314,素材!$1:$1016,COLUMN($F$1),FALSE))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U314">
        <f>IF(ISNUMBER(SEARCH(SUBSTITUTE(AU$1,RIGHT(AU$1,2),""),VLOOKUP($D314,素材!$1:$1016,COLUMN($F$1),FALSE))),VLOOKUP($C314,武器!$1:$998,COLUMN($O$1),FALSE)*VLOOKUP($D314,素材!$1:$1016,COLUMN($E$1),FALSE)/(LEN(VLOOKUP($D314,素材!$1:$1016,COLUMN($F$1),FALSE))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V314">
        <f>IF(ISNUMBER(SEARCH(SUBSTITUTE(AV$1,RIGHT(AV$1,2),""),VLOOKUP($D314,素材!$1:$1016,COLUMN($F$1),FALSE))),VLOOKUP($C314,武器!$1:$998,COLUMN($O$1),FALSE)*VLOOKUP($D314,素材!$1:$1016,COLUMN($E$1),FALSE)/(LEN(VLOOKUP($D314,素材!$1:$1016,COLUMN($F$1),FALSE))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W314">
        <f>IF(ISNUMBER(SEARCH(SUBSTITUTE(AW$1,RIGHT(AW$1,2),""),VLOOKUP($D314,素材!$1:$1016,COLUMN($F$1),FALSE))),VLOOKUP($C314,武器!$1:$998,COLUMN($O$1),FALSE)*VLOOKUP($D314,素材!$1:$1016,COLUMN($E$1),FALSE)/(LEN(VLOOKUP($D314,素材!$1:$1016,COLUMN($F$1),FALSE))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X314">
        <f>IF(ISNUMBER(SEARCH(SUBSTITUTE(AX$1,RIGHT(AX$1,2),""),VLOOKUP($D314,素材!$1:$1016,COLUMN($F$1),FALSE))),VLOOKUP($C314,武器!$1:$998,COLUMN($O$1),FALSE)*VLOOKUP($D314,素材!$1:$1016,COLUMN($E$1),FALSE)/(LEN(VLOOKUP($D314,素材!$1:$1016,COLUMN($F$1),FALSE))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Y314">
        <f>IF(ISNUMBER(SEARCH(SUBSTITUTE(AY$1,RIGHT(AY$1,2),""),VLOOKUP($D314,素材!$1:$1016,COLUMN($F$1),FALSE))),VLOOKUP($C314,武器!$1:$998,COLUMN($O$1),FALSE)*VLOOKUP($D314,素材!$1:$1016,COLUMN($E$1),FALSE)/(LEN(VLOOKUP($D314,素材!$1:$1016,COLUMN($F$1),FALSE))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AZ314">
        <f>IF(ISNUMBER(SEARCH(SUBSTITUTE(AZ$1,RIGHT(AZ$1,2),""),VLOOKUP($D314,素材!$1:$1016,COLUMN($F$1),FALSE))),VLOOKUP($C314,武器!$1:$998,COLUMN($O$1),FALSE)*VLOOKUP($D314,素材!$1:$1016,COLUMN($E$1),FALSE)/(LEN(VLOOKUP($D314,素材!$1:$1016,COLUMN($F$1),FALSE))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BA314">
        <f>IF(ISNUMBER(SEARCH(SUBSTITUTE(BA$1,RIGHT(BA$1,2),""),VLOOKUP($D314,素材!$1:$1016,COLUMN($F$1),FALSE))),VLOOKUP($C314,武器!$1:$998,COLUMN($O$1),FALSE)*VLOOKUP($D314,素材!$1:$1016,COLUMN($E$1),FALSE)/(LEN(VLOOKUP($D314,素材!$1:$1016,COLUMN($F$1),FALSE))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BB314">
        <f>IF(ISNUMBER(SEARCH(SUBSTITUTE(BB$1,RIGHT(BB$1,2),""),VLOOKUP($D314,素材!$1:$1016,COLUMN($F$1),FALSE))),VLOOKUP($C314,武器!$1:$998,COLUMN($O$1),FALSE)*VLOOKUP($D314,素材!$1:$1016,COLUMN($E$1),FALSE)/(LEN(VLOOKUP($D314,素材!$1:$1016,COLUMN($F$1),FALSE))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BC314">
        <f>IF(ISNUMBER(SEARCH(SUBSTITUTE(BC$1,RIGHT(BC$1,2),""),VLOOKUP($D314,素材!$1:$1016,COLUMN($F$1),FALSE))),VLOOKUP($C314,武器!$1:$998,COLUMN($O$1),FALSE)*VLOOKUP($D314,素材!$1:$1016,COLUMN($E$1),FALSE)/(LEN(VLOOKUP($D314,素材!$1:$1016,COLUMN($F$1),FALSE))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BD314">
        <f>IF(ISNUMBER(SEARCH(SUBSTITUTE(BD$1,RIGHT(BD$1,2),""),VLOOKUP($D314,素材!$1:$1016,COLUMN($F$1),FALSE))),VLOOKUP($C314,武器!$1:$998,COLUMN($O$1),FALSE)*VLOOKUP($D314,素材!$1:$1016,COLUMN($E$1),FALSE)/(LEN(VLOOKUP($D314,素材!$1:$1016,COLUMN($F$1),FALSE))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BE314">
        <f>IF(ISNUMBER(SEARCH(SUBSTITUTE(BE$1,RIGHT(BE$1,2),""),VLOOKUP($D314,素材!$1:$1016,COLUMN($F$1),FALSE))),VLOOKUP($C314,武器!$1:$998,COLUMN($O$1),FALSE)*VLOOKUP($D314,素材!$1:$1016,COLUMN($E$1),FALSE)/(LEN(VLOOKUP($D314,素材!$1:$1016,COLUMN($F$1),FALSE))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BF314">
        <f>IF(ISNUMBER(SEARCH(SUBSTITUTE(BF$1,RIGHT(BF$1,2),""),VLOOKUP($D314,素材!$1:$1016,COLUMN($F$1),FALSE))),VLOOKUP($C314,武器!$1:$998,COLUMN($O$1),FALSE)*VLOOKUP($D314,素材!$1:$1016,COLUMN($E$1),FALSE)/(LEN(VLOOKUP($D314,素材!$1:$1016,COLUMN($F$1),FALSE)) - LEN(SUBSTITUTE(VLOOKUP($D314,素材!$1:$1016,COLUMN($F$1),FALSE), "・", 0)) + 1), 0)</f>
        <v>0</v>
      </c>
      <c r="CM314">
        <f t="shared" si="36"/>
        <v>0</v>
      </c>
      <c r="CN314" s="22" t="str">
        <f>IF(E314="武器",IF(J314-1&gt;SUM(G314:I314),"盾",IF(MAX(G314:I314)=G314,"切断",IF(MAX(G314:I314)=H314,"貫通",IF(MAX(G314:I314)=I314,"打撃","射撃")))),E314)&amp;".webp"</f>
        <v>.webp</v>
      </c>
      <c r="CO314" t="str">
        <f>IFERROR(VLOOKUP($C314,武器!$1:$998,COLUMN(V$1),FALSE)*VLOOKUP($D314,素材!$1:$1016,COLUMN(N$1),FALSE)+IF(CJ314="",0,VLOOKUP($CJ314,装強!$1:$1008,COLUMN($CL$1),FALSE)),"")</f>
        <v/>
      </c>
      <c r="CP314" t="e">
        <f>VLOOKUP(D314,素材!$A:$O,COLUMN(素材!O$1),FALSE)</f>
        <v>#N/A</v>
      </c>
      <c r="CQ314" t="e">
        <f>VLOOKUP(C314,武器!$A:$W,COLUMN(武器!W$1),FALSE)</f>
        <v>#N/A</v>
      </c>
      <c r="CS314" t="str">
        <f t="shared" si="37"/>
        <v>e_314</v>
      </c>
      <c r="CT314" t="e">
        <f t="shared" si="38"/>
        <v>#VALUE!</v>
      </c>
    </row>
    <row r="315" spans="1:98" hidden="1" outlineLevel="1" x14ac:dyDescent="0.4">
      <c r="A315" t="str">
        <f>IF(CJ315="",D315&amp;"の"&amp;C315,CJ315&amp;"の"&amp;C315)</f>
        <v>の</v>
      </c>
      <c r="B315" t="str">
        <f>IFERROR(IF(CJ315="",VLOOKUP($D315,素材!$1:$1016,COLUMN($B$1),FALSE)&amp;"・"&amp;VLOOKUP($C315,武器!$1:$998,COLUMN(B$1),FALSE),VLOOKUP($CJ315,装強!$1:$1008,COLUMN($B$1),FALSE)&amp;"・"&amp;VLOOKUP($C315,武器!$1:$998,COLUMN(B$1),FALSE)),"")</f>
        <v/>
      </c>
      <c r="C315" s="24"/>
      <c r="D315" s="24"/>
      <c r="E315" t="str">
        <f>IFERROR(VLOOKUP(C315,武器!$1:$998,COLUMN(C$1),FALSE),"")</f>
        <v/>
      </c>
      <c r="F315" t="str">
        <f>IFERROR(ROUNDDOWN((VLOOKUP($C315,武器!$1:$998,COLUMN(D$1),FALSE)+IFERROR(VLOOKUP($CJ315,装強!$1:$999,COLUMN(F$1),FALSE),0))*VLOOKUP($D315,素材!$1:$1016,COLUMN(D$1),FALSE),0),"")</f>
        <v/>
      </c>
      <c r="G315" t="str">
        <f>IFERROR(ROUNDDOWN((VLOOKUP($C315,武器!$1:$998,COLUMN(E$1),FALSE)+IFERROR(VLOOKUP($CJ315,装強!$1:$999,COLUMN(G$1),FALSE),0))*VLOOKUP($D315,素材!$1:$1016,COLUMN($E$1),FALSE),0),"")</f>
        <v/>
      </c>
      <c r="H315" t="str">
        <f>IFERROR(ROUNDDOWN((VLOOKUP($C315,武器!$1:$998,COLUMN(F$1),FALSE)+IFERROR(VLOOKUP($CJ315,装強!$1:$999,COLUMN(H$1),FALSE),0))*VLOOKUP($D315,素材!$1:$1016,COLUMN($E$1),FALSE),0),"")</f>
        <v/>
      </c>
      <c r="I315" t="str">
        <f>IFERROR(ROUNDDOWN((VLOOKUP($C315,武器!$1:$998,COLUMN(G$1),FALSE)+IFERROR(VLOOKUP($CJ315,装強!$1:$999,COLUMN(I$1),FALSE),0))*VLOOKUP($D315,素材!$1:$1016,COLUMN($E$1),FALSE),0),"")</f>
        <v/>
      </c>
      <c r="J315" t="str">
        <f>IFERROR(ROUNDDOWN((VLOOKUP($C315,武器!$1:$998,COLUMN(H$1),FALSE)+IFERROR(VLOOKUP($CJ315,装強!$1:$999,COLUMN(J$1),FALSE),0))*VLOOKUP($D315,素材!$1:$1016,COLUMN($E$1),FALSE),0),"")</f>
        <v/>
      </c>
      <c r="K315" t="str">
        <f>IFERROR(ROUNDDOWN((VLOOKUP($C315,武器!$1:$998,COLUMN(I$1),FALSE)+IFERROR(VLOOKUP($CJ315,装強!$1:$999,COLUMN(K$1),FALSE),0))*VLOOKUP($D315,素材!$1:$1016,COLUMN($E$1),FALSE),0),"")</f>
        <v/>
      </c>
      <c r="L315" t="str">
        <f>IFERROR(VLOOKUP($D315,素材!$1:$1016,COLUMN($F$1),FALSE),"")</f>
        <v/>
      </c>
      <c r="M315" t="str">
        <f>IFERROR(VLOOKUP($C315,武器!$1:$998,COLUMN(AA$1),FALSE)*VLOOKUP($D315,素材!$1:$1016,COLUMN($G$1),FALSE),"")</f>
        <v/>
      </c>
      <c r="N315" t="str">
        <f>IFERROR(VLOOKUP($C315,武器!$1:$998,COLUMN(I$1),FALSE),"")</f>
        <v/>
      </c>
      <c r="O315" s="23" t="str">
        <f>IFERROR((VLOOKUP($C315,武器!$1:$998,COLUMN(K$1),FALSE)+VLOOKUP($D315,素材!$1:$1016,COLUMN(H$1),FALSE))*100+IFERROR(VLOOKUP($CJ315,装強!$1:$999,COLUMN(O$1),FALSE),0),"")</f>
        <v/>
      </c>
      <c r="P315" s="23" t="str">
        <f>IFERROR((VLOOKUP($C315,武器!$1:$998,COLUMN(L$1),FALSE)+VLOOKUP($D315,素材!$1:$1016,COLUMN(I$1),FALSE))*100+IFERROR(VLOOKUP($CJ315,装強!$1:$999,COLUMN(P$1),FALSE),0),"")</f>
        <v/>
      </c>
      <c r="Q315" t="str">
        <f>IFERROR(ROUNDUP(VLOOKUP($C315,武器!$1:$998,COLUMN(M$1),FALSE)*(VLOOKUP($D315,素材!$1:$1002,COLUMN(D$1),FALSE)/100),1),"")</f>
        <v/>
      </c>
      <c r="R315" t="str">
        <f>IFERROR(ROUNDUP(VLOOKUP($C315,武器!$1:$998,COLUMN(N$1),FALSE)*(VLOOKUP($D315,素材!$1:$1002,COLUMN(D$1),FALSE)/100),1),"")</f>
        <v/>
      </c>
      <c r="S315" t="str">
        <f>IFERROR(VLOOKUP($C315,武器!$1:$998,COLUMN(P$1),FALSE),"")</f>
        <v/>
      </c>
      <c r="T315" t="str">
        <f>IFERROR(VLOOKUP($C315,武器!$1:$998,COLUMN(Q$1),FALSE),"")</f>
        <v/>
      </c>
      <c r="U315" t="str">
        <f>IFERROR(VLOOKUP($C315,武器!$1:$998,COLUMN(R$1),FALSE),"")</f>
        <v/>
      </c>
      <c r="V315" t="str">
        <f>IFERROR(VLOOKUP($C315,武器!$1:$998,COLUMN(Q$1),FALSE),"")</f>
        <v/>
      </c>
      <c r="W315" t="str">
        <f>IFERROR(VLOOKUP($C315,武器!$1:$998,COLUMN(T$1),FALSE),"")</f>
        <v/>
      </c>
      <c r="Y315" t="str">
        <f>IFERROR(VLOOKUP($C315,武器!$1:$998,COLUMN(U$1),FALSE),"")</f>
        <v/>
      </c>
      <c r="Z315" t="str">
        <f>IFERROR(ROUNDUP(VLOOKUP($C315,武器!$1:$998,COLUMN(O$1),FALSE)*VLOOKUP($D315,素材!$1:$1016,COLUMN(E$1),FALSE),1),"")</f>
        <v/>
      </c>
      <c r="AA315">
        <f>IF(ISNUMBER(SEARCH(SUBSTITUTE(AA$1,RIGHT(AA$1,2),""),VLOOKUP($D315,素材!$1:$1016,COLUMN($F$1),FALSE))),VLOOKUP($C315,武器!$1:$998,COLUMN($O$1),FALSE)*VLOOKUP($D315,素材!$1:$1016,COLUMN($E$1),FALSE)/(LEN(VLOOKUP($D315,素材!$1:$1016,COLUMN($F$1),FALSE))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B315">
        <f>IF(ISNUMBER(SEARCH(SUBSTITUTE(AB$1,RIGHT(AB$1,2),""),VLOOKUP($D315,素材!$1:$1016,COLUMN($F$1),FALSE))),VLOOKUP($C315,武器!$1:$998,COLUMN($O$1),FALSE)*VLOOKUP($D315,素材!$1:$1016,COLUMN($E$1),FALSE)/(LEN(VLOOKUP($D315,素材!$1:$1016,COLUMN($F$1),FALSE))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C315">
        <f>IF(ISNUMBER(SEARCH(SUBSTITUTE(AC$1,RIGHT(AC$1,2),""),VLOOKUP($D315,素材!$1:$1016,COLUMN($F$1),FALSE))),VLOOKUP($C315,武器!$1:$998,COLUMN($O$1),FALSE)*VLOOKUP($D315,素材!$1:$1016,COLUMN($E$1),FALSE)/(LEN(VLOOKUP($D315,素材!$1:$1016,COLUMN($F$1),FALSE))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D315">
        <f>IF(ISNUMBER(SEARCH(SUBSTITUTE(AD$1,RIGHT(AD$1,2),""),VLOOKUP($D315,素材!$1:$1016,COLUMN($F$1),FALSE))),VLOOKUP($C315,武器!$1:$998,COLUMN($O$1),FALSE)*VLOOKUP($D315,素材!$1:$1016,COLUMN($E$1),FALSE)/(LEN(VLOOKUP($D315,素材!$1:$1016,COLUMN($F$1),FALSE))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E315">
        <f>IF(ISNUMBER(SEARCH(SUBSTITUTE(AE$1,RIGHT(AE$1,2),""),VLOOKUP($D315,素材!$1:$1016,COLUMN($F$1),FALSE))),VLOOKUP($C315,武器!$1:$998,COLUMN($O$1),FALSE)*VLOOKUP($D315,素材!$1:$1016,COLUMN($E$1),FALSE)/(LEN(VLOOKUP($D315,素材!$1:$1016,COLUMN($F$1),FALSE))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F315">
        <f>IF(ISNUMBER(SEARCH(SUBSTITUTE(AF$1,RIGHT(AF$1,2),""),VLOOKUP($D315,素材!$1:$1016,COLUMN($F$1),FALSE))),VLOOKUP($C315,武器!$1:$998,COLUMN($O$1),FALSE)*VLOOKUP($D315,素材!$1:$1016,COLUMN($E$1),FALSE)/(LEN(VLOOKUP($D315,素材!$1:$1016,COLUMN($F$1),FALSE))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G315">
        <f>IF(ISNUMBER(SEARCH(SUBSTITUTE(AG$1,RIGHT(AG$1,2),""),VLOOKUP($D315,素材!$1:$1016,COLUMN($F$1),FALSE))),VLOOKUP($C315,武器!$1:$998,COLUMN($O$1),FALSE)*VLOOKUP($D315,素材!$1:$1016,COLUMN($E$1),FALSE)/(LEN(VLOOKUP($D315,素材!$1:$1016,COLUMN($F$1),FALSE))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H315">
        <f>IF(ISNUMBER(SEARCH(SUBSTITUTE(AH$1,RIGHT(AH$1,2),""),VLOOKUP($D315,素材!$1:$1016,COLUMN($F$1),FALSE))),VLOOKUP($C315,武器!$1:$998,COLUMN($O$1),FALSE)*VLOOKUP($D315,素材!$1:$1016,COLUMN($E$1),FALSE)/(LEN(VLOOKUP($D315,素材!$1:$1016,COLUMN($F$1),FALSE))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I315">
        <f>IF(ISNUMBER(SEARCH(SUBSTITUTE(AI$1,RIGHT(AI$1,2),""),VLOOKUP($D315,素材!$1:$1016,COLUMN($F$1),FALSE))),VLOOKUP($C315,武器!$1:$998,COLUMN($O$1),FALSE)*VLOOKUP($D315,素材!$1:$1016,COLUMN($E$1),FALSE)/(LEN(VLOOKUP($D315,素材!$1:$1016,COLUMN($F$1),FALSE))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J315">
        <f>IF(ISNUMBER(SEARCH(SUBSTITUTE(AJ$1,RIGHT(AJ$1,2),""),VLOOKUP($D315,素材!$1:$1016,COLUMN($F$1),FALSE))),VLOOKUP($C315,武器!$1:$998,COLUMN($O$1),FALSE)*VLOOKUP($D315,素材!$1:$1016,COLUMN($E$1),FALSE)/(LEN(VLOOKUP($D315,素材!$1:$1016,COLUMN($F$1),FALSE))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K315">
        <f>IF(ISNUMBER(SEARCH(SUBSTITUTE(AK$1,RIGHT(AK$1,2),""),VLOOKUP($D315,素材!$1:$1016,COLUMN($F$1),FALSE))),VLOOKUP($C315,武器!$1:$998,COLUMN($O$1),FALSE)*VLOOKUP($D315,素材!$1:$1016,COLUMN($E$1),FALSE)/(LEN(VLOOKUP($D315,素材!$1:$1016,COLUMN($F$1),FALSE))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L315">
        <f>IF(ISNUMBER(SEARCH(SUBSTITUTE(AL$1,RIGHT(AL$1,2),""),VLOOKUP($D315,素材!$1:$1016,COLUMN($F$1),FALSE))),VLOOKUP($C315,武器!$1:$998,COLUMN($O$1),FALSE)*VLOOKUP($D315,素材!$1:$1016,COLUMN($E$1),FALSE)/(LEN(VLOOKUP($D315,素材!$1:$1016,COLUMN($F$1),FALSE))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M315">
        <f>IF(ISNUMBER(SEARCH(SUBSTITUTE(AM$1,RIGHT(AM$1,2),""),VLOOKUP($D315,素材!$1:$1016,COLUMN($F$1),FALSE))),VLOOKUP($C315,武器!$1:$998,COLUMN($O$1),FALSE)*VLOOKUP($D315,素材!$1:$1016,COLUMN($E$1),FALSE)/(LEN(VLOOKUP($D315,素材!$1:$1016,COLUMN($F$1),FALSE))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N315">
        <f>IF(ISNUMBER(SEARCH(SUBSTITUTE(AN$1,RIGHT(AN$1,2),""),VLOOKUP($D315,素材!$1:$1016,COLUMN($F$1),FALSE))),VLOOKUP($C315,武器!$1:$998,COLUMN($O$1),FALSE)*VLOOKUP($D315,素材!$1:$1016,COLUMN($E$1),FALSE)/(LEN(VLOOKUP($D315,素材!$1:$1016,COLUMN($F$1),FALSE))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O315">
        <f>IF(ISNUMBER(SEARCH(SUBSTITUTE(AO$1,RIGHT(AO$1,2),""),VLOOKUP($D315,素材!$1:$1016,COLUMN($F$1),FALSE))),VLOOKUP($C315,武器!$1:$998,COLUMN($O$1),FALSE)*VLOOKUP($D315,素材!$1:$1016,COLUMN($E$1),FALSE)/(LEN(VLOOKUP($D315,素材!$1:$1016,COLUMN($F$1),FALSE))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P315">
        <f>IF(ISNUMBER(SEARCH(SUBSTITUTE(AP$1,RIGHT(AP$1,2),""),VLOOKUP($D315,素材!$1:$1016,COLUMN($F$1),FALSE))),VLOOKUP($C315,武器!$1:$998,COLUMN($O$1),FALSE)*VLOOKUP($D315,素材!$1:$1016,COLUMN($E$1),FALSE)/(LEN(VLOOKUP($D315,素材!$1:$1016,COLUMN($F$1),FALSE))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Q315">
        <f>IF(ISNUMBER(SEARCH(SUBSTITUTE(AQ$1,RIGHT(AQ$1,2),""),VLOOKUP($D315,素材!$1:$1016,COLUMN($F$1),FALSE))),VLOOKUP($C315,武器!$1:$998,COLUMN($O$1),FALSE)*VLOOKUP($D315,素材!$1:$1016,COLUMN($E$1),FALSE)/(LEN(VLOOKUP($D315,素材!$1:$1016,COLUMN($F$1),FALSE))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R315">
        <f>IF(ISNUMBER(SEARCH(SUBSTITUTE(AR$1,RIGHT(AR$1,2),""),VLOOKUP($D315,素材!$1:$1016,COLUMN($F$1),FALSE))),VLOOKUP($C315,武器!$1:$998,COLUMN($O$1),FALSE)*VLOOKUP($D315,素材!$1:$1016,COLUMN($E$1),FALSE)/(LEN(VLOOKUP($D315,素材!$1:$1016,COLUMN($F$1),FALSE))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S315">
        <f>IF(ISNUMBER(SEARCH(SUBSTITUTE(AS$1,RIGHT(AS$1,2),""),VLOOKUP($D315,素材!$1:$1016,COLUMN($F$1),FALSE))),VLOOKUP($C315,武器!$1:$998,COLUMN($O$1),FALSE)*VLOOKUP($D315,素材!$1:$1016,COLUMN($E$1),FALSE)/(LEN(VLOOKUP($D315,素材!$1:$1016,COLUMN($F$1),FALSE))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T315">
        <f>IF(ISNUMBER(SEARCH(SUBSTITUTE(AT$1,RIGHT(AT$1,2),""),VLOOKUP($D315,素材!$1:$1016,COLUMN($F$1),FALSE))),VLOOKUP($C315,武器!$1:$998,COLUMN($O$1),FALSE)*VLOOKUP($D315,素材!$1:$1016,COLUMN($E$1),FALSE)/(LEN(VLOOKUP($D315,素材!$1:$1016,COLUMN($F$1),FALSE))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U315">
        <f>IF(ISNUMBER(SEARCH(SUBSTITUTE(AU$1,RIGHT(AU$1,2),""),VLOOKUP($D315,素材!$1:$1016,COLUMN($F$1),FALSE))),VLOOKUP($C315,武器!$1:$998,COLUMN($O$1),FALSE)*VLOOKUP($D315,素材!$1:$1016,COLUMN($E$1),FALSE)/(LEN(VLOOKUP($D315,素材!$1:$1016,COLUMN($F$1),FALSE))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V315">
        <f>IF(ISNUMBER(SEARCH(SUBSTITUTE(AV$1,RIGHT(AV$1,2),""),VLOOKUP($D315,素材!$1:$1016,COLUMN($F$1),FALSE))),VLOOKUP($C315,武器!$1:$998,COLUMN($O$1),FALSE)*VLOOKUP($D315,素材!$1:$1016,COLUMN($E$1),FALSE)/(LEN(VLOOKUP($D315,素材!$1:$1016,COLUMN($F$1),FALSE))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W315">
        <f>IF(ISNUMBER(SEARCH(SUBSTITUTE(AW$1,RIGHT(AW$1,2),""),VLOOKUP($D315,素材!$1:$1016,COLUMN($F$1),FALSE))),VLOOKUP($C315,武器!$1:$998,COLUMN($O$1),FALSE)*VLOOKUP($D315,素材!$1:$1016,COLUMN($E$1),FALSE)/(LEN(VLOOKUP($D315,素材!$1:$1016,COLUMN($F$1),FALSE))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X315">
        <f>IF(ISNUMBER(SEARCH(SUBSTITUTE(AX$1,RIGHT(AX$1,2),""),VLOOKUP($D315,素材!$1:$1016,COLUMN($F$1),FALSE))),VLOOKUP($C315,武器!$1:$998,COLUMN($O$1),FALSE)*VLOOKUP($D315,素材!$1:$1016,COLUMN($E$1),FALSE)/(LEN(VLOOKUP($D315,素材!$1:$1016,COLUMN($F$1),FALSE))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Y315">
        <f>IF(ISNUMBER(SEARCH(SUBSTITUTE(AY$1,RIGHT(AY$1,2),""),VLOOKUP($D315,素材!$1:$1016,COLUMN($F$1),FALSE))),VLOOKUP($C315,武器!$1:$998,COLUMN($O$1),FALSE)*VLOOKUP($D315,素材!$1:$1016,COLUMN($E$1),FALSE)/(LEN(VLOOKUP($D315,素材!$1:$1016,COLUMN($F$1),FALSE))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AZ315">
        <f>IF(ISNUMBER(SEARCH(SUBSTITUTE(AZ$1,RIGHT(AZ$1,2),""),VLOOKUP($D315,素材!$1:$1016,COLUMN($F$1),FALSE))),VLOOKUP($C315,武器!$1:$998,COLUMN($O$1),FALSE)*VLOOKUP($D315,素材!$1:$1016,COLUMN($E$1),FALSE)/(LEN(VLOOKUP($D315,素材!$1:$1016,COLUMN($F$1),FALSE))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BA315">
        <f>IF(ISNUMBER(SEARCH(SUBSTITUTE(BA$1,RIGHT(BA$1,2),""),VLOOKUP($D315,素材!$1:$1016,COLUMN($F$1),FALSE))),VLOOKUP($C315,武器!$1:$998,COLUMN($O$1),FALSE)*VLOOKUP($D315,素材!$1:$1016,COLUMN($E$1),FALSE)/(LEN(VLOOKUP($D315,素材!$1:$1016,COLUMN($F$1),FALSE))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BB315">
        <f>IF(ISNUMBER(SEARCH(SUBSTITUTE(BB$1,RIGHT(BB$1,2),""),VLOOKUP($D315,素材!$1:$1016,COLUMN($F$1),FALSE))),VLOOKUP($C315,武器!$1:$998,COLUMN($O$1),FALSE)*VLOOKUP($D315,素材!$1:$1016,COLUMN($E$1),FALSE)/(LEN(VLOOKUP($D315,素材!$1:$1016,COLUMN($F$1),FALSE))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BC315">
        <f>IF(ISNUMBER(SEARCH(SUBSTITUTE(BC$1,RIGHT(BC$1,2),""),VLOOKUP($D315,素材!$1:$1016,COLUMN($F$1),FALSE))),VLOOKUP($C315,武器!$1:$998,COLUMN($O$1),FALSE)*VLOOKUP($D315,素材!$1:$1016,COLUMN($E$1),FALSE)/(LEN(VLOOKUP($D315,素材!$1:$1016,COLUMN($F$1),FALSE))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BD315">
        <f>IF(ISNUMBER(SEARCH(SUBSTITUTE(BD$1,RIGHT(BD$1,2),""),VLOOKUP($D315,素材!$1:$1016,COLUMN($F$1),FALSE))),VLOOKUP($C315,武器!$1:$998,COLUMN($O$1),FALSE)*VLOOKUP($D315,素材!$1:$1016,COLUMN($E$1),FALSE)/(LEN(VLOOKUP($D315,素材!$1:$1016,COLUMN($F$1),FALSE))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BE315">
        <f>IF(ISNUMBER(SEARCH(SUBSTITUTE(BE$1,RIGHT(BE$1,2),""),VLOOKUP($D315,素材!$1:$1016,COLUMN($F$1),FALSE))),VLOOKUP($C315,武器!$1:$998,COLUMN($O$1),FALSE)*VLOOKUP($D315,素材!$1:$1016,COLUMN($E$1),FALSE)/(LEN(VLOOKUP($D315,素材!$1:$1016,COLUMN($F$1),FALSE))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BF315">
        <f>IF(ISNUMBER(SEARCH(SUBSTITUTE(BF$1,RIGHT(BF$1,2),""),VLOOKUP($D315,素材!$1:$1016,COLUMN($F$1),FALSE))),VLOOKUP($C315,武器!$1:$998,COLUMN($O$1),FALSE)*VLOOKUP($D315,素材!$1:$1016,COLUMN($E$1),FALSE)/(LEN(VLOOKUP($D315,素材!$1:$1016,COLUMN($F$1),FALSE)) - LEN(SUBSTITUTE(VLOOKUP($D315,素材!$1:$1016,COLUMN($F$1),FALSE), "・", 0)) + 1), 0)</f>
        <v>0</v>
      </c>
      <c r="CM315">
        <f t="shared" si="36"/>
        <v>0</v>
      </c>
      <c r="CN315" s="22" t="str">
        <f>IF(E315="武器",IF(J315-1&gt;SUM(G315:I315),"盾",IF(MAX(G315:I315)=G315,"切断",IF(MAX(G315:I315)=H315,"貫通",IF(MAX(G315:I315)=I315,"打撃","射撃")))),E315)&amp;".webp"</f>
        <v>.webp</v>
      </c>
      <c r="CO315" t="str">
        <f>IFERROR(VLOOKUP($C315,武器!$1:$998,COLUMN(V$1),FALSE)*VLOOKUP($D315,素材!$1:$1016,COLUMN(N$1),FALSE)+IF(CJ315="",0,VLOOKUP($CJ315,装強!$1:$1008,COLUMN($CL$1),FALSE)),"")</f>
        <v/>
      </c>
      <c r="CP315" t="e">
        <f>VLOOKUP(D315,素材!$A:$O,COLUMN(素材!O$1),FALSE)</f>
        <v>#N/A</v>
      </c>
      <c r="CQ315" t="e">
        <f>VLOOKUP(C315,武器!$A:$W,COLUMN(武器!W$1),FALSE)</f>
        <v>#N/A</v>
      </c>
      <c r="CS315" t="str">
        <f t="shared" si="37"/>
        <v>e_315</v>
      </c>
      <c r="CT315" t="e">
        <f t="shared" si="38"/>
        <v>#VALUE!</v>
      </c>
    </row>
    <row r="316" spans="1:98" hidden="1" outlineLevel="1" x14ac:dyDescent="0.4">
      <c r="A316" t="str">
        <f>IF(CJ316="",D316&amp;"の"&amp;C316,CJ316&amp;"の"&amp;C316)</f>
        <v>の</v>
      </c>
      <c r="B316" t="str">
        <f>IFERROR(IF(CJ316="",VLOOKUP($D316,素材!$1:$1016,COLUMN($B$1),FALSE)&amp;"・"&amp;VLOOKUP($C316,武器!$1:$998,COLUMN(B$1),FALSE),VLOOKUP($CJ316,装強!$1:$1008,COLUMN($B$1),FALSE)&amp;"・"&amp;VLOOKUP($C316,武器!$1:$998,COLUMN(B$1),FALSE)),"")</f>
        <v/>
      </c>
      <c r="C316" s="24"/>
      <c r="D316" s="24"/>
      <c r="E316" t="str">
        <f>IFERROR(VLOOKUP(C316,武器!$1:$998,COLUMN(C$1),FALSE),"")</f>
        <v/>
      </c>
      <c r="F316" t="str">
        <f>IFERROR(ROUNDDOWN((VLOOKUP($C316,武器!$1:$998,COLUMN(D$1),FALSE)+IFERROR(VLOOKUP($CJ316,装強!$1:$999,COLUMN(F$1),FALSE),0))*VLOOKUP($D316,素材!$1:$1016,COLUMN(D$1),FALSE),0),"")</f>
        <v/>
      </c>
      <c r="G316" t="str">
        <f>IFERROR(ROUNDDOWN((VLOOKUP($C316,武器!$1:$998,COLUMN(E$1),FALSE)+IFERROR(VLOOKUP($CJ316,装強!$1:$999,COLUMN(G$1),FALSE),0))*VLOOKUP($D316,素材!$1:$1016,COLUMN($E$1),FALSE),0),"")</f>
        <v/>
      </c>
      <c r="H316" t="str">
        <f>IFERROR(ROUNDDOWN((VLOOKUP($C316,武器!$1:$998,COLUMN(F$1),FALSE)+IFERROR(VLOOKUP($CJ316,装強!$1:$999,COLUMN(H$1),FALSE),0))*VLOOKUP($D316,素材!$1:$1016,COLUMN($E$1),FALSE),0),"")</f>
        <v/>
      </c>
      <c r="I316" t="str">
        <f>IFERROR(ROUNDDOWN((VLOOKUP($C316,武器!$1:$998,COLUMN(G$1),FALSE)+IFERROR(VLOOKUP($CJ316,装強!$1:$999,COLUMN(I$1),FALSE),0))*VLOOKUP($D316,素材!$1:$1016,COLUMN($E$1),FALSE),0),"")</f>
        <v/>
      </c>
      <c r="J316" t="str">
        <f>IFERROR(ROUNDDOWN((VLOOKUP($C316,武器!$1:$998,COLUMN(H$1),FALSE)+IFERROR(VLOOKUP($CJ316,装強!$1:$999,COLUMN(J$1),FALSE),0))*VLOOKUP($D316,素材!$1:$1016,COLUMN($E$1),FALSE),0),"")</f>
        <v/>
      </c>
      <c r="K316" t="str">
        <f>IFERROR(ROUNDDOWN((VLOOKUP($C316,武器!$1:$998,COLUMN(I$1),FALSE)+IFERROR(VLOOKUP($CJ316,装強!$1:$999,COLUMN(K$1),FALSE),0))*VLOOKUP($D316,素材!$1:$1016,COLUMN($E$1),FALSE),0),"")</f>
        <v/>
      </c>
      <c r="L316" t="str">
        <f>IFERROR(VLOOKUP($D316,素材!$1:$1016,COLUMN($F$1),FALSE),"")</f>
        <v/>
      </c>
      <c r="M316" t="str">
        <f>IFERROR(VLOOKUP($C316,武器!$1:$998,COLUMN(AA$1),FALSE)*VLOOKUP($D316,素材!$1:$1016,COLUMN($G$1),FALSE),"")</f>
        <v/>
      </c>
      <c r="N316" t="str">
        <f>IFERROR(VLOOKUP($C316,武器!$1:$998,COLUMN(I$1),FALSE),"")</f>
        <v/>
      </c>
      <c r="O316" s="23" t="str">
        <f>IFERROR((VLOOKUP($C316,武器!$1:$998,COLUMN(K$1),FALSE)+VLOOKUP($D316,素材!$1:$1016,COLUMN(H$1),FALSE))*100+IFERROR(VLOOKUP($CJ316,装強!$1:$999,COLUMN(O$1),FALSE),0),"")</f>
        <v/>
      </c>
      <c r="P316" s="23" t="str">
        <f>IFERROR((VLOOKUP($C316,武器!$1:$998,COLUMN(L$1),FALSE)+VLOOKUP($D316,素材!$1:$1016,COLUMN(I$1),FALSE))*100+IFERROR(VLOOKUP($CJ316,装強!$1:$999,COLUMN(P$1),FALSE),0),"")</f>
        <v/>
      </c>
      <c r="Q316" t="str">
        <f>IFERROR(ROUNDUP(VLOOKUP($C316,武器!$1:$998,COLUMN(M$1),FALSE)*(VLOOKUP($D316,素材!$1:$1002,COLUMN(D$1),FALSE)/100),1),"")</f>
        <v/>
      </c>
      <c r="R316" t="str">
        <f>IFERROR(ROUNDUP(VLOOKUP($C316,武器!$1:$998,COLUMN(N$1),FALSE)*(VLOOKUP($D316,素材!$1:$1002,COLUMN(D$1),FALSE)/100),1),"")</f>
        <v/>
      </c>
      <c r="S316" t="str">
        <f>IFERROR(VLOOKUP($C316,武器!$1:$998,COLUMN(P$1),FALSE),"")</f>
        <v/>
      </c>
      <c r="T316" t="str">
        <f>IFERROR(VLOOKUP($C316,武器!$1:$998,COLUMN(Q$1),FALSE),"")</f>
        <v/>
      </c>
      <c r="U316" t="str">
        <f>IFERROR(VLOOKUP($C316,武器!$1:$998,COLUMN(R$1),FALSE),"")</f>
        <v/>
      </c>
      <c r="V316" t="str">
        <f>IFERROR(VLOOKUP($C316,武器!$1:$998,COLUMN(Q$1),FALSE),"")</f>
        <v/>
      </c>
      <c r="W316" t="str">
        <f>IFERROR(VLOOKUP($C316,武器!$1:$998,COLUMN(T$1),FALSE),"")</f>
        <v/>
      </c>
      <c r="Y316" t="str">
        <f>IFERROR(VLOOKUP($C316,武器!$1:$998,COLUMN(U$1),FALSE),"")</f>
        <v/>
      </c>
      <c r="Z316" t="str">
        <f>IFERROR(ROUNDUP(VLOOKUP($C316,武器!$1:$998,COLUMN(O$1),FALSE)*VLOOKUP($D316,素材!$1:$1016,COLUMN(E$1),FALSE),1),"")</f>
        <v/>
      </c>
      <c r="AA316">
        <f>IF(ISNUMBER(SEARCH(SUBSTITUTE(AA$1,RIGHT(AA$1,2),""),VLOOKUP($D316,素材!$1:$1016,COLUMN($F$1),FALSE))),VLOOKUP($C316,武器!$1:$998,COLUMN($O$1),FALSE)*VLOOKUP($D316,素材!$1:$1016,COLUMN($E$1),FALSE)/(LEN(VLOOKUP($D316,素材!$1:$1016,COLUMN($F$1),FALSE))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B316">
        <f>IF(ISNUMBER(SEARCH(SUBSTITUTE(AB$1,RIGHT(AB$1,2),""),VLOOKUP($D316,素材!$1:$1016,COLUMN($F$1),FALSE))),VLOOKUP($C316,武器!$1:$998,COLUMN($O$1),FALSE)*VLOOKUP($D316,素材!$1:$1016,COLUMN($E$1),FALSE)/(LEN(VLOOKUP($D316,素材!$1:$1016,COLUMN($F$1),FALSE))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C316">
        <f>IF(ISNUMBER(SEARCH(SUBSTITUTE(AC$1,RIGHT(AC$1,2),""),VLOOKUP($D316,素材!$1:$1016,COLUMN($F$1),FALSE))),VLOOKUP($C316,武器!$1:$998,COLUMN($O$1),FALSE)*VLOOKUP($D316,素材!$1:$1016,COLUMN($E$1),FALSE)/(LEN(VLOOKUP($D316,素材!$1:$1016,COLUMN($F$1),FALSE))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D316">
        <f>IF(ISNUMBER(SEARCH(SUBSTITUTE(AD$1,RIGHT(AD$1,2),""),VLOOKUP($D316,素材!$1:$1016,COLUMN($F$1),FALSE))),VLOOKUP($C316,武器!$1:$998,COLUMN($O$1),FALSE)*VLOOKUP($D316,素材!$1:$1016,COLUMN($E$1),FALSE)/(LEN(VLOOKUP($D316,素材!$1:$1016,COLUMN($F$1),FALSE))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E316">
        <f>IF(ISNUMBER(SEARCH(SUBSTITUTE(AE$1,RIGHT(AE$1,2),""),VLOOKUP($D316,素材!$1:$1016,COLUMN($F$1),FALSE))),VLOOKUP($C316,武器!$1:$998,COLUMN($O$1),FALSE)*VLOOKUP($D316,素材!$1:$1016,COLUMN($E$1),FALSE)/(LEN(VLOOKUP($D316,素材!$1:$1016,COLUMN($F$1),FALSE))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F316">
        <f>IF(ISNUMBER(SEARCH(SUBSTITUTE(AF$1,RIGHT(AF$1,2),""),VLOOKUP($D316,素材!$1:$1016,COLUMN($F$1),FALSE))),VLOOKUP($C316,武器!$1:$998,COLUMN($O$1),FALSE)*VLOOKUP($D316,素材!$1:$1016,COLUMN($E$1),FALSE)/(LEN(VLOOKUP($D316,素材!$1:$1016,COLUMN($F$1),FALSE))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G316">
        <f>IF(ISNUMBER(SEARCH(SUBSTITUTE(AG$1,RIGHT(AG$1,2),""),VLOOKUP($D316,素材!$1:$1016,COLUMN($F$1),FALSE))),VLOOKUP($C316,武器!$1:$998,COLUMN($O$1),FALSE)*VLOOKUP($D316,素材!$1:$1016,COLUMN($E$1),FALSE)/(LEN(VLOOKUP($D316,素材!$1:$1016,COLUMN($F$1),FALSE))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H316">
        <f>IF(ISNUMBER(SEARCH(SUBSTITUTE(AH$1,RIGHT(AH$1,2),""),VLOOKUP($D316,素材!$1:$1016,COLUMN($F$1),FALSE))),VLOOKUP($C316,武器!$1:$998,COLUMN($O$1),FALSE)*VLOOKUP($D316,素材!$1:$1016,COLUMN($E$1),FALSE)/(LEN(VLOOKUP($D316,素材!$1:$1016,COLUMN($F$1),FALSE))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I316">
        <f>IF(ISNUMBER(SEARCH(SUBSTITUTE(AI$1,RIGHT(AI$1,2),""),VLOOKUP($D316,素材!$1:$1016,COLUMN($F$1),FALSE))),VLOOKUP($C316,武器!$1:$998,COLUMN($O$1),FALSE)*VLOOKUP($D316,素材!$1:$1016,COLUMN($E$1),FALSE)/(LEN(VLOOKUP($D316,素材!$1:$1016,COLUMN($F$1),FALSE))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J316">
        <f>IF(ISNUMBER(SEARCH(SUBSTITUTE(AJ$1,RIGHT(AJ$1,2),""),VLOOKUP($D316,素材!$1:$1016,COLUMN($F$1),FALSE))),VLOOKUP($C316,武器!$1:$998,COLUMN($O$1),FALSE)*VLOOKUP($D316,素材!$1:$1016,COLUMN($E$1),FALSE)/(LEN(VLOOKUP($D316,素材!$1:$1016,COLUMN($F$1),FALSE))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K316">
        <f>IF(ISNUMBER(SEARCH(SUBSTITUTE(AK$1,RIGHT(AK$1,2),""),VLOOKUP($D316,素材!$1:$1016,COLUMN($F$1),FALSE))),VLOOKUP($C316,武器!$1:$998,COLUMN($O$1),FALSE)*VLOOKUP($D316,素材!$1:$1016,COLUMN($E$1),FALSE)/(LEN(VLOOKUP($D316,素材!$1:$1016,COLUMN($F$1),FALSE))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L316">
        <f>IF(ISNUMBER(SEARCH(SUBSTITUTE(AL$1,RIGHT(AL$1,2),""),VLOOKUP($D316,素材!$1:$1016,COLUMN($F$1),FALSE))),VLOOKUP($C316,武器!$1:$998,COLUMN($O$1),FALSE)*VLOOKUP($D316,素材!$1:$1016,COLUMN($E$1),FALSE)/(LEN(VLOOKUP($D316,素材!$1:$1016,COLUMN($F$1),FALSE))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M316">
        <f>IF(ISNUMBER(SEARCH(SUBSTITUTE(AM$1,RIGHT(AM$1,2),""),VLOOKUP($D316,素材!$1:$1016,COLUMN($F$1),FALSE))),VLOOKUP($C316,武器!$1:$998,COLUMN($O$1),FALSE)*VLOOKUP($D316,素材!$1:$1016,COLUMN($E$1),FALSE)/(LEN(VLOOKUP($D316,素材!$1:$1016,COLUMN($F$1),FALSE))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N316">
        <f>IF(ISNUMBER(SEARCH(SUBSTITUTE(AN$1,RIGHT(AN$1,2),""),VLOOKUP($D316,素材!$1:$1016,COLUMN($F$1),FALSE))),VLOOKUP($C316,武器!$1:$998,COLUMN($O$1),FALSE)*VLOOKUP($D316,素材!$1:$1016,COLUMN($E$1),FALSE)/(LEN(VLOOKUP($D316,素材!$1:$1016,COLUMN($F$1),FALSE))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O316">
        <f>IF(ISNUMBER(SEARCH(SUBSTITUTE(AO$1,RIGHT(AO$1,2),""),VLOOKUP($D316,素材!$1:$1016,COLUMN($F$1),FALSE))),VLOOKUP($C316,武器!$1:$998,COLUMN($O$1),FALSE)*VLOOKUP($D316,素材!$1:$1016,COLUMN($E$1),FALSE)/(LEN(VLOOKUP($D316,素材!$1:$1016,COLUMN($F$1),FALSE))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P316">
        <f>IF(ISNUMBER(SEARCH(SUBSTITUTE(AP$1,RIGHT(AP$1,2),""),VLOOKUP($D316,素材!$1:$1016,COLUMN($F$1),FALSE))),VLOOKUP($C316,武器!$1:$998,COLUMN($O$1),FALSE)*VLOOKUP($D316,素材!$1:$1016,COLUMN($E$1),FALSE)/(LEN(VLOOKUP($D316,素材!$1:$1016,COLUMN($F$1),FALSE))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Q316">
        <f>IF(ISNUMBER(SEARCH(SUBSTITUTE(AQ$1,RIGHT(AQ$1,2),""),VLOOKUP($D316,素材!$1:$1016,COLUMN($F$1),FALSE))),VLOOKUP($C316,武器!$1:$998,COLUMN($O$1),FALSE)*VLOOKUP($D316,素材!$1:$1016,COLUMN($E$1),FALSE)/(LEN(VLOOKUP($D316,素材!$1:$1016,COLUMN($F$1),FALSE))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R316">
        <f>IF(ISNUMBER(SEARCH(SUBSTITUTE(AR$1,RIGHT(AR$1,2),""),VLOOKUP($D316,素材!$1:$1016,COLUMN($F$1),FALSE))),VLOOKUP($C316,武器!$1:$998,COLUMN($O$1),FALSE)*VLOOKUP($D316,素材!$1:$1016,COLUMN($E$1),FALSE)/(LEN(VLOOKUP($D316,素材!$1:$1016,COLUMN($F$1),FALSE))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S316">
        <f>IF(ISNUMBER(SEARCH(SUBSTITUTE(AS$1,RIGHT(AS$1,2),""),VLOOKUP($D316,素材!$1:$1016,COLUMN($F$1),FALSE))),VLOOKUP($C316,武器!$1:$998,COLUMN($O$1),FALSE)*VLOOKUP($D316,素材!$1:$1016,COLUMN($E$1),FALSE)/(LEN(VLOOKUP($D316,素材!$1:$1016,COLUMN($F$1),FALSE))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T316">
        <f>IF(ISNUMBER(SEARCH(SUBSTITUTE(AT$1,RIGHT(AT$1,2),""),VLOOKUP($D316,素材!$1:$1016,COLUMN($F$1),FALSE))),VLOOKUP($C316,武器!$1:$998,COLUMN($O$1),FALSE)*VLOOKUP($D316,素材!$1:$1016,COLUMN($E$1),FALSE)/(LEN(VLOOKUP($D316,素材!$1:$1016,COLUMN($F$1),FALSE))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U316">
        <f>IF(ISNUMBER(SEARCH(SUBSTITUTE(AU$1,RIGHT(AU$1,2),""),VLOOKUP($D316,素材!$1:$1016,COLUMN($F$1),FALSE))),VLOOKUP($C316,武器!$1:$998,COLUMN($O$1),FALSE)*VLOOKUP($D316,素材!$1:$1016,COLUMN($E$1),FALSE)/(LEN(VLOOKUP($D316,素材!$1:$1016,COLUMN($F$1),FALSE))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V316">
        <f>IF(ISNUMBER(SEARCH(SUBSTITUTE(AV$1,RIGHT(AV$1,2),""),VLOOKUP($D316,素材!$1:$1016,COLUMN($F$1),FALSE))),VLOOKUP($C316,武器!$1:$998,COLUMN($O$1),FALSE)*VLOOKUP($D316,素材!$1:$1016,COLUMN($E$1),FALSE)/(LEN(VLOOKUP($D316,素材!$1:$1016,COLUMN($F$1),FALSE))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W316">
        <f>IF(ISNUMBER(SEARCH(SUBSTITUTE(AW$1,RIGHT(AW$1,2),""),VLOOKUP($D316,素材!$1:$1016,COLUMN($F$1),FALSE))),VLOOKUP($C316,武器!$1:$998,COLUMN($O$1),FALSE)*VLOOKUP($D316,素材!$1:$1016,COLUMN($E$1),FALSE)/(LEN(VLOOKUP($D316,素材!$1:$1016,COLUMN($F$1),FALSE))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X316">
        <f>IF(ISNUMBER(SEARCH(SUBSTITUTE(AX$1,RIGHT(AX$1,2),""),VLOOKUP($D316,素材!$1:$1016,COLUMN($F$1),FALSE))),VLOOKUP($C316,武器!$1:$998,COLUMN($O$1),FALSE)*VLOOKUP($D316,素材!$1:$1016,COLUMN($E$1),FALSE)/(LEN(VLOOKUP($D316,素材!$1:$1016,COLUMN($F$1),FALSE))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Y316">
        <f>IF(ISNUMBER(SEARCH(SUBSTITUTE(AY$1,RIGHT(AY$1,2),""),VLOOKUP($D316,素材!$1:$1016,COLUMN($F$1),FALSE))),VLOOKUP($C316,武器!$1:$998,COLUMN($O$1),FALSE)*VLOOKUP($D316,素材!$1:$1016,COLUMN($E$1),FALSE)/(LEN(VLOOKUP($D316,素材!$1:$1016,COLUMN($F$1),FALSE))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AZ316">
        <f>IF(ISNUMBER(SEARCH(SUBSTITUTE(AZ$1,RIGHT(AZ$1,2),""),VLOOKUP($D316,素材!$1:$1016,COLUMN($F$1),FALSE))),VLOOKUP($C316,武器!$1:$998,COLUMN($O$1),FALSE)*VLOOKUP($D316,素材!$1:$1016,COLUMN($E$1),FALSE)/(LEN(VLOOKUP($D316,素材!$1:$1016,COLUMN($F$1),FALSE))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BA316">
        <f>IF(ISNUMBER(SEARCH(SUBSTITUTE(BA$1,RIGHT(BA$1,2),""),VLOOKUP($D316,素材!$1:$1016,COLUMN($F$1),FALSE))),VLOOKUP($C316,武器!$1:$998,COLUMN($O$1),FALSE)*VLOOKUP($D316,素材!$1:$1016,COLUMN($E$1),FALSE)/(LEN(VLOOKUP($D316,素材!$1:$1016,COLUMN($F$1),FALSE))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BB316">
        <f>IF(ISNUMBER(SEARCH(SUBSTITUTE(BB$1,RIGHT(BB$1,2),""),VLOOKUP($D316,素材!$1:$1016,COLUMN($F$1),FALSE))),VLOOKUP($C316,武器!$1:$998,COLUMN($O$1),FALSE)*VLOOKUP($D316,素材!$1:$1016,COLUMN($E$1),FALSE)/(LEN(VLOOKUP($D316,素材!$1:$1016,COLUMN($F$1),FALSE))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BC316">
        <f>IF(ISNUMBER(SEARCH(SUBSTITUTE(BC$1,RIGHT(BC$1,2),""),VLOOKUP($D316,素材!$1:$1016,COLUMN($F$1),FALSE))),VLOOKUP($C316,武器!$1:$998,COLUMN($O$1),FALSE)*VLOOKUP($D316,素材!$1:$1016,COLUMN($E$1),FALSE)/(LEN(VLOOKUP($D316,素材!$1:$1016,COLUMN($F$1),FALSE))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BD316">
        <f>IF(ISNUMBER(SEARCH(SUBSTITUTE(BD$1,RIGHT(BD$1,2),""),VLOOKUP($D316,素材!$1:$1016,COLUMN($F$1),FALSE))),VLOOKUP($C316,武器!$1:$998,COLUMN($O$1),FALSE)*VLOOKUP($D316,素材!$1:$1016,COLUMN($E$1),FALSE)/(LEN(VLOOKUP($D316,素材!$1:$1016,COLUMN($F$1),FALSE))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BE316">
        <f>IF(ISNUMBER(SEARCH(SUBSTITUTE(BE$1,RIGHT(BE$1,2),""),VLOOKUP($D316,素材!$1:$1016,COLUMN($F$1),FALSE))),VLOOKUP($C316,武器!$1:$998,COLUMN($O$1),FALSE)*VLOOKUP($D316,素材!$1:$1016,COLUMN($E$1),FALSE)/(LEN(VLOOKUP($D316,素材!$1:$1016,COLUMN($F$1),FALSE))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BF316">
        <f>IF(ISNUMBER(SEARCH(SUBSTITUTE(BF$1,RIGHT(BF$1,2),""),VLOOKUP($D316,素材!$1:$1016,COLUMN($F$1),FALSE))),VLOOKUP($C316,武器!$1:$998,COLUMN($O$1),FALSE)*VLOOKUP($D316,素材!$1:$1016,COLUMN($E$1),FALSE)/(LEN(VLOOKUP($D316,素材!$1:$1016,COLUMN($F$1),FALSE)) - LEN(SUBSTITUTE(VLOOKUP($D316,素材!$1:$1016,COLUMN($F$1),FALSE), "・", 0)) + 1), 0)</f>
        <v>0</v>
      </c>
      <c r="CM316">
        <f t="shared" si="36"/>
        <v>0</v>
      </c>
      <c r="CN316" s="22" t="str">
        <f>IF(E316="武器",IF(J316-1&gt;SUM(G316:I316),"盾",IF(MAX(G316:I316)=G316,"切断",IF(MAX(G316:I316)=H316,"貫通",IF(MAX(G316:I316)=I316,"打撃","射撃")))),E316)&amp;".webp"</f>
        <v>.webp</v>
      </c>
      <c r="CO316" t="str">
        <f>IFERROR(VLOOKUP($C316,武器!$1:$998,COLUMN(V$1),FALSE)*VLOOKUP($D316,素材!$1:$1016,COLUMN(N$1),FALSE)+IF(CJ316="",0,VLOOKUP($CJ316,装強!$1:$1008,COLUMN($CL$1),FALSE)),"")</f>
        <v/>
      </c>
      <c r="CP316" t="e">
        <f>VLOOKUP(D316,素材!$A:$O,COLUMN(素材!O$1),FALSE)</f>
        <v>#N/A</v>
      </c>
      <c r="CQ316" t="e">
        <f>VLOOKUP(C316,武器!$A:$W,COLUMN(武器!W$1),FALSE)</f>
        <v>#N/A</v>
      </c>
      <c r="CS316" t="str">
        <f t="shared" si="37"/>
        <v>e_316</v>
      </c>
      <c r="CT316" t="e">
        <f t="shared" si="38"/>
        <v>#VALUE!</v>
      </c>
    </row>
    <row r="317" spans="1:98" hidden="1" outlineLevel="1" x14ac:dyDescent="0.4">
      <c r="A317" t="str">
        <f>IF(CJ317="",D317&amp;"の"&amp;C317,CJ317&amp;"の"&amp;C317)</f>
        <v>の</v>
      </c>
      <c r="B317" t="str">
        <f>IFERROR(IF(CJ317="",VLOOKUP($D317,素材!$1:$1016,COLUMN($B$1),FALSE)&amp;"・"&amp;VLOOKUP($C317,武器!$1:$998,COLUMN(B$1),FALSE),VLOOKUP($CJ317,装強!$1:$1008,COLUMN($B$1),FALSE)&amp;"・"&amp;VLOOKUP($C317,武器!$1:$998,COLUMN(B$1),FALSE)),"")</f>
        <v/>
      </c>
      <c r="C317" s="24"/>
      <c r="D317" s="24"/>
      <c r="E317" t="str">
        <f>IFERROR(VLOOKUP(C317,武器!$1:$998,COLUMN(C$1),FALSE),"")</f>
        <v/>
      </c>
      <c r="F317" t="str">
        <f>IFERROR(ROUNDDOWN((VLOOKUP($C317,武器!$1:$998,COLUMN(D$1),FALSE)+IFERROR(VLOOKUP($CJ317,装強!$1:$999,COLUMN(F$1),FALSE),0))*VLOOKUP($D317,素材!$1:$1016,COLUMN(D$1),FALSE),0),"")</f>
        <v/>
      </c>
      <c r="G317" t="str">
        <f>IFERROR(ROUNDDOWN((VLOOKUP($C317,武器!$1:$998,COLUMN(E$1),FALSE)+IFERROR(VLOOKUP($CJ317,装強!$1:$999,COLUMN(G$1),FALSE),0))*VLOOKUP($D317,素材!$1:$1016,COLUMN($E$1),FALSE),0),"")</f>
        <v/>
      </c>
      <c r="H317" t="str">
        <f>IFERROR(ROUNDDOWN((VLOOKUP($C317,武器!$1:$998,COLUMN(F$1),FALSE)+IFERROR(VLOOKUP($CJ317,装強!$1:$999,COLUMN(H$1),FALSE),0))*VLOOKUP($D317,素材!$1:$1016,COLUMN($E$1),FALSE),0),"")</f>
        <v/>
      </c>
      <c r="I317" t="str">
        <f>IFERROR(ROUNDDOWN((VLOOKUP($C317,武器!$1:$998,COLUMN(G$1),FALSE)+IFERROR(VLOOKUP($CJ317,装強!$1:$999,COLUMN(I$1),FALSE),0))*VLOOKUP($D317,素材!$1:$1016,COLUMN($E$1),FALSE),0),"")</f>
        <v/>
      </c>
      <c r="J317" t="str">
        <f>IFERROR(ROUNDDOWN((VLOOKUP($C317,武器!$1:$998,COLUMN(H$1),FALSE)+IFERROR(VLOOKUP($CJ317,装強!$1:$999,COLUMN(J$1),FALSE),0))*VLOOKUP($D317,素材!$1:$1016,COLUMN($E$1),FALSE),0),"")</f>
        <v/>
      </c>
      <c r="K317" t="str">
        <f>IFERROR(ROUNDDOWN((VLOOKUP($C317,武器!$1:$998,COLUMN(I$1),FALSE)+IFERROR(VLOOKUP($CJ317,装強!$1:$999,COLUMN(K$1),FALSE),0))*VLOOKUP($D317,素材!$1:$1016,COLUMN($E$1),FALSE),0),"")</f>
        <v/>
      </c>
      <c r="L317" t="str">
        <f>IFERROR(VLOOKUP($D317,素材!$1:$1016,COLUMN($F$1),FALSE),"")</f>
        <v/>
      </c>
      <c r="M317" t="str">
        <f>IFERROR(VLOOKUP($C317,武器!$1:$998,COLUMN(AA$1),FALSE)*VLOOKUP($D317,素材!$1:$1016,COLUMN($G$1),FALSE),"")</f>
        <v/>
      </c>
      <c r="N317" t="str">
        <f>IFERROR(VLOOKUP($C317,武器!$1:$998,COLUMN(I$1),FALSE),"")</f>
        <v/>
      </c>
      <c r="O317" s="23" t="str">
        <f>IFERROR((VLOOKUP($C317,武器!$1:$998,COLUMN(K$1),FALSE)+VLOOKUP($D317,素材!$1:$1016,COLUMN(H$1),FALSE))*100+IFERROR(VLOOKUP($CJ317,装強!$1:$999,COLUMN(O$1),FALSE),0),"")</f>
        <v/>
      </c>
      <c r="P317" s="23" t="str">
        <f>IFERROR((VLOOKUP($C317,武器!$1:$998,COLUMN(L$1),FALSE)+VLOOKUP($D317,素材!$1:$1016,COLUMN(I$1),FALSE))*100+IFERROR(VLOOKUP($CJ317,装強!$1:$999,COLUMN(P$1),FALSE),0),"")</f>
        <v/>
      </c>
      <c r="Q317" t="str">
        <f>IFERROR(ROUNDUP(VLOOKUP($C317,武器!$1:$998,COLUMN(M$1),FALSE)*(VLOOKUP($D317,素材!$1:$1002,COLUMN(D$1),FALSE)/100),1),"")</f>
        <v/>
      </c>
      <c r="R317" t="str">
        <f>IFERROR(ROUNDUP(VLOOKUP($C317,武器!$1:$998,COLUMN(N$1),FALSE)*(VLOOKUP($D317,素材!$1:$1002,COLUMN(D$1),FALSE)/100),1),"")</f>
        <v/>
      </c>
      <c r="S317" t="str">
        <f>IFERROR(VLOOKUP($C317,武器!$1:$998,COLUMN(P$1),FALSE),"")</f>
        <v/>
      </c>
      <c r="T317" t="str">
        <f>IFERROR(VLOOKUP($C317,武器!$1:$998,COLUMN(Q$1),FALSE),"")</f>
        <v/>
      </c>
      <c r="U317" t="str">
        <f>IFERROR(VLOOKUP($C317,武器!$1:$998,COLUMN(R$1),FALSE),"")</f>
        <v/>
      </c>
      <c r="V317" t="str">
        <f>IFERROR(VLOOKUP($C317,武器!$1:$998,COLUMN(Q$1),FALSE),"")</f>
        <v/>
      </c>
      <c r="W317" t="str">
        <f>IFERROR(VLOOKUP($C317,武器!$1:$998,COLUMN(T$1),FALSE),"")</f>
        <v/>
      </c>
      <c r="Y317" t="str">
        <f>IFERROR(VLOOKUP($C317,武器!$1:$998,COLUMN(U$1),FALSE),"")</f>
        <v/>
      </c>
      <c r="Z317" t="str">
        <f>IFERROR(ROUNDUP(VLOOKUP($C317,武器!$1:$998,COLUMN(O$1),FALSE)*VLOOKUP($D317,素材!$1:$1016,COLUMN(E$1),FALSE),1),"")</f>
        <v/>
      </c>
      <c r="AA317">
        <f>IF(ISNUMBER(SEARCH(SUBSTITUTE(AA$1,RIGHT(AA$1,2),""),VLOOKUP($D317,素材!$1:$1016,COLUMN($F$1),FALSE))),VLOOKUP($C317,武器!$1:$998,COLUMN($O$1),FALSE)*VLOOKUP($D317,素材!$1:$1016,COLUMN($E$1),FALSE)/(LEN(VLOOKUP($D317,素材!$1:$1016,COLUMN($F$1),FALSE))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B317">
        <f>IF(ISNUMBER(SEARCH(SUBSTITUTE(AB$1,RIGHT(AB$1,2),""),VLOOKUP($D317,素材!$1:$1016,COLUMN($F$1),FALSE))),VLOOKUP($C317,武器!$1:$998,COLUMN($O$1),FALSE)*VLOOKUP($D317,素材!$1:$1016,COLUMN($E$1),FALSE)/(LEN(VLOOKUP($D317,素材!$1:$1016,COLUMN($F$1),FALSE))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C317">
        <f>IF(ISNUMBER(SEARCH(SUBSTITUTE(AC$1,RIGHT(AC$1,2),""),VLOOKUP($D317,素材!$1:$1016,COLUMN($F$1),FALSE))),VLOOKUP($C317,武器!$1:$998,COLUMN($O$1),FALSE)*VLOOKUP($D317,素材!$1:$1016,COLUMN($E$1),FALSE)/(LEN(VLOOKUP($D317,素材!$1:$1016,COLUMN($F$1),FALSE))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D317">
        <f>IF(ISNUMBER(SEARCH(SUBSTITUTE(AD$1,RIGHT(AD$1,2),""),VLOOKUP($D317,素材!$1:$1016,COLUMN($F$1),FALSE))),VLOOKUP($C317,武器!$1:$998,COLUMN($O$1),FALSE)*VLOOKUP($D317,素材!$1:$1016,COLUMN($E$1),FALSE)/(LEN(VLOOKUP($D317,素材!$1:$1016,COLUMN($F$1),FALSE))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E317">
        <f>IF(ISNUMBER(SEARCH(SUBSTITUTE(AE$1,RIGHT(AE$1,2),""),VLOOKUP($D317,素材!$1:$1016,COLUMN($F$1),FALSE))),VLOOKUP($C317,武器!$1:$998,COLUMN($O$1),FALSE)*VLOOKUP($D317,素材!$1:$1016,COLUMN($E$1),FALSE)/(LEN(VLOOKUP($D317,素材!$1:$1016,COLUMN($F$1),FALSE))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F317">
        <f>IF(ISNUMBER(SEARCH(SUBSTITUTE(AF$1,RIGHT(AF$1,2),""),VLOOKUP($D317,素材!$1:$1016,COLUMN($F$1),FALSE))),VLOOKUP($C317,武器!$1:$998,COLUMN($O$1),FALSE)*VLOOKUP($D317,素材!$1:$1016,COLUMN($E$1),FALSE)/(LEN(VLOOKUP($D317,素材!$1:$1016,COLUMN($F$1),FALSE))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G317">
        <f>IF(ISNUMBER(SEARCH(SUBSTITUTE(AG$1,RIGHT(AG$1,2),""),VLOOKUP($D317,素材!$1:$1016,COLUMN($F$1),FALSE))),VLOOKUP($C317,武器!$1:$998,COLUMN($O$1),FALSE)*VLOOKUP($D317,素材!$1:$1016,COLUMN($E$1),FALSE)/(LEN(VLOOKUP($D317,素材!$1:$1016,COLUMN($F$1),FALSE))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H317">
        <f>IF(ISNUMBER(SEARCH(SUBSTITUTE(AH$1,RIGHT(AH$1,2),""),VLOOKUP($D317,素材!$1:$1016,COLUMN($F$1),FALSE))),VLOOKUP($C317,武器!$1:$998,COLUMN($O$1),FALSE)*VLOOKUP($D317,素材!$1:$1016,COLUMN($E$1),FALSE)/(LEN(VLOOKUP($D317,素材!$1:$1016,COLUMN($F$1),FALSE))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I317">
        <f>IF(ISNUMBER(SEARCH(SUBSTITUTE(AI$1,RIGHT(AI$1,2),""),VLOOKUP($D317,素材!$1:$1016,COLUMN($F$1),FALSE))),VLOOKUP($C317,武器!$1:$998,COLUMN($O$1),FALSE)*VLOOKUP($D317,素材!$1:$1016,COLUMN($E$1),FALSE)/(LEN(VLOOKUP($D317,素材!$1:$1016,COLUMN($F$1),FALSE))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J317">
        <f>IF(ISNUMBER(SEARCH(SUBSTITUTE(AJ$1,RIGHT(AJ$1,2),""),VLOOKUP($D317,素材!$1:$1016,COLUMN($F$1),FALSE))),VLOOKUP($C317,武器!$1:$998,COLUMN($O$1),FALSE)*VLOOKUP($D317,素材!$1:$1016,COLUMN($E$1),FALSE)/(LEN(VLOOKUP($D317,素材!$1:$1016,COLUMN($F$1),FALSE))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K317">
        <f>IF(ISNUMBER(SEARCH(SUBSTITUTE(AK$1,RIGHT(AK$1,2),""),VLOOKUP($D317,素材!$1:$1016,COLUMN($F$1),FALSE))),VLOOKUP($C317,武器!$1:$998,COLUMN($O$1),FALSE)*VLOOKUP($D317,素材!$1:$1016,COLUMN($E$1),FALSE)/(LEN(VLOOKUP($D317,素材!$1:$1016,COLUMN($F$1),FALSE))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L317">
        <f>IF(ISNUMBER(SEARCH(SUBSTITUTE(AL$1,RIGHT(AL$1,2),""),VLOOKUP($D317,素材!$1:$1016,COLUMN($F$1),FALSE))),VLOOKUP($C317,武器!$1:$998,COLUMN($O$1),FALSE)*VLOOKUP($D317,素材!$1:$1016,COLUMN($E$1),FALSE)/(LEN(VLOOKUP($D317,素材!$1:$1016,COLUMN($F$1),FALSE))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M317">
        <f>IF(ISNUMBER(SEARCH(SUBSTITUTE(AM$1,RIGHT(AM$1,2),""),VLOOKUP($D317,素材!$1:$1016,COLUMN($F$1),FALSE))),VLOOKUP($C317,武器!$1:$998,COLUMN($O$1),FALSE)*VLOOKUP($D317,素材!$1:$1016,COLUMN($E$1),FALSE)/(LEN(VLOOKUP($D317,素材!$1:$1016,COLUMN($F$1),FALSE))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N317">
        <f>IF(ISNUMBER(SEARCH(SUBSTITUTE(AN$1,RIGHT(AN$1,2),""),VLOOKUP($D317,素材!$1:$1016,COLUMN($F$1),FALSE))),VLOOKUP($C317,武器!$1:$998,COLUMN($O$1),FALSE)*VLOOKUP($D317,素材!$1:$1016,COLUMN($E$1),FALSE)/(LEN(VLOOKUP($D317,素材!$1:$1016,COLUMN($F$1),FALSE))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O317">
        <f>IF(ISNUMBER(SEARCH(SUBSTITUTE(AO$1,RIGHT(AO$1,2),""),VLOOKUP($D317,素材!$1:$1016,COLUMN($F$1),FALSE))),VLOOKUP($C317,武器!$1:$998,COLUMN($O$1),FALSE)*VLOOKUP($D317,素材!$1:$1016,COLUMN($E$1),FALSE)/(LEN(VLOOKUP($D317,素材!$1:$1016,COLUMN($F$1),FALSE))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P317">
        <f>IF(ISNUMBER(SEARCH(SUBSTITUTE(AP$1,RIGHT(AP$1,2),""),VLOOKUP($D317,素材!$1:$1016,COLUMN($F$1),FALSE))),VLOOKUP($C317,武器!$1:$998,COLUMN($O$1),FALSE)*VLOOKUP($D317,素材!$1:$1016,COLUMN($E$1),FALSE)/(LEN(VLOOKUP($D317,素材!$1:$1016,COLUMN($F$1),FALSE))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Q317">
        <f>IF(ISNUMBER(SEARCH(SUBSTITUTE(AQ$1,RIGHT(AQ$1,2),""),VLOOKUP($D317,素材!$1:$1016,COLUMN($F$1),FALSE))),VLOOKUP($C317,武器!$1:$998,COLUMN($O$1),FALSE)*VLOOKUP($D317,素材!$1:$1016,COLUMN($E$1),FALSE)/(LEN(VLOOKUP($D317,素材!$1:$1016,COLUMN($F$1),FALSE))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R317">
        <f>IF(ISNUMBER(SEARCH(SUBSTITUTE(AR$1,RIGHT(AR$1,2),""),VLOOKUP($D317,素材!$1:$1016,COLUMN($F$1),FALSE))),VLOOKUP($C317,武器!$1:$998,COLUMN($O$1),FALSE)*VLOOKUP($D317,素材!$1:$1016,COLUMN($E$1),FALSE)/(LEN(VLOOKUP($D317,素材!$1:$1016,COLUMN($F$1),FALSE))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S317">
        <f>IF(ISNUMBER(SEARCH(SUBSTITUTE(AS$1,RIGHT(AS$1,2),""),VLOOKUP($D317,素材!$1:$1016,COLUMN($F$1),FALSE))),VLOOKUP($C317,武器!$1:$998,COLUMN($O$1),FALSE)*VLOOKUP($D317,素材!$1:$1016,COLUMN($E$1),FALSE)/(LEN(VLOOKUP($D317,素材!$1:$1016,COLUMN($F$1),FALSE))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T317">
        <f>IF(ISNUMBER(SEARCH(SUBSTITUTE(AT$1,RIGHT(AT$1,2),""),VLOOKUP($D317,素材!$1:$1016,COLUMN($F$1),FALSE))),VLOOKUP($C317,武器!$1:$998,COLUMN($O$1),FALSE)*VLOOKUP($D317,素材!$1:$1016,COLUMN($E$1),FALSE)/(LEN(VLOOKUP($D317,素材!$1:$1016,COLUMN($F$1),FALSE))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U317">
        <f>IF(ISNUMBER(SEARCH(SUBSTITUTE(AU$1,RIGHT(AU$1,2),""),VLOOKUP($D317,素材!$1:$1016,COLUMN($F$1),FALSE))),VLOOKUP($C317,武器!$1:$998,COLUMN($O$1),FALSE)*VLOOKUP($D317,素材!$1:$1016,COLUMN($E$1),FALSE)/(LEN(VLOOKUP($D317,素材!$1:$1016,COLUMN($F$1),FALSE))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V317">
        <f>IF(ISNUMBER(SEARCH(SUBSTITUTE(AV$1,RIGHT(AV$1,2),""),VLOOKUP($D317,素材!$1:$1016,COLUMN($F$1),FALSE))),VLOOKUP($C317,武器!$1:$998,COLUMN($O$1),FALSE)*VLOOKUP($D317,素材!$1:$1016,COLUMN($E$1),FALSE)/(LEN(VLOOKUP($D317,素材!$1:$1016,COLUMN($F$1),FALSE))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W317">
        <f>IF(ISNUMBER(SEARCH(SUBSTITUTE(AW$1,RIGHT(AW$1,2),""),VLOOKUP($D317,素材!$1:$1016,COLUMN($F$1),FALSE))),VLOOKUP($C317,武器!$1:$998,COLUMN($O$1),FALSE)*VLOOKUP($D317,素材!$1:$1016,COLUMN($E$1),FALSE)/(LEN(VLOOKUP($D317,素材!$1:$1016,COLUMN($F$1),FALSE))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X317">
        <f>IF(ISNUMBER(SEARCH(SUBSTITUTE(AX$1,RIGHT(AX$1,2),""),VLOOKUP($D317,素材!$1:$1016,COLUMN($F$1),FALSE))),VLOOKUP($C317,武器!$1:$998,COLUMN($O$1),FALSE)*VLOOKUP($D317,素材!$1:$1016,COLUMN($E$1),FALSE)/(LEN(VLOOKUP($D317,素材!$1:$1016,COLUMN($F$1),FALSE))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Y317">
        <f>IF(ISNUMBER(SEARCH(SUBSTITUTE(AY$1,RIGHT(AY$1,2),""),VLOOKUP($D317,素材!$1:$1016,COLUMN($F$1),FALSE))),VLOOKUP($C317,武器!$1:$998,COLUMN($O$1),FALSE)*VLOOKUP($D317,素材!$1:$1016,COLUMN($E$1),FALSE)/(LEN(VLOOKUP($D317,素材!$1:$1016,COLUMN($F$1),FALSE))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AZ317">
        <f>IF(ISNUMBER(SEARCH(SUBSTITUTE(AZ$1,RIGHT(AZ$1,2),""),VLOOKUP($D317,素材!$1:$1016,COLUMN($F$1),FALSE))),VLOOKUP($C317,武器!$1:$998,COLUMN($O$1),FALSE)*VLOOKUP($D317,素材!$1:$1016,COLUMN($E$1),FALSE)/(LEN(VLOOKUP($D317,素材!$1:$1016,COLUMN($F$1),FALSE))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BA317">
        <f>IF(ISNUMBER(SEARCH(SUBSTITUTE(BA$1,RIGHT(BA$1,2),""),VLOOKUP($D317,素材!$1:$1016,COLUMN($F$1),FALSE))),VLOOKUP($C317,武器!$1:$998,COLUMN($O$1),FALSE)*VLOOKUP($D317,素材!$1:$1016,COLUMN($E$1),FALSE)/(LEN(VLOOKUP($D317,素材!$1:$1016,COLUMN($F$1),FALSE))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BB317">
        <f>IF(ISNUMBER(SEARCH(SUBSTITUTE(BB$1,RIGHT(BB$1,2),""),VLOOKUP($D317,素材!$1:$1016,COLUMN($F$1),FALSE))),VLOOKUP($C317,武器!$1:$998,COLUMN($O$1),FALSE)*VLOOKUP($D317,素材!$1:$1016,COLUMN($E$1),FALSE)/(LEN(VLOOKUP($D317,素材!$1:$1016,COLUMN($F$1),FALSE))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BC317">
        <f>IF(ISNUMBER(SEARCH(SUBSTITUTE(BC$1,RIGHT(BC$1,2),""),VLOOKUP($D317,素材!$1:$1016,COLUMN($F$1),FALSE))),VLOOKUP($C317,武器!$1:$998,COLUMN($O$1),FALSE)*VLOOKUP($D317,素材!$1:$1016,COLUMN($E$1),FALSE)/(LEN(VLOOKUP($D317,素材!$1:$1016,COLUMN($F$1),FALSE))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BD317">
        <f>IF(ISNUMBER(SEARCH(SUBSTITUTE(BD$1,RIGHT(BD$1,2),""),VLOOKUP($D317,素材!$1:$1016,COLUMN($F$1),FALSE))),VLOOKUP($C317,武器!$1:$998,COLUMN($O$1),FALSE)*VLOOKUP($D317,素材!$1:$1016,COLUMN($E$1),FALSE)/(LEN(VLOOKUP($D317,素材!$1:$1016,COLUMN($F$1),FALSE))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BE317">
        <f>IF(ISNUMBER(SEARCH(SUBSTITUTE(BE$1,RIGHT(BE$1,2),""),VLOOKUP($D317,素材!$1:$1016,COLUMN($F$1),FALSE))),VLOOKUP($C317,武器!$1:$998,COLUMN($O$1),FALSE)*VLOOKUP($D317,素材!$1:$1016,COLUMN($E$1),FALSE)/(LEN(VLOOKUP($D317,素材!$1:$1016,COLUMN($F$1),FALSE))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BF317">
        <f>IF(ISNUMBER(SEARCH(SUBSTITUTE(BF$1,RIGHT(BF$1,2),""),VLOOKUP($D317,素材!$1:$1016,COLUMN($F$1),FALSE))),VLOOKUP($C317,武器!$1:$998,COLUMN($O$1),FALSE)*VLOOKUP($D317,素材!$1:$1016,COLUMN($E$1),FALSE)/(LEN(VLOOKUP($D317,素材!$1:$1016,COLUMN($F$1),FALSE)) - LEN(SUBSTITUTE(VLOOKUP($D317,素材!$1:$1016,COLUMN($F$1),FALSE), "・", 0)) + 1), 0)</f>
        <v>0</v>
      </c>
      <c r="CM317">
        <f t="shared" si="36"/>
        <v>0</v>
      </c>
      <c r="CN317" s="22" t="str">
        <f>IF(E317="武器",IF(J317-1&gt;SUM(G317:I317),"盾",IF(MAX(G317:I317)=G317,"切断",IF(MAX(G317:I317)=H317,"貫通",IF(MAX(G317:I317)=I317,"打撃","射撃")))),E317)&amp;".webp"</f>
        <v>.webp</v>
      </c>
      <c r="CO317" t="str">
        <f>IFERROR(VLOOKUP($C317,武器!$1:$998,COLUMN(V$1),FALSE)*VLOOKUP($D317,素材!$1:$1016,COLUMN(N$1),FALSE)+IF(CJ317="",0,VLOOKUP($CJ317,装強!$1:$1008,COLUMN($CL$1),FALSE)),"")</f>
        <v/>
      </c>
      <c r="CP317" t="e">
        <f>VLOOKUP(D317,素材!$A:$O,COLUMN(素材!O$1),FALSE)</f>
        <v>#N/A</v>
      </c>
      <c r="CQ317" t="e">
        <f>VLOOKUP(C317,武器!$A:$W,COLUMN(武器!W$1),FALSE)</f>
        <v>#N/A</v>
      </c>
      <c r="CS317" t="str">
        <f t="shared" si="37"/>
        <v>e_317</v>
      </c>
      <c r="CT317" t="e">
        <f t="shared" si="38"/>
        <v>#VALUE!</v>
      </c>
    </row>
    <row r="318" spans="1:98" hidden="1" outlineLevel="1" x14ac:dyDescent="0.4">
      <c r="A318" t="str">
        <f>IF(CJ318="",D318&amp;"の"&amp;C318,CJ318&amp;"の"&amp;C318)</f>
        <v>の</v>
      </c>
      <c r="B318" t="str">
        <f>IFERROR(IF(CJ318="",VLOOKUP($D318,素材!$1:$1016,COLUMN($B$1),FALSE)&amp;"・"&amp;VLOOKUP($C318,武器!$1:$998,COLUMN(B$1),FALSE),VLOOKUP($CJ318,装強!$1:$1008,COLUMN($B$1),FALSE)&amp;"・"&amp;VLOOKUP($C318,武器!$1:$998,COLUMN(B$1),FALSE)),"")</f>
        <v/>
      </c>
      <c r="C318" s="24"/>
      <c r="D318" s="24"/>
      <c r="E318" t="str">
        <f>IFERROR(VLOOKUP(C318,武器!$1:$998,COLUMN(C$1),FALSE),"")</f>
        <v/>
      </c>
      <c r="F318" t="str">
        <f>IFERROR(ROUNDDOWN((VLOOKUP($C318,武器!$1:$998,COLUMN(D$1),FALSE)+IFERROR(VLOOKUP($CJ318,装強!$1:$999,COLUMN(F$1),FALSE),0))*VLOOKUP($D318,素材!$1:$1016,COLUMN(D$1),FALSE),0),"")</f>
        <v/>
      </c>
      <c r="G318" t="str">
        <f>IFERROR(ROUNDDOWN((VLOOKUP($C318,武器!$1:$998,COLUMN(E$1),FALSE)+IFERROR(VLOOKUP($CJ318,装強!$1:$999,COLUMN(G$1),FALSE),0))*VLOOKUP($D318,素材!$1:$1016,COLUMN($E$1),FALSE),0),"")</f>
        <v/>
      </c>
      <c r="H318" t="str">
        <f>IFERROR(ROUNDDOWN((VLOOKUP($C318,武器!$1:$998,COLUMN(F$1),FALSE)+IFERROR(VLOOKUP($CJ318,装強!$1:$999,COLUMN(H$1),FALSE),0))*VLOOKUP($D318,素材!$1:$1016,COLUMN($E$1),FALSE),0),"")</f>
        <v/>
      </c>
      <c r="I318" t="str">
        <f>IFERROR(ROUNDDOWN((VLOOKUP($C318,武器!$1:$998,COLUMN(G$1),FALSE)+IFERROR(VLOOKUP($CJ318,装強!$1:$999,COLUMN(I$1),FALSE),0))*VLOOKUP($D318,素材!$1:$1016,COLUMN($E$1),FALSE),0),"")</f>
        <v/>
      </c>
      <c r="J318" t="str">
        <f>IFERROR(ROUNDDOWN((VLOOKUP($C318,武器!$1:$998,COLUMN(H$1),FALSE)+IFERROR(VLOOKUP($CJ318,装強!$1:$999,COLUMN(J$1),FALSE),0))*VLOOKUP($D318,素材!$1:$1016,COLUMN($E$1),FALSE),0),"")</f>
        <v/>
      </c>
      <c r="K318" t="str">
        <f>IFERROR(ROUNDDOWN((VLOOKUP($C318,武器!$1:$998,COLUMN(I$1),FALSE)+IFERROR(VLOOKUP($CJ318,装強!$1:$999,COLUMN(K$1),FALSE),0))*VLOOKUP($D318,素材!$1:$1016,COLUMN($E$1),FALSE),0),"")</f>
        <v/>
      </c>
      <c r="L318" t="str">
        <f>IFERROR(VLOOKUP($D318,素材!$1:$1016,COLUMN($F$1),FALSE),"")</f>
        <v/>
      </c>
      <c r="M318" t="str">
        <f>IFERROR(VLOOKUP($C318,武器!$1:$998,COLUMN(AA$1),FALSE)*VLOOKUP($D318,素材!$1:$1016,COLUMN($G$1),FALSE),"")</f>
        <v/>
      </c>
      <c r="N318" t="str">
        <f>IFERROR(VLOOKUP($C318,武器!$1:$998,COLUMN(I$1),FALSE),"")</f>
        <v/>
      </c>
      <c r="O318" s="23" t="str">
        <f>IFERROR((VLOOKUP($C318,武器!$1:$998,COLUMN(K$1),FALSE)+VLOOKUP($D318,素材!$1:$1016,COLUMN(H$1),FALSE))*100+IFERROR(VLOOKUP($CJ318,装強!$1:$999,COLUMN(O$1),FALSE),0),"")</f>
        <v/>
      </c>
      <c r="P318" s="23" t="str">
        <f>IFERROR((VLOOKUP($C318,武器!$1:$998,COLUMN(L$1),FALSE)+VLOOKUP($D318,素材!$1:$1016,COLUMN(I$1),FALSE))*100+IFERROR(VLOOKUP($CJ318,装強!$1:$999,COLUMN(P$1),FALSE),0),"")</f>
        <v/>
      </c>
      <c r="Q318" t="str">
        <f>IFERROR(ROUNDUP(VLOOKUP($C318,武器!$1:$998,COLUMN(M$1),FALSE)*(VLOOKUP($D318,素材!$1:$1002,COLUMN(D$1),FALSE)/100),1),"")</f>
        <v/>
      </c>
      <c r="R318" t="str">
        <f>IFERROR(ROUNDUP(VLOOKUP($C318,武器!$1:$998,COLUMN(N$1),FALSE)*(VLOOKUP($D318,素材!$1:$1002,COLUMN(D$1),FALSE)/100),1),"")</f>
        <v/>
      </c>
      <c r="S318" t="str">
        <f>IFERROR(VLOOKUP($C318,武器!$1:$998,COLUMN(P$1),FALSE),"")</f>
        <v/>
      </c>
      <c r="T318" t="str">
        <f>IFERROR(VLOOKUP($C318,武器!$1:$998,COLUMN(Q$1),FALSE),"")</f>
        <v/>
      </c>
      <c r="U318" t="str">
        <f>IFERROR(VLOOKUP($C318,武器!$1:$998,COLUMN(R$1),FALSE),"")</f>
        <v/>
      </c>
      <c r="V318" t="str">
        <f>IFERROR(VLOOKUP($C318,武器!$1:$998,COLUMN(Q$1),FALSE),"")</f>
        <v/>
      </c>
      <c r="W318" t="str">
        <f>IFERROR(VLOOKUP($C318,武器!$1:$998,COLUMN(T$1),FALSE),"")</f>
        <v/>
      </c>
      <c r="Y318" t="str">
        <f>IFERROR(VLOOKUP($C318,武器!$1:$998,COLUMN(U$1),FALSE),"")</f>
        <v/>
      </c>
      <c r="Z318" t="str">
        <f>IFERROR(ROUNDUP(VLOOKUP($C318,武器!$1:$998,COLUMN(O$1),FALSE)*VLOOKUP($D318,素材!$1:$1016,COLUMN(E$1),FALSE),1),"")</f>
        <v/>
      </c>
      <c r="AA318">
        <f>IF(ISNUMBER(SEARCH(SUBSTITUTE(AA$1,RIGHT(AA$1,2),""),VLOOKUP($D318,素材!$1:$1016,COLUMN($F$1),FALSE))),VLOOKUP($C318,武器!$1:$998,COLUMN($O$1),FALSE)*VLOOKUP($D318,素材!$1:$1016,COLUMN($E$1),FALSE)/(LEN(VLOOKUP($D318,素材!$1:$1016,COLUMN($F$1),FALSE))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B318">
        <f>IF(ISNUMBER(SEARCH(SUBSTITUTE(AB$1,RIGHT(AB$1,2),""),VLOOKUP($D318,素材!$1:$1016,COLUMN($F$1),FALSE))),VLOOKUP($C318,武器!$1:$998,COLUMN($O$1),FALSE)*VLOOKUP($D318,素材!$1:$1016,COLUMN($E$1),FALSE)/(LEN(VLOOKUP($D318,素材!$1:$1016,COLUMN($F$1),FALSE))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C318">
        <f>IF(ISNUMBER(SEARCH(SUBSTITUTE(AC$1,RIGHT(AC$1,2),""),VLOOKUP($D318,素材!$1:$1016,COLUMN($F$1),FALSE))),VLOOKUP($C318,武器!$1:$998,COLUMN($O$1),FALSE)*VLOOKUP($D318,素材!$1:$1016,COLUMN($E$1),FALSE)/(LEN(VLOOKUP($D318,素材!$1:$1016,COLUMN($F$1),FALSE))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D318">
        <f>IF(ISNUMBER(SEARCH(SUBSTITUTE(AD$1,RIGHT(AD$1,2),""),VLOOKUP($D318,素材!$1:$1016,COLUMN($F$1),FALSE))),VLOOKUP($C318,武器!$1:$998,COLUMN($O$1),FALSE)*VLOOKUP($D318,素材!$1:$1016,COLUMN($E$1),FALSE)/(LEN(VLOOKUP($D318,素材!$1:$1016,COLUMN($F$1),FALSE))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E318">
        <f>IF(ISNUMBER(SEARCH(SUBSTITUTE(AE$1,RIGHT(AE$1,2),""),VLOOKUP($D318,素材!$1:$1016,COLUMN($F$1),FALSE))),VLOOKUP($C318,武器!$1:$998,COLUMN($O$1),FALSE)*VLOOKUP($D318,素材!$1:$1016,COLUMN($E$1),FALSE)/(LEN(VLOOKUP($D318,素材!$1:$1016,COLUMN($F$1),FALSE))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F318">
        <f>IF(ISNUMBER(SEARCH(SUBSTITUTE(AF$1,RIGHT(AF$1,2),""),VLOOKUP($D318,素材!$1:$1016,COLUMN($F$1),FALSE))),VLOOKUP($C318,武器!$1:$998,COLUMN($O$1),FALSE)*VLOOKUP($D318,素材!$1:$1016,COLUMN($E$1),FALSE)/(LEN(VLOOKUP($D318,素材!$1:$1016,COLUMN($F$1),FALSE))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G318">
        <f>IF(ISNUMBER(SEARCH(SUBSTITUTE(AG$1,RIGHT(AG$1,2),""),VLOOKUP($D318,素材!$1:$1016,COLUMN($F$1),FALSE))),VLOOKUP($C318,武器!$1:$998,COLUMN($O$1),FALSE)*VLOOKUP($D318,素材!$1:$1016,COLUMN($E$1),FALSE)/(LEN(VLOOKUP($D318,素材!$1:$1016,COLUMN($F$1),FALSE))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H318">
        <f>IF(ISNUMBER(SEARCH(SUBSTITUTE(AH$1,RIGHT(AH$1,2),""),VLOOKUP($D318,素材!$1:$1016,COLUMN($F$1),FALSE))),VLOOKUP($C318,武器!$1:$998,COLUMN($O$1),FALSE)*VLOOKUP($D318,素材!$1:$1016,COLUMN($E$1),FALSE)/(LEN(VLOOKUP($D318,素材!$1:$1016,COLUMN($F$1),FALSE))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I318">
        <f>IF(ISNUMBER(SEARCH(SUBSTITUTE(AI$1,RIGHT(AI$1,2),""),VLOOKUP($D318,素材!$1:$1016,COLUMN($F$1),FALSE))),VLOOKUP($C318,武器!$1:$998,COLUMN($O$1),FALSE)*VLOOKUP($D318,素材!$1:$1016,COLUMN($E$1),FALSE)/(LEN(VLOOKUP($D318,素材!$1:$1016,COLUMN($F$1),FALSE))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J318">
        <f>IF(ISNUMBER(SEARCH(SUBSTITUTE(AJ$1,RIGHT(AJ$1,2),""),VLOOKUP($D318,素材!$1:$1016,COLUMN($F$1),FALSE))),VLOOKUP($C318,武器!$1:$998,COLUMN($O$1),FALSE)*VLOOKUP($D318,素材!$1:$1016,COLUMN($E$1),FALSE)/(LEN(VLOOKUP($D318,素材!$1:$1016,COLUMN($F$1),FALSE))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K318">
        <f>IF(ISNUMBER(SEARCH(SUBSTITUTE(AK$1,RIGHT(AK$1,2),""),VLOOKUP($D318,素材!$1:$1016,COLUMN($F$1),FALSE))),VLOOKUP($C318,武器!$1:$998,COLUMN($O$1),FALSE)*VLOOKUP($D318,素材!$1:$1016,COLUMN($E$1),FALSE)/(LEN(VLOOKUP($D318,素材!$1:$1016,COLUMN($F$1),FALSE))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L318">
        <f>IF(ISNUMBER(SEARCH(SUBSTITUTE(AL$1,RIGHT(AL$1,2),""),VLOOKUP($D318,素材!$1:$1016,COLUMN($F$1),FALSE))),VLOOKUP($C318,武器!$1:$998,COLUMN($O$1),FALSE)*VLOOKUP($D318,素材!$1:$1016,COLUMN($E$1),FALSE)/(LEN(VLOOKUP($D318,素材!$1:$1016,COLUMN($F$1),FALSE))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M318">
        <f>IF(ISNUMBER(SEARCH(SUBSTITUTE(AM$1,RIGHT(AM$1,2),""),VLOOKUP($D318,素材!$1:$1016,COLUMN($F$1),FALSE))),VLOOKUP($C318,武器!$1:$998,COLUMN($O$1),FALSE)*VLOOKUP($D318,素材!$1:$1016,COLUMN($E$1),FALSE)/(LEN(VLOOKUP($D318,素材!$1:$1016,COLUMN($F$1),FALSE))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N318">
        <f>IF(ISNUMBER(SEARCH(SUBSTITUTE(AN$1,RIGHT(AN$1,2),""),VLOOKUP($D318,素材!$1:$1016,COLUMN($F$1),FALSE))),VLOOKUP($C318,武器!$1:$998,COLUMN($O$1),FALSE)*VLOOKUP($D318,素材!$1:$1016,COLUMN($E$1),FALSE)/(LEN(VLOOKUP($D318,素材!$1:$1016,COLUMN($F$1),FALSE))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O318">
        <f>IF(ISNUMBER(SEARCH(SUBSTITUTE(AO$1,RIGHT(AO$1,2),""),VLOOKUP($D318,素材!$1:$1016,COLUMN($F$1),FALSE))),VLOOKUP($C318,武器!$1:$998,COLUMN($O$1),FALSE)*VLOOKUP($D318,素材!$1:$1016,COLUMN($E$1),FALSE)/(LEN(VLOOKUP($D318,素材!$1:$1016,COLUMN($F$1),FALSE))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P318">
        <f>IF(ISNUMBER(SEARCH(SUBSTITUTE(AP$1,RIGHT(AP$1,2),""),VLOOKUP($D318,素材!$1:$1016,COLUMN($F$1),FALSE))),VLOOKUP($C318,武器!$1:$998,COLUMN($O$1),FALSE)*VLOOKUP($D318,素材!$1:$1016,COLUMN($E$1),FALSE)/(LEN(VLOOKUP($D318,素材!$1:$1016,COLUMN($F$1),FALSE))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Q318">
        <f>IF(ISNUMBER(SEARCH(SUBSTITUTE(AQ$1,RIGHT(AQ$1,2),""),VLOOKUP($D318,素材!$1:$1016,COLUMN($F$1),FALSE))),VLOOKUP($C318,武器!$1:$998,COLUMN($O$1),FALSE)*VLOOKUP($D318,素材!$1:$1016,COLUMN($E$1),FALSE)/(LEN(VLOOKUP($D318,素材!$1:$1016,COLUMN($F$1),FALSE))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R318">
        <f>IF(ISNUMBER(SEARCH(SUBSTITUTE(AR$1,RIGHT(AR$1,2),""),VLOOKUP($D318,素材!$1:$1016,COLUMN($F$1),FALSE))),VLOOKUP($C318,武器!$1:$998,COLUMN($O$1),FALSE)*VLOOKUP($D318,素材!$1:$1016,COLUMN($E$1),FALSE)/(LEN(VLOOKUP($D318,素材!$1:$1016,COLUMN($F$1),FALSE))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S318">
        <f>IF(ISNUMBER(SEARCH(SUBSTITUTE(AS$1,RIGHT(AS$1,2),""),VLOOKUP($D318,素材!$1:$1016,COLUMN($F$1),FALSE))),VLOOKUP($C318,武器!$1:$998,COLUMN($O$1),FALSE)*VLOOKUP($D318,素材!$1:$1016,COLUMN($E$1),FALSE)/(LEN(VLOOKUP($D318,素材!$1:$1016,COLUMN($F$1),FALSE))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T318">
        <f>IF(ISNUMBER(SEARCH(SUBSTITUTE(AT$1,RIGHT(AT$1,2),""),VLOOKUP($D318,素材!$1:$1016,COLUMN($F$1),FALSE))),VLOOKUP($C318,武器!$1:$998,COLUMN($O$1),FALSE)*VLOOKUP($D318,素材!$1:$1016,COLUMN($E$1),FALSE)/(LEN(VLOOKUP($D318,素材!$1:$1016,COLUMN($F$1),FALSE))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U318">
        <f>IF(ISNUMBER(SEARCH(SUBSTITUTE(AU$1,RIGHT(AU$1,2),""),VLOOKUP($D318,素材!$1:$1016,COLUMN($F$1),FALSE))),VLOOKUP($C318,武器!$1:$998,COLUMN($O$1),FALSE)*VLOOKUP($D318,素材!$1:$1016,COLUMN($E$1),FALSE)/(LEN(VLOOKUP($D318,素材!$1:$1016,COLUMN($F$1),FALSE))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V318">
        <f>IF(ISNUMBER(SEARCH(SUBSTITUTE(AV$1,RIGHT(AV$1,2),""),VLOOKUP($D318,素材!$1:$1016,COLUMN($F$1),FALSE))),VLOOKUP($C318,武器!$1:$998,COLUMN($O$1),FALSE)*VLOOKUP($D318,素材!$1:$1016,COLUMN($E$1),FALSE)/(LEN(VLOOKUP($D318,素材!$1:$1016,COLUMN($F$1),FALSE))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W318">
        <f>IF(ISNUMBER(SEARCH(SUBSTITUTE(AW$1,RIGHT(AW$1,2),""),VLOOKUP($D318,素材!$1:$1016,COLUMN($F$1),FALSE))),VLOOKUP($C318,武器!$1:$998,COLUMN($O$1),FALSE)*VLOOKUP($D318,素材!$1:$1016,COLUMN($E$1),FALSE)/(LEN(VLOOKUP($D318,素材!$1:$1016,COLUMN($F$1),FALSE))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X318">
        <f>IF(ISNUMBER(SEARCH(SUBSTITUTE(AX$1,RIGHT(AX$1,2),""),VLOOKUP($D318,素材!$1:$1016,COLUMN($F$1),FALSE))),VLOOKUP($C318,武器!$1:$998,COLUMN($O$1),FALSE)*VLOOKUP($D318,素材!$1:$1016,COLUMN($E$1),FALSE)/(LEN(VLOOKUP($D318,素材!$1:$1016,COLUMN($F$1),FALSE))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Y318">
        <f>IF(ISNUMBER(SEARCH(SUBSTITUTE(AY$1,RIGHT(AY$1,2),""),VLOOKUP($D318,素材!$1:$1016,COLUMN($F$1),FALSE))),VLOOKUP($C318,武器!$1:$998,COLUMN($O$1),FALSE)*VLOOKUP($D318,素材!$1:$1016,COLUMN($E$1),FALSE)/(LEN(VLOOKUP($D318,素材!$1:$1016,COLUMN($F$1),FALSE))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AZ318">
        <f>IF(ISNUMBER(SEARCH(SUBSTITUTE(AZ$1,RIGHT(AZ$1,2),""),VLOOKUP($D318,素材!$1:$1016,COLUMN($F$1),FALSE))),VLOOKUP($C318,武器!$1:$998,COLUMN($O$1),FALSE)*VLOOKUP($D318,素材!$1:$1016,COLUMN($E$1),FALSE)/(LEN(VLOOKUP($D318,素材!$1:$1016,COLUMN($F$1),FALSE))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BA318">
        <f>IF(ISNUMBER(SEARCH(SUBSTITUTE(BA$1,RIGHT(BA$1,2),""),VLOOKUP($D318,素材!$1:$1016,COLUMN($F$1),FALSE))),VLOOKUP($C318,武器!$1:$998,COLUMN($O$1),FALSE)*VLOOKUP($D318,素材!$1:$1016,COLUMN($E$1),FALSE)/(LEN(VLOOKUP($D318,素材!$1:$1016,COLUMN($F$1),FALSE))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BB318">
        <f>IF(ISNUMBER(SEARCH(SUBSTITUTE(BB$1,RIGHT(BB$1,2),""),VLOOKUP($D318,素材!$1:$1016,COLUMN($F$1),FALSE))),VLOOKUP($C318,武器!$1:$998,COLUMN($O$1),FALSE)*VLOOKUP($D318,素材!$1:$1016,COLUMN($E$1),FALSE)/(LEN(VLOOKUP($D318,素材!$1:$1016,COLUMN($F$1),FALSE))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BC318">
        <f>IF(ISNUMBER(SEARCH(SUBSTITUTE(BC$1,RIGHT(BC$1,2),""),VLOOKUP($D318,素材!$1:$1016,COLUMN($F$1),FALSE))),VLOOKUP($C318,武器!$1:$998,COLUMN($O$1),FALSE)*VLOOKUP($D318,素材!$1:$1016,COLUMN($E$1),FALSE)/(LEN(VLOOKUP($D318,素材!$1:$1016,COLUMN($F$1),FALSE))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BD318">
        <f>IF(ISNUMBER(SEARCH(SUBSTITUTE(BD$1,RIGHT(BD$1,2),""),VLOOKUP($D318,素材!$1:$1016,COLUMN($F$1),FALSE))),VLOOKUP($C318,武器!$1:$998,COLUMN($O$1),FALSE)*VLOOKUP($D318,素材!$1:$1016,COLUMN($E$1),FALSE)/(LEN(VLOOKUP($D318,素材!$1:$1016,COLUMN($F$1),FALSE))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BE318">
        <f>IF(ISNUMBER(SEARCH(SUBSTITUTE(BE$1,RIGHT(BE$1,2),""),VLOOKUP($D318,素材!$1:$1016,COLUMN($F$1),FALSE))),VLOOKUP($C318,武器!$1:$998,COLUMN($O$1),FALSE)*VLOOKUP($D318,素材!$1:$1016,COLUMN($E$1),FALSE)/(LEN(VLOOKUP($D318,素材!$1:$1016,COLUMN($F$1),FALSE))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BF318">
        <f>IF(ISNUMBER(SEARCH(SUBSTITUTE(BF$1,RIGHT(BF$1,2),""),VLOOKUP($D318,素材!$1:$1016,COLUMN($F$1),FALSE))),VLOOKUP($C318,武器!$1:$998,COLUMN($O$1),FALSE)*VLOOKUP($D318,素材!$1:$1016,COLUMN($E$1),FALSE)/(LEN(VLOOKUP($D318,素材!$1:$1016,COLUMN($F$1),FALSE)) - LEN(SUBSTITUTE(VLOOKUP($D318,素材!$1:$1016,COLUMN($F$1),FALSE), "・", 0)) + 1), 0)</f>
        <v>0</v>
      </c>
      <c r="CM318">
        <f t="shared" si="36"/>
        <v>0</v>
      </c>
      <c r="CN318" s="22" t="str">
        <f>IF(E318="武器",IF(J318-1&gt;SUM(G318:I318),"盾",IF(MAX(G318:I318)=G318,"切断",IF(MAX(G318:I318)=H318,"貫通",IF(MAX(G318:I318)=I318,"打撃","射撃")))),E318)&amp;".webp"</f>
        <v>.webp</v>
      </c>
      <c r="CO318" t="str">
        <f>IFERROR(VLOOKUP($C318,武器!$1:$998,COLUMN(V$1),FALSE)*VLOOKUP($D318,素材!$1:$1016,COLUMN(N$1),FALSE)+IF(CJ318="",0,VLOOKUP($CJ318,装強!$1:$1008,COLUMN($CL$1),FALSE)),"")</f>
        <v/>
      </c>
      <c r="CP318" t="e">
        <f>VLOOKUP(D318,素材!$A:$O,COLUMN(素材!O$1),FALSE)</f>
        <v>#N/A</v>
      </c>
      <c r="CQ318" t="e">
        <f>VLOOKUP(C318,武器!$A:$W,COLUMN(武器!W$1),FALSE)</f>
        <v>#N/A</v>
      </c>
      <c r="CS318" t="str">
        <f t="shared" si="37"/>
        <v>e_318</v>
      </c>
      <c r="CT318" t="e">
        <f t="shared" si="38"/>
        <v>#VALUE!</v>
      </c>
    </row>
    <row r="319" spans="1:98" hidden="1" outlineLevel="1" x14ac:dyDescent="0.4">
      <c r="A319" t="str">
        <f>IF(CJ319="",D319&amp;"の"&amp;C319,CJ319&amp;"の"&amp;C319)</f>
        <v>の</v>
      </c>
      <c r="B319" t="str">
        <f>IFERROR(IF(CJ319="",VLOOKUP($D319,素材!$1:$1016,COLUMN($B$1),FALSE)&amp;"・"&amp;VLOOKUP($C319,武器!$1:$998,COLUMN(B$1),FALSE),VLOOKUP($CJ319,装強!$1:$1008,COLUMN($B$1),FALSE)&amp;"・"&amp;VLOOKUP($C319,武器!$1:$998,COLUMN(B$1),FALSE)),"")</f>
        <v/>
      </c>
      <c r="C319" s="24"/>
      <c r="D319" s="24"/>
      <c r="E319" t="str">
        <f>IFERROR(VLOOKUP(C319,武器!$1:$998,COLUMN(C$1),FALSE),"")</f>
        <v/>
      </c>
      <c r="F319" t="str">
        <f>IFERROR(ROUNDDOWN((VLOOKUP($C319,武器!$1:$998,COLUMN(D$1),FALSE)+IFERROR(VLOOKUP($CJ319,装強!$1:$999,COLUMN(F$1),FALSE),0))*VLOOKUP($D319,素材!$1:$1016,COLUMN(D$1),FALSE),0),"")</f>
        <v/>
      </c>
      <c r="G319" t="str">
        <f>IFERROR(ROUNDDOWN((VLOOKUP($C319,武器!$1:$998,COLUMN(E$1),FALSE)+IFERROR(VLOOKUP($CJ319,装強!$1:$999,COLUMN(G$1),FALSE),0))*VLOOKUP($D319,素材!$1:$1016,COLUMN($E$1),FALSE),0),"")</f>
        <v/>
      </c>
      <c r="H319" t="str">
        <f>IFERROR(ROUNDDOWN((VLOOKUP($C319,武器!$1:$998,COLUMN(F$1),FALSE)+IFERROR(VLOOKUP($CJ319,装強!$1:$999,COLUMN(H$1),FALSE),0))*VLOOKUP($D319,素材!$1:$1016,COLUMN($E$1),FALSE),0),"")</f>
        <v/>
      </c>
      <c r="I319" t="str">
        <f>IFERROR(ROUNDDOWN((VLOOKUP($C319,武器!$1:$998,COLUMN(G$1),FALSE)+IFERROR(VLOOKUP($CJ319,装強!$1:$999,COLUMN(I$1),FALSE),0))*VLOOKUP($D319,素材!$1:$1016,COLUMN($E$1),FALSE),0),"")</f>
        <v/>
      </c>
      <c r="J319" t="str">
        <f>IFERROR(ROUNDDOWN((VLOOKUP($C319,武器!$1:$998,COLUMN(H$1),FALSE)+IFERROR(VLOOKUP($CJ319,装強!$1:$999,COLUMN(J$1),FALSE),0))*VLOOKUP($D319,素材!$1:$1016,COLUMN($E$1),FALSE),0),"")</f>
        <v/>
      </c>
      <c r="K319" t="str">
        <f>IFERROR(ROUNDDOWN((VLOOKUP($C319,武器!$1:$998,COLUMN(I$1),FALSE)+IFERROR(VLOOKUP($CJ319,装強!$1:$999,COLUMN(K$1),FALSE),0))*VLOOKUP($D319,素材!$1:$1016,COLUMN($E$1),FALSE),0),"")</f>
        <v/>
      </c>
      <c r="L319" t="str">
        <f>IFERROR(VLOOKUP($D319,素材!$1:$1016,COLUMN($F$1),FALSE),"")</f>
        <v/>
      </c>
      <c r="M319" t="str">
        <f>IFERROR(VLOOKUP($C319,武器!$1:$998,COLUMN(AA$1),FALSE)*VLOOKUP($D319,素材!$1:$1016,COLUMN($G$1),FALSE),"")</f>
        <v/>
      </c>
      <c r="N319" t="str">
        <f>IFERROR(VLOOKUP($C319,武器!$1:$998,COLUMN(I$1),FALSE),"")</f>
        <v/>
      </c>
      <c r="O319" s="23" t="str">
        <f>IFERROR((VLOOKUP($C319,武器!$1:$998,COLUMN(K$1),FALSE)+VLOOKUP($D319,素材!$1:$1016,COLUMN(H$1),FALSE))*100+IFERROR(VLOOKUP($CJ319,装強!$1:$999,COLUMN(O$1),FALSE),0),"")</f>
        <v/>
      </c>
      <c r="P319" s="23" t="str">
        <f>IFERROR((VLOOKUP($C319,武器!$1:$998,COLUMN(L$1),FALSE)+VLOOKUP($D319,素材!$1:$1016,COLUMN(I$1),FALSE))*100+IFERROR(VLOOKUP($CJ319,装強!$1:$999,COLUMN(P$1),FALSE),0),"")</f>
        <v/>
      </c>
      <c r="Q319" t="str">
        <f>IFERROR(ROUNDUP(VLOOKUP($C319,武器!$1:$998,COLUMN(M$1),FALSE)*(VLOOKUP($D319,素材!$1:$1002,COLUMN(D$1),FALSE)/100),1),"")</f>
        <v/>
      </c>
      <c r="R319" t="str">
        <f>IFERROR(ROUNDUP(VLOOKUP($C319,武器!$1:$998,COLUMN(N$1),FALSE)*(VLOOKUP($D319,素材!$1:$1002,COLUMN(D$1),FALSE)/100),1),"")</f>
        <v/>
      </c>
      <c r="S319" t="str">
        <f>IFERROR(VLOOKUP($C319,武器!$1:$998,COLUMN(P$1),FALSE),"")</f>
        <v/>
      </c>
      <c r="T319" t="str">
        <f>IFERROR(VLOOKUP($C319,武器!$1:$998,COLUMN(Q$1),FALSE),"")</f>
        <v/>
      </c>
      <c r="U319" t="str">
        <f>IFERROR(VLOOKUP($C319,武器!$1:$998,COLUMN(R$1),FALSE),"")</f>
        <v/>
      </c>
      <c r="V319" t="str">
        <f>IFERROR(VLOOKUP($C319,武器!$1:$998,COLUMN(Q$1),FALSE),"")</f>
        <v/>
      </c>
      <c r="W319" t="str">
        <f>IFERROR(VLOOKUP($C319,武器!$1:$998,COLUMN(T$1),FALSE),"")</f>
        <v/>
      </c>
      <c r="Y319" t="str">
        <f>IFERROR(VLOOKUP($C319,武器!$1:$998,COLUMN(U$1),FALSE),"")</f>
        <v/>
      </c>
      <c r="Z319" t="str">
        <f>IFERROR(ROUNDUP(VLOOKUP($C319,武器!$1:$998,COLUMN(O$1),FALSE)*VLOOKUP($D319,素材!$1:$1016,COLUMN(E$1),FALSE),1),"")</f>
        <v/>
      </c>
      <c r="AA319">
        <f>IF(ISNUMBER(SEARCH(SUBSTITUTE(AA$1,RIGHT(AA$1,2),""),VLOOKUP($D319,素材!$1:$1016,COLUMN($F$1),FALSE))),VLOOKUP($C319,武器!$1:$998,COLUMN($O$1),FALSE)*VLOOKUP($D319,素材!$1:$1016,COLUMN($E$1),FALSE)/(LEN(VLOOKUP($D319,素材!$1:$1016,COLUMN($F$1),FALSE))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B319">
        <f>IF(ISNUMBER(SEARCH(SUBSTITUTE(AB$1,RIGHT(AB$1,2),""),VLOOKUP($D319,素材!$1:$1016,COLUMN($F$1),FALSE))),VLOOKUP($C319,武器!$1:$998,COLUMN($O$1),FALSE)*VLOOKUP($D319,素材!$1:$1016,COLUMN($E$1),FALSE)/(LEN(VLOOKUP($D319,素材!$1:$1016,COLUMN($F$1),FALSE))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C319">
        <f>IF(ISNUMBER(SEARCH(SUBSTITUTE(AC$1,RIGHT(AC$1,2),""),VLOOKUP($D319,素材!$1:$1016,COLUMN($F$1),FALSE))),VLOOKUP($C319,武器!$1:$998,COLUMN($O$1),FALSE)*VLOOKUP($D319,素材!$1:$1016,COLUMN($E$1),FALSE)/(LEN(VLOOKUP($D319,素材!$1:$1016,COLUMN($F$1),FALSE))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D319">
        <f>IF(ISNUMBER(SEARCH(SUBSTITUTE(AD$1,RIGHT(AD$1,2),""),VLOOKUP($D319,素材!$1:$1016,COLUMN($F$1),FALSE))),VLOOKUP($C319,武器!$1:$998,COLUMN($O$1),FALSE)*VLOOKUP($D319,素材!$1:$1016,COLUMN($E$1),FALSE)/(LEN(VLOOKUP($D319,素材!$1:$1016,COLUMN($F$1),FALSE))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E319">
        <f>IF(ISNUMBER(SEARCH(SUBSTITUTE(AE$1,RIGHT(AE$1,2),""),VLOOKUP($D319,素材!$1:$1016,COLUMN($F$1),FALSE))),VLOOKUP($C319,武器!$1:$998,COLUMN($O$1),FALSE)*VLOOKUP($D319,素材!$1:$1016,COLUMN($E$1),FALSE)/(LEN(VLOOKUP($D319,素材!$1:$1016,COLUMN($F$1),FALSE))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F319">
        <f>IF(ISNUMBER(SEARCH(SUBSTITUTE(AF$1,RIGHT(AF$1,2),""),VLOOKUP($D319,素材!$1:$1016,COLUMN($F$1),FALSE))),VLOOKUP($C319,武器!$1:$998,COLUMN($O$1),FALSE)*VLOOKUP($D319,素材!$1:$1016,COLUMN($E$1),FALSE)/(LEN(VLOOKUP($D319,素材!$1:$1016,COLUMN($F$1),FALSE))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G319">
        <f>IF(ISNUMBER(SEARCH(SUBSTITUTE(AG$1,RIGHT(AG$1,2),""),VLOOKUP($D319,素材!$1:$1016,COLUMN($F$1),FALSE))),VLOOKUP($C319,武器!$1:$998,COLUMN($O$1),FALSE)*VLOOKUP($D319,素材!$1:$1016,COLUMN($E$1),FALSE)/(LEN(VLOOKUP($D319,素材!$1:$1016,COLUMN($F$1),FALSE))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H319">
        <f>IF(ISNUMBER(SEARCH(SUBSTITUTE(AH$1,RIGHT(AH$1,2),""),VLOOKUP($D319,素材!$1:$1016,COLUMN($F$1),FALSE))),VLOOKUP($C319,武器!$1:$998,COLUMN($O$1),FALSE)*VLOOKUP($D319,素材!$1:$1016,COLUMN($E$1),FALSE)/(LEN(VLOOKUP($D319,素材!$1:$1016,COLUMN($F$1),FALSE))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I319">
        <f>IF(ISNUMBER(SEARCH(SUBSTITUTE(AI$1,RIGHT(AI$1,2),""),VLOOKUP($D319,素材!$1:$1016,COLUMN($F$1),FALSE))),VLOOKUP($C319,武器!$1:$998,COLUMN($O$1),FALSE)*VLOOKUP($D319,素材!$1:$1016,COLUMN($E$1),FALSE)/(LEN(VLOOKUP($D319,素材!$1:$1016,COLUMN($F$1),FALSE))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J319">
        <f>IF(ISNUMBER(SEARCH(SUBSTITUTE(AJ$1,RIGHT(AJ$1,2),""),VLOOKUP($D319,素材!$1:$1016,COLUMN($F$1),FALSE))),VLOOKUP($C319,武器!$1:$998,COLUMN($O$1),FALSE)*VLOOKUP($D319,素材!$1:$1016,COLUMN($E$1),FALSE)/(LEN(VLOOKUP($D319,素材!$1:$1016,COLUMN($F$1),FALSE))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K319">
        <f>IF(ISNUMBER(SEARCH(SUBSTITUTE(AK$1,RIGHT(AK$1,2),""),VLOOKUP($D319,素材!$1:$1016,COLUMN($F$1),FALSE))),VLOOKUP($C319,武器!$1:$998,COLUMN($O$1),FALSE)*VLOOKUP($D319,素材!$1:$1016,COLUMN($E$1),FALSE)/(LEN(VLOOKUP($D319,素材!$1:$1016,COLUMN($F$1),FALSE))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L319">
        <f>IF(ISNUMBER(SEARCH(SUBSTITUTE(AL$1,RIGHT(AL$1,2),""),VLOOKUP($D319,素材!$1:$1016,COLUMN($F$1),FALSE))),VLOOKUP($C319,武器!$1:$998,COLUMN($O$1),FALSE)*VLOOKUP($D319,素材!$1:$1016,COLUMN($E$1),FALSE)/(LEN(VLOOKUP($D319,素材!$1:$1016,COLUMN($F$1),FALSE))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M319">
        <f>IF(ISNUMBER(SEARCH(SUBSTITUTE(AM$1,RIGHT(AM$1,2),""),VLOOKUP($D319,素材!$1:$1016,COLUMN($F$1),FALSE))),VLOOKUP($C319,武器!$1:$998,COLUMN($O$1),FALSE)*VLOOKUP($D319,素材!$1:$1016,COLUMN($E$1),FALSE)/(LEN(VLOOKUP($D319,素材!$1:$1016,COLUMN($F$1),FALSE))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N319">
        <f>IF(ISNUMBER(SEARCH(SUBSTITUTE(AN$1,RIGHT(AN$1,2),""),VLOOKUP($D319,素材!$1:$1016,COLUMN($F$1),FALSE))),VLOOKUP($C319,武器!$1:$998,COLUMN($O$1),FALSE)*VLOOKUP($D319,素材!$1:$1016,COLUMN($E$1),FALSE)/(LEN(VLOOKUP($D319,素材!$1:$1016,COLUMN($F$1),FALSE))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O319">
        <f>IF(ISNUMBER(SEARCH(SUBSTITUTE(AO$1,RIGHT(AO$1,2),""),VLOOKUP($D319,素材!$1:$1016,COLUMN($F$1),FALSE))),VLOOKUP($C319,武器!$1:$998,COLUMN($O$1),FALSE)*VLOOKUP($D319,素材!$1:$1016,COLUMN($E$1),FALSE)/(LEN(VLOOKUP($D319,素材!$1:$1016,COLUMN($F$1),FALSE))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P319">
        <f>IF(ISNUMBER(SEARCH(SUBSTITUTE(AP$1,RIGHT(AP$1,2),""),VLOOKUP($D319,素材!$1:$1016,COLUMN($F$1),FALSE))),VLOOKUP($C319,武器!$1:$998,COLUMN($O$1),FALSE)*VLOOKUP($D319,素材!$1:$1016,COLUMN($E$1),FALSE)/(LEN(VLOOKUP($D319,素材!$1:$1016,COLUMN($F$1),FALSE))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Q319">
        <f>IF(ISNUMBER(SEARCH(SUBSTITUTE(AQ$1,RIGHT(AQ$1,2),""),VLOOKUP($D319,素材!$1:$1016,COLUMN($F$1),FALSE))),VLOOKUP($C319,武器!$1:$998,COLUMN($O$1),FALSE)*VLOOKUP($D319,素材!$1:$1016,COLUMN($E$1),FALSE)/(LEN(VLOOKUP($D319,素材!$1:$1016,COLUMN($F$1),FALSE))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R319">
        <f>IF(ISNUMBER(SEARCH(SUBSTITUTE(AR$1,RIGHT(AR$1,2),""),VLOOKUP($D319,素材!$1:$1016,COLUMN($F$1),FALSE))),VLOOKUP($C319,武器!$1:$998,COLUMN($O$1),FALSE)*VLOOKUP($D319,素材!$1:$1016,COLUMN($E$1),FALSE)/(LEN(VLOOKUP($D319,素材!$1:$1016,COLUMN($F$1),FALSE))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S319">
        <f>IF(ISNUMBER(SEARCH(SUBSTITUTE(AS$1,RIGHT(AS$1,2),""),VLOOKUP($D319,素材!$1:$1016,COLUMN($F$1),FALSE))),VLOOKUP($C319,武器!$1:$998,COLUMN($O$1),FALSE)*VLOOKUP($D319,素材!$1:$1016,COLUMN($E$1),FALSE)/(LEN(VLOOKUP($D319,素材!$1:$1016,COLUMN($F$1),FALSE))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T319">
        <f>IF(ISNUMBER(SEARCH(SUBSTITUTE(AT$1,RIGHT(AT$1,2),""),VLOOKUP($D319,素材!$1:$1016,COLUMN($F$1),FALSE))),VLOOKUP($C319,武器!$1:$998,COLUMN($O$1),FALSE)*VLOOKUP($D319,素材!$1:$1016,COLUMN($E$1),FALSE)/(LEN(VLOOKUP($D319,素材!$1:$1016,COLUMN($F$1),FALSE))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U319">
        <f>IF(ISNUMBER(SEARCH(SUBSTITUTE(AU$1,RIGHT(AU$1,2),""),VLOOKUP($D319,素材!$1:$1016,COLUMN($F$1),FALSE))),VLOOKUP($C319,武器!$1:$998,COLUMN($O$1),FALSE)*VLOOKUP($D319,素材!$1:$1016,COLUMN($E$1),FALSE)/(LEN(VLOOKUP($D319,素材!$1:$1016,COLUMN($F$1),FALSE))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V319">
        <f>IF(ISNUMBER(SEARCH(SUBSTITUTE(AV$1,RIGHT(AV$1,2),""),VLOOKUP($D319,素材!$1:$1016,COLUMN($F$1),FALSE))),VLOOKUP($C319,武器!$1:$998,COLUMN($O$1),FALSE)*VLOOKUP($D319,素材!$1:$1016,COLUMN($E$1),FALSE)/(LEN(VLOOKUP($D319,素材!$1:$1016,COLUMN($F$1),FALSE))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W319">
        <f>IF(ISNUMBER(SEARCH(SUBSTITUTE(AW$1,RIGHT(AW$1,2),""),VLOOKUP($D319,素材!$1:$1016,COLUMN($F$1),FALSE))),VLOOKUP($C319,武器!$1:$998,COLUMN($O$1),FALSE)*VLOOKUP($D319,素材!$1:$1016,COLUMN($E$1),FALSE)/(LEN(VLOOKUP($D319,素材!$1:$1016,COLUMN($F$1),FALSE))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X319">
        <f>IF(ISNUMBER(SEARCH(SUBSTITUTE(AX$1,RIGHT(AX$1,2),""),VLOOKUP($D319,素材!$1:$1016,COLUMN($F$1),FALSE))),VLOOKUP($C319,武器!$1:$998,COLUMN($O$1),FALSE)*VLOOKUP($D319,素材!$1:$1016,COLUMN($E$1),FALSE)/(LEN(VLOOKUP($D319,素材!$1:$1016,COLUMN($F$1),FALSE))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Y319">
        <f>IF(ISNUMBER(SEARCH(SUBSTITUTE(AY$1,RIGHT(AY$1,2),""),VLOOKUP($D319,素材!$1:$1016,COLUMN($F$1),FALSE))),VLOOKUP($C319,武器!$1:$998,COLUMN($O$1),FALSE)*VLOOKUP($D319,素材!$1:$1016,COLUMN($E$1),FALSE)/(LEN(VLOOKUP($D319,素材!$1:$1016,COLUMN($F$1),FALSE))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AZ319">
        <f>IF(ISNUMBER(SEARCH(SUBSTITUTE(AZ$1,RIGHT(AZ$1,2),""),VLOOKUP($D319,素材!$1:$1016,COLUMN($F$1),FALSE))),VLOOKUP($C319,武器!$1:$998,COLUMN($O$1),FALSE)*VLOOKUP($D319,素材!$1:$1016,COLUMN($E$1),FALSE)/(LEN(VLOOKUP($D319,素材!$1:$1016,COLUMN($F$1),FALSE))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BA319">
        <f>IF(ISNUMBER(SEARCH(SUBSTITUTE(BA$1,RIGHT(BA$1,2),""),VLOOKUP($D319,素材!$1:$1016,COLUMN($F$1),FALSE))),VLOOKUP($C319,武器!$1:$998,COLUMN($O$1),FALSE)*VLOOKUP($D319,素材!$1:$1016,COLUMN($E$1),FALSE)/(LEN(VLOOKUP($D319,素材!$1:$1016,COLUMN($F$1),FALSE))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BB319">
        <f>IF(ISNUMBER(SEARCH(SUBSTITUTE(BB$1,RIGHT(BB$1,2),""),VLOOKUP($D319,素材!$1:$1016,COLUMN($F$1),FALSE))),VLOOKUP($C319,武器!$1:$998,COLUMN($O$1),FALSE)*VLOOKUP($D319,素材!$1:$1016,COLUMN($E$1),FALSE)/(LEN(VLOOKUP($D319,素材!$1:$1016,COLUMN($F$1),FALSE))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BC319">
        <f>IF(ISNUMBER(SEARCH(SUBSTITUTE(BC$1,RIGHT(BC$1,2),""),VLOOKUP($D319,素材!$1:$1016,COLUMN($F$1),FALSE))),VLOOKUP($C319,武器!$1:$998,COLUMN($O$1),FALSE)*VLOOKUP($D319,素材!$1:$1016,COLUMN($E$1),FALSE)/(LEN(VLOOKUP($D319,素材!$1:$1016,COLUMN($F$1),FALSE))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BD319">
        <f>IF(ISNUMBER(SEARCH(SUBSTITUTE(BD$1,RIGHT(BD$1,2),""),VLOOKUP($D319,素材!$1:$1016,COLUMN($F$1),FALSE))),VLOOKUP($C319,武器!$1:$998,COLUMN($O$1),FALSE)*VLOOKUP($D319,素材!$1:$1016,COLUMN($E$1),FALSE)/(LEN(VLOOKUP($D319,素材!$1:$1016,COLUMN($F$1),FALSE))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BE319">
        <f>IF(ISNUMBER(SEARCH(SUBSTITUTE(BE$1,RIGHT(BE$1,2),""),VLOOKUP($D319,素材!$1:$1016,COLUMN($F$1),FALSE))),VLOOKUP($C319,武器!$1:$998,COLUMN($O$1),FALSE)*VLOOKUP($D319,素材!$1:$1016,COLUMN($E$1),FALSE)/(LEN(VLOOKUP($D319,素材!$1:$1016,COLUMN($F$1),FALSE))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BF319">
        <f>IF(ISNUMBER(SEARCH(SUBSTITUTE(BF$1,RIGHT(BF$1,2),""),VLOOKUP($D319,素材!$1:$1016,COLUMN($F$1),FALSE))),VLOOKUP($C319,武器!$1:$998,COLUMN($O$1),FALSE)*VLOOKUP($D319,素材!$1:$1016,COLUMN($E$1),FALSE)/(LEN(VLOOKUP($D319,素材!$1:$1016,COLUMN($F$1),FALSE)) - LEN(SUBSTITUTE(VLOOKUP($D319,素材!$1:$1016,COLUMN($F$1),FALSE), "・", 0)) + 1), 0)</f>
        <v>0</v>
      </c>
      <c r="CM319">
        <f t="shared" si="36"/>
        <v>0</v>
      </c>
      <c r="CN319" s="22" t="str">
        <f>IF(E319="武器",IF(J319-1&gt;SUM(G319:I319),"盾",IF(MAX(G319:I319)=G319,"切断",IF(MAX(G319:I319)=H319,"貫通",IF(MAX(G319:I319)=I319,"打撃","射撃")))),E319)&amp;".webp"</f>
        <v>.webp</v>
      </c>
      <c r="CO319" t="str">
        <f>IFERROR(VLOOKUP($C319,武器!$1:$998,COLUMN(V$1),FALSE)*VLOOKUP($D319,素材!$1:$1016,COLUMN(N$1),FALSE)+IF(CJ319="",0,VLOOKUP($CJ319,装強!$1:$1008,COLUMN($CL$1),FALSE)),"")</f>
        <v/>
      </c>
      <c r="CP319" t="e">
        <f>VLOOKUP(D319,素材!$A:$O,COLUMN(素材!O$1),FALSE)</f>
        <v>#N/A</v>
      </c>
      <c r="CQ319" t="e">
        <f>VLOOKUP(C319,武器!$A:$W,COLUMN(武器!W$1),FALSE)</f>
        <v>#N/A</v>
      </c>
      <c r="CS319" t="str">
        <f t="shared" si="37"/>
        <v>e_319</v>
      </c>
      <c r="CT319" t="e">
        <f t="shared" si="38"/>
        <v>#VALUE!</v>
      </c>
    </row>
    <row r="320" spans="1:98" hidden="1" outlineLevel="1" x14ac:dyDescent="0.4">
      <c r="A320" t="str">
        <f>IF(CJ320="",D320&amp;"の"&amp;C320,CJ320&amp;"の"&amp;C320)</f>
        <v>の</v>
      </c>
      <c r="B320" t="str">
        <f>IFERROR(IF(CJ320="",VLOOKUP($D320,素材!$1:$1016,COLUMN($B$1),FALSE)&amp;"・"&amp;VLOOKUP($C320,武器!$1:$998,COLUMN(B$1),FALSE),VLOOKUP($CJ320,装強!$1:$1008,COLUMN($B$1),FALSE)&amp;"・"&amp;VLOOKUP($C320,武器!$1:$998,COLUMN(B$1),FALSE)),"")</f>
        <v/>
      </c>
      <c r="C320" s="24"/>
      <c r="D320" s="24"/>
      <c r="E320" t="str">
        <f>IFERROR(VLOOKUP(C320,武器!$1:$998,COLUMN(C$1),FALSE),"")</f>
        <v/>
      </c>
      <c r="F320" t="str">
        <f>IFERROR(ROUNDDOWN((VLOOKUP($C320,武器!$1:$998,COLUMN(D$1),FALSE)+IFERROR(VLOOKUP($CJ320,装強!$1:$999,COLUMN(F$1),FALSE),0))*VLOOKUP($D320,素材!$1:$1016,COLUMN(D$1),FALSE),0),"")</f>
        <v/>
      </c>
      <c r="G320" t="str">
        <f>IFERROR(ROUNDDOWN((VLOOKUP($C320,武器!$1:$998,COLUMN(E$1),FALSE)+IFERROR(VLOOKUP($CJ320,装強!$1:$999,COLUMN(G$1),FALSE),0))*VLOOKUP($D320,素材!$1:$1016,COLUMN($E$1),FALSE),0),"")</f>
        <v/>
      </c>
      <c r="H320" t="str">
        <f>IFERROR(ROUNDDOWN((VLOOKUP($C320,武器!$1:$998,COLUMN(F$1),FALSE)+IFERROR(VLOOKUP($CJ320,装強!$1:$999,COLUMN(H$1),FALSE),0))*VLOOKUP($D320,素材!$1:$1016,COLUMN($E$1),FALSE),0),"")</f>
        <v/>
      </c>
      <c r="I320" t="str">
        <f>IFERROR(ROUNDDOWN((VLOOKUP($C320,武器!$1:$998,COLUMN(G$1),FALSE)+IFERROR(VLOOKUP($CJ320,装強!$1:$999,COLUMN(I$1),FALSE),0))*VLOOKUP($D320,素材!$1:$1016,COLUMN($E$1),FALSE),0),"")</f>
        <v/>
      </c>
      <c r="J320" t="str">
        <f>IFERROR(ROUNDDOWN((VLOOKUP($C320,武器!$1:$998,COLUMN(H$1),FALSE)+IFERROR(VLOOKUP($CJ320,装強!$1:$999,COLUMN(J$1),FALSE),0))*VLOOKUP($D320,素材!$1:$1016,COLUMN($E$1),FALSE),0),"")</f>
        <v/>
      </c>
      <c r="K320" t="str">
        <f>IFERROR(ROUNDDOWN((VLOOKUP($C320,武器!$1:$998,COLUMN(I$1),FALSE)+IFERROR(VLOOKUP($CJ320,装強!$1:$999,COLUMN(K$1),FALSE),0))*VLOOKUP($D320,素材!$1:$1016,COLUMN($E$1),FALSE),0),"")</f>
        <v/>
      </c>
      <c r="L320" t="str">
        <f>IFERROR(VLOOKUP($D320,素材!$1:$1016,COLUMN($F$1),FALSE),"")</f>
        <v/>
      </c>
      <c r="M320" t="str">
        <f>IFERROR(VLOOKUP($C320,武器!$1:$998,COLUMN(AA$1),FALSE)*VLOOKUP($D320,素材!$1:$1016,COLUMN($G$1),FALSE),"")</f>
        <v/>
      </c>
      <c r="N320" t="str">
        <f>IFERROR(VLOOKUP($C320,武器!$1:$998,COLUMN(I$1),FALSE),"")</f>
        <v/>
      </c>
      <c r="O320" s="23" t="str">
        <f>IFERROR((VLOOKUP($C320,武器!$1:$998,COLUMN(K$1),FALSE)+VLOOKUP($D320,素材!$1:$1016,COLUMN(H$1),FALSE))*100+IFERROR(VLOOKUP($CJ320,装強!$1:$999,COLUMN(O$1),FALSE),0),"")</f>
        <v/>
      </c>
      <c r="P320" s="23" t="str">
        <f>IFERROR((VLOOKUP($C320,武器!$1:$998,COLUMN(L$1),FALSE)+VLOOKUP($D320,素材!$1:$1016,COLUMN(I$1),FALSE))*100+IFERROR(VLOOKUP($CJ320,装強!$1:$999,COLUMN(P$1),FALSE),0),"")</f>
        <v/>
      </c>
      <c r="Q320" t="str">
        <f>IFERROR(ROUNDUP(VLOOKUP($C320,武器!$1:$998,COLUMN(M$1),FALSE)*(VLOOKUP($D320,素材!$1:$1002,COLUMN(D$1),FALSE)/100),1),"")</f>
        <v/>
      </c>
      <c r="R320" t="str">
        <f>IFERROR(ROUNDUP(VLOOKUP($C320,武器!$1:$998,COLUMN(N$1),FALSE)*(VLOOKUP($D320,素材!$1:$1002,COLUMN(D$1),FALSE)/100),1),"")</f>
        <v/>
      </c>
      <c r="S320" t="str">
        <f>IFERROR(VLOOKUP($C320,武器!$1:$998,COLUMN(P$1),FALSE),"")</f>
        <v/>
      </c>
      <c r="T320" t="str">
        <f>IFERROR(VLOOKUP($C320,武器!$1:$998,COLUMN(Q$1),FALSE),"")</f>
        <v/>
      </c>
      <c r="U320" t="str">
        <f>IFERROR(VLOOKUP($C320,武器!$1:$998,COLUMN(R$1),FALSE),"")</f>
        <v/>
      </c>
      <c r="V320" t="str">
        <f>IFERROR(VLOOKUP($C320,武器!$1:$998,COLUMN(Q$1),FALSE),"")</f>
        <v/>
      </c>
      <c r="W320" t="str">
        <f>IFERROR(VLOOKUP($C320,武器!$1:$998,COLUMN(T$1),FALSE),"")</f>
        <v/>
      </c>
      <c r="Y320" t="str">
        <f>IFERROR(VLOOKUP($C320,武器!$1:$998,COLUMN(U$1),FALSE),"")</f>
        <v/>
      </c>
      <c r="Z320" t="str">
        <f>IFERROR(ROUNDUP(VLOOKUP($C320,武器!$1:$998,COLUMN(O$1),FALSE)*VLOOKUP($D320,素材!$1:$1016,COLUMN(E$1),FALSE),1),"")</f>
        <v/>
      </c>
      <c r="AA320">
        <f>IF(ISNUMBER(SEARCH(SUBSTITUTE(AA$1,RIGHT(AA$1,2),""),VLOOKUP($D320,素材!$1:$1016,COLUMN($F$1),FALSE))),VLOOKUP($C320,武器!$1:$998,COLUMN($O$1),FALSE)*VLOOKUP($D320,素材!$1:$1016,COLUMN($E$1),FALSE)/(LEN(VLOOKUP($D320,素材!$1:$1016,COLUMN($F$1),FALSE))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B320">
        <f>IF(ISNUMBER(SEARCH(SUBSTITUTE(AB$1,RIGHT(AB$1,2),""),VLOOKUP($D320,素材!$1:$1016,COLUMN($F$1),FALSE))),VLOOKUP($C320,武器!$1:$998,COLUMN($O$1),FALSE)*VLOOKUP($D320,素材!$1:$1016,COLUMN($E$1),FALSE)/(LEN(VLOOKUP($D320,素材!$1:$1016,COLUMN($F$1),FALSE))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C320">
        <f>IF(ISNUMBER(SEARCH(SUBSTITUTE(AC$1,RIGHT(AC$1,2),""),VLOOKUP($D320,素材!$1:$1016,COLUMN($F$1),FALSE))),VLOOKUP($C320,武器!$1:$998,COLUMN($O$1),FALSE)*VLOOKUP($D320,素材!$1:$1016,COLUMN($E$1),FALSE)/(LEN(VLOOKUP($D320,素材!$1:$1016,COLUMN($F$1),FALSE))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D320">
        <f>IF(ISNUMBER(SEARCH(SUBSTITUTE(AD$1,RIGHT(AD$1,2),""),VLOOKUP($D320,素材!$1:$1016,COLUMN($F$1),FALSE))),VLOOKUP($C320,武器!$1:$998,COLUMN($O$1),FALSE)*VLOOKUP($D320,素材!$1:$1016,COLUMN($E$1),FALSE)/(LEN(VLOOKUP($D320,素材!$1:$1016,COLUMN($F$1),FALSE))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E320">
        <f>IF(ISNUMBER(SEARCH(SUBSTITUTE(AE$1,RIGHT(AE$1,2),""),VLOOKUP($D320,素材!$1:$1016,COLUMN($F$1),FALSE))),VLOOKUP($C320,武器!$1:$998,COLUMN($O$1),FALSE)*VLOOKUP($D320,素材!$1:$1016,COLUMN($E$1),FALSE)/(LEN(VLOOKUP($D320,素材!$1:$1016,COLUMN($F$1),FALSE))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F320">
        <f>IF(ISNUMBER(SEARCH(SUBSTITUTE(AF$1,RIGHT(AF$1,2),""),VLOOKUP($D320,素材!$1:$1016,COLUMN($F$1),FALSE))),VLOOKUP($C320,武器!$1:$998,COLUMN($O$1),FALSE)*VLOOKUP($D320,素材!$1:$1016,COLUMN($E$1),FALSE)/(LEN(VLOOKUP($D320,素材!$1:$1016,COLUMN($F$1),FALSE))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G320">
        <f>IF(ISNUMBER(SEARCH(SUBSTITUTE(AG$1,RIGHT(AG$1,2),""),VLOOKUP($D320,素材!$1:$1016,COLUMN($F$1),FALSE))),VLOOKUP($C320,武器!$1:$998,COLUMN($O$1),FALSE)*VLOOKUP($D320,素材!$1:$1016,COLUMN($E$1),FALSE)/(LEN(VLOOKUP($D320,素材!$1:$1016,COLUMN($F$1),FALSE))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H320">
        <f>IF(ISNUMBER(SEARCH(SUBSTITUTE(AH$1,RIGHT(AH$1,2),""),VLOOKUP($D320,素材!$1:$1016,COLUMN($F$1),FALSE))),VLOOKUP($C320,武器!$1:$998,COLUMN($O$1),FALSE)*VLOOKUP($D320,素材!$1:$1016,COLUMN($E$1),FALSE)/(LEN(VLOOKUP($D320,素材!$1:$1016,COLUMN($F$1),FALSE))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I320">
        <f>IF(ISNUMBER(SEARCH(SUBSTITUTE(AI$1,RIGHT(AI$1,2),""),VLOOKUP($D320,素材!$1:$1016,COLUMN($F$1),FALSE))),VLOOKUP($C320,武器!$1:$998,COLUMN($O$1),FALSE)*VLOOKUP($D320,素材!$1:$1016,COLUMN($E$1),FALSE)/(LEN(VLOOKUP($D320,素材!$1:$1016,COLUMN($F$1),FALSE))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J320">
        <f>IF(ISNUMBER(SEARCH(SUBSTITUTE(AJ$1,RIGHT(AJ$1,2),""),VLOOKUP($D320,素材!$1:$1016,COLUMN($F$1),FALSE))),VLOOKUP($C320,武器!$1:$998,COLUMN($O$1),FALSE)*VLOOKUP($D320,素材!$1:$1016,COLUMN($E$1),FALSE)/(LEN(VLOOKUP($D320,素材!$1:$1016,COLUMN($F$1),FALSE))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K320">
        <f>IF(ISNUMBER(SEARCH(SUBSTITUTE(AK$1,RIGHT(AK$1,2),""),VLOOKUP($D320,素材!$1:$1016,COLUMN($F$1),FALSE))),VLOOKUP($C320,武器!$1:$998,COLUMN($O$1),FALSE)*VLOOKUP($D320,素材!$1:$1016,COLUMN($E$1),FALSE)/(LEN(VLOOKUP($D320,素材!$1:$1016,COLUMN($F$1),FALSE))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L320">
        <f>IF(ISNUMBER(SEARCH(SUBSTITUTE(AL$1,RIGHT(AL$1,2),""),VLOOKUP($D320,素材!$1:$1016,COLUMN($F$1),FALSE))),VLOOKUP($C320,武器!$1:$998,COLUMN($O$1),FALSE)*VLOOKUP($D320,素材!$1:$1016,COLUMN($E$1),FALSE)/(LEN(VLOOKUP($D320,素材!$1:$1016,COLUMN($F$1),FALSE))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M320">
        <f>IF(ISNUMBER(SEARCH(SUBSTITUTE(AM$1,RIGHT(AM$1,2),""),VLOOKUP($D320,素材!$1:$1016,COLUMN($F$1),FALSE))),VLOOKUP($C320,武器!$1:$998,COLUMN($O$1),FALSE)*VLOOKUP($D320,素材!$1:$1016,COLUMN($E$1),FALSE)/(LEN(VLOOKUP($D320,素材!$1:$1016,COLUMN($F$1),FALSE))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N320">
        <f>IF(ISNUMBER(SEARCH(SUBSTITUTE(AN$1,RIGHT(AN$1,2),""),VLOOKUP($D320,素材!$1:$1016,COLUMN($F$1),FALSE))),VLOOKUP($C320,武器!$1:$998,COLUMN($O$1),FALSE)*VLOOKUP($D320,素材!$1:$1016,COLUMN($E$1),FALSE)/(LEN(VLOOKUP($D320,素材!$1:$1016,COLUMN($F$1),FALSE))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O320">
        <f>IF(ISNUMBER(SEARCH(SUBSTITUTE(AO$1,RIGHT(AO$1,2),""),VLOOKUP($D320,素材!$1:$1016,COLUMN($F$1),FALSE))),VLOOKUP($C320,武器!$1:$998,COLUMN($O$1),FALSE)*VLOOKUP($D320,素材!$1:$1016,COLUMN($E$1),FALSE)/(LEN(VLOOKUP($D320,素材!$1:$1016,COLUMN($F$1),FALSE))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P320">
        <f>IF(ISNUMBER(SEARCH(SUBSTITUTE(AP$1,RIGHT(AP$1,2),""),VLOOKUP($D320,素材!$1:$1016,COLUMN($F$1),FALSE))),VLOOKUP($C320,武器!$1:$998,COLUMN($O$1),FALSE)*VLOOKUP($D320,素材!$1:$1016,COLUMN($E$1),FALSE)/(LEN(VLOOKUP($D320,素材!$1:$1016,COLUMN($F$1),FALSE))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Q320">
        <f>IF(ISNUMBER(SEARCH(SUBSTITUTE(AQ$1,RIGHT(AQ$1,2),""),VLOOKUP($D320,素材!$1:$1016,COLUMN($F$1),FALSE))),VLOOKUP($C320,武器!$1:$998,COLUMN($O$1),FALSE)*VLOOKUP($D320,素材!$1:$1016,COLUMN($E$1),FALSE)/(LEN(VLOOKUP($D320,素材!$1:$1016,COLUMN($F$1),FALSE))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R320">
        <f>IF(ISNUMBER(SEARCH(SUBSTITUTE(AR$1,RIGHT(AR$1,2),""),VLOOKUP($D320,素材!$1:$1016,COLUMN($F$1),FALSE))),VLOOKUP($C320,武器!$1:$998,COLUMN($O$1),FALSE)*VLOOKUP($D320,素材!$1:$1016,COLUMN($E$1),FALSE)/(LEN(VLOOKUP($D320,素材!$1:$1016,COLUMN($F$1),FALSE))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S320">
        <f>IF(ISNUMBER(SEARCH(SUBSTITUTE(AS$1,RIGHT(AS$1,2),""),VLOOKUP($D320,素材!$1:$1016,COLUMN($F$1),FALSE))),VLOOKUP($C320,武器!$1:$998,COLUMN($O$1),FALSE)*VLOOKUP($D320,素材!$1:$1016,COLUMN($E$1),FALSE)/(LEN(VLOOKUP($D320,素材!$1:$1016,COLUMN($F$1),FALSE))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T320">
        <f>IF(ISNUMBER(SEARCH(SUBSTITUTE(AT$1,RIGHT(AT$1,2),""),VLOOKUP($D320,素材!$1:$1016,COLUMN($F$1),FALSE))),VLOOKUP($C320,武器!$1:$998,COLUMN($O$1),FALSE)*VLOOKUP($D320,素材!$1:$1016,COLUMN($E$1),FALSE)/(LEN(VLOOKUP($D320,素材!$1:$1016,COLUMN($F$1),FALSE))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U320">
        <f>IF(ISNUMBER(SEARCH(SUBSTITUTE(AU$1,RIGHT(AU$1,2),""),VLOOKUP($D320,素材!$1:$1016,COLUMN($F$1),FALSE))),VLOOKUP($C320,武器!$1:$998,COLUMN($O$1),FALSE)*VLOOKUP($D320,素材!$1:$1016,COLUMN($E$1),FALSE)/(LEN(VLOOKUP($D320,素材!$1:$1016,COLUMN($F$1),FALSE))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V320">
        <f>IF(ISNUMBER(SEARCH(SUBSTITUTE(AV$1,RIGHT(AV$1,2),""),VLOOKUP($D320,素材!$1:$1016,COLUMN($F$1),FALSE))),VLOOKUP($C320,武器!$1:$998,COLUMN($O$1),FALSE)*VLOOKUP($D320,素材!$1:$1016,COLUMN($E$1),FALSE)/(LEN(VLOOKUP($D320,素材!$1:$1016,COLUMN($F$1),FALSE))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W320">
        <f>IF(ISNUMBER(SEARCH(SUBSTITUTE(AW$1,RIGHT(AW$1,2),""),VLOOKUP($D320,素材!$1:$1016,COLUMN($F$1),FALSE))),VLOOKUP($C320,武器!$1:$998,COLUMN($O$1),FALSE)*VLOOKUP($D320,素材!$1:$1016,COLUMN($E$1),FALSE)/(LEN(VLOOKUP($D320,素材!$1:$1016,COLUMN($F$1),FALSE))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X320">
        <f>IF(ISNUMBER(SEARCH(SUBSTITUTE(AX$1,RIGHT(AX$1,2),""),VLOOKUP($D320,素材!$1:$1016,COLUMN($F$1),FALSE))),VLOOKUP($C320,武器!$1:$998,COLUMN($O$1),FALSE)*VLOOKUP($D320,素材!$1:$1016,COLUMN($E$1),FALSE)/(LEN(VLOOKUP($D320,素材!$1:$1016,COLUMN($F$1),FALSE))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Y320">
        <f>IF(ISNUMBER(SEARCH(SUBSTITUTE(AY$1,RIGHT(AY$1,2),""),VLOOKUP($D320,素材!$1:$1016,COLUMN($F$1),FALSE))),VLOOKUP($C320,武器!$1:$998,COLUMN($O$1),FALSE)*VLOOKUP($D320,素材!$1:$1016,COLUMN($E$1),FALSE)/(LEN(VLOOKUP($D320,素材!$1:$1016,COLUMN($F$1),FALSE))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AZ320">
        <f>IF(ISNUMBER(SEARCH(SUBSTITUTE(AZ$1,RIGHT(AZ$1,2),""),VLOOKUP($D320,素材!$1:$1016,COLUMN($F$1),FALSE))),VLOOKUP($C320,武器!$1:$998,COLUMN($O$1),FALSE)*VLOOKUP($D320,素材!$1:$1016,COLUMN($E$1),FALSE)/(LEN(VLOOKUP($D320,素材!$1:$1016,COLUMN($F$1),FALSE))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BA320">
        <f>IF(ISNUMBER(SEARCH(SUBSTITUTE(BA$1,RIGHT(BA$1,2),""),VLOOKUP($D320,素材!$1:$1016,COLUMN($F$1),FALSE))),VLOOKUP($C320,武器!$1:$998,COLUMN($O$1),FALSE)*VLOOKUP($D320,素材!$1:$1016,COLUMN($E$1),FALSE)/(LEN(VLOOKUP($D320,素材!$1:$1016,COLUMN($F$1),FALSE))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BB320">
        <f>IF(ISNUMBER(SEARCH(SUBSTITUTE(BB$1,RIGHT(BB$1,2),""),VLOOKUP($D320,素材!$1:$1016,COLUMN($F$1),FALSE))),VLOOKUP($C320,武器!$1:$998,COLUMN($O$1),FALSE)*VLOOKUP($D320,素材!$1:$1016,COLUMN($E$1),FALSE)/(LEN(VLOOKUP($D320,素材!$1:$1016,COLUMN($F$1),FALSE))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BC320">
        <f>IF(ISNUMBER(SEARCH(SUBSTITUTE(BC$1,RIGHT(BC$1,2),""),VLOOKUP($D320,素材!$1:$1016,COLUMN($F$1),FALSE))),VLOOKUP($C320,武器!$1:$998,COLUMN($O$1),FALSE)*VLOOKUP($D320,素材!$1:$1016,COLUMN($E$1),FALSE)/(LEN(VLOOKUP($D320,素材!$1:$1016,COLUMN($F$1),FALSE))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BD320">
        <f>IF(ISNUMBER(SEARCH(SUBSTITUTE(BD$1,RIGHT(BD$1,2),""),VLOOKUP($D320,素材!$1:$1016,COLUMN($F$1),FALSE))),VLOOKUP($C320,武器!$1:$998,COLUMN($O$1),FALSE)*VLOOKUP($D320,素材!$1:$1016,COLUMN($E$1),FALSE)/(LEN(VLOOKUP($D320,素材!$1:$1016,COLUMN($F$1),FALSE))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BE320">
        <f>IF(ISNUMBER(SEARCH(SUBSTITUTE(BE$1,RIGHT(BE$1,2),""),VLOOKUP($D320,素材!$1:$1016,COLUMN($F$1),FALSE))),VLOOKUP($C320,武器!$1:$998,COLUMN($O$1),FALSE)*VLOOKUP($D320,素材!$1:$1016,COLUMN($E$1),FALSE)/(LEN(VLOOKUP($D320,素材!$1:$1016,COLUMN($F$1),FALSE))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BF320">
        <f>IF(ISNUMBER(SEARCH(SUBSTITUTE(BF$1,RIGHT(BF$1,2),""),VLOOKUP($D320,素材!$1:$1016,COLUMN($F$1),FALSE))),VLOOKUP($C320,武器!$1:$998,COLUMN($O$1),FALSE)*VLOOKUP($D320,素材!$1:$1016,COLUMN($E$1),FALSE)/(LEN(VLOOKUP($D320,素材!$1:$1016,COLUMN($F$1),FALSE)) - LEN(SUBSTITUTE(VLOOKUP($D320,素材!$1:$1016,COLUMN($F$1),FALSE), "・", 0)) + 1), 0)</f>
        <v>0</v>
      </c>
      <c r="CM320">
        <f t="shared" si="36"/>
        <v>0</v>
      </c>
      <c r="CN320" s="22" t="str">
        <f>IF(E320="武器",IF(J320-1&gt;SUM(G320:I320),"盾",IF(MAX(G320:I320)=G320,"切断",IF(MAX(G320:I320)=H320,"貫通",IF(MAX(G320:I320)=I320,"打撃","射撃")))),E320)&amp;".webp"</f>
        <v>.webp</v>
      </c>
      <c r="CO320" t="str">
        <f>IFERROR(VLOOKUP($C320,武器!$1:$998,COLUMN(V$1),FALSE)*VLOOKUP($D320,素材!$1:$1016,COLUMN(N$1),FALSE)+IF(CJ320="",0,VLOOKUP($CJ320,装強!$1:$1008,COLUMN($CL$1),FALSE)),"")</f>
        <v/>
      </c>
      <c r="CP320" t="e">
        <f>VLOOKUP(D320,素材!$A:$O,COLUMN(素材!O$1),FALSE)</f>
        <v>#N/A</v>
      </c>
      <c r="CQ320" t="e">
        <f>VLOOKUP(C320,武器!$A:$W,COLUMN(武器!W$1),FALSE)</f>
        <v>#N/A</v>
      </c>
      <c r="CS320" t="str">
        <f t="shared" si="37"/>
        <v>e_320</v>
      </c>
      <c r="CT320" t="e">
        <f t="shared" si="38"/>
        <v>#VALUE!</v>
      </c>
    </row>
    <row r="321" spans="1:98" hidden="1" outlineLevel="1" x14ac:dyDescent="0.4">
      <c r="A321" t="str">
        <f>IF(CJ321="",D321&amp;"の"&amp;C321,CJ321&amp;"の"&amp;C321)</f>
        <v>の</v>
      </c>
      <c r="B321" t="str">
        <f>IFERROR(IF(CJ321="",VLOOKUP($D321,素材!$1:$1016,COLUMN($B$1),FALSE)&amp;"・"&amp;VLOOKUP($C321,武器!$1:$998,COLUMN(B$1),FALSE),VLOOKUP($CJ321,装強!$1:$1008,COLUMN($B$1),FALSE)&amp;"・"&amp;VLOOKUP($C321,武器!$1:$998,COLUMN(B$1),FALSE)),"")</f>
        <v/>
      </c>
      <c r="C321" s="24"/>
      <c r="D321" s="24"/>
      <c r="E321" t="str">
        <f>IFERROR(VLOOKUP(C321,武器!$1:$998,COLUMN(C$1),FALSE),"")</f>
        <v/>
      </c>
      <c r="F321" t="str">
        <f>IFERROR(ROUNDDOWN((VLOOKUP($C321,武器!$1:$998,COLUMN(D$1),FALSE)+IFERROR(VLOOKUP($CJ321,装強!$1:$999,COLUMN(F$1),FALSE),0))*VLOOKUP($D321,素材!$1:$1016,COLUMN(D$1),FALSE),0),"")</f>
        <v/>
      </c>
      <c r="G321" t="str">
        <f>IFERROR(ROUNDDOWN((VLOOKUP($C321,武器!$1:$998,COLUMN(E$1),FALSE)+IFERROR(VLOOKUP($CJ321,装強!$1:$999,COLUMN(G$1),FALSE),0))*VLOOKUP($D321,素材!$1:$1016,COLUMN($E$1),FALSE),0),"")</f>
        <v/>
      </c>
      <c r="H321" t="str">
        <f>IFERROR(ROUNDDOWN((VLOOKUP($C321,武器!$1:$998,COLUMN(F$1),FALSE)+IFERROR(VLOOKUP($CJ321,装強!$1:$999,COLUMN(H$1),FALSE),0))*VLOOKUP($D321,素材!$1:$1016,COLUMN($E$1),FALSE),0),"")</f>
        <v/>
      </c>
      <c r="I321" t="str">
        <f>IFERROR(ROUNDDOWN((VLOOKUP($C321,武器!$1:$998,COLUMN(G$1),FALSE)+IFERROR(VLOOKUP($CJ321,装強!$1:$999,COLUMN(I$1),FALSE),0))*VLOOKUP($D321,素材!$1:$1016,COLUMN($E$1),FALSE),0),"")</f>
        <v/>
      </c>
      <c r="J321" t="str">
        <f>IFERROR(ROUNDDOWN((VLOOKUP($C321,武器!$1:$998,COLUMN(H$1),FALSE)+IFERROR(VLOOKUP($CJ321,装強!$1:$999,COLUMN(J$1),FALSE),0))*VLOOKUP($D321,素材!$1:$1016,COLUMN($E$1),FALSE),0),"")</f>
        <v/>
      </c>
      <c r="K321" t="str">
        <f>IFERROR(ROUNDDOWN((VLOOKUP($C321,武器!$1:$998,COLUMN(I$1),FALSE)+IFERROR(VLOOKUP($CJ321,装強!$1:$999,COLUMN(K$1),FALSE),0))*VLOOKUP($D321,素材!$1:$1016,COLUMN($E$1),FALSE),0),"")</f>
        <v/>
      </c>
      <c r="L321" t="str">
        <f>IFERROR(VLOOKUP($D321,素材!$1:$1016,COLUMN($F$1),FALSE),"")</f>
        <v/>
      </c>
      <c r="M321" t="str">
        <f>IFERROR(VLOOKUP($C321,武器!$1:$998,COLUMN(AA$1),FALSE)*VLOOKUP($D321,素材!$1:$1016,COLUMN($G$1),FALSE),"")</f>
        <v/>
      </c>
      <c r="N321" t="str">
        <f>IFERROR(VLOOKUP($C321,武器!$1:$998,COLUMN(I$1),FALSE),"")</f>
        <v/>
      </c>
      <c r="O321" s="23" t="str">
        <f>IFERROR((VLOOKUP($C321,武器!$1:$998,COLUMN(K$1),FALSE)+VLOOKUP($D321,素材!$1:$1016,COLUMN(H$1),FALSE))*100+IFERROR(VLOOKUP($CJ321,装強!$1:$999,COLUMN(O$1),FALSE),0),"")</f>
        <v/>
      </c>
      <c r="P321" s="23" t="str">
        <f>IFERROR((VLOOKUP($C321,武器!$1:$998,COLUMN(L$1),FALSE)+VLOOKUP($D321,素材!$1:$1016,COLUMN(I$1),FALSE))*100+IFERROR(VLOOKUP($CJ321,装強!$1:$999,COLUMN(P$1),FALSE),0),"")</f>
        <v/>
      </c>
      <c r="Q321" t="str">
        <f>IFERROR(ROUNDUP(VLOOKUP($C321,武器!$1:$998,COLUMN(M$1),FALSE)*(VLOOKUP($D321,素材!$1:$1002,COLUMN(D$1),FALSE)/100),1),"")</f>
        <v/>
      </c>
      <c r="R321" t="str">
        <f>IFERROR(ROUNDUP(VLOOKUP($C321,武器!$1:$998,COLUMN(N$1),FALSE)*(VLOOKUP($D321,素材!$1:$1002,COLUMN(D$1),FALSE)/100),1),"")</f>
        <v/>
      </c>
      <c r="S321" t="str">
        <f>IFERROR(VLOOKUP($C321,武器!$1:$998,COLUMN(P$1),FALSE),"")</f>
        <v/>
      </c>
      <c r="T321" t="str">
        <f>IFERROR(VLOOKUP($C321,武器!$1:$998,COLUMN(Q$1),FALSE),"")</f>
        <v/>
      </c>
      <c r="U321" t="str">
        <f>IFERROR(VLOOKUP($C321,武器!$1:$998,COLUMN(R$1),FALSE),"")</f>
        <v/>
      </c>
      <c r="V321" t="str">
        <f>IFERROR(VLOOKUP($C321,武器!$1:$998,COLUMN(Q$1),FALSE),"")</f>
        <v/>
      </c>
      <c r="W321" t="str">
        <f>IFERROR(VLOOKUP($C321,武器!$1:$998,COLUMN(T$1),FALSE),"")</f>
        <v/>
      </c>
      <c r="Y321" t="str">
        <f>IFERROR(VLOOKUP($C321,武器!$1:$998,COLUMN(U$1),FALSE),"")</f>
        <v/>
      </c>
      <c r="Z321" t="str">
        <f>IFERROR(ROUNDUP(VLOOKUP($C321,武器!$1:$998,COLUMN(O$1),FALSE)*VLOOKUP($D321,素材!$1:$1016,COLUMN(E$1),FALSE),1),"")</f>
        <v/>
      </c>
      <c r="AA321">
        <f>IF(ISNUMBER(SEARCH(SUBSTITUTE(AA$1,RIGHT(AA$1,2),""),VLOOKUP($D321,素材!$1:$1016,COLUMN($F$1),FALSE))),VLOOKUP($C321,武器!$1:$998,COLUMN($O$1),FALSE)*VLOOKUP($D321,素材!$1:$1016,COLUMN($E$1),FALSE)/(LEN(VLOOKUP($D321,素材!$1:$1016,COLUMN($F$1),FALSE))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B321">
        <f>IF(ISNUMBER(SEARCH(SUBSTITUTE(AB$1,RIGHT(AB$1,2),""),VLOOKUP($D321,素材!$1:$1016,COLUMN($F$1),FALSE))),VLOOKUP($C321,武器!$1:$998,COLUMN($O$1),FALSE)*VLOOKUP($D321,素材!$1:$1016,COLUMN($E$1),FALSE)/(LEN(VLOOKUP($D321,素材!$1:$1016,COLUMN($F$1),FALSE))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C321">
        <f>IF(ISNUMBER(SEARCH(SUBSTITUTE(AC$1,RIGHT(AC$1,2),""),VLOOKUP($D321,素材!$1:$1016,COLUMN($F$1),FALSE))),VLOOKUP($C321,武器!$1:$998,COLUMN($O$1),FALSE)*VLOOKUP($D321,素材!$1:$1016,COLUMN($E$1),FALSE)/(LEN(VLOOKUP($D321,素材!$1:$1016,COLUMN($F$1),FALSE))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D321">
        <f>IF(ISNUMBER(SEARCH(SUBSTITUTE(AD$1,RIGHT(AD$1,2),""),VLOOKUP($D321,素材!$1:$1016,COLUMN($F$1),FALSE))),VLOOKUP($C321,武器!$1:$998,COLUMN($O$1),FALSE)*VLOOKUP($D321,素材!$1:$1016,COLUMN($E$1),FALSE)/(LEN(VLOOKUP($D321,素材!$1:$1016,COLUMN($F$1),FALSE))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E321">
        <f>IF(ISNUMBER(SEARCH(SUBSTITUTE(AE$1,RIGHT(AE$1,2),""),VLOOKUP($D321,素材!$1:$1016,COLUMN($F$1),FALSE))),VLOOKUP($C321,武器!$1:$998,COLUMN($O$1),FALSE)*VLOOKUP($D321,素材!$1:$1016,COLUMN($E$1),FALSE)/(LEN(VLOOKUP($D321,素材!$1:$1016,COLUMN($F$1),FALSE))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F321">
        <f>IF(ISNUMBER(SEARCH(SUBSTITUTE(AF$1,RIGHT(AF$1,2),""),VLOOKUP($D321,素材!$1:$1016,COLUMN($F$1),FALSE))),VLOOKUP($C321,武器!$1:$998,COLUMN($O$1),FALSE)*VLOOKUP($D321,素材!$1:$1016,COLUMN($E$1),FALSE)/(LEN(VLOOKUP($D321,素材!$1:$1016,COLUMN($F$1),FALSE))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G321">
        <f>IF(ISNUMBER(SEARCH(SUBSTITUTE(AG$1,RIGHT(AG$1,2),""),VLOOKUP($D321,素材!$1:$1016,COLUMN($F$1),FALSE))),VLOOKUP($C321,武器!$1:$998,COLUMN($O$1),FALSE)*VLOOKUP($D321,素材!$1:$1016,COLUMN($E$1),FALSE)/(LEN(VLOOKUP($D321,素材!$1:$1016,COLUMN($F$1),FALSE))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H321">
        <f>IF(ISNUMBER(SEARCH(SUBSTITUTE(AH$1,RIGHT(AH$1,2),""),VLOOKUP($D321,素材!$1:$1016,COLUMN($F$1),FALSE))),VLOOKUP($C321,武器!$1:$998,COLUMN($O$1),FALSE)*VLOOKUP($D321,素材!$1:$1016,COLUMN($E$1),FALSE)/(LEN(VLOOKUP($D321,素材!$1:$1016,COLUMN($F$1),FALSE))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I321">
        <f>IF(ISNUMBER(SEARCH(SUBSTITUTE(AI$1,RIGHT(AI$1,2),""),VLOOKUP($D321,素材!$1:$1016,COLUMN($F$1),FALSE))),VLOOKUP($C321,武器!$1:$998,COLUMN($O$1),FALSE)*VLOOKUP($D321,素材!$1:$1016,COLUMN($E$1),FALSE)/(LEN(VLOOKUP($D321,素材!$1:$1016,COLUMN($F$1),FALSE))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J321">
        <f>IF(ISNUMBER(SEARCH(SUBSTITUTE(AJ$1,RIGHT(AJ$1,2),""),VLOOKUP($D321,素材!$1:$1016,COLUMN($F$1),FALSE))),VLOOKUP($C321,武器!$1:$998,COLUMN($O$1),FALSE)*VLOOKUP($D321,素材!$1:$1016,COLUMN($E$1),FALSE)/(LEN(VLOOKUP($D321,素材!$1:$1016,COLUMN($F$1),FALSE))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K321">
        <f>IF(ISNUMBER(SEARCH(SUBSTITUTE(AK$1,RIGHT(AK$1,2),""),VLOOKUP($D321,素材!$1:$1016,COLUMN($F$1),FALSE))),VLOOKUP($C321,武器!$1:$998,COLUMN($O$1),FALSE)*VLOOKUP($D321,素材!$1:$1016,COLUMN($E$1),FALSE)/(LEN(VLOOKUP($D321,素材!$1:$1016,COLUMN($F$1),FALSE))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L321">
        <f>IF(ISNUMBER(SEARCH(SUBSTITUTE(AL$1,RIGHT(AL$1,2),""),VLOOKUP($D321,素材!$1:$1016,COLUMN($F$1),FALSE))),VLOOKUP($C321,武器!$1:$998,COLUMN($O$1),FALSE)*VLOOKUP($D321,素材!$1:$1016,COLUMN($E$1),FALSE)/(LEN(VLOOKUP($D321,素材!$1:$1016,COLUMN($F$1),FALSE))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M321">
        <f>IF(ISNUMBER(SEARCH(SUBSTITUTE(AM$1,RIGHT(AM$1,2),""),VLOOKUP($D321,素材!$1:$1016,COLUMN($F$1),FALSE))),VLOOKUP($C321,武器!$1:$998,COLUMN($O$1),FALSE)*VLOOKUP($D321,素材!$1:$1016,COLUMN($E$1),FALSE)/(LEN(VLOOKUP($D321,素材!$1:$1016,COLUMN($F$1),FALSE))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N321">
        <f>IF(ISNUMBER(SEARCH(SUBSTITUTE(AN$1,RIGHT(AN$1,2),""),VLOOKUP($D321,素材!$1:$1016,COLUMN($F$1),FALSE))),VLOOKUP($C321,武器!$1:$998,COLUMN($O$1),FALSE)*VLOOKUP($D321,素材!$1:$1016,COLUMN($E$1),FALSE)/(LEN(VLOOKUP($D321,素材!$1:$1016,COLUMN($F$1),FALSE))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O321">
        <f>IF(ISNUMBER(SEARCH(SUBSTITUTE(AO$1,RIGHT(AO$1,2),""),VLOOKUP($D321,素材!$1:$1016,COLUMN($F$1),FALSE))),VLOOKUP($C321,武器!$1:$998,COLUMN($O$1),FALSE)*VLOOKUP($D321,素材!$1:$1016,COLUMN($E$1),FALSE)/(LEN(VLOOKUP($D321,素材!$1:$1016,COLUMN($F$1),FALSE))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P321">
        <f>IF(ISNUMBER(SEARCH(SUBSTITUTE(AP$1,RIGHT(AP$1,2),""),VLOOKUP($D321,素材!$1:$1016,COLUMN($F$1),FALSE))),VLOOKUP($C321,武器!$1:$998,COLUMN($O$1),FALSE)*VLOOKUP($D321,素材!$1:$1016,COLUMN($E$1),FALSE)/(LEN(VLOOKUP($D321,素材!$1:$1016,COLUMN($F$1),FALSE))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Q321">
        <f>IF(ISNUMBER(SEARCH(SUBSTITUTE(AQ$1,RIGHT(AQ$1,2),""),VLOOKUP($D321,素材!$1:$1016,COLUMN($F$1),FALSE))),VLOOKUP($C321,武器!$1:$998,COLUMN($O$1),FALSE)*VLOOKUP($D321,素材!$1:$1016,COLUMN($E$1),FALSE)/(LEN(VLOOKUP($D321,素材!$1:$1016,COLUMN($F$1),FALSE))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R321">
        <f>IF(ISNUMBER(SEARCH(SUBSTITUTE(AR$1,RIGHT(AR$1,2),""),VLOOKUP($D321,素材!$1:$1016,COLUMN($F$1),FALSE))),VLOOKUP($C321,武器!$1:$998,COLUMN($O$1),FALSE)*VLOOKUP($D321,素材!$1:$1016,COLUMN($E$1),FALSE)/(LEN(VLOOKUP($D321,素材!$1:$1016,COLUMN($F$1),FALSE))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S321">
        <f>IF(ISNUMBER(SEARCH(SUBSTITUTE(AS$1,RIGHT(AS$1,2),""),VLOOKUP($D321,素材!$1:$1016,COLUMN($F$1),FALSE))),VLOOKUP($C321,武器!$1:$998,COLUMN($O$1),FALSE)*VLOOKUP($D321,素材!$1:$1016,COLUMN($E$1),FALSE)/(LEN(VLOOKUP($D321,素材!$1:$1016,COLUMN($F$1),FALSE))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T321">
        <f>IF(ISNUMBER(SEARCH(SUBSTITUTE(AT$1,RIGHT(AT$1,2),""),VLOOKUP($D321,素材!$1:$1016,COLUMN($F$1),FALSE))),VLOOKUP($C321,武器!$1:$998,COLUMN($O$1),FALSE)*VLOOKUP($D321,素材!$1:$1016,COLUMN($E$1),FALSE)/(LEN(VLOOKUP($D321,素材!$1:$1016,COLUMN($F$1),FALSE))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U321">
        <f>IF(ISNUMBER(SEARCH(SUBSTITUTE(AU$1,RIGHT(AU$1,2),""),VLOOKUP($D321,素材!$1:$1016,COLUMN($F$1),FALSE))),VLOOKUP($C321,武器!$1:$998,COLUMN($O$1),FALSE)*VLOOKUP($D321,素材!$1:$1016,COLUMN($E$1),FALSE)/(LEN(VLOOKUP($D321,素材!$1:$1016,COLUMN($F$1),FALSE))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V321">
        <f>IF(ISNUMBER(SEARCH(SUBSTITUTE(AV$1,RIGHT(AV$1,2),""),VLOOKUP($D321,素材!$1:$1016,COLUMN($F$1),FALSE))),VLOOKUP($C321,武器!$1:$998,COLUMN($O$1),FALSE)*VLOOKUP($D321,素材!$1:$1016,COLUMN($E$1),FALSE)/(LEN(VLOOKUP($D321,素材!$1:$1016,COLUMN($F$1),FALSE))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W321">
        <f>IF(ISNUMBER(SEARCH(SUBSTITUTE(AW$1,RIGHT(AW$1,2),""),VLOOKUP($D321,素材!$1:$1016,COLUMN($F$1),FALSE))),VLOOKUP($C321,武器!$1:$998,COLUMN($O$1),FALSE)*VLOOKUP($D321,素材!$1:$1016,COLUMN($E$1),FALSE)/(LEN(VLOOKUP($D321,素材!$1:$1016,COLUMN($F$1),FALSE))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X321">
        <f>IF(ISNUMBER(SEARCH(SUBSTITUTE(AX$1,RIGHT(AX$1,2),""),VLOOKUP($D321,素材!$1:$1016,COLUMN($F$1),FALSE))),VLOOKUP($C321,武器!$1:$998,COLUMN($O$1),FALSE)*VLOOKUP($D321,素材!$1:$1016,COLUMN($E$1),FALSE)/(LEN(VLOOKUP($D321,素材!$1:$1016,COLUMN($F$1),FALSE))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Y321">
        <f>IF(ISNUMBER(SEARCH(SUBSTITUTE(AY$1,RIGHT(AY$1,2),""),VLOOKUP($D321,素材!$1:$1016,COLUMN($F$1),FALSE))),VLOOKUP($C321,武器!$1:$998,COLUMN($O$1),FALSE)*VLOOKUP($D321,素材!$1:$1016,COLUMN($E$1),FALSE)/(LEN(VLOOKUP($D321,素材!$1:$1016,COLUMN($F$1),FALSE))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AZ321">
        <f>IF(ISNUMBER(SEARCH(SUBSTITUTE(AZ$1,RIGHT(AZ$1,2),""),VLOOKUP($D321,素材!$1:$1016,COLUMN($F$1),FALSE))),VLOOKUP($C321,武器!$1:$998,COLUMN($O$1),FALSE)*VLOOKUP($D321,素材!$1:$1016,COLUMN($E$1),FALSE)/(LEN(VLOOKUP($D321,素材!$1:$1016,COLUMN($F$1),FALSE))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BA321">
        <f>IF(ISNUMBER(SEARCH(SUBSTITUTE(BA$1,RIGHT(BA$1,2),""),VLOOKUP($D321,素材!$1:$1016,COLUMN($F$1),FALSE))),VLOOKUP($C321,武器!$1:$998,COLUMN($O$1),FALSE)*VLOOKUP($D321,素材!$1:$1016,COLUMN($E$1),FALSE)/(LEN(VLOOKUP($D321,素材!$1:$1016,COLUMN($F$1),FALSE))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BB321">
        <f>IF(ISNUMBER(SEARCH(SUBSTITUTE(BB$1,RIGHT(BB$1,2),""),VLOOKUP($D321,素材!$1:$1016,COLUMN($F$1),FALSE))),VLOOKUP($C321,武器!$1:$998,COLUMN($O$1),FALSE)*VLOOKUP($D321,素材!$1:$1016,COLUMN($E$1),FALSE)/(LEN(VLOOKUP($D321,素材!$1:$1016,COLUMN($F$1),FALSE))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BC321">
        <f>IF(ISNUMBER(SEARCH(SUBSTITUTE(BC$1,RIGHT(BC$1,2),""),VLOOKUP($D321,素材!$1:$1016,COLUMN($F$1),FALSE))),VLOOKUP($C321,武器!$1:$998,COLUMN($O$1),FALSE)*VLOOKUP($D321,素材!$1:$1016,COLUMN($E$1),FALSE)/(LEN(VLOOKUP($D321,素材!$1:$1016,COLUMN($F$1),FALSE))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BD321">
        <f>IF(ISNUMBER(SEARCH(SUBSTITUTE(BD$1,RIGHT(BD$1,2),""),VLOOKUP($D321,素材!$1:$1016,COLUMN($F$1),FALSE))),VLOOKUP($C321,武器!$1:$998,COLUMN($O$1),FALSE)*VLOOKUP($D321,素材!$1:$1016,COLUMN($E$1),FALSE)/(LEN(VLOOKUP($D321,素材!$1:$1016,COLUMN($F$1),FALSE))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BE321">
        <f>IF(ISNUMBER(SEARCH(SUBSTITUTE(BE$1,RIGHT(BE$1,2),""),VLOOKUP($D321,素材!$1:$1016,COLUMN($F$1),FALSE))),VLOOKUP($C321,武器!$1:$998,COLUMN($O$1),FALSE)*VLOOKUP($D321,素材!$1:$1016,COLUMN($E$1),FALSE)/(LEN(VLOOKUP($D321,素材!$1:$1016,COLUMN($F$1),FALSE))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BF321">
        <f>IF(ISNUMBER(SEARCH(SUBSTITUTE(BF$1,RIGHT(BF$1,2),""),VLOOKUP($D321,素材!$1:$1016,COLUMN($F$1),FALSE))),VLOOKUP($C321,武器!$1:$998,COLUMN($O$1),FALSE)*VLOOKUP($D321,素材!$1:$1016,COLUMN($E$1),FALSE)/(LEN(VLOOKUP($D321,素材!$1:$1016,COLUMN($F$1),FALSE)) - LEN(SUBSTITUTE(VLOOKUP($D321,素材!$1:$1016,COLUMN($F$1),FALSE), "・", 0)) + 1), 0)</f>
        <v>0</v>
      </c>
      <c r="CM321">
        <f t="shared" si="36"/>
        <v>0</v>
      </c>
      <c r="CN321" s="22" t="str">
        <f>IF(E321="武器",IF(J321-1&gt;SUM(G321:I321),"盾",IF(MAX(G321:I321)=G321,"切断",IF(MAX(G321:I321)=H321,"貫通",IF(MAX(G321:I321)=I321,"打撃","射撃")))),E321)&amp;".webp"</f>
        <v>.webp</v>
      </c>
      <c r="CO321" t="str">
        <f>IFERROR(VLOOKUP($C321,武器!$1:$998,COLUMN(V$1),FALSE)*VLOOKUP($D321,素材!$1:$1016,COLUMN(N$1),FALSE)+IF(CJ321="",0,VLOOKUP($CJ321,装強!$1:$1008,COLUMN($CL$1),FALSE)),"")</f>
        <v/>
      </c>
      <c r="CP321" t="e">
        <f>VLOOKUP(D321,素材!$A:$O,COLUMN(素材!O$1),FALSE)</f>
        <v>#N/A</v>
      </c>
      <c r="CQ321" t="e">
        <f>VLOOKUP(C321,武器!$A:$W,COLUMN(武器!W$1),FALSE)</f>
        <v>#N/A</v>
      </c>
      <c r="CS321" t="str">
        <f t="shared" si="37"/>
        <v>e_321</v>
      </c>
      <c r="CT321" t="e">
        <f t="shared" si="38"/>
        <v>#VALUE!</v>
      </c>
    </row>
    <row r="322" spans="1:98" hidden="1" outlineLevel="1" x14ac:dyDescent="0.4">
      <c r="A322" t="str">
        <f>IF(CJ322="",D322&amp;"の"&amp;C322,CJ322&amp;"の"&amp;C322)</f>
        <v>の</v>
      </c>
      <c r="B322" t="str">
        <f>IFERROR(IF(CJ322="",VLOOKUP($D322,素材!$1:$1016,COLUMN($B$1),FALSE)&amp;"・"&amp;VLOOKUP($C322,武器!$1:$998,COLUMN(B$1),FALSE),VLOOKUP($CJ322,装強!$1:$1008,COLUMN($B$1),FALSE)&amp;"・"&amp;VLOOKUP($C322,武器!$1:$998,COLUMN(B$1),FALSE)),"")</f>
        <v/>
      </c>
      <c r="C322" s="24"/>
      <c r="D322" s="24"/>
      <c r="E322" t="str">
        <f>IFERROR(VLOOKUP(C322,武器!$1:$998,COLUMN(C$1),FALSE),"")</f>
        <v/>
      </c>
      <c r="F322" t="str">
        <f>IFERROR(ROUNDDOWN((VLOOKUP($C322,武器!$1:$998,COLUMN(D$1),FALSE)+IFERROR(VLOOKUP($CJ322,装強!$1:$999,COLUMN(F$1),FALSE),0))*VLOOKUP($D322,素材!$1:$1016,COLUMN(D$1),FALSE),0),"")</f>
        <v/>
      </c>
      <c r="G322" t="str">
        <f>IFERROR(ROUNDDOWN((VLOOKUP($C322,武器!$1:$998,COLUMN(E$1),FALSE)+IFERROR(VLOOKUP($CJ322,装強!$1:$999,COLUMN(G$1),FALSE),0))*VLOOKUP($D322,素材!$1:$1016,COLUMN($E$1),FALSE),0),"")</f>
        <v/>
      </c>
      <c r="H322" t="str">
        <f>IFERROR(ROUNDDOWN((VLOOKUP($C322,武器!$1:$998,COLUMN(F$1),FALSE)+IFERROR(VLOOKUP($CJ322,装強!$1:$999,COLUMN(H$1),FALSE),0))*VLOOKUP($D322,素材!$1:$1016,COLUMN($E$1),FALSE),0),"")</f>
        <v/>
      </c>
      <c r="I322" t="str">
        <f>IFERROR(ROUNDDOWN((VLOOKUP($C322,武器!$1:$998,COLUMN(G$1),FALSE)+IFERROR(VLOOKUP($CJ322,装強!$1:$999,COLUMN(I$1),FALSE),0))*VLOOKUP($D322,素材!$1:$1016,COLUMN($E$1),FALSE),0),"")</f>
        <v/>
      </c>
      <c r="J322" t="str">
        <f>IFERROR(ROUNDDOWN((VLOOKUP($C322,武器!$1:$998,COLUMN(H$1),FALSE)+IFERROR(VLOOKUP($CJ322,装強!$1:$999,COLUMN(J$1),FALSE),0))*VLOOKUP($D322,素材!$1:$1016,COLUMN($E$1),FALSE),0),"")</f>
        <v/>
      </c>
      <c r="K322" t="str">
        <f>IFERROR(ROUNDDOWN((VLOOKUP($C322,武器!$1:$998,COLUMN(I$1),FALSE)+IFERROR(VLOOKUP($CJ322,装強!$1:$999,COLUMN(K$1),FALSE),0))*VLOOKUP($D322,素材!$1:$1016,COLUMN($E$1),FALSE),0),"")</f>
        <v/>
      </c>
      <c r="L322" t="str">
        <f>IFERROR(VLOOKUP($D322,素材!$1:$1016,COLUMN($F$1),FALSE),"")</f>
        <v/>
      </c>
      <c r="M322" t="str">
        <f>IFERROR(VLOOKUP($C322,武器!$1:$998,COLUMN(AA$1),FALSE)*VLOOKUP($D322,素材!$1:$1016,COLUMN($G$1),FALSE),"")</f>
        <v/>
      </c>
      <c r="N322" t="str">
        <f>IFERROR(VLOOKUP($C322,武器!$1:$998,COLUMN(I$1),FALSE),"")</f>
        <v/>
      </c>
      <c r="O322" s="23" t="str">
        <f>IFERROR((VLOOKUP($C322,武器!$1:$998,COLUMN(K$1),FALSE)+VLOOKUP($D322,素材!$1:$1016,COLUMN(H$1),FALSE))*100+IFERROR(VLOOKUP($CJ322,装強!$1:$999,COLUMN(O$1),FALSE),0),"")</f>
        <v/>
      </c>
      <c r="P322" s="23" t="str">
        <f>IFERROR((VLOOKUP($C322,武器!$1:$998,COLUMN(L$1),FALSE)+VLOOKUP($D322,素材!$1:$1016,COLUMN(I$1),FALSE))*100+IFERROR(VLOOKUP($CJ322,装強!$1:$999,COLUMN(P$1),FALSE),0),"")</f>
        <v/>
      </c>
      <c r="Q322" t="str">
        <f>IFERROR(ROUNDUP(VLOOKUP($C322,武器!$1:$998,COLUMN(M$1),FALSE)*(VLOOKUP($D322,素材!$1:$1002,COLUMN(D$1),FALSE)/100),1),"")</f>
        <v/>
      </c>
      <c r="R322" t="str">
        <f>IFERROR(ROUNDUP(VLOOKUP($C322,武器!$1:$998,COLUMN(N$1),FALSE)*(VLOOKUP($D322,素材!$1:$1002,COLUMN(D$1),FALSE)/100),1),"")</f>
        <v/>
      </c>
      <c r="S322" t="str">
        <f>IFERROR(VLOOKUP($C322,武器!$1:$998,COLUMN(P$1),FALSE),"")</f>
        <v/>
      </c>
      <c r="T322" t="str">
        <f>IFERROR(VLOOKUP($C322,武器!$1:$998,COLUMN(Q$1),FALSE),"")</f>
        <v/>
      </c>
      <c r="U322" t="str">
        <f>IFERROR(VLOOKUP($C322,武器!$1:$998,COLUMN(R$1),FALSE),"")</f>
        <v/>
      </c>
      <c r="V322" t="str">
        <f>IFERROR(VLOOKUP($C322,武器!$1:$998,COLUMN(Q$1),FALSE),"")</f>
        <v/>
      </c>
      <c r="W322" t="str">
        <f>IFERROR(VLOOKUP($C322,武器!$1:$998,COLUMN(T$1),FALSE),"")</f>
        <v/>
      </c>
      <c r="Y322" t="str">
        <f>IFERROR(VLOOKUP($C322,武器!$1:$998,COLUMN(U$1),FALSE),"")</f>
        <v/>
      </c>
      <c r="Z322" t="str">
        <f>IFERROR(ROUNDUP(VLOOKUP($C322,武器!$1:$998,COLUMN(O$1),FALSE)*VLOOKUP($D322,素材!$1:$1016,COLUMN(E$1),FALSE),1),"")</f>
        <v/>
      </c>
      <c r="AA322">
        <f>IF(ISNUMBER(SEARCH(SUBSTITUTE(AA$1,RIGHT(AA$1,2),""),VLOOKUP($D322,素材!$1:$1016,COLUMN($F$1),FALSE))),VLOOKUP($C322,武器!$1:$998,COLUMN($O$1),FALSE)*VLOOKUP($D322,素材!$1:$1016,COLUMN($E$1),FALSE)/(LEN(VLOOKUP($D322,素材!$1:$1016,COLUMN($F$1),FALSE))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B322">
        <f>IF(ISNUMBER(SEARCH(SUBSTITUTE(AB$1,RIGHT(AB$1,2),""),VLOOKUP($D322,素材!$1:$1016,COLUMN($F$1),FALSE))),VLOOKUP($C322,武器!$1:$998,COLUMN($O$1),FALSE)*VLOOKUP($D322,素材!$1:$1016,COLUMN($E$1),FALSE)/(LEN(VLOOKUP($D322,素材!$1:$1016,COLUMN($F$1),FALSE))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C322">
        <f>IF(ISNUMBER(SEARCH(SUBSTITUTE(AC$1,RIGHT(AC$1,2),""),VLOOKUP($D322,素材!$1:$1016,COLUMN($F$1),FALSE))),VLOOKUP($C322,武器!$1:$998,COLUMN($O$1),FALSE)*VLOOKUP($D322,素材!$1:$1016,COLUMN($E$1),FALSE)/(LEN(VLOOKUP($D322,素材!$1:$1016,COLUMN($F$1),FALSE))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D322">
        <f>IF(ISNUMBER(SEARCH(SUBSTITUTE(AD$1,RIGHT(AD$1,2),""),VLOOKUP($D322,素材!$1:$1016,COLUMN($F$1),FALSE))),VLOOKUP($C322,武器!$1:$998,COLUMN($O$1),FALSE)*VLOOKUP($D322,素材!$1:$1016,COLUMN($E$1),FALSE)/(LEN(VLOOKUP($D322,素材!$1:$1016,COLUMN($F$1),FALSE))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E322">
        <f>IF(ISNUMBER(SEARCH(SUBSTITUTE(AE$1,RIGHT(AE$1,2),""),VLOOKUP($D322,素材!$1:$1016,COLUMN($F$1),FALSE))),VLOOKUP($C322,武器!$1:$998,COLUMN($O$1),FALSE)*VLOOKUP($D322,素材!$1:$1016,COLUMN($E$1),FALSE)/(LEN(VLOOKUP($D322,素材!$1:$1016,COLUMN($F$1),FALSE))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F322">
        <f>IF(ISNUMBER(SEARCH(SUBSTITUTE(AF$1,RIGHT(AF$1,2),""),VLOOKUP($D322,素材!$1:$1016,COLUMN($F$1),FALSE))),VLOOKUP($C322,武器!$1:$998,COLUMN($O$1),FALSE)*VLOOKUP($D322,素材!$1:$1016,COLUMN($E$1),FALSE)/(LEN(VLOOKUP($D322,素材!$1:$1016,COLUMN($F$1),FALSE))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G322">
        <f>IF(ISNUMBER(SEARCH(SUBSTITUTE(AG$1,RIGHT(AG$1,2),""),VLOOKUP($D322,素材!$1:$1016,COLUMN($F$1),FALSE))),VLOOKUP($C322,武器!$1:$998,COLUMN($O$1),FALSE)*VLOOKUP($D322,素材!$1:$1016,COLUMN($E$1),FALSE)/(LEN(VLOOKUP($D322,素材!$1:$1016,COLUMN($F$1),FALSE))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H322">
        <f>IF(ISNUMBER(SEARCH(SUBSTITUTE(AH$1,RIGHT(AH$1,2),""),VLOOKUP($D322,素材!$1:$1016,COLUMN($F$1),FALSE))),VLOOKUP($C322,武器!$1:$998,COLUMN($O$1),FALSE)*VLOOKUP($D322,素材!$1:$1016,COLUMN($E$1),FALSE)/(LEN(VLOOKUP($D322,素材!$1:$1016,COLUMN($F$1),FALSE))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I322">
        <f>IF(ISNUMBER(SEARCH(SUBSTITUTE(AI$1,RIGHT(AI$1,2),""),VLOOKUP($D322,素材!$1:$1016,COLUMN($F$1),FALSE))),VLOOKUP($C322,武器!$1:$998,COLUMN($O$1),FALSE)*VLOOKUP($D322,素材!$1:$1016,COLUMN($E$1),FALSE)/(LEN(VLOOKUP($D322,素材!$1:$1016,COLUMN($F$1),FALSE))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J322">
        <f>IF(ISNUMBER(SEARCH(SUBSTITUTE(AJ$1,RIGHT(AJ$1,2),""),VLOOKUP($D322,素材!$1:$1016,COLUMN($F$1),FALSE))),VLOOKUP($C322,武器!$1:$998,COLUMN($O$1),FALSE)*VLOOKUP($D322,素材!$1:$1016,COLUMN($E$1),FALSE)/(LEN(VLOOKUP($D322,素材!$1:$1016,COLUMN($F$1),FALSE))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K322">
        <f>IF(ISNUMBER(SEARCH(SUBSTITUTE(AK$1,RIGHT(AK$1,2),""),VLOOKUP($D322,素材!$1:$1016,COLUMN($F$1),FALSE))),VLOOKUP($C322,武器!$1:$998,COLUMN($O$1),FALSE)*VLOOKUP($D322,素材!$1:$1016,COLUMN($E$1),FALSE)/(LEN(VLOOKUP($D322,素材!$1:$1016,COLUMN($F$1),FALSE))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L322">
        <f>IF(ISNUMBER(SEARCH(SUBSTITUTE(AL$1,RIGHT(AL$1,2),""),VLOOKUP($D322,素材!$1:$1016,COLUMN($F$1),FALSE))),VLOOKUP($C322,武器!$1:$998,COLUMN($O$1),FALSE)*VLOOKUP($D322,素材!$1:$1016,COLUMN($E$1),FALSE)/(LEN(VLOOKUP($D322,素材!$1:$1016,COLUMN($F$1),FALSE))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M322">
        <f>IF(ISNUMBER(SEARCH(SUBSTITUTE(AM$1,RIGHT(AM$1,2),""),VLOOKUP($D322,素材!$1:$1016,COLUMN($F$1),FALSE))),VLOOKUP($C322,武器!$1:$998,COLUMN($O$1),FALSE)*VLOOKUP($D322,素材!$1:$1016,COLUMN($E$1),FALSE)/(LEN(VLOOKUP($D322,素材!$1:$1016,COLUMN($F$1),FALSE))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N322">
        <f>IF(ISNUMBER(SEARCH(SUBSTITUTE(AN$1,RIGHT(AN$1,2),""),VLOOKUP($D322,素材!$1:$1016,COLUMN($F$1),FALSE))),VLOOKUP($C322,武器!$1:$998,COLUMN($O$1),FALSE)*VLOOKUP($D322,素材!$1:$1016,COLUMN($E$1),FALSE)/(LEN(VLOOKUP($D322,素材!$1:$1016,COLUMN($F$1),FALSE))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O322">
        <f>IF(ISNUMBER(SEARCH(SUBSTITUTE(AO$1,RIGHT(AO$1,2),""),VLOOKUP($D322,素材!$1:$1016,COLUMN($F$1),FALSE))),VLOOKUP($C322,武器!$1:$998,COLUMN($O$1),FALSE)*VLOOKUP($D322,素材!$1:$1016,COLUMN($E$1),FALSE)/(LEN(VLOOKUP($D322,素材!$1:$1016,COLUMN($F$1),FALSE))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P322">
        <f>IF(ISNUMBER(SEARCH(SUBSTITUTE(AP$1,RIGHT(AP$1,2),""),VLOOKUP($D322,素材!$1:$1016,COLUMN($F$1),FALSE))),VLOOKUP($C322,武器!$1:$998,COLUMN($O$1),FALSE)*VLOOKUP($D322,素材!$1:$1016,COLUMN($E$1),FALSE)/(LEN(VLOOKUP($D322,素材!$1:$1016,COLUMN($F$1),FALSE))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Q322">
        <f>IF(ISNUMBER(SEARCH(SUBSTITUTE(AQ$1,RIGHT(AQ$1,2),""),VLOOKUP($D322,素材!$1:$1016,COLUMN($F$1),FALSE))),VLOOKUP($C322,武器!$1:$998,COLUMN($O$1),FALSE)*VLOOKUP($D322,素材!$1:$1016,COLUMN($E$1),FALSE)/(LEN(VLOOKUP($D322,素材!$1:$1016,COLUMN($F$1),FALSE))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R322">
        <f>IF(ISNUMBER(SEARCH(SUBSTITUTE(AR$1,RIGHT(AR$1,2),""),VLOOKUP($D322,素材!$1:$1016,COLUMN($F$1),FALSE))),VLOOKUP($C322,武器!$1:$998,COLUMN($O$1),FALSE)*VLOOKUP($D322,素材!$1:$1016,COLUMN($E$1),FALSE)/(LEN(VLOOKUP($D322,素材!$1:$1016,COLUMN($F$1),FALSE))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S322">
        <f>IF(ISNUMBER(SEARCH(SUBSTITUTE(AS$1,RIGHT(AS$1,2),""),VLOOKUP($D322,素材!$1:$1016,COLUMN($F$1),FALSE))),VLOOKUP($C322,武器!$1:$998,COLUMN($O$1),FALSE)*VLOOKUP($D322,素材!$1:$1016,COLUMN($E$1),FALSE)/(LEN(VLOOKUP($D322,素材!$1:$1016,COLUMN($F$1),FALSE))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T322">
        <f>IF(ISNUMBER(SEARCH(SUBSTITUTE(AT$1,RIGHT(AT$1,2),""),VLOOKUP($D322,素材!$1:$1016,COLUMN($F$1),FALSE))),VLOOKUP($C322,武器!$1:$998,COLUMN($O$1),FALSE)*VLOOKUP($D322,素材!$1:$1016,COLUMN($E$1),FALSE)/(LEN(VLOOKUP($D322,素材!$1:$1016,COLUMN($F$1),FALSE))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U322">
        <f>IF(ISNUMBER(SEARCH(SUBSTITUTE(AU$1,RIGHT(AU$1,2),""),VLOOKUP($D322,素材!$1:$1016,COLUMN($F$1),FALSE))),VLOOKUP($C322,武器!$1:$998,COLUMN($O$1),FALSE)*VLOOKUP($D322,素材!$1:$1016,COLUMN($E$1),FALSE)/(LEN(VLOOKUP($D322,素材!$1:$1016,COLUMN($F$1),FALSE))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V322">
        <f>IF(ISNUMBER(SEARCH(SUBSTITUTE(AV$1,RIGHT(AV$1,2),""),VLOOKUP($D322,素材!$1:$1016,COLUMN($F$1),FALSE))),VLOOKUP($C322,武器!$1:$998,COLUMN($O$1),FALSE)*VLOOKUP($D322,素材!$1:$1016,COLUMN($E$1),FALSE)/(LEN(VLOOKUP($D322,素材!$1:$1016,COLUMN($F$1),FALSE))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W322">
        <f>IF(ISNUMBER(SEARCH(SUBSTITUTE(AW$1,RIGHT(AW$1,2),""),VLOOKUP($D322,素材!$1:$1016,COLUMN($F$1),FALSE))),VLOOKUP($C322,武器!$1:$998,COLUMN($O$1),FALSE)*VLOOKUP($D322,素材!$1:$1016,COLUMN($E$1),FALSE)/(LEN(VLOOKUP($D322,素材!$1:$1016,COLUMN($F$1),FALSE))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X322">
        <f>IF(ISNUMBER(SEARCH(SUBSTITUTE(AX$1,RIGHT(AX$1,2),""),VLOOKUP($D322,素材!$1:$1016,COLUMN($F$1),FALSE))),VLOOKUP($C322,武器!$1:$998,COLUMN($O$1),FALSE)*VLOOKUP($D322,素材!$1:$1016,COLUMN($E$1),FALSE)/(LEN(VLOOKUP($D322,素材!$1:$1016,COLUMN($F$1),FALSE))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Y322">
        <f>IF(ISNUMBER(SEARCH(SUBSTITUTE(AY$1,RIGHT(AY$1,2),""),VLOOKUP($D322,素材!$1:$1016,COLUMN($F$1),FALSE))),VLOOKUP($C322,武器!$1:$998,COLUMN($O$1),FALSE)*VLOOKUP($D322,素材!$1:$1016,COLUMN($E$1),FALSE)/(LEN(VLOOKUP($D322,素材!$1:$1016,COLUMN($F$1),FALSE))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AZ322">
        <f>IF(ISNUMBER(SEARCH(SUBSTITUTE(AZ$1,RIGHT(AZ$1,2),""),VLOOKUP($D322,素材!$1:$1016,COLUMN($F$1),FALSE))),VLOOKUP($C322,武器!$1:$998,COLUMN($O$1),FALSE)*VLOOKUP($D322,素材!$1:$1016,COLUMN($E$1),FALSE)/(LEN(VLOOKUP($D322,素材!$1:$1016,COLUMN($F$1),FALSE))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BA322">
        <f>IF(ISNUMBER(SEARCH(SUBSTITUTE(BA$1,RIGHT(BA$1,2),""),VLOOKUP($D322,素材!$1:$1016,COLUMN($F$1),FALSE))),VLOOKUP($C322,武器!$1:$998,COLUMN($O$1),FALSE)*VLOOKUP($D322,素材!$1:$1016,COLUMN($E$1),FALSE)/(LEN(VLOOKUP($D322,素材!$1:$1016,COLUMN($F$1),FALSE))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BB322">
        <f>IF(ISNUMBER(SEARCH(SUBSTITUTE(BB$1,RIGHT(BB$1,2),""),VLOOKUP($D322,素材!$1:$1016,COLUMN($F$1),FALSE))),VLOOKUP($C322,武器!$1:$998,COLUMN($O$1),FALSE)*VLOOKUP($D322,素材!$1:$1016,COLUMN($E$1),FALSE)/(LEN(VLOOKUP($D322,素材!$1:$1016,COLUMN($F$1),FALSE))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BC322">
        <f>IF(ISNUMBER(SEARCH(SUBSTITUTE(BC$1,RIGHT(BC$1,2),""),VLOOKUP($D322,素材!$1:$1016,COLUMN($F$1),FALSE))),VLOOKUP($C322,武器!$1:$998,COLUMN($O$1),FALSE)*VLOOKUP($D322,素材!$1:$1016,COLUMN($E$1),FALSE)/(LEN(VLOOKUP($D322,素材!$1:$1016,COLUMN($F$1),FALSE))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BD322">
        <f>IF(ISNUMBER(SEARCH(SUBSTITUTE(BD$1,RIGHT(BD$1,2),""),VLOOKUP($D322,素材!$1:$1016,COLUMN($F$1),FALSE))),VLOOKUP($C322,武器!$1:$998,COLUMN($O$1),FALSE)*VLOOKUP($D322,素材!$1:$1016,COLUMN($E$1),FALSE)/(LEN(VLOOKUP($D322,素材!$1:$1016,COLUMN($F$1),FALSE))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BE322">
        <f>IF(ISNUMBER(SEARCH(SUBSTITUTE(BE$1,RIGHT(BE$1,2),""),VLOOKUP($D322,素材!$1:$1016,COLUMN($F$1),FALSE))),VLOOKUP($C322,武器!$1:$998,COLUMN($O$1),FALSE)*VLOOKUP($D322,素材!$1:$1016,COLUMN($E$1),FALSE)/(LEN(VLOOKUP($D322,素材!$1:$1016,COLUMN($F$1),FALSE))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BF322">
        <f>IF(ISNUMBER(SEARCH(SUBSTITUTE(BF$1,RIGHT(BF$1,2),""),VLOOKUP($D322,素材!$1:$1016,COLUMN($F$1),FALSE))),VLOOKUP($C322,武器!$1:$998,COLUMN($O$1),FALSE)*VLOOKUP($D322,素材!$1:$1016,COLUMN($E$1),FALSE)/(LEN(VLOOKUP($D322,素材!$1:$1016,COLUMN($F$1),FALSE)) - LEN(SUBSTITUTE(VLOOKUP($D322,素材!$1:$1016,COLUMN($F$1),FALSE), "・", 0)) + 1), 0)</f>
        <v>0</v>
      </c>
      <c r="CM322">
        <f t="shared" si="36"/>
        <v>0</v>
      </c>
      <c r="CN322" s="22" t="str">
        <f>IF(E322="武器",IF(J322-1&gt;SUM(G322:I322),"盾",IF(MAX(G322:I322)=G322,"切断",IF(MAX(G322:I322)=H322,"貫通",IF(MAX(G322:I322)=I322,"打撃","射撃")))),E322)&amp;".webp"</f>
        <v>.webp</v>
      </c>
      <c r="CO322" t="str">
        <f>IFERROR(VLOOKUP($C322,武器!$1:$998,COLUMN(V$1),FALSE)*VLOOKUP($D322,素材!$1:$1016,COLUMN(N$1),FALSE)+IF(CJ322="",0,VLOOKUP($CJ322,装強!$1:$1008,COLUMN($CL$1),FALSE)),"")</f>
        <v/>
      </c>
      <c r="CP322" t="e">
        <f>VLOOKUP(D322,素材!$A:$O,COLUMN(素材!O$1),FALSE)</f>
        <v>#N/A</v>
      </c>
      <c r="CQ322" t="e">
        <f>VLOOKUP(C322,武器!$A:$W,COLUMN(武器!W$1),FALSE)</f>
        <v>#N/A</v>
      </c>
      <c r="CS322" t="str">
        <f t="shared" si="37"/>
        <v>e_322</v>
      </c>
      <c r="CT322" t="e">
        <f t="shared" si="38"/>
        <v>#VALUE!</v>
      </c>
    </row>
    <row r="323" spans="1:98" hidden="1" outlineLevel="1" x14ac:dyDescent="0.4">
      <c r="A323" t="str">
        <f>IF(CJ323="",D323&amp;"の"&amp;C323,CJ323&amp;"の"&amp;C323)</f>
        <v>の</v>
      </c>
      <c r="B323" t="str">
        <f>IFERROR(IF(CJ323="",VLOOKUP($D323,素材!$1:$1016,COLUMN($B$1),FALSE)&amp;"・"&amp;VLOOKUP($C323,武器!$1:$998,COLUMN(B$1),FALSE),VLOOKUP($CJ323,装強!$1:$1008,COLUMN($B$1),FALSE)&amp;"・"&amp;VLOOKUP($C323,武器!$1:$998,COLUMN(B$1),FALSE)),"")</f>
        <v/>
      </c>
      <c r="C323" s="24"/>
      <c r="D323" s="24"/>
      <c r="E323" t="str">
        <f>IFERROR(VLOOKUP(C323,武器!$1:$998,COLUMN(C$1),FALSE),"")</f>
        <v/>
      </c>
      <c r="F323" t="str">
        <f>IFERROR(ROUNDDOWN((VLOOKUP($C323,武器!$1:$998,COLUMN(D$1),FALSE)+IFERROR(VLOOKUP($CJ323,装強!$1:$999,COLUMN(F$1),FALSE),0))*VLOOKUP($D323,素材!$1:$1016,COLUMN(D$1),FALSE),0),"")</f>
        <v/>
      </c>
      <c r="G323" t="str">
        <f>IFERROR(ROUNDDOWN((VLOOKUP($C323,武器!$1:$998,COLUMN(E$1),FALSE)+IFERROR(VLOOKUP($CJ323,装強!$1:$999,COLUMN(G$1),FALSE),0))*VLOOKUP($D323,素材!$1:$1016,COLUMN($E$1),FALSE),0),"")</f>
        <v/>
      </c>
      <c r="H323" t="str">
        <f>IFERROR(ROUNDDOWN((VLOOKUP($C323,武器!$1:$998,COLUMN(F$1),FALSE)+IFERROR(VLOOKUP($CJ323,装強!$1:$999,COLUMN(H$1),FALSE),0))*VLOOKUP($D323,素材!$1:$1016,COLUMN($E$1),FALSE),0),"")</f>
        <v/>
      </c>
      <c r="I323" t="str">
        <f>IFERROR(ROUNDDOWN((VLOOKUP($C323,武器!$1:$998,COLUMN(G$1),FALSE)+IFERROR(VLOOKUP($CJ323,装強!$1:$999,COLUMN(I$1),FALSE),0))*VLOOKUP($D323,素材!$1:$1016,COLUMN($E$1),FALSE),0),"")</f>
        <v/>
      </c>
      <c r="J323" t="str">
        <f>IFERROR(ROUNDDOWN((VLOOKUP($C323,武器!$1:$998,COLUMN(H$1),FALSE)+IFERROR(VLOOKUP($CJ323,装強!$1:$999,COLUMN(J$1),FALSE),0))*VLOOKUP($D323,素材!$1:$1016,COLUMN($E$1),FALSE),0),"")</f>
        <v/>
      </c>
      <c r="K323" t="str">
        <f>IFERROR(ROUNDDOWN((VLOOKUP($C323,武器!$1:$998,COLUMN(I$1),FALSE)+IFERROR(VLOOKUP($CJ323,装強!$1:$999,COLUMN(K$1),FALSE),0))*VLOOKUP($D323,素材!$1:$1016,COLUMN($E$1),FALSE),0),"")</f>
        <v/>
      </c>
      <c r="L323" t="str">
        <f>IFERROR(VLOOKUP($D323,素材!$1:$1016,COLUMN($F$1),FALSE),"")</f>
        <v/>
      </c>
      <c r="M323" t="str">
        <f>IFERROR(VLOOKUP($C323,武器!$1:$998,COLUMN(AA$1),FALSE)*VLOOKUP($D323,素材!$1:$1016,COLUMN($G$1),FALSE),"")</f>
        <v/>
      </c>
      <c r="N323" t="str">
        <f>IFERROR(VLOOKUP($C323,武器!$1:$998,COLUMN(I$1),FALSE),"")</f>
        <v/>
      </c>
      <c r="O323" s="23" t="str">
        <f>IFERROR((VLOOKUP($C323,武器!$1:$998,COLUMN(K$1),FALSE)+VLOOKUP($D323,素材!$1:$1016,COLUMN(H$1),FALSE))*100+IFERROR(VLOOKUP($CJ323,装強!$1:$999,COLUMN(O$1),FALSE),0),"")</f>
        <v/>
      </c>
      <c r="P323" s="23" t="str">
        <f>IFERROR((VLOOKUP($C323,武器!$1:$998,COLUMN(L$1),FALSE)+VLOOKUP($D323,素材!$1:$1016,COLUMN(I$1),FALSE))*100+IFERROR(VLOOKUP($CJ323,装強!$1:$999,COLUMN(P$1),FALSE),0),"")</f>
        <v/>
      </c>
      <c r="Q323" t="str">
        <f>IFERROR(ROUNDUP(VLOOKUP($C323,武器!$1:$998,COLUMN(M$1),FALSE)*(VLOOKUP($D323,素材!$1:$1002,COLUMN(D$1),FALSE)/100),1),"")</f>
        <v/>
      </c>
      <c r="R323" t="str">
        <f>IFERROR(ROUNDUP(VLOOKUP($C323,武器!$1:$998,COLUMN(N$1),FALSE)*(VLOOKUP($D323,素材!$1:$1002,COLUMN(D$1),FALSE)/100),1),"")</f>
        <v/>
      </c>
      <c r="S323" t="str">
        <f>IFERROR(VLOOKUP($C323,武器!$1:$998,COLUMN(P$1),FALSE),"")</f>
        <v/>
      </c>
      <c r="T323" t="str">
        <f>IFERROR(VLOOKUP($C323,武器!$1:$998,COLUMN(Q$1),FALSE),"")</f>
        <v/>
      </c>
      <c r="U323" t="str">
        <f>IFERROR(VLOOKUP($C323,武器!$1:$998,COLUMN(R$1),FALSE),"")</f>
        <v/>
      </c>
      <c r="V323" t="str">
        <f>IFERROR(VLOOKUP($C323,武器!$1:$998,COLUMN(Q$1),FALSE),"")</f>
        <v/>
      </c>
      <c r="W323" t="str">
        <f>IFERROR(VLOOKUP($C323,武器!$1:$998,COLUMN(T$1),FALSE),"")</f>
        <v/>
      </c>
      <c r="Y323" t="str">
        <f>IFERROR(VLOOKUP($C323,武器!$1:$998,COLUMN(U$1),FALSE),"")</f>
        <v/>
      </c>
      <c r="Z323" t="str">
        <f>IFERROR(ROUNDUP(VLOOKUP($C323,武器!$1:$998,COLUMN(O$1),FALSE)*VLOOKUP($D323,素材!$1:$1016,COLUMN(E$1),FALSE),1),"")</f>
        <v/>
      </c>
      <c r="AA323">
        <f>IF(ISNUMBER(SEARCH(SUBSTITUTE(AA$1,RIGHT(AA$1,2),""),VLOOKUP($D323,素材!$1:$1016,COLUMN($F$1),FALSE))),VLOOKUP($C323,武器!$1:$998,COLUMN($O$1),FALSE)*VLOOKUP($D323,素材!$1:$1016,COLUMN($E$1),FALSE)/(LEN(VLOOKUP($D323,素材!$1:$1016,COLUMN($F$1),FALSE))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B323">
        <f>IF(ISNUMBER(SEARCH(SUBSTITUTE(AB$1,RIGHT(AB$1,2),""),VLOOKUP($D323,素材!$1:$1016,COLUMN($F$1),FALSE))),VLOOKUP($C323,武器!$1:$998,COLUMN($O$1),FALSE)*VLOOKUP($D323,素材!$1:$1016,COLUMN($E$1),FALSE)/(LEN(VLOOKUP($D323,素材!$1:$1016,COLUMN($F$1),FALSE))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C323">
        <f>IF(ISNUMBER(SEARCH(SUBSTITUTE(AC$1,RIGHT(AC$1,2),""),VLOOKUP($D323,素材!$1:$1016,COLUMN($F$1),FALSE))),VLOOKUP($C323,武器!$1:$998,COLUMN($O$1),FALSE)*VLOOKUP($D323,素材!$1:$1016,COLUMN($E$1),FALSE)/(LEN(VLOOKUP($D323,素材!$1:$1016,COLUMN($F$1),FALSE))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D323">
        <f>IF(ISNUMBER(SEARCH(SUBSTITUTE(AD$1,RIGHT(AD$1,2),""),VLOOKUP($D323,素材!$1:$1016,COLUMN($F$1),FALSE))),VLOOKUP($C323,武器!$1:$998,COLUMN($O$1),FALSE)*VLOOKUP($D323,素材!$1:$1016,COLUMN($E$1),FALSE)/(LEN(VLOOKUP($D323,素材!$1:$1016,COLUMN($F$1),FALSE))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E323">
        <f>IF(ISNUMBER(SEARCH(SUBSTITUTE(AE$1,RIGHT(AE$1,2),""),VLOOKUP($D323,素材!$1:$1016,COLUMN($F$1),FALSE))),VLOOKUP($C323,武器!$1:$998,COLUMN($O$1),FALSE)*VLOOKUP($D323,素材!$1:$1016,COLUMN($E$1),FALSE)/(LEN(VLOOKUP($D323,素材!$1:$1016,COLUMN($F$1),FALSE))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F323">
        <f>IF(ISNUMBER(SEARCH(SUBSTITUTE(AF$1,RIGHT(AF$1,2),""),VLOOKUP($D323,素材!$1:$1016,COLUMN($F$1),FALSE))),VLOOKUP($C323,武器!$1:$998,COLUMN($O$1),FALSE)*VLOOKUP($D323,素材!$1:$1016,COLUMN($E$1),FALSE)/(LEN(VLOOKUP($D323,素材!$1:$1016,COLUMN($F$1),FALSE))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G323">
        <f>IF(ISNUMBER(SEARCH(SUBSTITUTE(AG$1,RIGHT(AG$1,2),""),VLOOKUP($D323,素材!$1:$1016,COLUMN($F$1),FALSE))),VLOOKUP($C323,武器!$1:$998,COLUMN($O$1),FALSE)*VLOOKUP($D323,素材!$1:$1016,COLUMN($E$1),FALSE)/(LEN(VLOOKUP($D323,素材!$1:$1016,COLUMN($F$1),FALSE))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H323">
        <f>IF(ISNUMBER(SEARCH(SUBSTITUTE(AH$1,RIGHT(AH$1,2),""),VLOOKUP($D323,素材!$1:$1016,COLUMN($F$1),FALSE))),VLOOKUP($C323,武器!$1:$998,COLUMN($O$1),FALSE)*VLOOKUP($D323,素材!$1:$1016,COLUMN($E$1),FALSE)/(LEN(VLOOKUP($D323,素材!$1:$1016,COLUMN($F$1),FALSE))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I323">
        <f>IF(ISNUMBER(SEARCH(SUBSTITUTE(AI$1,RIGHT(AI$1,2),""),VLOOKUP($D323,素材!$1:$1016,COLUMN($F$1),FALSE))),VLOOKUP($C323,武器!$1:$998,COLUMN($O$1),FALSE)*VLOOKUP($D323,素材!$1:$1016,COLUMN($E$1),FALSE)/(LEN(VLOOKUP($D323,素材!$1:$1016,COLUMN($F$1),FALSE))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J323">
        <f>IF(ISNUMBER(SEARCH(SUBSTITUTE(AJ$1,RIGHT(AJ$1,2),""),VLOOKUP($D323,素材!$1:$1016,COLUMN($F$1),FALSE))),VLOOKUP($C323,武器!$1:$998,COLUMN($O$1),FALSE)*VLOOKUP($D323,素材!$1:$1016,COLUMN($E$1),FALSE)/(LEN(VLOOKUP($D323,素材!$1:$1016,COLUMN($F$1),FALSE))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K323">
        <f>IF(ISNUMBER(SEARCH(SUBSTITUTE(AK$1,RIGHT(AK$1,2),""),VLOOKUP($D323,素材!$1:$1016,COLUMN($F$1),FALSE))),VLOOKUP($C323,武器!$1:$998,COLUMN($O$1),FALSE)*VLOOKUP($D323,素材!$1:$1016,COLUMN($E$1),FALSE)/(LEN(VLOOKUP($D323,素材!$1:$1016,COLUMN($F$1),FALSE))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L323">
        <f>IF(ISNUMBER(SEARCH(SUBSTITUTE(AL$1,RIGHT(AL$1,2),""),VLOOKUP($D323,素材!$1:$1016,COLUMN($F$1),FALSE))),VLOOKUP($C323,武器!$1:$998,COLUMN($O$1),FALSE)*VLOOKUP($D323,素材!$1:$1016,COLUMN($E$1),FALSE)/(LEN(VLOOKUP($D323,素材!$1:$1016,COLUMN($F$1),FALSE))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M323">
        <f>IF(ISNUMBER(SEARCH(SUBSTITUTE(AM$1,RIGHT(AM$1,2),""),VLOOKUP($D323,素材!$1:$1016,COLUMN($F$1),FALSE))),VLOOKUP($C323,武器!$1:$998,COLUMN($O$1),FALSE)*VLOOKUP($D323,素材!$1:$1016,COLUMN($E$1),FALSE)/(LEN(VLOOKUP($D323,素材!$1:$1016,COLUMN($F$1),FALSE))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N323">
        <f>IF(ISNUMBER(SEARCH(SUBSTITUTE(AN$1,RIGHT(AN$1,2),""),VLOOKUP($D323,素材!$1:$1016,COLUMN($F$1),FALSE))),VLOOKUP($C323,武器!$1:$998,COLUMN($O$1),FALSE)*VLOOKUP($D323,素材!$1:$1016,COLUMN($E$1),FALSE)/(LEN(VLOOKUP($D323,素材!$1:$1016,COLUMN($F$1),FALSE))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O323">
        <f>IF(ISNUMBER(SEARCH(SUBSTITUTE(AO$1,RIGHT(AO$1,2),""),VLOOKUP($D323,素材!$1:$1016,COLUMN($F$1),FALSE))),VLOOKUP($C323,武器!$1:$998,COLUMN($O$1),FALSE)*VLOOKUP($D323,素材!$1:$1016,COLUMN($E$1),FALSE)/(LEN(VLOOKUP($D323,素材!$1:$1016,COLUMN($F$1),FALSE))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P323">
        <f>IF(ISNUMBER(SEARCH(SUBSTITUTE(AP$1,RIGHT(AP$1,2),""),VLOOKUP($D323,素材!$1:$1016,COLUMN($F$1),FALSE))),VLOOKUP($C323,武器!$1:$998,COLUMN($O$1),FALSE)*VLOOKUP($D323,素材!$1:$1016,COLUMN($E$1),FALSE)/(LEN(VLOOKUP($D323,素材!$1:$1016,COLUMN($F$1),FALSE))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Q323">
        <f>IF(ISNUMBER(SEARCH(SUBSTITUTE(AQ$1,RIGHT(AQ$1,2),""),VLOOKUP($D323,素材!$1:$1016,COLUMN($F$1),FALSE))),VLOOKUP($C323,武器!$1:$998,COLUMN($O$1),FALSE)*VLOOKUP($D323,素材!$1:$1016,COLUMN($E$1),FALSE)/(LEN(VLOOKUP($D323,素材!$1:$1016,COLUMN($F$1),FALSE))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R323">
        <f>IF(ISNUMBER(SEARCH(SUBSTITUTE(AR$1,RIGHT(AR$1,2),""),VLOOKUP($D323,素材!$1:$1016,COLUMN($F$1),FALSE))),VLOOKUP($C323,武器!$1:$998,COLUMN($O$1),FALSE)*VLOOKUP($D323,素材!$1:$1016,COLUMN($E$1),FALSE)/(LEN(VLOOKUP($D323,素材!$1:$1016,COLUMN($F$1),FALSE))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S323">
        <f>IF(ISNUMBER(SEARCH(SUBSTITUTE(AS$1,RIGHT(AS$1,2),""),VLOOKUP($D323,素材!$1:$1016,COLUMN($F$1),FALSE))),VLOOKUP($C323,武器!$1:$998,COLUMN($O$1),FALSE)*VLOOKUP($D323,素材!$1:$1016,COLUMN($E$1),FALSE)/(LEN(VLOOKUP($D323,素材!$1:$1016,COLUMN($F$1),FALSE))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T323">
        <f>IF(ISNUMBER(SEARCH(SUBSTITUTE(AT$1,RIGHT(AT$1,2),""),VLOOKUP($D323,素材!$1:$1016,COLUMN($F$1),FALSE))),VLOOKUP($C323,武器!$1:$998,COLUMN($O$1),FALSE)*VLOOKUP($D323,素材!$1:$1016,COLUMN($E$1),FALSE)/(LEN(VLOOKUP($D323,素材!$1:$1016,COLUMN($F$1),FALSE))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U323">
        <f>IF(ISNUMBER(SEARCH(SUBSTITUTE(AU$1,RIGHT(AU$1,2),""),VLOOKUP($D323,素材!$1:$1016,COLUMN($F$1),FALSE))),VLOOKUP($C323,武器!$1:$998,COLUMN($O$1),FALSE)*VLOOKUP($D323,素材!$1:$1016,COLUMN($E$1),FALSE)/(LEN(VLOOKUP($D323,素材!$1:$1016,COLUMN($F$1),FALSE))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V323">
        <f>IF(ISNUMBER(SEARCH(SUBSTITUTE(AV$1,RIGHT(AV$1,2),""),VLOOKUP($D323,素材!$1:$1016,COLUMN($F$1),FALSE))),VLOOKUP($C323,武器!$1:$998,COLUMN($O$1),FALSE)*VLOOKUP($D323,素材!$1:$1016,COLUMN($E$1),FALSE)/(LEN(VLOOKUP($D323,素材!$1:$1016,COLUMN($F$1),FALSE))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W323">
        <f>IF(ISNUMBER(SEARCH(SUBSTITUTE(AW$1,RIGHT(AW$1,2),""),VLOOKUP($D323,素材!$1:$1016,COLUMN($F$1),FALSE))),VLOOKUP($C323,武器!$1:$998,COLUMN($O$1),FALSE)*VLOOKUP($D323,素材!$1:$1016,COLUMN($E$1),FALSE)/(LEN(VLOOKUP($D323,素材!$1:$1016,COLUMN($F$1),FALSE))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X323">
        <f>IF(ISNUMBER(SEARCH(SUBSTITUTE(AX$1,RIGHT(AX$1,2),""),VLOOKUP($D323,素材!$1:$1016,COLUMN($F$1),FALSE))),VLOOKUP($C323,武器!$1:$998,COLUMN($O$1),FALSE)*VLOOKUP($D323,素材!$1:$1016,COLUMN($E$1),FALSE)/(LEN(VLOOKUP($D323,素材!$1:$1016,COLUMN($F$1),FALSE))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Y323">
        <f>IF(ISNUMBER(SEARCH(SUBSTITUTE(AY$1,RIGHT(AY$1,2),""),VLOOKUP($D323,素材!$1:$1016,COLUMN($F$1),FALSE))),VLOOKUP($C323,武器!$1:$998,COLUMN($O$1),FALSE)*VLOOKUP($D323,素材!$1:$1016,COLUMN($E$1),FALSE)/(LEN(VLOOKUP($D323,素材!$1:$1016,COLUMN($F$1),FALSE))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AZ323">
        <f>IF(ISNUMBER(SEARCH(SUBSTITUTE(AZ$1,RIGHT(AZ$1,2),""),VLOOKUP($D323,素材!$1:$1016,COLUMN($F$1),FALSE))),VLOOKUP($C323,武器!$1:$998,COLUMN($O$1),FALSE)*VLOOKUP($D323,素材!$1:$1016,COLUMN($E$1),FALSE)/(LEN(VLOOKUP($D323,素材!$1:$1016,COLUMN($F$1),FALSE))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BA323">
        <f>IF(ISNUMBER(SEARCH(SUBSTITUTE(BA$1,RIGHT(BA$1,2),""),VLOOKUP($D323,素材!$1:$1016,COLUMN($F$1),FALSE))),VLOOKUP($C323,武器!$1:$998,COLUMN($O$1),FALSE)*VLOOKUP($D323,素材!$1:$1016,COLUMN($E$1),FALSE)/(LEN(VLOOKUP($D323,素材!$1:$1016,COLUMN($F$1),FALSE))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BB323">
        <f>IF(ISNUMBER(SEARCH(SUBSTITUTE(BB$1,RIGHT(BB$1,2),""),VLOOKUP($D323,素材!$1:$1016,COLUMN($F$1),FALSE))),VLOOKUP($C323,武器!$1:$998,COLUMN($O$1),FALSE)*VLOOKUP($D323,素材!$1:$1016,COLUMN($E$1),FALSE)/(LEN(VLOOKUP($D323,素材!$1:$1016,COLUMN($F$1),FALSE))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BC323">
        <f>IF(ISNUMBER(SEARCH(SUBSTITUTE(BC$1,RIGHT(BC$1,2),""),VLOOKUP($D323,素材!$1:$1016,COLUMN($F$1),FALSE))),VLOOKUP($C323,武器!$1:$998,COLUMN($O$1),FALSE)*VLOOKUP($D323,素材!$1:$1016,COLUMN($E$1),FALSE)/(LEN(VLOOKUP($D323,素材!$1:$1016,COLUMN($F$1),FALSE))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BD323">
        <f>IF(ISNUMBER(SEARCH(SUBSTITUTE(BD$1,RIGHT(BD$1,2),""),VLOOKUP($D323,素材!$1:$1016,COLUMN($F$1),FALSE))),VLOOKUP($C323,武器!$1:$998,COLUMN($O$1),FALSE)*VLOOKUP($D323,素材!$1:$1016,COLUMN($E$1),FALSE)/(LEN(VLOOKUP($D323,素材!$1:$1016,COLUMN($F$1),FALSE))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BE323">
        <f>IF(ISNUMBER(SEARCH(SUBSTITUTE(BE$1,RIGHT(BE$1,2),""),VLOOKUP($D323,素材!$1:$1016,COLUMN($F$1),FALSE))),VLOOKUP($C323,武器!$1:$998,COLUMN($O$1),FALSE)*VLOOKUP($D323,素材!$1:$1016,COLUMN($E$1),FALSE)/(LEN(VLOOKUP($D323,素材!$1:$1016,COLUMN($F$1),FALSE))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BF323">
        <f>IF(ISNUMBER(SEARCH(SUBSTITUTE(BF$1,RIGHT(BF$1,2),""),VLOOKUP($D323,素材!$1:$1016,COLUMN($F$1),FALSE))),VLOOKUP($C323,武器!$1:$998,COLUMN($O$1),FALSE)*VLOOKUP($D323,素材!$1:$1016,COLUMN($E$1),FALSE)/(LEN(VLOOKUP($D323,素材!$1:$1016,COLUMN($F$1),FALSE)) - LEN(SUBSTITUTE(VLOOKUP($D323,素材!$1:$1016,COLUMN($F$1),FALSE), "・", 0)) + 1), 0)</f>
        <v>0</v>
      </c>
      <c r="CM323">
        <f t="shared" si="36"/>
        <v>0</v>
      </c>
      <c r="CN323" s="22" t="str">
        <f>IF(E323="武器",IF(J323-1&gt;SUM(G323:I323),"盾",IF(MAX(G323:I323)=G323,"切断",IF(MAX(G323:I323)=H323,"貫通",IF(MAX(G323:I323)=I323,"打撃","射撃")))),E323)&amp;".webp"</f>
        <v>.webp</v>
      </c>
      <c r="CO323" t="str">
        <f>IFERROR(VLOOKUP($C323,武器!$1:$998,COLUMN(V$1),FALSE)*VLOOKUP($D323,素材!$1:$1016,COLUMN(N$1),FALSE)+IF(CJ323="",0,VLOOKUP($CJ323,装強!$1:$1008,COLUMN($CL$1),FALSE)),"")</f>
        <v/>
      </c>
      <c r="CP323" t="e">
        <f>VLOOKUP(D323,素材!$A:$O,COLUMN(素材!O$1),FALSE)</f>
        <v>#N/A</v>
      </c>
      <c r="CQ323" t="e">
        <f>VLOOKUP(C323,武器!$A:$W,COLUMN(武器!W$1),FALSE)</f>
        <v>#N/A</v>
      </c>
      <c r="CS323" t="str">
        <f t="shared" si="37"/>
        <v>e_323</v>
      </c>
      <c r="CT323" t="e">
        <f t="shared" si="38"/>
        <v>#VALUE!</v>
      </c>
    </row>
    <row r="324" spans="1:98" hidden="1" outlineLevel="1" x14ac:dyDescent="0.4">
      <c r="A324" t="str">
        <f>IF(CJ324="",D324&amp;"の"&amp;C324,CJ324&amp;"の"&amp;C324)</f>
        <v>の</v>
      </c>
      <c r="B324" t="str">
        <f>IFERROR(IF(CJ324="",VLOOKUP($D324,素材!$1:$1016,COLUMN($B$1),FALSE)&amp;"・"&amp;VLOOKUP($C324,武器!$1:$998,COLUMN(B$1),FALSE),VLOOKUP($CJ324,装強!$1:$1008,COLUMN($B$1),FALSE)&amp;"・"&amp;VLOOKUP($C324,武器!$1:$998,COLUMN(B$1),FALSE)),"")</f>
        <v/>
      </c>
      <c r="C324" s="24"/>
      <c r="D324" s="24"/>
      <c r="E324" t="str">
        <f>IFERROR(VLOOKUP(C324,武器!$1:$998,COLUMN(C$1),FALSE),"")</f>
        <v/>
      </c>
      <c r="F324" t="str">
        <f>IFERROR(ROUNDDOWN((VLOOKUP($C324,武器!$1:$998,COLUMN(D$1),FALSE)+IFERROR(VLOOKUP($CJ324,装強!$1:$999,COLUMN(F$1),FALSE),0))*VLOOKUP($D324,素材!$1:$1016,COLUMN(D$1),FALSE),0),"")</f>
        <v/>
      </c>
      <c r="G324" t="str">
        <f>IFERROR(ROUNDDOWN((VLOOKUP($C324,武器!$1:$998,COLUMN(E$1),FALSE)+IFERROR(VLOOKUP($CJ324,装強!$1:$999,COLUMN(G$1),FALSE),0))*VLOOKUP($D324,素材!$1:$1016,COLUMN($E$1),FALSE),0),"")</f>
        <v/>
      </c>
      <c r="H324" t="str">
        <f>IFERROR(ROUNDDOWN((VLOOKUP($C324,武器!$1:$998,COLUMN(F$1),FALSE)+IFERROR(VLOOKUP($CJ324,装強!$1:$999,COLUMN(H$1),FALSE),0))*VLOOKUP($D324,素材!$1:$1016,COLUMN($E$1),FALSE),0),"")</f>
        <v/>
      </c>
      <c r="I324" t="str">
        <f>IFERROR(ROUNDDOWN((VLOOKUP($C324,武器!$1:$998,COLUMN(G$1),FALSE)+IFERROR(VLOOKUP($CJ324,装強!$1:$999,COLUMN(I$1),FALSE),0))*VLOOKUP($D324,素材!$1:$1016,COLUMN($E$1),FALSE),0),"")</f>
        <v/>
      </c>
      <c r="J324" t="str">
        <f>IFERROR(ROUNDDOWN((VLOOKUP($C324,武器!$1:$998,COLUMN(H$1),FALSE)+IFERROR(VLOOKUP($CJ324,装強!$1:$999,COLUMN(J$1),FALSE),0))*VLOOKUP($D324,素材!$1:$1016,COLUMN($E$1),FALSE),0),"")</f>
        <v/>
      </c>
      <c r="K324" t="str">
        <f>IFERROR(ROUNDDOWN((VLOOKUP($C324,武器!$1:$998,COLUMN(I$1),FALSE)+IFERROR(VLOOKUP($CJ324,装強!$1:$999,COLUMN(K$1),FALSE),0))*VLOOKUP($D324,素材!$1:$1016,COLUMN($E$1),FALSE),0),"")</f>
        <v/>
      </c>
      <c r="L324" t="str">
        <f>IFERROR(VLOOKUP($D324,素材!$1:$1016,COLUMN($F$1),FALSE),"")</f>
        <v/>
      </c>
      <c r="M324" t="str">
        <f>IFERROR(VLOOKUP($C324,武器!$1:$998,COLUMN(AA$1),FALSE)*VLOOKUP($D324,素材!$1:$1016,COLUMN($G$1),FALSE),"")</f>
        <v/>
      </c>
      <c r="N324" t="str">
        <f>IFERROR(VLOOKUP($C324,武器!$1:$998,COLUMN(I$1),FALSE),"")</f>
        <v/>
      </c>
      <c r="O324" s="23" t="str">
        <f>IFERROR((VLOOKUP($C324,武器!$1:$998,COLUMN(K$1),FALSE)+VLOOKUP($D324,素材!$1:$1016,COLUMN(H$1),FALSE))*100+IFERROR(VLOOKUP($CJ324,装強!$1:$999,COLUMN(O$1),FALSE),0),"")</f>
        <v/>
      </c>
      <c r="P324" s="23" t="str">
        <f>IFERROR((VLOOKUP($C324,武器!$1:$998,COLUMN(L$1),FALSE)+VLOOKUP($D324,素材!$1:$1016,COLUMN(I$1),FALSE))*100+IFERROR(VLOOKUP($CJ324,装強!$1:$999,COLUMN(P$1),FALSE),0),"")</f>
        <v/>
      </c>
      <c r="Q324" t="str">
        <f>IFERROR(ROUNDUP(VLOOKUP($C324,武器!$1:$998,COLUMN(M$1),FALSE)*(VLOOKUP($D324,素材!$1:$1002,COLUMN(D$1),FALSE)/100),1),"")</f>
        <v/>
      </c>
      <c r="R324" t="str">
        <f>IFERROR(ROUNDUP(VLOOKUP($C324,武器!$1:$998,COLUMN(N$1),FALSE)*(VLOOKUP($D324,素材!$1:$1002,COLUMN(D$1),FALSE)/100),1),"")</f>
        <v/>
      </c>
      <c r="S324" t="str">
        <f>IFERROR(VLOOKUP($C324,武器!$1:$998,COLUMN(P$1),FALSE),"")</f>
        <v/>
      </c>
      <c r="T324" t="str">
        <f>IFERROR(VLOOKUP($C324,武器!$1:$998,COLUMN(Q$1),FALSE),"")</f>
        <v/>
      </c>
      <c r="U324" t="str">
        <f>IFERROR(VLOOKUP($C324,武器!$1:$998,COLUMN(R$1),FALSE),"")</f>
        <v/>
      </c>
      <c r="V324" t="str">
        <f>IFERROR(VLOOKUP($C324,武器!$1:$998,COLUMN(Q$1),FALSE),"")</f>
        <v/>
      </c>
      <c r="W324" t="str">
        <f>IFERROR(VLOOKUP($C324,武器!$1:$998,COLUMN(T$1),FALSE),"")</f>
        <v/>
      </c>
      <c r="Y324" t="str">
        <f>IFERROR(VLOOKUP($C324,武器!$1:$998,COLUMN(U$1),FALSE),"")</f>
        <v/>
      </c>
      <c r="Z324" t="str">
        <f>IFERROR(ROUNDUP(VLOOKUP($C324,武器!$1:$998,COLUMN(O$1),FALSE)*VLOOKUP($D324,素材!$1:$1016,COLUMN(E$1),FALSE),1),"")</f>
        <v/>
      </c>
      <c r="AA324">
        <f>IF(ISNUMBER(SEARCH(SUBSTITUTE(AA$1,RIGHT(AA$1,2),""),VLOOKUP($D324,素材!$1:$1016,COLUMN($F$1),FALSE))),VLOOKUP($C324,武器!$1:$998,COLUMN($O$1),FALSE)*VLOOKUP($D324,素材!$1:$1016,COLUMN($E$1),FALSE)/(LEN(VLOOKUP($D324,素材!$1:$1016,COLUMN($F$1),FALSE))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B324">
        <f>IF(ISNUMBER(SEARCH(SUBSTITUTE(AB$1,RIGHT(AB$1,2),""),VLOOKUP($D324,素材!$1:$1016,COLUMN($F$1),FALSE))),VLOOKUP($C324,武器!$1:$998,COLUMN($O$1),FALSE)*VLOOKUP($D324,素材!$1:$1016,COLUMN($E$1),FALSE)/(LEN(VLOOKUP($D324,素材!$1:$1016,COLUMN($F$1),FALSE))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C324">
        <f>IF(ISNUMBER(SEARCH(SUBSTITUTE(AC$1,RIGHT(AC$1,2),""),VLOOKUP($D324,素材!$1:$1016,COLUMN($F$1),FALSE))),VLOOKUP($C324,武器!$1:$998,COLUMN($O$1),FALSE)*VLOOKUP($D324,素材!$1:$1016,COLUMN($E$1),FALSE)/(LEN(VLOOKUP($D324,素材!$1:$1016,COLUMN($F$1),FALSE))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D324">
        <f>IF(ISNUMBER(SEARCH(SUBSTITUTE(AD$1,RIGHT(AD$1,2),""),VLOOKUP($D324,素材!$1:$1016,COLUMN($F$1),FALSE))),VLOOKUP($C324,武器!$1:$998,COLUMN($O$1),FALSE)*VLOOKUP($D324,素材!$1:$1016,COLUMN($E$1),FALSE)/(LEN(VLOOKUP($D324,素材!$1:$1016,COLUMN($F$1),FALSE))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E324">
        <f>IF(ISNUMBER(SEARCH(SUBSTITUTE(AE$1,RIGHT(AE$1,2),""),VLOOKUP($D324,素材!$1:$1016,COLUMN($F$1),FALSE))),VLOOKUP($C324,武器!$1:$998,COLUMN($O$1),FALSE)*VLOOKUP($D324,素材!$1:$1016,COLUMN($E$1),FALSE)/(LEN(VLOOKUP($D324,素材!$1:$1016,COLUMN($F$1),FALSE))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F324">
        <f>IF(ISNUMBER(SEARCH(SUBSTITUTE(AF$1,RIGHT(AF$1,2),""),VLOOKUP($D324,素材!$1:$1016,COLUMN($F$1),FALSE))),VLOOKUP($C324,武器!$1:$998,COLUMN($O$1),FALSE)*VLOOKUP($D324,素材!$1:$1016,COLUMN($E$1),FALSE)/(LEN(VLOOKUP($D324,素材!$1:$1016,COLUMN($F$1),FALSE))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G324">
        <f>IF(ISNUMBER(SEARCH(SUBSTITUTE(AG$1,RIGHT(AG$1,2),""),VLOOKUP($D324,素材!$1:$1016,COLUMN($F$1),FALSE))),VLOOKUP($C324,武器!$1:$998,COLUMN($O$1),FALSE)*VLOOKUP($D324,素材!$1:$1016,COLUMN($E$1),FALSE)/(LEN(VLOOKUP($D324,素材!$1:$1016,COLUMN($F$1),FALSE))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H324">
        <f>IF(ISNUMBER(SEARCH(SUBSTITUTE(AH$1,RIGHT(AH$1,2),""),VLOOKUP($D324,素材!$1:$1016,COLUMN($F$1),FALSE))),VLOOKUP($C324,武器!$1:$998,COLUMN($O$1),FALSE)*VLOOKUP($D324,素材!$1:$1016,COLUMN($E$1),FALSE)/(LEN(VLOOKUP($D324,素材!$1:$1016,COLUMN($F$1),FALSE))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I324">
        <f>IF(ISNUMBER(SEARCH(SUBSTITUTE(AI$1,RIGHT(AI$1,2),""),VLOOKUP($D324,素材!$1:$1016,COLUMN($F$1),FALSE))),VLOOKUP($C324,武器!$1:$998,COLUMN($O$1),FALSE)*VLOOKUP($D324,素材!$1:$1016,COLUMN($E$1),FALSE)/(LEN(VLOOKUP($D324,素材!$1:$1016,COLUMN($F$1),FALSE))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J324">
        <f>IF(ISNUMBER(SEARCH(SUBSTITUTE(AJ$1,RIGHT(AJ$1,2),""),VLOOKUP($D324,素材!$1:$1016,COLUMN($F$1),FALSE))),VLOOKUP($C324,武器!$1:$998,COLUMN($O$1),FALSE)*VLOOKUP($D324,素材!$1:$1016,COLUMN($E$1),FALSE)/(LEN(VLOOKUP($D324,素材!$1:$1016,COLUMN($F$1),FALSE))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K324">
        <f>IF(ISNUMBER(SEARCH(SUBSTITUTE(AK$1,RIGHT(AK$1,2),""),VLOOKUP($D324,素材!$1:$1016,COLUMN($F$1),FALSE))),VLOOKUP($C324,武器!$1:$998,COLUMN($O$1),FALSE)*VLOOKUP($D324,素材!$1:$1016,COLUMN($E$1),FALSE)/(LEN(VLOOKUP($D324,素材!$1:$1016,COLUMN($F$1),FALSE))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L324">
        <f>IF(ISNUMBER(SEARCH(SUBSTITUTE(AL$1,RIGHT(AL$1,2),""),VLOOKUP($D324,素材!$1:$1016,COLUMN($F$1),FALSE))),VLOOKUP($C324,武器!$1:$998,COLUMN($O$1),FALSE)*VLOOKUP($D324,素材!$1:$1016,COLUMN($E$1),FALSE)/(LEN(VLOOKUP($D324,素材!$1:$1016,COLUMN($F$1),FALSE))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M324">
        <f>IF(ISNUMBER(SEARCH(SUBSTITUTE(AM$1,RIGHT(AM$1,2),""),VLOOKUP($D324,素材!$1:$1016,COLUMN($F$1),FALSE))),VLOOKUP($C324,武器!$1:$998,COLUMN($O$1),FALSE)*VLOOKUP($D324,素材!$1:$1016,COLUMN($E$1),FALSE)/(LEN(VLOOKUP($D324,素材!$1:$1016,COLUMN($F$1),FALSE))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N324">
        <f>IF(ISNUMBER(SEARCH(SUBSTITUTE(AN$1,RIGHT(AN$1,2),""),VLOOKUP($D324,素材!$1:$1016,COLUMN($F$1),FALSE))),VLOOKUP($C324,武器!$1:$998,COLUMN($O$1),FALSE)*VLOOKUP($D324,素材!$1:$1016,COLUMN($E$1),FALSE)/(LEN(VLOOKUP($D324,素材!$1:$1016,COLUMN($F$1),FALSE))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O324">
        <f>IF(ISNUMBER(SEARCH(SUBSTITUTE(AO$1,RIGHT(AO$1,2),""),VLOOKUP($D324,素材!$1:$1016,COLUMN($F$1),FALSE))),VLOOKUP($C324,武器!$1:$998,COLUMN($O$1),FALSE)*VLOOKUP($D324,素材!$1:$1016,COLUMN($E$1),FALSE)/(LEN(VLOOKUP($D324,素材!$1:$1016,COLUMN($F$1),FALSE))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P324">
        <f>IF(ISNUMBER(SEARCH(SUBSTITUTE(AP$1,RIGHT(AP$1,2),""),VLOOKUP($D324,素材!$1:$1016,COLUMN($F$1),FALSE))),VLOOKUP($C324,武器!$1:$998,COLUMN($O$1),FALSE)*VLOOKUP($D324,素材!$1:$1016,COLUMN($E$1),FALSE)/(LEN(VLOOKUP($D324,素材!$1:$1016,COLUMN($F$1),FALSE))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Q324">
        <f>IF(ISNUMBER(SEARCH(SUBSTITUTE(AQ$1,RIGHT(AQ$1,2),""),VLOOKUP($D324,素材!$1:$1016,COLUMN($F$1),FALSE))),VLOOKUP($C324,武器!$1:$998,COLUMN($O$1),FALSE)*VLOOKUP($D324,素材!$1:$1016,COLUMN($E$1),FALSE)/(LEN(VLOOKUP($D324,素材!$1:$1016,COLUMN($F$1),FALSE))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R324">
        <f>IF(ISNUMBER(SEARCH(SUBSTITUTE(AR$1,RIGHT(AR$1,2),""),VLOOKUP($D324,素材!$1:$1016,COLUMN($F$1),FALSE))),VLOOKUP($C324,武器!$1:$998,COLUMN($O$1),FALSE)*VLOOKUP($D324,素材!$1:$1016,COLUMN($E$1),FALSE)/(LEN(VLOOKUP($D324,素材!$1:$1016,COLUMN($F$1),FALSE))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S324">
        <f>IF(ISNUMBER(SEARCH(SUBSTITUTE(AS$1,RIGHT(AS$1,2),""),VLOOKUP($D324,素材!$1:$1016,COLUMN($F$1),FALSE))),VLOOKUP($C324,武器!$1:$998,COLUMN($O$1),FALSE)*VLOOKUP($D324,素材!$1:$1016,COLUMN($E$1),FALSE)/(LEN(VLOOKUP($D324,素材!$1:$1016,COLUMN($F$1),FALSE))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T324">
        <f>IF(ISNUMBER(SEARCH(SUBSTITUTE(AT$1,RIGHT(AT$1,2),""),VLOOKUP($D324,素材!$1:$1016,COLUMN($F$1),FALSE))),VLOOKUP($C324,武器!$1:$998,COLUMN($O$1),FALSE)*VLOOKUP($D324,素材!$1:$1016,COLUMN($E$1),FALSE)/(LEN(VLOOKUP($D324,素材!$1:$1016,COLUMN($F$1),FALSE))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U324">
        <f>IF(ISNUMBER(SEARCH(SUBSTITUTE(AU$1,RIGHT(AU$1,2),""),VLOOKUP($D324,素材!$1:$1016,COLUMN($F$1),FALSE))),VLOOKUP($C324,武器!$1:$998,COLUMN($O$1),FALSE)*VLOOKUP($D324,素材!$1:$1016,COLUMN($E$1),FALSE)/(LEN(VLOOKUP($D324,素材!$1:$1016,COLUMN($F$1),FALSE))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V324">
        <f>IF(ISNUMBER(SEARCH(SUBSTITUTE(AV$1,RIGHT(AV$1,2),""),VLOOKUP($D324,素材!$1:$1016,COLUMN($F$1),FALSE))),VLOOKUP($C324,武器!$1:$998,COLUMN($O$1),FALSE)*VLOOKUP($D324,素材!$1:$1016,COLUMN($E$1),FALSE)/(LEN(VLOOKUP($D324,素材!$1:$1016,COLUMN($F$1),FALSE))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W324">
        <f>IF(ISNUMBER(SEARCH(SUBSTITUTE(AW$1,RIGHT(AW$1,2),""),VLOOKUP($D324,素材!$1:$1016,COLUMN($F$1),FALSE))),VLOOKUP($C324,武器!$1:$998,COLUMN($O$1),FALSE)*VLOOKUP($D324,素材!$1:$1016,COLUMN($E$1),FALSE)/(LEN(VLOOKUP($D324,素材!$1:$1016,COLUMN($F$1),FALSE))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X324">
        <f>IF(ISNUMBER(SEARCH(SUBSTITUTE(AX$1,RIGHT(AX$1,2),""),VLOOKUP($D324,素材!$1:$1016,COLUMN($F$1),FALSE))),VLOOKUP($C324,武器!$1:$998,COLUMN($O$1),FALSE)*VLOOKUP($D324,素材!$1:$1016,COLUMN($E$1),FALSE)/(LEN(VLOOKUP($D324,素材!$1:$1016,COLUMN($F$1),FALSE))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Y324">
        <f>IF(ISNUMBER(SEARCH(SUBSTITUTE(AY$1,RIGHT(AY$1,2),""),VLOOKUP($D324,素材!$1:$1016,COLUMN($F$1),FALSE))),VLOOKUP($C324,武器!$1:$998,COLUMN($O$1),FALSE)*VLOOKUP($D324,素材!$1:$1016,COLUMN($E$1),FALSE)/(LEN(VLOOKUP($D324,素材!$1:$1016,COLUMN($F$1),FALSE))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AZ324">
        <f>IF(ISNUMBER(SEARCH(SUBSTITUTE(AZ$1,RIGHT(AZ$1,2),""),VLOOKUP($D324,素材!$1:$1016,COLUMN($F$1),FALSE))),VLOOKUP($C324,武器!$1:$998,COLUMN($O$1),FALSE)*VLOOKUP($D324,素材!$1:$1016,COLUMN($E$1),FALSE)/(LEN(VLOOKUP($D324,素材!$1:$1016,COLUMN($F$1),FALSE))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BA324">
        <f>IF(ISNUMBER(SEARCH(SUBSTITUTE(BA$1,RIGHT(BA$1,2),""),VLOOKUP($D324,素材!$1:$1016,COLUMN($F$1),FALSE))),VLOOKUP($C324,武器!$1:$998,COLUMN($O$1),FALSE)*VLOOKUP($D324,素材!$1:$1016,COLUMN($E$1),FALSE)/(LEN(VLOOKUP($D324,素材!$1:$1016,COLUMN($F$1),FALSE))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BB324">
        <f>IF(ISNUMBER(SEARCH(SUBSTITUTE(BB$1,RIGHT(BB$1,2),""),VLOOKUP($D324,素材!$1:$1016,COLUMN($F$1),FALSE))),VLOOKUP($C324,武器!$1:$998,COLUMN($O$1),FALSE)*VLOOKUP($D324,素材!$1:$1016,COLUMN($E$1),FALSE)/(LEN(VLOOKUP($D324,素材!$1:$1016,COLUMN($F$1),FALSE))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BC324">
        <f>IF(ISNUMBER(SEARCH(SUBSTITUTE(BC$1,RIGHT(BC$1,2),""),VLOOKUP($D324,素材!$1:$1016,COLUMN($F$1),FALSE))),VLOOKUP($C324,武器!$1:$998,COLUMN($O$1),FALSE)*VLOOKUP($D324,素材!$1:$1016,COLUMN($E$1),FALSE)/(LEN(VLOOKUP($D324,素材!$1:$1016,COLUMN($F$1),FALSE))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BD324">
        <f>IF(ISNUMBER(SEARCH(SUBSTITUTE(BD$1,RIGHT(BD$1,2),""),VLOOKUP($D324,素材!$1:$1016,COLUMN($F$1),FALSE))),VLOOKUP($C324,武器!$1:$998,COLUMN($O$1),FALSE)*VLOOKUP($D324,素材!$1:$1016,COLUMN($E$1),FALSE)/(LEN(VLOOKUP($D324,素材!$1:$1016,COLUMN($F$1),FALSE))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BE324">
        <f>IF(ISNUMBER(SEARCH(SUBSTITUTE(BE$1,RIGHT(BE$1,2),""),VLOOKUP($D324,素材!$1:$1016,COLUMN($F$1),FALSE))),VLOOKUP($C324,武器!$1:$998,COLUMN($O$1),FALSE)*VLOOKUP($D324,素材!$1:$1016,COLUMN($E$1),FALSE)/(LEN(VLOOKUP($D324,素材!$1:$1016,COLUMN($F$1),FALSE))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BF324">
        <f>IF(ISNUMBER(SEARCH(SUBSTITUTE(BF$1,RIGHT(BF$1,2),""),VLOOKUP($D324,素材!$1:$1016,COLUMN($F$1),FALSE))),VLOOKUP($C324,武器!$1:$998,COLUMN($O$1),FALSE)*VLOOKUP($D324,素材!$1:$1016,COLUMN($E$1),FALSE)/(LEN(VLOOKUP($D324,素材!$1:$1016,COLUMN($F$1),FALSE)) - LEN(SUBSTITUTE(VLOOKUP($D324,素材!$1:$1016,COLUMN($F$1),FALSE), "・", 0)) + 1), 0)</f>
        <v>0</v>
      </c>
      <c r="CM324">
        <f t="shared" ref="CM324:CM362" si="39">SUM(G324:I324)</f>
        <v>0</v>
      </c>
      <c r="CN324" s="22" t="str">
        <f>IF(E324="武器",IF(J324-1&gt;SUM(G324:I324),"盾",IF(MAX(G324:I324)=G324,"切断",IF(MAX(G324:I324)=H324,"貫通",IF(MAX(G324:I324)=I324,"打撃","射撃")))),E324)&amp;".webp"</f>
        <v>.webp</v>
      </c>
      <c r="CO324" t="str">
        <f>IFERROR(VLOOKUP($C324,武器!$1:$998,COLUMN(V$1),FALSE)*VLOOKUP($D324,素材!$1:$1016,COLUMN(N$1),FALSE)+IF(CJ324="",0,VLOOKUP($CJ324,装強!$1:$1008,COLUMN($CL$1),FALSE)),"")</f>
        <v/>
      </c>
      <c r="CP324" t="e">
        <f>VLOOKUP(D324,素材!$A:$O,COLUMN(素材!O$1),FALSE)</f>
        <v>#N/A</v>
      </c>
      <c r="CQ324" t="e">
        <f>VLOOKUP(C324,武器!$A:$W,COLUMN(武器!W$1),FALSE)</f>
        <v>#N/A</v>
      </c>
      <c r="CS324" t="str">
        <f t="shared" si="37"/>
        <v>e_324</v>
      </c>
      <c r="CT324" t="e">
        <f t="shared" si="38"/>
        <v>#VALUE!</v>
      </c>
    </row>
    <row r="325" spans="1:98" hidden="1" outlineLevel="1" x14ac:dyDescent="0.4">
      <c r="A325" t="str">
        <f>IF(CJ325="",D325&amp;"の"&amp;C325,CJ325&amp;"の"&amp;C325)</f>
        <v>の</v>
      </c>
      <c r="B325" t="str">
        <f>IFERROR(IF(CJ325="",VLOOKUP($D325,素材!$1:$1016,COLUMN($B$1),FALSE)&amp;"・"&amp;VLOOKUP($C325,武器!$1:$998,COLUMN(B$1),FALSE),VLOOKUP($CJ325,装強!$1:$1008,COLUMN($B$1),FALSE)&amp;"・"&amp;VLOOKUP($C325,武器!$1:$998,COLUMN(B$1),FALSE)),"")</f>
        <v/>
      </c>
      <c r="C325" s="24"/>
      <c r="D325" s="24"/>
      <c r="E325" t="str">
        <f>IFERROR(VLOOKUP(C325,武器!$1:$998,COLUMN(C$1),FALSE),"")</f>
        <v/>
      </c>
      <c r="F325" t="str">
        <f>IFERROR(ROUNDDOWN((VLOOKUP($C325,武器!$1:$998,COLUMN(D$1),FALSE)+IFERROR(VLOOKUP($CJ325,装強!$1:$999,COLUMN(F$1),FALSE),0))*VLOOKUP($D325,素材!$1:$1016,COLUMN(D$1),FALSE),0),"")</f>
        <v/>
      </c>
      <c r="G325" t="str">
        <f>IFERROR(ROUNDDOWN((VLOOKUP($C325,武器!$1:$998,COLUMN(E$1),FALSE)+IFERROR(VLOOKUP($CJ325,装強!$1:$999,COLUMN(G$1),FALSE),0))*VLOOKUP($D325,素材!$1:$1016,COLUMN($E$1),FALSE),0),"")</f>
        <v/>
      </c>
      <c r="H325" t="str">
        <f>IFERROR(ROUNDDOWN((VLOOKUP($C325,武器!$1:$998,COLUMN(F$1),FALSE)+IFERROR(VLOOKUP($CJ325,装強!$1:$999,COLUMN(H$1),FALSE),0))*VLOOKUP($D325,素材!$1:$1016,COLUMN($E$1),FALSE),0),"")</f>
        <v/>
      </c>
      <c r="I325" t="str">
        <f>IFERROR(ROUNDDOWN((VLOOKUP($C325,武器!$1:$998,COLUMN(G$1),FALSE)+IFERROR(VLOOKUP($CJ325,装強!$1:$999,COLUMN(I$1),FALSE),0))*VLOOKUP($D325,素材!$1:$1016,COLUMN($E$1),FALSE),0),"")</f>
        <v/>
      </c>
      <c r="J325" t="str">
        <f>IFERROR(ROUNDDOWN((VLOOKUP($C325,武器!$1:$998,COLUMN(H$1),FALSE)+IFERROR(VLOOKUP($CJ325,装強!$1:$999,COLUMN(J$1),FALSE),0))*VLOOKUP($D325,素材!$1:$1016,COLUMN($E$1),FALSE),0),"")</f>
        <v/>
      </c>
      <c r="K325" t="str">
        <f>IFERROR(ROUNDDOWN((VLOOKUP($C325,武器!$1:$998,COLUMN(I$1),FALSE)+IFERROR(VLOOKUP($CJ325,装強!$1:$999,COLUMN(K$1),FALSE),0))*VLOOKUP($D325,素材!$1:$1016,COLUMN($E$1),FALSE),0),"")</f>
        <v/>
      </c>
      <c r="L325" t="str">
        <f>IFERROR(VLOOKUP($D325,素材!$1:$1016,COLUMN($F$1),FALSE),"")</f>
        <v/>
      </c>
      <c r="M325" t="str">
        <f>IFERROR(VLOOKUP($C325,武器!$1:$998,COLUMN(AA$1),FALSE)*VLOOKUP($D325,素材!$1:$1016,COLUMN($G$1),FALSE),"")</f>
        <v/>
      </c>
      <c r="N325" t="str">
        <f>IFERROR(VLOOKUP($C325,武器!$1:$998,COLUMN(I$1),FALSE),"")</f>
        <v/>
      </c>
      <c r="O325" s="23" t="str">
        <f>IFERROR((VLOOKUP($C325,武器!$1:$998,COLUMN(K$1),FALSE)+VLOOKUP($D325,素材!$1:$1016,COLUMN(H$1),FALSE))*100+IFERROR(VLOOKUP($CJ325,装強!$1:$999,COLUMN(O$1),FALSE),0),"")</f>
        <v/>
      </c>
      <c r="P325" s="23" t="str">
        <f>IFERROR((VLOOKUP($C325,武器!$1:$998,COLUMN(L$1),FALSE)+VLOOKUP($D325,素材!$1:$1016,COLUMN(I$1),FALSE))*100+IFERROR(VLOOKUP($CJ325,装強!$1:$999,COLUMN(P$1),FALSE),0),"")</f>
        <v/>
      </c>
      <c r="Q325" t="str">
        <f>IFERROR(ROUNDUP(VLOOKUP($C325,武器!$1:$998,COLUMN(M$1),FALSE)*(VLOOKUP($D325,素材!$1:$1002,COLUMN(D$1),FALSE)/100),1),"")</f>
        <v/>
      </c>
      <c r="R325" t="str">
        <f>IFERROR(ROUNDUP(VLOOKUP($C325,武器!$1:$998,COLUMN(N$1),FALSE)*(VLOOKUP($D325,素材!$1:$1002,COLUMN(D$1),FALSE)/100),1),"")</f>
        <v/>
      </c>
      <c r="S325" t="str">
        <f>IFERROR(VLOOKUP($C325,武器!$1:$998,COLUMN(P$1),FALSE),"")</f>
        <v/>
      </c>
      <c r="T325" t="str">
        <f>IFERROR(VLOOKUP($C325,武器!$1:$998,COLUMN(Q$1),FALSE),"")</f>
        <v/>
      </c>
      <c r="U325" t="str">
        <f>IFERROR(VLOOKUP($C325,武器!$1:$998,COLUMN(R$1),FALSE),"")</f>
        <v/>
      </c>
      <c r="V325" t="str">
        <f>IFERROR(VLOOKUP($C325,武器!$1:$998,COLUMN(Q$1),FALSE),"")</f>
        <v/>
      </c>
      <c r="W325" t="str">
        <f>IFERROR(VLOOKUP($C325,武器!$1:$998,COLUMN(T$1),FALSE),"")</f>
        <v/>
      </c>
      <c r="Y325" t="str">
        <f>IFERROR(VLOOKUP($C325,武器!$1:$998,COLUMN(U$1),FALSE),"")</f>
        <v/>
      </c>
      <c r="Z325" t="str">
        <f>IFERROR(ROUNDUP(VLOOKUP($C325,武器!$1:$998,COLUMN(O$1),FALSE)*VLOOKUP($D325,素材!$1:$1016,COLUMN(E$1),FALSE),1),"")</f>
        <v/>
      </c>
      <c r="AA325">
        <f>IF(ISNUMBER(SEARCH(SUBSTITUTE(AA$1,RIGHT(AA$1,2),""),VLOOKUP($D325,素材!$1:$1016,COLUMN($F$1),FALSE))),VLOOKUP($C325,武器!$1:$998,COLUMN($O$1),FALSE)*VLOOKUP($D325,素材!$1:$1016,COLUMN($E$1),FALSE)/(LEN(VLOOKUP($D325,素材!$1:$1016,COLUMN($F$1),FALSE))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B325">
        <f>IF(ISNUMBER(SEARCH(SUBSTITUTE(AB$1,RIGHT(AB$1,2),""),VLOOKUP($D325,素材!$1:$1016,COLUMN($F$1),FALSE))),VLOOKUP($C325,武器!$1:$998,COLUMN($O$1),FALSE)*VLOOKUP($D325,素材!$1:$1016,COLUMN($E$1),FALSE)/(LEN(VLOOKUP($D325,素材!$1:$1016,COLUMN($F$1),FALSE))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C325">
        <f>IF(ISNUMBER(SEARCH(SUBSTITUTE(AC$1,RIGHT(AC$1,2),""),VLOOKUP($D325,素材!$1:$1016,COLUMN($F$1),FALSE))),VLOOKUP($C325,武器!$1:$998,COLUMN($O$1),FALSE)*VLOOKUP($D325,素材!$1:$1016,COLUMN($E$1),FALSE)/(LEN(VLOOKUP($D325,素材!$1:$1016,COLUMN($F$1),FALSE))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D325">
        <f>IF(ISNUMBER(SEARCH(SUBSTITUTE(AD$1,RIGHT(AD$1,2),""),VLOOKUP($D325,素材!$1:$1016,COLUMN($F$1),FALSE))),VLOOKUP($C325,武器!$1:$998,COLUMN($O$1),FALSE)*VLOOKUP($D325,素材!$1:$1016,COLUMN($E$1),FALSE)/(LEN(VLOOKUP($D325,素材!$1:$1016,COLUMN($F$1),FALSE))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E325">
        <f>IF(ISNUMBER(SEARCH(SUBSTITUTE(AE$1,RIGHT(AE$1,2),""),VLOOKUP($D325,素材!$1:$1016,COLUMN($F$1),FALSE))),VLOOKUP($C325,武器!$1:$998,COLUMN($O$1),FALSE)*VLOOKUP($D325,素材!$1:$1016,COLUMN($E$1),FALSE)/(LEN(VLOOKUP($D325,素材!$1:$1016,COLUMN($F$1),FALSE))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F325">
        <f>IF(ISNUMBER(SEARCH(SUBSTITUTE(AF$1,RIGHT(AF$1,2),""),VLOOKUP($D325,素材!$1:$1016,COLUMN($F$1),FALSE))),VLOOKUP($C325,武器!$1:$998,COLUMN($O$1),FALSE)*VLOOKUP($D325,素材!$1:$1016,COLUMN($E$1),FALSE)/(LEN(VLOOKUP($D325,素材!$1:$1016,COLUMN($F$1),FALSE))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G325">
        <f>IF(ISNUMBER(SEARCH(SUBSTITUTE(AG$1,RIGHT(AG$1,2),""),VLOOKUP($D325,素材!$1:$1016,COLUMN($F$1),FALSE))),VLOOKUP($C325,武器!$1:$998,COLUMN($O$1),FALSE)*VLOOKUP($D325,素材!$1:$1016,COLUMN($E$1),FALSE)/(LEN(VLOOKUP($D325,素材!$1:$1016,COLUMN($F$1),FALSE))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H325">
        <f>IF(ISNUMBER(SEARCH(SUBSTITUTE(AH$1,RIGHT(AH$1,2),""),VLOOKUP($D325,素材!$1:$1016,COLUMN($F$1),FALSE))),VLOOKUP($C325,武器!$1:$998,COLUMN($O$1),FALSE)*VLOOKUP($D325,素材!$1:$1016,COLUMN($E$1),FALSE)/(LEN(VLOOKUP($D325,素材!$1:$1016,COLUMN($F$1),FALSE))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I325">
        <f>IF(ISNUMBER(SEARCH(SUBSTITUTE(AI$1,RIGHT(AI$1,2),""),VLOOKUP($D325,素材!$1:$1016,COLUMN($F$1),FALSE))),VLOOKUP($C325,武器!$1:$998,COLUMN($O$1),FALSE)*VLOOKUP($D325,素材!$1:$1016,COLUMN($E$1),FALSE)/(LEN(VLOOKUP($D325,素材!$1:$1016,COLUMN($F$1),FALSE))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J325">
        <f>IF(ISNUMBER(SEARCH(SUBSTITUTE(AJ$1,RIGHT(AJ$1,2),""),VLOOKUP($D325,素材!$1:$1016,COLUMN($F$1),FALSE))),VLOOKUP($C325,武器!$1:$998,COLUMN($O$1),FALSE)*VLOOKUP($D325,素材!$1:$1016,COLUMN($E$1),FALSE)/(LEN(VLOOKUP($D325,素材!$1:$1016,COLUMN($F$1),FALSE))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K325">
        <f>IF(ISNUMBER(SEARCH(SUBSTITUTE(AK$1,RIGHT(AK$1,2),""),VLOOKUP($D325,素材!$1:$1016,COLUMN($F$1),FALSE))),VLOOKUP($C325,武器!$1:$998,COLUMN($O$1),FALSE)*VLOOKUP($D325,素材!$1:$1016,COLUMN($E$1),FALSE)/(LEN(VLOOKUP($D325,素材!$1:$1016,COLUMN($F$1),FALSE))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L325">
        <f>IF(ISNUMBER(SEARCH(SUBSTITUTE(AL$1,RIGHT(AL$1,2),""),VLOOKUP($D325,素材!$1:$1016,COLUMN($F$1),FALSE))),VLOOKUP($C325,武器!$1:$998,COLUMN($O$1),FALSE)*VLOOKUP($D325,素材!$1:$1016,COLUMN($E$1),FALSE)/(LEN(VLOOKUP($D325,素材!$1:$1016,COLUMN($F$1),FALSE))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M325">
        <f>IF(ISNUMBER(SEARCH(SUBSTITUTE(AM$1,RIGHT(AM$1,2),""),VLOOKUP($D325,素材!$1:$1016,COLUMN($F$1),FALSE))),VLOOKUP($C325,武器!$1:$998,COLUMN($O$1),FALSE)*VLOOKUP($D325,素材!$1:$1016,COLUMN($E$1),FALSE)/(LEN(VLOOKUP($D325,素材!$1:$1016,COLUMN($F$1),FALSE))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N325">
        <f>IF(ISNUMBER(SEARCH(SUBSTITUTE(AN$1,RIGHT(AN$1,2),""),VLOOKUP($D325,素材!$1:$1016,COLUMN($F$1),FALSE))),VLOOKUP($C325,武器!$1:$998,COLUMN($O$1),FALSE)*VLOOKUP($D325,素材!$1:$1016,COLUMN($E$1),FALSE)/(LEN(VLOOKUP($D325,素材!$1:$1016,COLUMN($F$1),FALSE))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O325">
        <f>IF(ISNUMBER(SEARCH(SUBSTITUTE(AO$1,RIGHT(AO$1,2),""),VLOOKUP($D325,素材!$1:$1016,COLUMN($F$1),FALSE))),VLOOKUP($C325,武器!$1:$998,COLUMN($O$1),FALSE)*VLOOKUP($D325,素材!$1:$1016,COLUMN($E$1),FALSE)/(LEN(VLOOKUP($D325,素材!$1:$1016,COLUMN($F$1),FALSE))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P325">
        <f>IF(ISNUMBER(SEARCH(SUBSTITUTE(AP$1,RIGHT(AP$1,2),""),VLOOKUP($D325,素材!$1:$1016,COLUMN($F$1),FALSE))),VLOOKUP($C325,武器!$1:$998,COLUMN($O$1),FALSE)*VLOOKUP($D325,素材!$1:$1016,COLUMN($E$1),FALSE)/(LEN(VLOOKUP($D325,素材!$1:$1016,COLUMN($F$1),FALSE))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Q325">
        <f>IF(ISNUMBER(SEARCH(SUBSTITUTE(AQ$1,RIGHT(AQ$1,2),""),VLOOKUP($D325,素材!$1:$1016,COLUMN($F$1),FALSE))),VLOOKUP($C325,武器!$1:$998,COLUMN($O$1),FALSE)*VLOOKUP($D325,素材!$1:$1016,COLUMN($E$1),FALSE)/(LEN(VLOOKUP($D325,素材!$1:$1016,COLUMN($F$1),FALSE))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R325">
        <f>IF(ISNUMBER(SEARCH(SUBSTITUTE(AR$1,RIGHT(AR$1,2),""),VLOOKUP($D325,素材!$1:$1016,COLUMN($F$1),FALSE))),VLOOKUP($C325,武器!$1:$998,COLUMN($O$1),FALSE)*VLOOKUP($D325,素材!$1:$1016,COLUMN($E$1),FALSE)/(LEN(VLOOKUP($D325,素材!$1:$1016,COLUMN($F$1),FALSE))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S325">
        <f>IF(ISNUMBER(SEARCH(SUBSTITUTE(AS$1,RIGHT(AS$1,2),""),VLOOKUP($D325,素材!$1:$1016,COLUMN($F$1),FALSE))),VLOOKUP($C325,武器!$1:$998,COLUMN($O$1),FALSE)*VLOOKUP($D325,素材!$1:$1016,COLUMN($E$1),FALSE)/(LEN(VLOOKUP($D325,素材!$1:$1016,COLUMN($F$1),FALSE))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T325">
        <f>IF(ISNUMBER(SEARCH(SUBSTITUTE(AT$1,RIGHT(AT$1,2),""),VLOOKUP($D325,素材!$1:$1016,COLUMN($F$1),FALSE))),VLOOKUP($C325,武器!$1:$998,COLUMN($O$1),FALSE)*VLOOKUP($D325,素材!$1:$1016,COLUMN($E$1),FALSE)/(LEN(VLOOKUP($D325,素材!$1:$1016,COLUMN($F$1),FALSE))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U325">
        <f>IF(ISNUMBER(SEARCH(SUBSTITUTE(AU$1,RIGHT(AU$1,2),""),VLOOKUP($D325,素材!$1:$1016,COLUMN($F$1),FALSE))),VLOOKUP($C325,武器!$1:$998,COLUMN($O$1),FALSE)*VLOOKUP($D325,素材!$1:$1016,COLUMN($E$1),FALSE)/(LEN(VLOOKUP($D325,素材!$1:$1016,COLUMN($F$1),FALSE))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V325">
        <f>IF(ISNUMBER(SEARCH(SUBSTITUTE(AV$1,RIGHT(AV$1,2),""),VLOOKUP($D325,素材!$1:$1016,COLUMN($F$1),FALSE))),VLOOKUP($C325,武器!$1:$998,COLUMN($O$1),FALSE)*VLOOKUP($D325,素材!$1:$1016,COLUMN($E$1),FALSE)/(LEN(VLOOKUP($D325,素材!$1:$1016,COLUMN($F$1),FALSE))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W325">
        <f>IF(ISNUMBER(SEARCH(SUBSTITUTE(AW$1,RIGHT(AW$1,2),""),VLOOKUP($D325,素材!$1:$1016,COLUMN($F$1),FALSE))),VLOOKUP($C325,武器!$1:$998,COLUMN($O$1),FALSE)*VLOOKUP($D325,素材!$1:$1016,COLUMN($E$1),FALSE)/(LEN(VLOOKUP($D325,素材!$1:$1016,COLUMN($F$1),FALSE))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X325">
        <f>IF(ISNUMBER(SEARCH(SUBSTITUTE(AX$1,RIGHT(AX$1,2),""),VLOOKUP($D325,素材!$1:$1016,COLUMN($F$1),FALSE))),VLOOKUP($C325,武器!$1:$998,COLUMN($O$1),FALSE)*VLOOKUP($D325,素材!$1:$1016,COLUMN($E$1),FALSE)/(LEN(VLOOKUP($D325,素材!$1:$1016,COLUMN($F$1),FALSE))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Y325">
        <f>IF(ISNUMBER(SEARCH(SUBSTITUTE(AY$1,RIGHT(AY$1,2),""),VLOOKUP($D325,素材!$1:$1016,COLUMN($F$1),FALSE))),VLOOKUP($C325,武器!$1:$998,COLUMN($O$1),FALSE)*VLOOKUP($D325,素材!$1:$1016,COLUMN($E$1),FALSE)/(LEN(VLOOKUP($D325,素材!$1:$1016,COLUMN($F$1),FALSE))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AZ325">
        <f>IF(ISNUMBER(SEARCH(SUBSTITUTE(AZ$1,RIGHT(AZ$1,2),""),VLOOKUP($D325,素材!$1:$1016,COLUMN($F$1),FALSE))),VLOOKUP($C325,武器!$1:$998,COLUMN($O$1),FALSE)*VLOOKUP($D325,素材!$1:$1016,COLUMN($E$1),FALSE)/(LEN(VLOOKUP($D325,素材!$1:$1016,COLUMN($F$1),FALSE))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BA325">
        <f>IF(ISNUMBER(SEARCH(SUBSTITUTE(BA$1,RIGHT(BA$1,2),""),VLOOKUP($D325,素材!$1:$1016,COLUMN($F$1),FALSE))),VLOOKUP($C325,武器!$1:$998,COLUMN($O$1),FALSE)*VLOOKUP($D325,素材!$1:$1016,COLUMN($E$1),FALSE)/(LEN(VLOOKUP($D325,素材!$1:$1016,COLUMN($F$1),FALSE))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BB325">
        <f>IF(ISNUMBER(SEARCH(SUBSTITUTE(BB$1,RIGHT(BB$1,2),""),VLOOKUP($D325,素材!$1:$1016,COLUMN($F$1),FALSE))),VLOOKUP($C325,武器!$1:$998,COLUMN($O$1),FALSE)*VLOOKUP($D325,素材!$1:$1016,COLUMN($E$1),FALSE)/(LEN(VLOOKUP($D325,素材!$1:$1016,COLUMN($F$1),FALSE))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BC325">
        <f>IF(ISNUMBER(SEARCH(SUBSTITUTE(BC$1,RIGHT(BC$1,2),""),VLOOKUP($D325,素材!$1:$1016,COLUMN($F$1),FALSE))),VLOOKUP($C325,武器!$1:$998,COLUMN($O$1),FALSE)*VLOOKUP($D325,素材!$1:$1016,COLUMN($E$1),FALSE)/(LEN(VLOOKUP($D325,素材!$1:$1016,COLUMN($F$1),FALSE))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BD325">
        <f>IF(ISNUMBER(SEARCH(SUBSTITUTE(BD$1,RIGHT(BD$1,2),""),VLOOKUP($D325,素材!$1:$1016,COLUMN($F$1),FALSE))),VLOOKUP($C325,武器!$1:$998,COLUMN($O$1),FALSE)*VLOOKUP($D325,素材!$1:$1016,COLUMN($E$1),FALSE)/(LEN(VLOOKUP($D325,素材!$1:$1016,COLUMN($F$1),FALSE))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BE325">
        <f>IF(ISNUMBER(SEARCH(SUBSTITUTE(BE$1,RIGHT(BE$1,2),""),VLOOKUP($D325,素材!$1:$1016,COLUMN($F$1),FALSE))),VLOOKUP($C325,武器!$1:$998,COLUMN($O$1),FALSE)*VLOOKUP($D325,素材!$1:$1016,COLUMN($E$1),FALSE)/(LEN(VLOOKUP($D325,素材!$1:$1016,COLUMN($F$1),FALSE))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BF325">
        <f>IF(ISNUMBER(SEARCH(SUBSTITUTE(BF$1,RIGHT(BF$1,2),""),VLOOKUP($D325,素材!$1:$1016,COLUMN($F$1),FALSE))),VLOOKUP($C325,武器!$1:$998,COLUMN($O$1),FALSE)*VLOOKUP($D325,素材!$1:$1016,COLUMN($E$1),FALSE)/(LEN(VLOOKUP($D325,素材!$1:$1016,COLUMN($F$1),FALSE)) - LEN(SUBSTITUTE(VLOOKUP($D325,素材!$1:$1016,COLUMN($F$1),FALSE), "・", 0)) + 1), 0)</f>
        <v>0</v>
      </c>
      <c r="CM325">
        <f t="shared" si="39"/>
        <v>0</v>
      </c>
      <c r="CN325" s="22" t="str">
        <f>IF(E325="武器",IF(J325-1&gt;SUM(G325:I325),"盾",IF(MAX(G325:I325)=G325,"切断",IF(MAX(G325:I325)=H325,"貫通",IF(MAX(G325:I325)=I325,"打撃","射撃")))),E325)&amp;".webp"</f>
        <v>.webp</v>
      </c>
      <c r="CO325" t="str">
        <f>IFERROR(VLOOKUP($C325,武器!$1:$998,COLUMN(V$1),FALSE)*VLOOKUP($D325,素材!$1:$1016,COLUMN(N$1),FALSE)+IF(CJ325="",0,VLOOKUP($CJ325,装強!$1:$1008,COLUMN($CL$1),FALSE)),"")</f>
        <v/>
      </c>
      <c r="CP325" t="e">
        <f>VLOOKUP(D325,素材!$A:$O,COLUMN(素材!O$1),FALSE)</f>
        <v>#N/A</v>
      </c>
      <c r="CQ325" t="e">
        <f>VLOOKUP(C325,武器!$A:$W,COLUMN(武器!W$1),FALSE)</f>
        <v>#N/A</v>
      </c>
      <c r="CS325" t="str">
        <f t="shared" si="37"/>
        <v>e_325</v>
      </c>
      <c r="CT325" t="e">
        <f t="shared" si="38"/>
        <v>#VALUE!</v>
      </c>
    </row>
    <row r="326" spans="1:98" hidden="1" outlineLevel="1" x14ac:dyDescent="0.4">
      <c r="A326" t="str">
        <f>IF(CJ326="",D326&amp;"の"&amp;C326,CJ326&amp;"の"&amp;C326)</f>
        <v>の</v>
      </c>
      <c r="B326" t="str">
        <f>IFERROR(IF(CJ326="",VLOOKUP($D326,素材!$1:$1016,COLUMN($B$1),FALSE)&amp;"・"&amp;VLOOKUP($C326,武器!$1:$998,COLUMN(B$1),FALSE),VLOOKUP($CJ326,装強!$1:$1008,COLUMN($B$1),FALSE)&amp;"・"&amp;VLOOKUP($C326,武器!$1:$998,COLUMN(B$1),FALSE)),"")</f>
        <v/>
      </c>
      <c r="C326" s="24"/>
      <c r="D326" s="24"/>
      <c r="E326" t="str">
        <f>IFERROR(VLOOKUP(C326,武器!$1:$998,COLUMN(C$1),FALSE),"")</f>
        <v/>
      </c>
      <c r="F326" t="str">
        <f>IFERROR(ROUNDDOWN((VLOOKUP($C326,武器!$1:$998,COLUMN(D$1),FALSE)+IFERROR(VLOOKUP($CJ326,装強!$1:$999,COLUMN(F$1),FALSE),0))*VLOOKUP($D326,素材!$1:$1016,COLUMN(D$1),FALSE),0),"")</f>
        <v/>
      </c>
      <c r="G326" t="str">
        <f>IFERROR(ROUNDDOWN((VLOOKUP($C326,武器!$1:$998,COLUMN(E$1),FALSE)+IFERROR(VLOOKUP($CJ326,装強!$1:$999,COLUMN(G$1),FALSE),0))*VLOOKUP($D326,素材!$1:$1016,COLUMN($E$1),FALSE),0),"")</f>
        <v/>
      </c>
      <c r="H326" t="str">
        <f>IFERROR(ROUNDDOWN((VLOOKUP($C326,武器!$1:$998,COLUMN(F$1),FALSE)+IFERROR(VLOOKUP($CJ326,装強!$1:$999,COLUMN(H$1),FALSE),0))*VLOOKUP($D326,素材!$1:$1016,COLUMN($E$1),FALSE),0),"")</f>
        <v/>
      </c>
      <c r="I326" t="str">
        <f>IFERROR(ROUNDDOWN((VLOOKUP($C326,武器!$1:$998,COLUMN(G$1),FALSE)+IFERROR(VLOOKUP($CJ326,装強!$1:$999,COLUMN(I$1),FALSE),0))*VLOOKUP($D326,素材!$1:$1016,COLUMN($E$1),FALSE),0),"")</f>
        <v/>
      </c>
      <c r="J326" t="str">
        <f>IFERROR(ROUNDDOWN((VLOOKUP($C326,武器!$1:$998,COLUMN(H$1),FALSE)+IFERROR(VLOOKUP($CJ326,装強!$1:$999,COLUMN(J$1),FALSE),0))*VLOOKUP($D326,素材!$1:$1016,COLUMN($E$1),FALSE),0),"")</f>
        <v/>
      </c>
      <c r="K326" t="str">
        <f>IFERROR(ROUNDDOWN((VLOOKUP($C326,武器!$1:$998,COLUMN(I$1),FALSE)+IFERROR(VLOOKUP($CJ326,装強!$1:$999,COLUMN(K$1),FALSE),0))*VLOOKUP($D326,素材!$1:$1016,COLUMN($E$1),FALSE),0),"")</f>
        <v/>
      </c>
      <c r="L326" t="str">
        <f>IFERROR(VLOOKUP($D326,素材!$1:$1016,COLUMN($F$1),FALSE),"")</f>
        <v/>
      </c>
      <c r="M326" t="str">
        <f>IFERROR(VLOOKUP($C326,武器!$1:$998,COLUMN(AA$1),FALSE)*VLOOKUP($D326,素材!$1:$1016,COLUMN($G$1),FALSE),"")</f>
        <v/>
      </c>
      <c r="N326" t="str">
        <f>IFERROR(VLOOKUP($C326,武器!$1:$998,COLUMN(I$1),FALSE),"")</f>
        <v/>
      </c>
      <c r="O326" s="23" t="str">
        <f>IFERROR((VLOOKUP($C326,武器!$1:$998,COLUMN(K$1),FALSE)+VLOOKUP($D326,素材!$1:$1016,COLUMN(H$1),FALSE))*100+IFERROR(VLOOKUP($CJ326,装強!$1:$999,COLUMN(O$1),FALSE),0),"")</f>
        <v/>
      </c>
      <c r="P326" s="23" t="str">
        <f>IFERROR((VLOOKUP($C326,武器!$1:$998,COLUMN(L$1),FALSE)+VLOOKUP($D326,素材!$1:$1016,COLUMN(I$1),FALSE))*100+IFERROR(VLOOKUP($CJ326,装強!$1:$999,COLUMN(P$1),FALSE),0),"")</f>
        <v/>
      </c>
      <c r="Q326" t="str">
        <f>IFERROR(ROUNDUP(VLOOKUP($C326,武器!$1:$998,COLUMN(M$1),FALSE)*(VLOOKUP($D326,素材!$1:$1002,COLUMN(D$1),FALSE)/100),1),"")</f>
        <v/>
      </c>
      <c r="R326" t="str">
        <f>IFERROR(ROUNDUP(VLOOKUP($C326,武器!$1:$998,COLUMN(N$1),FALSE)*(VLOOKUP($D326,素材!$1:$1002,COLUMN(D$1),FALSE)/100),1),"")</f>
        <v/>
      </c>
      <c r="S326" t="str">
        <f>IFERROR(VLOOKUP($C326,武器!$1:$998,COLUMN(P$1),FALSE),"")</f>
        <v/>
      </c>
      <c r="T326" t="str">
        <f>IFERROR(VLOOKUP($C326,武器!$1:$998,COLUMN(Q$1),FALSE),"")</f>
        <v/>
      </c>
      <c r="U326" t="str">
        <f>IFERROR(VLOOKUP($C326,武器!$1:$998,COLUMN(R$1),FALSE),"")</f>
        <v/>
      </c>
      <c r="V326" t="str">
        <f>IFERROR(VLOOKUP($C326,武器!$1:$998,COLUMN(Q$1),FALSE),"")</f>
        <v/>
      </c>
      <c r="W326" t="str">
        <f>IFERROR(VLOOKUP($C326,武器!$1:$998,COLUMN(T$1),FALSE),"")</f>
        <v/>
      </c>
      <c r="Y326" t="str">
        <f>IFERROR(VLOOKUP($C326,武器!$1:$998,COLUMN(U$1),FALSE),"")</f>
        <v/>
      </c>
      <c r="Z326" t="str">
        <f>IFERROR(ROUNDUP(VLOOKUP($C326,武器!$1:$998,COLUMN(O$1),FALSE)*VLOOKUP($D326,素材!$1:$1016,COLUMN(E$1),FALSE),1),"")</f>
        <v/>
      </c>
      <c r="AA326">
        <f>IF(ISNUMBER(SEARCH(SUBSTITUTE(AA$1,RIGHT(AA$1,2),""),VLOOKUP($D326,素材!$1:$1016,COLUMN($F$1),FALSE))),VLOOKUP($C326,武器!$1:$998,COLUMN($O$1),FALSE)*VLOOKUP($D326,素材!$1:$1016,COLUMN($E$1),FALSE)/(LEN(VLOOKUP($D326,素材!$1:$1016,COLUMN($F$1),FALSE))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B326">
        <f>IF(ISNUMBER(SEARCH(SUBSTITUTE(AB$1,RIGHT(AB$1,2),""),VLOOKUP($D326,素材!$1:$1016,COLUMN($F$1),FALSE))),VLOOKUP($C326,武器!$1:$998,COLUMN($O$1),FALSE)*VLOOKUP($D326,素材!$1:$1016,COLUMN($E$1),FALSE)/(LEN(VLOOKUP($D326,素材!$1:$1016,COLUMN($F$1),FALSE))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C326">
        <f>IF(ISNUMBER(SEARCH(SUBSTITUTE(AC$1,RIGHT(AC$1,2),""),VLOOKUP($D326,素材!$1:$1016,COLUMN($F$1),FALSE))),VLOOKUP($C326,武器!$1:$998,COLUMN($O$1),FALSE)*VLOOKUP($D326,素材!$1:$1016,COLUMN($E$1),FALSE)/(LEN(VLOOKUP($D326,素材!$1:$1016,COLUMN($F$1),FALSE))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D326">
        <f>IF(ISNUMBER(SEARCH(SUBSTITUTE(AD$1,RIGHT(AD$1,2),""),VLOOKUP($D326,素材!$1:$1016,COLUMN($F$1),FALSE))),VLOOKUP($C326,武器!$1:$998,COLUMN($O$1),FALSE)*VLOOKUP($D326,素材!$1:$1016,COLUMN($E$1),FALSE)/(LEN(VLOOKUP($D326,素材!$1:$1016,COLUMN($F$1),FALSE))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E326">
        <f>IF(ISNUMBER(SEARCH(SUBSTITUTE(AE$1,RIGHT(AE$1,2),""),VLOOKUP($D326,素材!$1:$1016,COLUMN($F$1),FALSE))),VLOOKUP($C326,武器!$1:$998,COLUMN($O$1),FALSE)*VLOOKUP($D326,素材!$1:$1016,COLUMN($E$1),FALSE)/(LEN(VLOOKUP($D326,素材!$1:$1016,COLUMN($F$1),FALSE))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F326">
        <f>IF(ISNUMBER(SEARCH(SUBSTITUTE(AF$1,RIGHT(AF$1,2),""),VLOOKUP($D326,素材!$1:$1016,COLUMN($F$1),FALSE))),VLOOKUP($C326,武器!$1:$998,COLUMN($O$1),FALSE)*VLOOKUP($D326,素材!$1:$1016,COLUMN($E$1),FALSE)/(LEN(VLOOKUP($D326,素材!$1:$1016,COLUMN($F$1),FALSE))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G326">
        <f>IF(ISNUMBER(SEARCH(SUBSTITUTE(AG$1,RIGHT(AG$1,2),""),VLOOKUP($D326,素材!$1:$1016,COLUMN($F$1),FALSE))),VLOOKUP($C326,武器!$1:$998,COLUMN($O$1),FALSE)*VLOOKUP($D326,素材!$1:$1016,COLUMN($E$1),FALSE)/(LEN(VLOOKUP($D326,素材!$1:$1016,COLUMN($F$1),FALSE))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H326">
        <f>IF(ISNUMBER(SEARCH(SUBSTITUTE(AH$1,RIGHT(AH$1,2),""),VLOOKUP($D326,素材!$1:$1016,COLUMN($F$1),FALSE))),VLOOKUP($C326,武器!$1:$998,COLUMN($O$1),FALSE)*VLOOKUP($D326,素材!$1:$1016,COLUMN($E$1),FALSE)/(LEN(VLOOKUP($D326,素材!$1:$1016,COLUMN($F$1),FALSE))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I326">
        <f>IF(ISNUMBER(SEARCH(SUBSTITUTE(AI$1,RIGHT(AI$1,2),""),VLOOKUP($D326,素材!$1:$1016,COLUMN($F$1),FALSE))),VLOOKUP($C326,武器!$1:$998,COLUMN($O$1),FALSE)*VLOOKUP($D326,素材!$1:$1016,COLUMN($E$1),FALSE)/(LEN(VLOOKUP($D326,素材!$1:$1016,COLUMN($F$1),FALSE))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J326">
        <f>IF(ISNUMBER(SEARCH(SUBSTITUTE(AJ$1,RIGHT(AJ$1,2),""),VLOOKUP($D326,素材!$1:$1016,COLUMN($F$1),FALSE))),VLOOKUP($C326,武器!$1:$998,COLUMN($O$1),FALSE)*VLOOKUP($D326,素材!$1:$1016,COLUMN($E$1),FALSE)/(LEN(VLOOKUP($D326,素材!$1:$1016,COLUMN($F$1),FALSE))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K326">
        <f>IF(ISNUMBER(SEARCH(SUBSTITUTE(AK$1,RIGHT(AK$1,2),""),VLOOKUP($D326,素材!$1:$1016,COLUMN($F$1),FALSE))),VLOOKUP($C326,武器!$1:$998,COLUMN($O$1),FALSE)*VLOOKUP($D326,素材!$1:$1016,COLUMN($E$1),FALSE)/(LEN(VLOOKUP($D326,素材!$1:$1016,COLUMN($F$1),FALSE))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L326">
        <f>IF(ISNUMBER(SEARCH(SUBSTITUTE(AL$1,RIGHT(AL$1,2),""),VLOOKUP($D326,素材!$1:$1016,COLUMN($F$1),FALSE))),VLOOKUP($C326,武器!$1:$998,COLUMN($O$1),FALSE)*VLOOKUP($D326,素材!$1:$1016,COLUMN($E$1),FALSE)/(LEN(VLOOKUP($D326,素材!$1:$1016,COLUMN($F$1),FALSE))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M326">
        <f>IF(ISNUMBER(SEARCH(SUBSTITUTE(AM$1,RIGHT(AM$1,2),""),VLOOKUP($D326,素材!$1:$1016,COLUMN($F$1),FALSE))),VLOOKUP($C326,武器!$1:$998,COLUMN($O$1),FALSE)*VLOOKUP($D326,素材!$1:$1016,COLUMN($E$1),FALSE)/(LEN(VLOOKUP($D326,素材!$1:$1016,COLUMN($F$1),FALSE))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N326">
        <f>IF(ISNUMBER(SEARCH(SUBSTITUTE(AN$1,RIGHT(AN$1,2),""),VLOOKUP($D326,素材!$1:$1016,COLUMN($F$1),FALSE))),VLOOKUP($C326,武器!$1:$998,COLUMN($O$1),FALSE)*VLOOKUP($D326,素材!$1:$1016,COLUMN($E$1),FALSE)/(LEN(VLOOKUP($D326,素材!$1:$1016,COLUMN($F$1),FALSE))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O326">
        <f>IF(ISNUMBER(SEARCH(SUBSTITUTE(AO$1,RIGHT(AO$1,2),""),VLOOKUP($D326,素材!$1:$1016,COLUMN($F$1),FALSE))),VLOOKUP($C326,武器!$1:$998,COLUMN($O$1),FALSE)*VLOOKUP($D326,素材!$1:$1016,COLUMN($E$1),FALSE)/(LEN(VLOOKUP($D326,素材!$1:$1016,COLUMN($F$1),FALSE))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P326">
        <f>IF(ISNUMBER(SEARCH(SUBSTITUTE(AP$1,RIGHT(AP$1,2),""),VLOOKUP($D326,素材!$1:$1016,COLUMN($F$1),FALSE))),VLOOKUP($C326,武器!$1:$998,COLUMN($O$1),FALSE)*VLOOKUP($D326,素材!$1:$1016,COLUMN($E$1),FALSE)/(LEN(VLOOKUP($D326,素材!$1:$1016,COLUMN($F$1),FALSE))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Q326">
        <f>IF(ISNUMBER(SEARCH(SUBSTITUTE(AQ$1,RIGHT(AQ$1,2),""),VLOOKUP($D326,素材!$1:$1016,COLUMN($F$1),FALSE))),VLOOKUP($C326,武器!$1:$998,COLUMN($O$1),FALSE)*VLOOKUP($D326,素材!$1:$1016,COLUMN($E$1),FALSE)/(LEN(VLOOKUP($D326,素材!$1:$1016,COLUMN($F$1),FALSE))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R326">
        <f>IF(ISNUMBER(SEARCH(SUBSTITUTE(AR$1,RIGHT(AR$1,2),""),VLOOKUP($D326,素材!$1:$1016,COLUMN($F$1),FALSE))),VLOOKUP($C326,武器!$1:$998,COLUMN($O$1),FALSE)*VLOOKUP($D326,素材!$1:$1016,COLUMN($E$1),FALSE)/(LEN(VLOOKUP($D326,素材!$1:$1016,COLUMN($F$1),FALSE))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S326">
        <f>IF(ISNUMBER(SEARCH(SUBSTITUTE(AS$1,RIGHT(AS$1,2),""),VLOOKUP($D326,素材!$1:$1016,COLUMN($F$1),FALSE))),VLOOKUP($C326,武器!$1:$998,COLUMN($O$1),FALSE)*VLOOKUP($D326,素材!$1:$1016,COLUMN($E$1),FALSE)/(LEN(VLOOKUP($D326,素材!$1:$1016,COLUMN($F$1),FALSE))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T326">
        <f>IF(ISNUMBER(SEARCH(SUBSTITUTE(AT$1,RIGHT(AT$1,2),""),VLOOKUP($D326,素材!$1:$1016,COLUMN($F$1),FALSE))),VLOOKUP($C326,武器!$1:$998,COLUMN($O$1),FALSE)*VLOOKUP($D326,素材!$1:$1016,COLUMN($E$1),FALSE)/(LEN(VLOOKUP($D326,素材!$1:$1016,COLUMN($F$1),FALSE))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U326">
        <f>IF(ISNUMBER(SEARCH(SUBSTITUTE(AU$1,RIGHT(AU$1,2),""),VLOOKUP($D326,素材!$1:$1016,COLUMN($F$1),FALSE))),VLOOKUP($C326,武器!$1:$998,COLUMN($O$1),FALSE)*VLOOKUP($D326,素材!$1:$1016,COLUMN($E$1),FALSE)/(LEN(VLOOKUP($D326,素材!$1:$1016,COLUMN($F$1),FALSE))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V326">
        <f>IF(ISNUMBER(SEARCH(SUBSTITUTE(AV$1,RIGHT(AV$1,2),""),VLOOKUP($D326,素材!$1:$1016,COLUMN($F$1),FALSE))),VLOOKUP($C326,武器!$1:$998,COLUMN($O$1),FALSE)*VLOOKUP($D326,素材!$1:$1016,COLUMN($E$1),FALSE)/(LEN(VLOOKUP($D326,素材!$1:$1016,COLUMN($F$1),FALSE))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W326">
        <f>IF(ISNUMBER(SEARCH(SUBSTITUTE(AW$1,RIGHT(AW$1,2),""),VLOOKUP($D326,素材!$1:$1016,COLUMN($F$1),FALSE))),VLOOKUP($C326,武器!$1:$998,COLUMN($O$1),FALSE)*VLOOKUP($D326,素材!$1:$1016,COLUMN($E$1),FALSE)/(LEN(VLOOKUP($D326,素材!$1:$1016,COLUMN($F$1),FALSE))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X326">
        <f>IF(ISNUMBER(SEARCH(SUBSTITUTE(AX$1,RIGHT(AX$1,2),""),VLOOKUP($D326,素材!$1:$1016,COLUMN($F$1),FALSE))),VLOOKUP($C326,武器!$1:$998,COLUMN($O$1),FALSE)*VLOOKUP($D326,素材!$1:$1016,COLUMN($E$1),FALSE)/(LEN(VLOOKUP($D326,素材!$1:$1016,COLUMN($F$1),FALSE))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Y326">
        <f>IF(ISNUMBER(SEARCH(SUBSTITUTE(AY$1,RIGHT(AY$1,2),""),VLOOKUP($D326,素材!$1:$1016,COLUMN($F$1),FALSE))),VLOOKUP($C326,武器!$1:$998,COLUMN($O$1),FALSE)*VLOOKUP($D326,素材!$1:$1016,COLUMN($E$1),FALSE)/(LEN(VLOOKUP($D326,素材!$1:$1016,COLUMN($F$1),FALSE))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AZ326">
        <f>IF(ISNUMBER(SEARCH(SUBSTITUTE(AZ$1,RIGHT(AZ$1,2),""),VLOOKUP($D326,素材!$1:$1016,COLUMN($F$1),FALSE))),VLOOKUP($C326,武器!$1:$998,COLUMN($O$1),FALSE)*VLOOKUP($D326,素材!$1:$1016,COLUMN($E$1),FALSE)/(LEN(VLOOKUP($D326,素材!$1:$1016,COLUMN($F$1),FALSE))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BA326">
        <f>IF(ISNUMBER(SEARCH(SUBSTITUTE(BA$1,RIGHT(BA$1,2),""),VLOOKUP($D326,素材!$1:$1016,COLUMN($F$1),FALSE))),VLOOKUP($C326,武器!$1:$998,COLUMN($O$1),FALSE)*VLOOKUP($D326,素材!$1:$1016,COLUMN($E$1),FALSE)/(LEN(VLOOKUP($D326,素材!$1:$1016,COLUMN($F$1),FALSE))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BB326">
        <f>IF(ISNUMBER(SEARCH(SUBSTITUTE(BB$1,RIGHT(BB$1,2),""),VLOOKUP($D326,素材!$1:$1016,COLUMN($F$1),FALSE))),VLOOKUP($C326,武器!$1:$998,COLUMN($O$1),FALSE)*VLOOKUP($D326,素材!$1:$1016,COLUMN($E$1),FALSE)/(LEN(VLOOKUP($D326,素材!$1:$1016,COLUMN($F$1),FALSE))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BC326">
        <f>IF(ISNUMBER(SEARCH(SUBSTITUTE(BC$1,RIGHT(BC$1,2),""),VLOOKUP($D326,素材!$1:$1016,COLUMN($F$1),FALSE))),VLOOKUP($C326,武器!$1:$998,COLUMN($O$1),FALSE)*VLOOKUP($D326,素材!$1:$1016,COLUMN($E$1),FALSE)/(LEN(VLOOKUP($D326,素材!$1:$1016,COLUMN($F$1),FALSE))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BD326">
        <f>IF(ISNUMBER(SEARCH(SUBSTITUTE(BD$1,RIGHT(BD$1,2),""),VLOOKUP($D326,素材!$1:$1016,COLUMN($F$1),FALSE))),VLOOKUP($C326,武器!$1:$998,COLUMN($O$1),FALSE)*VLOOKUP($D326,素材!$1:$1016,COLUMN($E$1),FALSE)/(LEN(VLOOKUP($D326,素材!$1:$1016,COLUMN($F$1),FALSE))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BE326">
        <f>IF(ISNUMBER(SEARCH(SUBSTITUTE(BE$1,RIGHT(BE$1,2),""),VLOOKUP($D326,素材!$1:$1016,COLUMN($F$1),FALSE))),VLOOKUP($C326,武器!$1:$998,COLUMN($O$1),FALSE)*VLOOKUP($D326,素材!$1:$1016,COLUMN($E$1),FALSE)/(LEN(VLOOKUP($D326,素材!$1:$1016,COLUMN($F$1),FALSE))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BF326">
        <f>IF(ISNUMBER(SEARCH(SUBSTITUTE(BF$1,RIGHT(BF$1,2),""),VLOOKUP($D326,素材!$1:$1016,COLUMN($F$1),FALSE))),VLOOKUP($C326,武器!$1:$998,COLUMN($O$1),FALSE)*VLOOKUP($D326,素材!$1:$1016,COLUMN($E$1),FALSE)/(LEN(VLOOKUP($D326,素材!$1:$1016,COLUMN($F$1),FALSE)) - LEN(SUBSTITUTE(VLOOKUP($D326,素材!$1:$1016,COLUMN($F$1),FALSE), "・", 0)) + 1), 0)</f>
        <v>0</v>
      </c>
      <c r="CM326">
        <f t="shared" si="39"/>
        <v>0</v>
      </c>
      <c r="CN326" s="22" t="str">
        <f>IF(E326="武器",IF(J326-1&gt;SUM(G326:I326),"盾",IF(MAX(G326:I326)=G326,"切断",IF(MAX(G326:I326)=H326,"貫通",IF(MAX(G326:I326)=I326,"打撃","射撃")))),E326)&amp;".webp"</f>
        <v>.webp</v>
      </c>
      <c r="CO326" t="str">
        <f>IFERROR(VLOOKUP($C326,武器!$1:$998,COLUMN(V$1),FALSE)*VLOOKUP($D326,素材!$1:$1016,COLUMN(N$1),FALSE)+IF(CJ326="",0,VLOOKUP($CJ326,装強!$1:$1008,COLUMN($CL$1),FALSE)),"")</f>
        <v/>
      </c>
      <c r="CP326" t="e">
        <f>VLOOKUP(D326,素材!$A:$O,COLUMN(素材!O$1),FALSE)</f>
        <v>#N/A</v>
      </c>
      <c r="CQ326" t="e">
        <f>VLOOKUP(C326,武器!$A:$W,COLUMN(武器!W$1),FALSE)</f>
        <v>#N/A</v>
      </c>
      <c r="CS326" t="str">
        <f t="shared" si="37"/>
        <v>e_326</v>
      </c>
      <c r="CT326" t="e">
        <f t="shared" si="38"/>
        <v>#VALUE!</v>
      </c>
    </row>
    <row r="327" spans="1:98" hidden="1" outlineLevel="1" x14ac:dyDescent="0.4">
      <c r="A327" t="str">
        <f>IF(CJ327="",D327&amp;"の"&amp;C327,CJ327&amp;"の"&amp;C327)</f>
        <v>の</v>
      </c>
      <c r="B327" t="str">
        <f>IFERROR(IF(CJ327="",VLOOKUP($D327,素材!$1:$1016,COLUMN($B$1),FALSE)&amp;"・"&amp;VLOOKUP($C327,武器!$1:$998,COLUMN(B$1),FALSE),VLOOKUP($CJ327,装強!$1:$1008,COLUMN($B$1),FALSE)&amp;"・"&amp;VLOOKUP($C327,武器!$1:$998,COLUMN(B$1),FALSE)),"")</f>
        <v/>
      </c>
      <c r="C327" s="24"/>
      <c r="D327" s="24"/>
      <c r="E327" t="str">
        <f>IFERROR(VLOOKUP(C327,武器!$1:$998,COLUMN(C$1),FALSE),"")</f>
        <v/>
      </c>
      <c r="F327" t="str">
        <f>IFERROR(ROUNDDOWN((VLOOKUP($C327,武器!$1:$998,COLUMN(D$1),FALSE)+IFERROR(VLOOKUP($CJ327,装強!$1:$999,COLUMN(F$1),FALSE),0))*VLOOKUP($D327,素材!$1:$1016,COLUMN(D$1),FALSE),0),"")</f>
        <v/>
      </c>
      <c r="G327" t="str">
        <f>IFERROR(ROUNDDOWN((VLOOKUP($C327,武器!$1:$998,COLUMN(E$1),FALSE)+IFERROR(VLOOKUP($CJ327,装強!$1:$999,COLUMN(G$1),FALSE),0))*VLOOKUP($D327,素材!$1:$1016,COLUMN($E$1),FALSE),0),"")</f>
        <v/>
      </c>
      <c r="H327" t="str">
        <f>IFERROR(ROUNDDOWN((VLOOKUP($C327,武器!$1:$998,COLUMN(F$1),FALSE)+IFERROR(VLOOKUP($CJ327,装強!$1:$999,COLUMN(H$1),FALSE),0))*VLOOKUP($D327,素材!$1:$1016,COLUMN($E$1),FALSE),0),"")</f>
        <v/>
      </c>
      <c r="I327" t="str">
        <f>IFERROR(ROUNDDOWN((VLOOKUP($C327,武器!$1:$998,COLUMN(G$1),FALSE)+IFERROR(VLOOKUP($CJ327,装強!$1:$999,COLUMN(I$1),FALSE),0))*VLOOKUP($D327,素材!$1:$1016,COLUMN($E$1),FALSE),0),"")</f>
        <v/>
      </c>
      <c r="J327" t="str">
        <f>IFERROR(ROUNDDOWN((VLOOKUP($C327,武器!$1:$998,COLUMN(H$1),FALSE)+IFERROR(VLOOKUP($CJ327,装強!$1:$999,COLUMN(J$1),FALSE),0))*VLOOKUP($D327,素材!$1:$1016,COLUMN($E$1),FALSE),0),"")</f>
        <v/>
      </c>
      <c r="K327" t="str">
        <f>IFERROR(ROUNDDOWN((VLOOKUP($C327,武器!$1:$998,COLUMN(I$1),FALSE)+IFERROR(VLOOKUP($CJ327,装強!$1:$999,COLUMN(K$1),FALSE),0))*VLOOKUP($D327,素材!$1:$1016,COLUMN($E$1),FALSE),0),"")</f>
        <v/>
      </c>
      <c r="L327" t="str">
        <f>IFERROR(VLOOKUP($D327,素材!$1:$1016,COLUMN($F$1),FALSE),"")</f>
        <v/>
      </c>
      <c r="M327" t="str">
        <f>IFERROR(VLOOKUP($C327,武器!$1:$998,COLUMN(AA$1),FALSE)*VLOOKUP($D327,素材!$1:$1016,COLUMN($G$1),FALSE),"")</f>
        <v/>
      </c>
      <c r="N327" t="str">
        <f>IFERROR(VLOOKUP($C327,武器!$1:$998,COLUMN(I$1),FALSE),"")</f>
        <v/>
      </c>
      <c r="O327" s="23" t="str">
        <f>IFERROR((VLOOKUP($C327,武器!$1:$998,COLUMN(K$1),FALSE)+VLOOKUP($D327,素材!$1:$1016,COLUMN(H$1),FALSE))*100+IFERROR(VLOOKUP($CJ327,装強!$1:$999,COLUMN(O$1),FALSE),0),"")</f>
        <v/>
      </c>
      <c r="P327" s="23" t="str">
        <f>IFERROR((VLOOKUP($C327,武器!$1:$998,COLUMN(L$1),FALSE)+VLOOKUP($D327,素材!$1:$1016,COLUMN(I$1),FALSE))*100+IFERROR(VLOOKUP($CJ327,装強!$1:$999,COLUMN(P$1),FALSE),0),"")</f>
        <v/>
      </c>
      <c r="Q327" t="str">
        <f>IFERROR(ROUNDUP(VLOOKUP($C327,武器!$1:$998,COLUMN(M$1),FALSE)*(VLOOKUP($D327,素材!$1:$1002,COLUMN(D$1),FALSE)/100),1),"")</f>
        <v/>
      </c>
      <c r="R327" t="str">
        <f>IFERROR(ROUNDUP(VLOOKUP($C327,武器!$1:$998,COLUMN(N$1),FALSE)*(VLOOKUP($D327,素材!$1:$1002,COLUMN(D$1),FALSE)/100),1),"")</f>
        <v/>
      </c>
      <c r="S327" t="str">
        <f>IFERROR(VLOOKUP($C327,武器!$1:$998,COLUMN(P$1),FALSE),"")</f>
        <v/>
      </c>
      <c r="T327" t="str">
        <f>IFERROR(VLOOKUP($C327,武器!$1:$998,COLUMN(Q$1),FALSE),"")</f>
        <v/>
      </c>
      <c r="U327" t="str">
        <f>IFERROR(VLOOKUP($C327,武器!$1:$998,COLUMN(R$1),FALSE),"")</f>
        <v/>
      </c>
      <c r="V327" t="str">
        <f>IFERROR(VLOOKUP($C327,武器!$1:$998,COLUMN(Q$1),FALSE),"")</f>
        <v/>
      </c>
      <c r="W327" t="str">
        <f>IFERROR(VLOOKUP($C327,武器!$1:$998,COLUMN(T$1),FALSE),"")</f>
        <v/>
      </c>
      <c r="Y327" t="str">
        <f>IFERROR(VLOOKUP($C327,武器!$1:$998,COLUMN(U$1),FALSE),"")</f>
        <v/>
      </c>
      <c r="Z327" t="str">
        <f>IFERROR(ROUNDUP(VLOOKUP($C327,武器!$1:$998,COLUMN(O$1),FALSE)*VLOOKUP($D327,素材!$1:$1016,COLUMN(E$1),FALSE),1),"")</f>
        <v/>
      </c>
      <c r="AA327">
        <f>IF(ISNUMBER(SEARCH(SUBSTITUTE(AA$1,RIGHT(AA$1,2),""),VLOOKUP($D327,素材!$1:$1016,COLUMN($F$1),FALSE))),VLOOKUP($C327,武器!$1:$998,COLUMN($O$1),FALSE)*VLOOKUP($D327,素材!$1:$1016,COLUMN($E$1),FALSE)/(LEN(VLOOKUP($D327,素材!$1:$1016,COLUMN($F$1),FALSE))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B327">
        <f>IF(ISNUMBER(SEARCH(SUBSTITUTE(AB$1,RIGHT(AB$1,2),""),VLOOKUP($D327,素材!$1:$1016,COLUMN($F$1),FALSE))),VLOOKUP($C327,武器!$1:$998,COLUMN($O$1),FALSE)*VLOOKUP($D327,素材!$1:$1016,COLUMN($E$1),FALSE)/(LEN(VLOOKUP($D327,素材!$1:$1016,COLUMN($F$1),FALSE))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C327">
        <f>IF(ISNUMBER(SEARCH(SUBSTITUTE(AC$1,RIGHT(AC$1,2),""),VLOOKUP($D327,素材!$1:$1016,COLUMN($F$1),FALSE))),VLOOKUP($C327,武器!$1:$998,COLUMN($O$1),FALSE)*VLOOKUP($D327,素材!$1:$1016,COLUMN($E$1),FALSE)/(LEN(VLOOKUP($D327,素材!$1:$1016,COLUMN($F$1),FALSE))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D327">
        <f>IF(ISNUMBER(SEARCH(SUBSTITUTE(AD$1,RIGHT(AD$1,2),""),VLOOKUP($D327,素材!$1:$1016,COLUMN($F$1),FALSE))),VLOOKUP($C327,武器!$1:$998,COLUMN($O$1),FALSE)*VLOOKUP($D327,素材!$1:$1016,COLUMN($E$1),FALSE)/(LEN(VLOOKUP($D327,素材!$1:$1016,COLUMN($F$1),FALSE))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E327">
        <f>IF(ISNUMBER(SEARCH(SUBSTITUTE(AE$1,RIGHT(AE$1,2),""),VLOOKUP($D327,素材!$1:$1016,COLUMN($F$1),FALSE))),VLOOKUP($C327,武器!$1:$998,COLUMN($O$1),FALSE)*VLOOKUP($D327,素材!$1:$1016,COLUMN($E$1),FALSE)/(LEN(VLOOKUP($D327,素材!$1:$1016,COLUMN($F$1),FALSE))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F327">
        <f>IF(ISNUMBER(SEARCH(SUBSTITUTE(AF$1,RIGHT(AF$1,2),""),VLOOKUP($D327,素材!$1:$1016,COLUMN($F$1),FALSE))),VLOOKUP($C327,武器!$1:$998,COLUMN($O$1),FALSE)*VLOOKUP($D327,素材!$1:$1016,COLUMN($E$1),FALSE)/(LEN(VLOOKUP($D327,素材!$1:$1016,COLUMN($F$1),FALSE))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G327">
        <f>IF(ISNUMBER(SEARCH(SUBSTITUTE(AG$1,RIGHT(AG$1,2),""),VLOOKUP($D327,素材!$1:$1016,COLUMN($F$1),FALSE))),VLOOKUP($C327,武器!$1:$998,COLUMN($O$1),FALSE)*VLOOKUP($D327,素材!$1:$1016,COLUMN($E$1),FALSE)/(LEN(VLOOKUP($D327,素材!$1:$1016,COLUMN($F$1),FALSE))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H327">
        <f>IF(ISNUMBER(SEARCH(SUBSTITUTE(AH$1,RIGHT(AH$1,2),""),VLOOKUP($D327,素材!$1:$1016,COLUMN($F$1),FALSE))),VLOOKUP($C327,武器!$1:$998,COLUMN($O$1),FALSE)*VLOOKUP($D327,素材!$1:$1016,COLUMN($E$1),FALSE)/(LEN(VLOOKUP($D327,素材!$1:$1016,COLUMN($F$1),FALSE))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I327">
        <f>IF(ISNUMBER(SEARCH(SUBSTITUTE(AI$1,RIGHT(AI$1,2),""),VLOOKUP($D327,素材!$1:$1016,COLUMN($F$1),FALSE))),VLOOKUP($C327,武器!$1:$998,COLUMN($O$1),FALSE)*VLOOKUP($D327,素材!$1:$1016,COLUMN($E$1),FALSE)/(LEN(VLOOKUP($D327,素材!$1:$1016,COLUMN($F$1),FALSE))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J327">
        <f>IF(ISNUMBER(SEARCH(SUBSTITUTE(AJ$1,RIGHT(AJ$1,2),""),VLOOKUP($D327,素材!$1:$1016,COLUMN($F$1),FALSE))),VLOOKUP($C327,武器!$1:$998,COLUMN($O$1),FALSE)*VLOOKUP($D327,素材!$1:$1016,COLUMN($E$1),FALSE)/(LEN(VLOOKUP($D327,素材!$1:$1016,COLUMN($F$1),FALSE))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K327">
        <f>IF(ISNUMBER(SEARCH(SUBSTITUTE(AK$1,RIGHT(AK$1,2),""),VLOOKUP($D327,素材!$1:$1016,COLUMN($F$1),FALSE))),VLOOKUP($C327,武器!$1:$998,COLUMN($O$1),FALSE)*VLOOKUP($D327,素材!$1:$1016,COLUMN($E$1),FALSE)/(LEN(VLOOKUP($D327,素材!$1:$1016,COLUMN($F$1),FALSE))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L327">
        <f>IF(ISNUMBER(SEARCH(SUBSTITUTE(AL$1,RIGHT(AL$1,2),""),VLOOKUP($D327,素材!$1:$1016,COLUMN($F$1),FALSE))),VLOOKUP($C327,武器!$1:$998,COLUMN($O$1),FALSE)*VLOOKUP($D327,素材!$1:$1016,COLUMN($E$1),FALSE)/(LEN(VLOOKUP($D327,素材!$1:$1016,COLUMN($F$1),FALSE))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M327">
        <f>IF(ISNUMBER(SEARCH(SUBSTITUTE(AM$1,RIGHT(AM$1,2),""),VLOOKUP($D327,素材!$1:$1016,COLUMN($F$1),FALSE))),VLOOKUP($C327,武器!$1:$998,COLUMN($O$1),FALSE)*VLOOKUP($D327,素材!$1:$1016,COLUMN($E$1),FALSE)/(LEN(VLOOKUP($D327,素材!$1:$1016,COLUMN($F$1),FALSE))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N327">
        <f>IF(ISNUMBER(SEARCH(SUBSTITUTE(AN$1,RIGHT(AN$1,2),""),VLOOKUP($D327,素材!$1:$1016,COLUMN($F$1),FALSE))),VLOOKUP($C327,武器!$1:$998,COLUMN($O$1),FALSE)*VLOOKUP($D327,素材!$1:$1016,COLUMN($E$1),FALSE)/(LEN(VLOOKUP($D327,素材!$1:$1016,COLUMN($F$1),FALSE))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O327">
        <f>IF(ISNUMBER(SEARCH(SUBSTITUTE(AO$1,RIGHT(AO$1,2),""),VLOOKUP($D327,素材!$1:$1016,COLUMN($F$1),FALSE))),VLOOKUP($C327,武器!$1:$998,COLUMN($O$1),FALSE)*VLOOKUP($D327,素材!$1:$1016,COLUMN($E$1),FALSE)/(LEN(VLOOKUP($D327,素材!$1:$1016,COLUMN($F$1),FALSE))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P327">
        <f>IF(ISNUMBER(SEARCH(SUBSTITUTE(AP$1,RIGHT(AP$1,2),""),VLOOKUP($D327,素材!$1:$1016,COLUMN($F$1),FALSE))),VLOOKUP($C327,武器!$1:$998,COLUMN($O$1),FALSE)*VLOOKUP($D327,素材!$1:$1016,COLUMN($E$1),FALSE)/(LEN(VLOOKUP($D327,素材!$1:$1016,COLUMN($F$1),FALSE))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Q327">
        <f>IF(ISNUMBER(SEARCH(SUBSTITUTE(AQ$1,RIGHT(AQ$1,2),""),VLOOKUP($D327,素材!$1:$1016,COLUMN($F$1),FALSE))),VLOOKUP($C327,武器!$1:$998,COLUMN($O$1),FALSE)*VLOOKUP($D327,素材!$1:$1016,COLUMN($E$1),FALSE)/(LEN(VLOOKUP($D327,素材!$1:$1016,COLUMN($F$1),FALSE))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R327">
        <f>IF(ISNUMBER(SEARCH(SUBSTITUTE(AR$1,RIGHT(AR$1,2),""),VLOOKUP($D327,素材!$1:$1016,COLUMN($F$1),FALSE))),VLOOKUP($C327,武器!$1:$998,COLUMN($O$1),FALSE)*VLOOKUP($D327,素材!$1:$1016,COLUMN($E$1),FALSE)/(LEN(VLOOKUP($D327,素材!$1:$1016,COLUMN($F$1),FALSE))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S327">
        <f>IF(ISNUMBER(SEARCH(SUBSTITUTE(AS$1,RIGHT(AS$1,2),""),VLOOKUP($D327,素材!$1:$1016,COLUMN($F$1),FALSE))),VLOOKUP($C327,武器!$1:$998,COLUMN($O$1),FALSE)*VLOOKUP($D327,素材!$1:$1016,COLUMN($E$1),FALSE)/(LEN(VLOOKUP($D327,素材!$1:$1016,COLUMN($F$1),FALSE))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T327">
        <f>IF(ISNUMBER(SEARCH(SUBSTITUTE(AT$1,RIGHT(AT$1,2),""),VLOOKUP($D327,素材!$1:$1016,COLUMN($F$1),FALSE))),VLOOKUP($C327,武器!$1:$998,COLUMN($O$1),FALSE)*VLOOKUP($D327,素材!$1:$1016,COLUMN($E$1),FALSE)/(LEN(VLOOKUP($D327,素材!$1:$1016,COLUMN($F$1),FALSE))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U327">
        <f>IF(ISNUMBER(SEARCH(SUBSTITUTE(AU$1,RIGHT(AU$1,2),""),VLOOKUP($D327,素材!$1:$1016,COLUMN($F$1),FALSE))),VLOOKUP($C327,武器!$1:$998,COLUMN($O$1),FALSE)*VLOOKUP($D327,素材!$1:$1016,COLUMN($E$1),FALSE)/(LEN(VLOOKUP($D327,素材!$1:$1016,COLUMN($F$1),FALSE))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V327">
        <f>IF(ISNUMBER(SEARCH(SUBSTITUTE(AV$1,RIGHT(AV$1,2),""),VLOOKUP($D327,素材!$1:$1016,COLUMN($F$1),FALSE))),VLOOKUP($C327,武器!$1:$998,COLUMN($O$1),FALSE)*VLOOKUP($D327,素材!$1:$1016,COLUMN($E$1),FALSE)/(LEN(VLOOKUP($D327,素材!$1:$1016,COLUMN($F$1),FALSE))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W327">
        <f>IF(ISNUMBER(SEARCH(SUBSTITUTE(AW$1,RIGHT(AW$1,2),""),VLOOKUP($D327,素材!$1:$1016,COLUMN($F$1),FALSE))),VLOOKUP($C327,武器!$1:$998,COLUMN($O$1),FALSE)*VLOOKUP($D327,素材!$1:$1016,COLUMN($E$1),FALSE)/(LEN(VLOOKUP($D327,素材!$1:$1016,COLUMN($F$1),FALSE))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X327">
        <f>IF(ISNUMBER(SEARCH(SUBSTITUTE(AX$1,RIGHT(AX$1,2),""),VLOOKUP($D327,素材!$1:$1016,COLUMN($F$1),FALSE))),VLOOKUP($C327,武器!$1:$998,COLUMN($O$1),FALSE)*VLOOKUP($D327,素材!$1:$1016,COLUMN($E$1),FALSE)/(LEN(VLOOKUP($D327,素材!$1:$1016,COLUMN($F$1),FALSE))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Y327">
        <f>IF(ISNUMBER(SEARCH(SUBSTITUTE(AY$1,RIGHT(AY$1,2),""),VLOOKUP($D327,素材!$1:$1016,COLUMN($F$1),FALSE))),VLOOKUP($C327,武器!$1:$998,COLUMN($O$1),FALSE)*VLOOKUP($D327,素材!$1:$1016,COLUMN($E$1),FALSE)/(LEN(VLOOKUP($D327,素材!$1:$1016,COLUMN($F$1),FALSE))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AZ327">
        <f>IF(ISNUMBER(SEARCH(SUBSTITUTE(AZ$1,RIGHT(AZ$1,2),""),VLOOKUP($D327,素材!$1:$1016,COLUMN($F$1),FALSE))),VLOOKUP($C327,武器!$1:$998,COLUMN($O$1),FALSE)*VLOOKUP($D327,素材!$1:$1016,COLUMN($E$1),FALSE)/(LEN(VLOOKUP($D327,素材!$1:$1016,COLUMN($F$1),FALSE))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BA327">
        <f>IF(ISNUMBER(SEARCH(SUBSTITUTE(BA$1,RIGHT(BA$1,2),""),VLOOKUP($D327,素材!$1:$1016,COLUMN($F$1),FALSE))),VLOOKUP($C327,武器!$1:$998,COLUMN($O$1),FALSE)*VLOOKUP($D327,素材!$1:$1016,COLUMN($E$1),FALSE)/(LEN(VLOOKUP($D327,素材!$1:$1016,COLUMN($F$1),FALSE))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BB327">
        <f>IF(ISNUMBER(SEARCH(SUBSTITUTE(BB$1,RIGHT(BB$1,2),""),VLOOKUP($D327,素材!$1:$1016,COLUMN($F$1),FALSE))),VLOOKUP($C327,武器!$1:$998,COLUMN($O$1),FALSE)*VLOOKUP($D327,素材!$1:$1016,COLUMN($E$1),FALSE)/(LEN(VLOOKUP($D327,素材!$1:$1016,COLUMN($F$1),FALSE))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BC327">
        <f>IF(ISNUMBER(SEARCH(SUBSTITUTE(BC$1,RIGHT(BC$1,2),""),VLOOKUP($D327,素材!$1:$1016,COLUMN($F$1),FALSE))),VLOOKUP($C327,武器!$1:$998,COLUMN($O$1),FALSE)*VLOOKUP($D327,素材!$1:$1016,COLUMN($E$1),FALSE)/(LEN(VLOOKUP($D327,素材!$1:$1016,COLUMN($F$1),FALSE))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BD327">
        <f>IF(ISNUMBER(SEARCH(SUBSTITUTE(BD$1,RIGHT(BD$1,2),""),VLOOKUP($D327,素材!$1:$1016,COLUMN($F$1),FALSE))),VLOOKUP($C327,武器!$1:$998,COLUMN($O$1),FALSE)*VLOOKUP($D327,素材!$1:$1016,COLUMN($E$1),FALSE)/(LEN(VLOOKUP($D327,素材!$1:$1016,COLUMN($F$1),FALSE))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BE327">
        <f>IF(ISNUMBER(SEARCH(SUBSTITUTE(BE$1,RIGHT(BE$1,2),""),VLOOKUP($D327,素材!$1:$1016,COLUMN($F$1),FALSE))),VLOOKUP($C327,武器!$1:$998,COLUMN($O$1),FALSE)*VLOOKUP($D327,素材!$1:$1016,COLUMN($E$1),FALSE)/(LEN(VLOOKUP($D327,素材!$1:$1016,COLUMN($F$1),FALSE))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BF327">
        <f>IF(ISNUMBER(SEARCH(SUBSTITUTE(BF$1,RIGHT(BF$1,2),""),VLOOKUP($D327,素材!$1:$1016,COLUMN($F$1),FALSE))),VLOOKUP($C327,武器!$1:$998,COLUMN($O$1),FALSE)*VLOOKUP($D327,素材!$1:$1016,COLUMN($E$1),FALSE)/(LEN(VLOOKUP($D327,素材!$1:$1016,COLUMN($F$1),FALSE)) - LEN(SUBSTITUTE(VLOOKUP($D327,素材!$1:$1016,COLUMN($F$1),FALSE), "・", 0)) + 1), 0)</f>
        <v>0</v>
      </c>
      <c r="CM327">
        <f t="shared" si="39"/>
        <v>0</v>
      </c>
      <c r="CN327" s="22" t="str">
        <f>IF(E327="武器",IF(J327-1&gt;SUM(G327:I327),"盾",IF(MAX(G327:I327)=G327,"切断",IF(MAX(G327:I327)=H327,"貫通",IF(MAX(G327:I327)=I327,"打撃","射撃")))),E327)&amp;".webp"</f>
        <v>.webp</v>
      </c>
      <c r="CO327" t="str">
        <f>IFERROR(VLOOKUP($C327,武器!$1:$998,COLUMN(V$1),FALSE)*VLOOKUP($D327,素材!$1:$1016,COLUMN(N$1),FALSE)+IF(CJ327="",0,VLOOKUP($CJ327,装強!$1:$1008,COLUMN($CL$1),FALSE)),"")</f>
        <v/>
      </c>
      <c r="CP327" t="e">
        <f>VLOOKUP(D327,素材!$A:$O,COLUMN(素材!O$1),FALSE)</f>
        <v>#N/A</v>
      </c>
      <c r="CQ327" t="e">
        <f>VLOOKUP(C327,武器!$A:$W,COLUMN(武器!W$1),FALSE)</f>
        <v>#N/A</v>
      </c>
      <c r="CS327" t="str">
        <f t="shared" si="37"/>
        <v>e_327</v>
      </c>
      <c r="CT327" t="e">
        <f t="shared" si="38"/>
        <v>#VALUE!</v>
      </c>
    </row>
    <row r="328" spans="1:98" hidden="1" outlineLevel="1" x14ac:dyDescent="0.4">
      <c r="A328" t="str">
        <f>IF(CJ328="",D328&amp;"の"&amp;C328,CJ328&amp;"の"&amp;C328)</f>
        <v>の</v>
      </c>
      <c r="B328" t="str">
        <f>IFERROR(IF(CJ328="",VLOOKUP($D328,素材!$1:$1016,COLUMN($B$1),FALSE)&amp;"・"&amp;VLOOKUP($C328,武器!$1:$998,COLUMN(B$1),FALSE),VLOOKUP($CJ328,装強!$1:$1008,COLUMN($B$1),FALSE)&amp;"・"&amp;VLOOKUP($C328,武器!$1:$998,COLUMN(B$1),FALSE)),"")</f>
        <v/>
      </c>
      <c r="C328" s="24"/>
      <c r="D328" s="24"/>
      <c r="E328" t="str">
        <f>IFERROR(VLOOKUP(C328,武器!$1:$998,COLUMN(C$1),FALSE),"")</f>
        <v/>
      </c>
      <c r="F328" t="str">
        <f>IFERROR(ROUNDDOWN((VLOOKUP($C328,武器!$1:$998,COLUMN(D$1),FALSE)+IFERROR(VLOOKUP($CJ328,装強!$1:$999,COLUMN(F$1),FALSE),0))*VLOOKUP($D328,素材!$1:$1016,COLUMN(D$1),FALSE),0),"")</f>
        <v/>
      </c>
      <c r="G328" t="str">
        <f>IFERROR(ROUNDDOWN((VLOOKUP($C328,武器!$1:$998,COLUMN(E$1),FALSE)+IFERROR(VLOOKUP($CJ328,装強!$1:$999,COLUMN(G$1),FALSE),0))*VLOOKUP($D328,素材!$1:$1016,COLUMN($E$1),FALSE),0),"")</f>
        <v/>
      </c>
      <c r="H328" t="str">
        <f>IFERROR(ROUNDDOWN((VLOOKUP($C328,武器!$1:$998,COLUMN(F$1),FALSE)+IFERROR(VLOOKUP($CJ328,装強!$1:$999,COLUMN(H$1),FALSE),0))*VLOOKUP($D328,素材!$1:$1016,COLUMN($E$1),FALSE),0),"")</f>
        <v/>
      </c>
      <c r="I328" t="str">
        <f>IFERROR(ROUNDDOWN((VLOOKUP($C328,武器!$1:$998,COLUMN(G$1),FALSE)+IFERROR(VLOOKUP($CJ328,装強!$1:$999,COLUMN(I$1),FALSE),0))*VLOOKUP($D328,素材!$1:$1016,COLUMN($E$1),FALSE),0),"")</f>
        <v/>
      </c>
      <c r="J328" t="str">
        <f>IFERROR(ROUNDDOWN((VLOOKUP($C328,武器!$1:$998,COLUMN(H$1),FALSE)+IFERROR(VLOOKUP($CJ328,装強!$1:$999,COLUMN(J$1),FALSE),0))*VLOOKUP($D328,素材!$1:$1016,COLUMN($E$1),FALSE),0),"")</f>
        <v/>
      </c>
      <c r="K328" t="str">
        <f>IFERROR(ROUNDDOWN((VLOOKUP($C328,武器!$1:$998,COLUMN(I$1),FALSE)+IFERROR(VLOOKUP($CJ328,装強!$1:$999,COLUMN(K$1),FALSE),0))*VLOOKUP($D328,素材!$1:$1016,COLUMN($E$1),FALSE),0),"")</f>
        <v/>
      </c>
      <c r="L328" t="str">
        <f>IFERROR(VLOOKUP($D328,素材!$1:$1016,COLUMN($F$1),FALSE),"")</f>
        <v/>
      </c>
      <c r="M328" t="str">
        <f>IFERROR(VLOOKUP($C328,武器!$1:$998,COLUMN(AA$1),FALSE)*VLOOKUP($D328,素材!$1:$1016,COLUMN($G$1),FALSE),"")</f>
        <v/>
      </c>
      <c r="N328" t="str">
        <f>IFERROR(VLOOKUP($C328,武器!$1:$998,COLUMN(I$1),FALSE),"")</f>
        <v/>
      </c>
      <c r="O328" s="23" t="str">
        <f>IFERROR((VLOOKUP($C328,武器!$1:$998,COLUMN(K$1),FALSE)+VLOOKUP($D328,素材!$1:$1016,COLUMN(H$1),FALSE))*100+IFERROR(VLOOKUP($CJ328,装強!$1:$999,COLUMN(O$1),FALSE),0),"")</f>
        <v/>
      </c>
      <c r="P328" s="23" t="str">
        <f>IFERROR((VLOOKUP($C328,武器!$1:$998,COLUMN(L$1),FALSE)+VLOOKUP($D328,素材!$1:$1016,COLUMN(I$1),FALSE))*100+IFERROR(VLOOKUP($CJ328,装強!$1:$999,COLUMN(P$1),FALSE),0),"")</f>
        <v/>
      </c>
      <c r="Q328" t="str">
        <f>IFERROR(ROUNDUP(VLOOKUP($C328,武器!$1:$998,COLUMN(M$1),FALSE)*(VLOOKUP($D328,素材!$1:$1002,COLUMN(D$1),FALSE)/100),1),"")</f>
        <v/>
      </c>
      <c r="R328" t="str">
        <f>IFERROR(ROUNDUP(VLOOKUP($C328,武器!$1:$998,COLUMN(N$1),FALSE)*(VLOOKUP($D328,素材!$1:$1002,COLUMN(D$1),FALSE)/100),1),"")</f>
        <v/>
      </c>
      <c r="S328" t="str">
        <f>IFERROR(VLOOKUP($C328,武器!$1:$998,COLUMN(P$1),FALSE),"")</f>
        <v/>
      </c>
      <c r="T328" t="str">
        <f>IFERROR(VLOOKUP($C328,武器!$1:$998,COLUMN(Q$1),FALSE),"")</f>
        <v/>
      </c>
      <c r="U328" t="str">
        <f>IFERROR(VLOOKUP($C328,武器!$1:$998,COLUMN(R$1),FALSE),"")</f>
        <v/>
      </c>
      <c r="V328" t="str">
        <f>IFERROR(VLOOKUP($C328,武器!$1:$998,COLUMN(Q$1),FALSE),"")</f>
        <v/>
      </c>
      <c r="W328" t="str">
        <f>IFERROR(VLOOKUP($C328,武器!$1:$998,COLUMN(T$1),FALSE),"")</f>
        <v/>
      </c>
      <c r="Y328" t="str">
        <f>IFERROR(VLOOKUP($C328,武器!$1:$998,COLUMN(U$1),FALSE),"")</f>
        <v/>
      </c>
      <c r="Z328" t="str">
        <f>IFERROR(ROUNDUP(VLOOKUP($C328,武器!$1:$998,COLUMN(O$1),FALSE)*VLOOKUP($D328,素材!$1:$1016,COLUMN(E$1),FALSE),1),"")</f>
        <v/>
      </c>
      <c r="AA328">
        <f>IF(ISNUMBER(SEARCH(SUBSTITUTE(AA$1,RIGHT(AA$1,2),""),VLOOKUP($D328,素材!$1:$1016,COLUMN($F$1),FALSE))),VLOOKUP($C328,武器!$1:$998,COLUMN($O$1),FALSE)*VLOOKUP($D328,素材!$1:$1016,COLUMN($E$1),FALSE)/(LEN(VLOOKUP($D328,素材!$1:$1016,COLUMN($F$1),FALSE))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B328">
        <f>IF(ISNUMBER(SEARCH(SUBSTITUTE(AB$1,RIGHT(AB$1,2),""),VLOOKUP($D328,素材!$1:$1016,COLUMN($F$1),FALSE))),VLOOKUP($C328,武器!$1:$998,COLUMN($O$1),FALSE)*VLOOKUP($D328,素材!$1:$1016,COLUMN($E$1),FALSE)/(LEN(VLOOKUP($D328,素材!$1:$1016,COLUMN($F$1),FALSE))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C328">
        <f>IF(ISNUMBER(SEARCH(SUBSTITUTE(AC$1,RIGHT(AC$1,2),""),VLOOKUP($D328,素材!$1:$1016,COLUMN($F$1),FALSE))),VLOOKUP($C328,武器!$1:$998,COLUMN($O$1),FALSE)*VLOOKUP($D328,素材!$1:$1016,COLUMN($E$1),FALSE)/(LEN(VLOOKUP($D328,素材!$1:$1016,COLUMN($F$1),FALSE))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D328">
        <f>IF(ISNUMBER(SEARCH(SUBSTITUTE(AD$1,RIGHT(AD$1,2),""),VLOOKUP($D328,素材!$1:$1016,COLUMN($F$1),FALSE))),VLOOKUP($C328,武器!$1:$998,COLUMN($O$1),FALSE)*VLOOKUP($D328,素材!$1:$1016,COLUMN($E$1),FALSE)/(LEN(VLOOKUP($D328,素材!$1:$1016,COLUMN($F$1),FALSE))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E328">
        <f>IF(ISNUMBER(SEARCH(SUBSTITUTE(AE$1,RIGHT(AE$1,2),""),VLOOKUP($D328,素材!$1:$1016,COLUMN($F$1),FALSE))),VLOOKUP($C328,武器!$1:$998,COLUMN($O$1),FALSE)*VLOOKUP($D328,素材!$1:$1016,COLUMN($E$1),FALSE)/(LEN(VLOOKUP($D328,素材!$1:$1016,COLUMN($F$1),FALSE))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F328">
        <f>IF(ISNUMBER(SEARCH(SUBSTITUTE(AF$1,RIGHT(AF$1,2),""),VLOOKUP($D328,素材!$1:$1016,COLUMN($F$1),FALSE))),VLOOKUP($C328,武器!$1:$998,COLUMN($O$1),FALSE)*VLOOKUP($D328,素材!$1:$1016,COLUMN($E$1),FALSE)/(LEN(VLOOKUP($D328,素材!$1:$1016,COLUMN($F$1),FALSE))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G328">
        <f>IF(ISNUMBER(SEARCH(SUBSTITUTE(AG$1,RIGHT(AG$1,2),""),VLOOKUP($D328,素材!$1:$1016,COLUMN($F$1),FALSE))),VLOOKUP($C328,武器!$1:$998,COLUMN($O$1),FALSE)*VLOOKUP($D328,素材!$1:$1016,COLUMN($E$1),FALSE)/(LEN(VLOOKUP($D328,素材!$1:$1016,COLUMN($F$1),FALSE))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H328">
        <f>IF(ISNUMBER(SEARCH(SUBSTITUTE(AH$1,RIGHT(AH$1,2),""),VLOOKUP($D328,素材!$1:$1016,COLUMN($F$1),FALSE))),VLOOKUP($C328,武器!$1:$998,COLUMN($O$1),FALSE)*VLOOKUP($D328,素材!$1:$1016,COLUMN($E$1),FALSE)/(LEN(VLOOKUP($D328,素材!$1:$1016,COLUMN($F$1),FALSE))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I328">
        <f>IF(ISNUMBER(SEARCH(SUBSTITUTE(AI$1,RIGHT(AI$1,2),""),VLOOKUP($D328,素材!$1:$1016,COLUMN($F$1),FALSE))),VLOOKUP($C328,武器!$1:$998,COLUMN($O$1),FALSE)*VLOOKUP($D328,素材!$1:$1016,COLUMN($E$1),FALSE)/(LEN(VLOOKUP($D328,素材!$1:$1016,COLUMN($F$1),FALSE))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J328">
        <f>IF(ISNUMBER(SEARCH(SUBSTITUTE(AJ$1,RIGHT(AJ$1,2),""),VLOOKUP($D328,素材!$1:$1016,COLUMN($F$1),FALSE))),VLOOKUP($C328,武器!$1:$998,COLUMN($O$1),FALSE)*VLOOKUP($D328,素材!$1:$1016,COLUMN($E$1),FALSE)/(LEN(VLOOKUP($D328,素材!$1:$1016,COLUMN($F$1),FALSE))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K328">
        <f>IF(ISNUMBER(SEARCH(SUBSTITUTE(AK$1,RIGHT(AK$1,2),""),VLOOKUP($D328,素材!$1:$1016,COLUMN($F$1),FALSE))),VLOOKUP($C328,武器!$1:$998,COLUMN($O$1),FALSE)*VLOOKUP($D328,素材!$1:$1016,COLUMN($E$1),FALSE)/(LEN(VLOOKUP($D328,素材!$1:$1016,COLUMN($F$1),FALSE))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L328">
        <f>IF(ISNUMBER(SEARCH(SUBSTITUTE(AL$1,RIGHT(AL$1,2),""),VLOOKUP($D328,素材!$1:$1016,COLUMN($F$1),FALSE))),VLOOKUP($C328,武器!$1:$998,COLUMN($O$1),FALSE)*VLOOKUP($D328,素材!$1:$1016,COLUMN($E$1),FALSE)/(LEN(VLOOKUP($D328,素材!$1:$1016,COLUMN($F$1),FALSE))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M328">
        <f>IF(ISNUMBER(SEARCH(SUBSTITUTE(AM$1,RIGHT(AM$1,2),""),VLOOKUP($D328,素材!$1:$1016,COLUMN($F$1),FALSE))),VLOOKUP($C328,武器!$1:$998,COLUMN($O$1),FALSE)*VLOOKUP($D328,素材!$1:$1016,COLUMN($E$1),FALSE)/(LEN(VLOOKUP($D328,素材!$1:$1016,COLUMN($F$1),FALSE))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N328">
        <f>IF(ISNUMBER(SEARCH(SUBSTITUTE(AN$1,RIGHT(AN$1,2),""),VLOOKUP($D328,素材!$1:$1016,COLUMN($F$1),FALSE))),VLOOKUP($C328,武器!$1:$998,COLUMN($O$1),FALSE)*VLOOKUP($D328,素材!$1:$1016,COLUMN($E$1),FALSE)/(LEN(VLOOKUP($D328,素材!$1:$1016,COLUMN($F$1),FALSE))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O328">
        <f>IF(ISNUMBER(SEARCH(SUBSTITUTE(AO$1,RIGHT(AO$1,2),""),VLOOKUP($D328,素材!$1:$1016,COLUMN($F$1),FALSE))),VLOOKUP($C328,武器!$1:$998,COLUMN($O$1),FALSE)*VLOOKUP($D328,素材!$1:$1016,COLUMN($E$1),FALSE)/(LEN(VLOOKUP($D328,素材!$1:$1016,COLUMN($F$1),FALSE))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P328">
        <f>IF(ISNUMBER(SEARCH(SUBSTITUTE(AP$1,RIGHT(AP$1,2),""),VLOOKUP($D328,素材!$1:$1016,COLUMN($F$1),FALSE))),VLOOKUP($C328,武器!$1:$998,COLUMN($O$1),FALSE)*VLOOKUP($D328,素材!$1:$1016,COLUMN($E$1),FALSE)/(LEN(VLOOKUP($D328,素材!$1:$1016,COLUMN($F$1),FALSE))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Q328">
        <f>IF(ISNUMBER(SEARCH(SUBSTITUTE(AQ$1,RIGHT(AQ$1,2),""),VLOOKUP($D328,素材!$1:$1016,COLUMN($F$1),FALSE))),VLOOKUP($C328,武器!$1:$998,COLUMN($O$1),FALSE)*VLOOKUP($D328,素材!$1:$1016,COLUMN($E$1),FALSE)/(LEN(VLOOKUP($D328,素材!$1:$1016,COLUMN($F$1),FALSE))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R328">
        <f>IF(ISNUMBER(SEARCH(SUBSTITUTE(AR$1,RIGHT(AR$1,2),""),VLOOKUP($D328,素材!$1:$1016,COLUMN($F$1),FALSE))),VLOOKUP($C328,武器!$1:$998,COLUMN($O$1),FALSE)*VLOOKUP($D328,素材!$1:$1016,COLUMN($E$1),FALSE)/(LEN(VLOOKUP($D328,素材!$1:$1016,COLUMN($F$1),FALSE))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S328">
        <f>IF(ISNUMBER(SEARCH(SUBSTITUTE(AS$1,RIGHT(AS$1,2),""),VLOOKUP($D328,素材!$1:$1016,COLUMN($F$1),FALSE))),VLOOKUP($C328,武器!$1:$998,COLUMN($O$1),FALSE)*VLOOKUP($D328,素材!$1:$1016,COLUMN($E$1),FALSE)/(LEN(VLOOKUP($D328,素材!$1:$1016,COLUMN($F$1),FALSE))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T328">
        <f>IF(ISNUMBER(SEARCH(SUBSTITUTE(AT$1,RIGHT(AT$1,2),""),VLOOKUP($D328,素材!$1:$1016,COLUMN($F$1),FALSE))),VLOOKUP($C328,武器!$1:$998,COLUMN($O$1),FALSE)*VLOOKUP($D328,素材!$1:$1016,COLUMN($E$1),FALSE)/(LEN(VLOOKUP($D328,素材!$1:$1016,COLUMN($F$1),FALSE))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U328">
        <f>IF(ISNUMBER(SEARCH(SUBSTITUTE(AU$1,RIGHT(AU$1,2),""),VLOOKUP($D328,素材!$1:$1016,COLUMN($F$1),FALSE))),VLOOKUP($C328,武器!$1:$998,COLUMN($O$1),FALSE)*VLOOKUP($D328,素材!$1:$1016,COLUMN($E$1),FALSE)/(LEN(VLOOKUP($D328,素材!$1:$1016,COLUMN($F$1),FALSE))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V328">
        <f>IF(ISNUMBER(SEARCH(SUBSTITUTE(AV$1,RIGHT(AV$1,2),""),VLOOKUP($D328,素材!$1:$1016,COLUMN($F$1),FALSE))),VLOOKUP($C328,武器!$1:$998,COLUMN($O$1),FALSE)*VLOOKUP($D328,素材!$1:$1016,COLUMN($E$1),FALSE)/(LEN(VLOOKUP($D328,素材!$1:$1016,COLUMN($F$1),FALSE))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W328">
        <f>IF(ISNUMBER(SEARCH(SUBSTITUTE(AW$1,RIGHT(AW$1,2),""),VLOOKUP($D328,素材!$1:$1016,COLUMN($F$1),FALSE))),VLOOKUP($C328,武器!$1:$998,COLUMN($O$1),FALSE)*VLOOKUP($D328,素材!$1:$1016,COLUMN($E$1),FALSE)/(LEN(VLOOKUP($D328,素材!$1:$1016,COLUMN($F$1),FALSE))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X328">
        <f>IF(ISNUMBER(SEARCH(SUBSTITUTE(AX$1,RIGHT(AX$1,2),""),VLOOKUP($D328,素材!$1:$1016,COLUMN($F$1),FALSE))),VLOOKUP($C328,武器!$1:$998,COLUMN($O$1),FALSE)*VLOOKUP($D328,素材!$1:$1016,COLUMN($E$1),FALSE)/(LEN(VLOOKUP($D328,素材!$1:$1016,COLUMN($F$1),FALSE))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Y328">
        <f>IF(ISNUMBER(SEARCH(SUBSTITUTE(AY$1,RIGHT(AY$1,2),""),VLOOKUP($D328,素材!$1:$1016,COLUMN($F$1),FALSE))),VLOOKUP($C328,武器!$1:$998,COLUMN($O$1),FALSE)*VLOOKUP($D328,素材!$1:$1016,COLUMN($E$1),FALSE)/(LEN(VLOOKUP($D328,素材!$1:$1016,COLUMN($F$1),FALSE))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AZ328">
        <f>IF(ISNUMBER(SEARCH(SUBSTITUTE(AZ$1,RIGHT(AZ$1,2),""),VLOOKUP($D328,素材!$1:$1016,COLUMN($F$1),FALSE))),VLOOKUP($C328,武器!$1:$998,COLUMN($O$1),FALSE)*VLOOKUP($D328,素材!$1:$1016,COLUMN($E$1),FALSE)/(LEN(VLOOKUP($D328,素材!$1:$1016,COLUMN($F$1),FALSE))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BA328">
        <f>IF(ISNUMBER(SEARCH(SUBSTITUTE(BA$1,RIGHT(BA$1,2),""),VLOOKUP($D328,素材!$1:$1016,COLUMN($F$1),FALSE))),VLOOKUP($C328,武器!$1:$998,COLUMN($O$1),FALSE)*VLOOKUP($D328,素材!$1:$1016,COLUMN($E$1),FALSE)/(LEN(VLOOKUP($D328,素材!$1:$1016,COLUMN($F$1),FALSE))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BB328">
        <f>IF(ISNUMBER(SEARCH(SUBSTITUTE(BB$1,RIGHT(BB$1,2),""),VLOOKUP($D328,素材!$1:$1016,COLUMN($F$1),FALSE))),VLOOKUP($C328,武器!$1:$998,COLUMN($O$1),FALSE)*VLOOKUP($D328,素材!$1:$1016,COLUMN($E$1),FALSE)/(LEN(VLOOKUP($D328,素材!$1:$1016,COLUMN($F$1),FALSE))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BC328">
        <f>IF(ISNUMBER(SEARCH(SUBSTITUTE(BC$1,RIGHT(BC$1,2),""),VLOOKUP($D328,素材!$1:$1016,COLUMN($F$1),FALSE))),VLOOKUP($C328,武器!$1:$998,COLUMN($O$1),FALSE)*VLOOKUP($D328,素材!$1:$1016,COLUMN($E$1),FALSE)/(LEN(VLOOKUP($D328,素材!$1:$1016,COLUMN($F$1),FALSE))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BD328">
        <f>IF(ISNUMBER(SEARCH(SUBSTITUTE(BD$1,RIGHT(BD$1,2),""),VLOOKUP($D328,素材!$1:$1016,COLUMN($F$1),FALSE))),VLOOKUP($C328,武器!$1:$998,COLUMN($O$1),FALSE)*VLOOKUP($D328,素材!$1:$1016,COLUMN($E$1),FALSE)/(LEN(VLOOKUP($D328,素材!$1:$1016,COLUMN($F$1),FALSE))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BE328">
        <f>IF(ISNUMBER(SEARCH(SUBSTITUTE(BE$1,RIGHT(BE$1,2),""),VLOOKUP($D328,素材!$1:$1016,COLUMN($F$1),FALSE))),VLOOKUP($C328,武器!$1:$998,COLUMN($O$1),FALSE)*VLOOKUP($D328,素材!$1:$1016,COLUMN($E$1),FALSE)/(LEN(VLOOKUP($D328,素材!$1:$1016,COLUMN($F$1),FALSE))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BF328">
        <f>IF(ISNUMBER(SEARCH(SUBSTITUTE(BF$1,RIGHT(BF$1,2),""),VLOOKUP($D328,素材!$1:$1016,COLUMN($F$1),FALSE))),VLOOKUP($C328,武器!$1:$998,COLUMN($O$1),FALSE)*VLOOKUP($D328,素材!$1:$1016,COLUMN($E$1),FALSE)/(LEN(VLOOKUP($D328,素材!$1:$1016,COLUMN($F$1),FALSE)) - LEN(SUBSTITUTE(VLOOKUP($D328,素材!$1:$1016,COLUMN($F$1),FALSE), "・", 0)) + 1), 0)</f>
        <v>0</v>
      </c>
      <c r="CM328">
        <f t="shared" si="39"/>
        <v>0</v>
      </c>
      <c r="CN328" s="22" t="str">
        <f>IF(E328="武器",IF(J328-1&gt;SUM(G328:I328),"盾",IF(MAX(G328:I328)=G328,"切断",IF(MAX(G328:I328)=H328,"貫通",IF(MAX(G328:I328)=I328,"打撃","射撃")))),E328)&amp;".webp"</f>
        <v>.webp</v>
      </c>
      <c r="CO328" t="str">
        <f>IFERROR(VLOOKUP($C328,武器!$1:$998,COLUMN(V$1),FALSE)*VLOOKUP($D328,素材!$1:$1016,COLUMN(N$1),FALSE)+IF(CJ328="",0,VLOOKUP($CJ328,装強!$1:$1008,COLUMN($CL$1),FALSE)),"")</f>
        <v/>
      </c>
      <c r="CP328" t="e">
        <f>VLOOKUP(D328,素材!$A:$O,COLUMN(素材!O$1),FALSE)</f>
        <v>#N/A</v>
      </c>
      <c r="CQ328" t="e">
        <f>VLOOKUP(C328,武器!$A:$W,COLUMN(武器!W$1),FALSE)</f>
        <v>#N/A</v>
      </c>
      <c r="CS328" t="str">
        <f t="shared" si="37"/>
        <v>e_328</v>
      </c>
      <c r="CT328" t="e">
        <f t="shared" si="38"/>
        <v>#VALUE!</v>
      </c>
    </row>
    <row r="329" spans="1:98" hidden="1" outlineLevel="1" x14ac:dyDescent="0.4">
      <c r="A329" t="str">
        <f>IF(CJ329="",D329&amp;"の"&amp;C329,CJ329&amp;"の"&amp;C329)</f>
        <v>の</v>
      </c>
      <c r="B329" t="str">
        <f>IFERROR(IF(CJ329="",VLOOKUP($D329,素材!$1:$1016,COLUMN($B$1),FALSE)&amp;"・"&amp;VLOOKUP($C329,武器!$1:$998,COLUMN(B$1),FALSE),VLOOKUP($CJ329,装強!$1:$1008,COLUMN($B$1),FALSE)&amp;"・"&amp;VLOOKUP($C329,武器!$1:$998,COLUMN(B$1),FALSE)),"")</f>
        <v/>
      </c>
      <c r="C329" s="24"/>
      <c r="D329" s="24"/>
      <c r="E329" t="str">
        <f>IFERROR(VLOOKUP(C329,武器!$1:$998,COLUMN(C$1),FALSE),"")</f>
        <v/>
      </c>
      <c r="F329" t="str">
        <f>IFERROR(ROUNDDOWN((VLOOKUP($C329,武器!$1:$998,COLUMN(D$1),FALSE)+IFERROR(VLOOKUP($CJ329,装強!$1:$999,COLUMN(F$1),FALSE),0))*VLOOKUP($D329,素材!$1:$1016,COLUMN(D$1),FALSE),0),"")</f>
        <v/>
      </c>
      <c r="G329" t="str">
        <f>IFERROR(ROUNDDOWN((VLOOKUP($C329,武器!$1:$998,COLUMN(E$1),FALSE)+IFERROR(VLOOKUP($CJ329,装強!$1:$999,COLUMN(G$1),FALSE),0))*VLOOKUP($D329,素材!$1:$1016,COLUMN($E$1),FALSE),0),"")</f>
        <v/>
      </c>
      <c r="H329" t="str">
        <f>IFERROR(ROUNDDOWN((VLOOKUP($C329,武器!$1:$998,COLUMN(F$1),FALSE)+IFERROR(VLOOKUP($CJ329,装強!$1:$999,COLUMN(H$1),FALSE),0))*VLOOKUP($D329,素材!$1:$1016,COLUMN($E$1),FALSE),0),"")</f>
        <v/>
      </c>
      <c r="I329" t="str">
        <f>IFERROR(ROUNDDOWN((VLOOKUP($C329,武器!$1:$998,COLUMN(G$1),FALSE)+IFERROR(VLOOKUP($CJ329,装強!$1:$999,COLUMN(I$1),FALSE),0))*VLOOKUP($D329,素材!$1:$1016,COLUMN($E$1),FALSE),0),"")</f>
        <v/>
      </c>
      <c r="J329" t="str">
        <f>IFERROR(ROUNDDOWN((VLOOKUP($C329,武器!$1:$998,COLUMN(H$1),FALSE)+IFERROR(VLOOKUP($CJ329,装強!$1:$999,COLUMN(J$1),FALSE),0))*VLOOKUP($D329,素材!$1:$1016,COLUMN($E$1),FALSE),0),"")</f>
        <v/>
      </c>
      <c r="K329" t="str">
        <f>IFERROR(ROUNDDOWN((VLOOKUP($C329,武器!$1:$998,COLUMN(I$1),FALSE)+IFERROR(VLOOKUP($CJ329,装強!$1:$999,COLUMN(K$1),FALSE),0))*VLOOKUP($D329,素材!$1:$1016,COLUMN($E$1),FALSE),0),"")</f>
        <v/>
      </c>
      <c r="L329" t="str">
        <f>IFERROR(VLOOKUP($D329,素材!$1:$1016,COLUMN($F$1),FALSE),"")</f>
        <v/>
      </c>
      <c r="M329" t="str">
        <f>IFERROR(VLOOKUP($C329,武器!$1:$998,COLUMN(AA$1),FALSE)*VLOOKUP($D329,素材!$1:$1016,COLUMN($G$1),FALSE),"")</f>
        <v/>
      </c>
      <c r="N329" t="str">
        <f>IFERROR(VLOOKUP($C329,武器!$1:$998,COLUMN(I$1),FALSE),"")</f>
        <v/>
      </c>
      <c r="O329" s="23" t="str">
        <f>IFERROR((VLOOKUP($C329,武器!$1:$998,COLUMN(K$1),FALSE)+VLOOKUP($D329,素材!$1:$1016,COLUMN(H$1),FALSE))*100+IFERROR(VLOOKUP($CJ329,装強!$1:$999,COLUMN(O$1),FALSE),0),"")</f>
        <v/>
      </c>
      <c r="P329" s="23" t="str">
        <f>IFERROR((VLOOKUP($C329,武器!$1:$998,COLUMN(L$1),FALSE)+VLOOKUP($D329,素材!$1:$1016,COLUMN(I$1),FALSE))*100+IFERROR(VLOOKUP($CJ329,装強!$1:$999,COLUMN(P$1),FALSE),0),"")</f>
        <v/>
      </c>
      <c r="Q329" t="str">
        <f>IFERROR(ROUNDUP(VLOOKUP($C329,武器!$1:$998,COLUMN(M$1),FALSE)*(VLOOKUP($D329,素材!$1:$1002,COLUMN(D$1),FALSE)/100),1),"")</f>
        <v/>
      </c>
      <c r="R329" t="str">
        <f>IFERROR(ROUNDUP(VLOOKUP($C329,武器!$1:$998,COLUMN(N$1),FALSE)*(VLOOKUP($D329,素材!$1:$1002,COLUMN(D$1),FALSE)/100),1),"")</f>
        <v/>
      </c>
      <c r="S329" t="str">
        <f>IFERROR(VLOOKUP($C329,武器!$1:$998,COLUMN(P$1),FALSE),"")</f>
        <v/>
      </c>
      <c r="T329" t="str">
        <f>IFERROR(VLOOKUP($C329,武器!$1:$998,COLUMN(Q$1),FALSE),"")</f>
        <v/>
      </c>
      <c r="U329" t="str">
        <f>IFERROR(VLOOKUP($C329,武器!$1:$998,COLUMN(R$1),FALSE),"")</f>
        <v/>
      </c>
      <c r="V329" t="str">
        <f>IFERROR(VLOOKUP($C329,武器!$1:$998,COLUMN(Q$1),FALSE),"")</f>
        <v/>
      </c>
      <c r="W329" t="str">
        <f>IFERROR(VLOOKUP($C329,武器!$1:$998,COLUMN(T$1),FALSE),"")</f>
        <v/>
      </c>
      <c r="Y329" t="str">
        <f>IFERROR(VLOOKUP($C329,武器!$1:$998,COLUMN(U$1),FALSE),"")</f>
        <v/>
      </c>
      <c r="Z329" t="str">
        <f>IFERROR(ROUNDUP(VLOOKUP($C329,武器!$1:$998,COLUMN(O$1),FALSE)*VLOOKUP($D329,素材!$1:$1016,COLUMN(E$1),FALSE),1),"")</f>
        <v/>
      </c>
      <c r="AA329">
        <f>IF(ISNUMBER(SEARCH(SUBSTITUTE(AA$1,RIGHT(AA$1,2),""),VLOOKUP($D329,素材!$1:$1016,COLUMN($F$1),FALSE))),VLOOKUP($C329,武器!$1:$998,COLUMN($O$1),FALSE)*VLOOKUP($D329,素材!$1:$1016,COLUMN($E$1),FALSE)/(LEN(VLOOKUP($D329,素材!$1:$1016,COLUMN($F$1),FALSE))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B329">
        <f>IF(ISNUMBER(SEARCH(SUBSTITUTE(AB$1,RIGHT(AB$1,2),""),VLOOKUP($D329,素材!$1:$1016,COLUMN($F$1),FALSE))),VLOOKUP($C329,武器!$1:$998,COLUMN($O$1),FALSE)*VLOOKUP($D329,素材!$1:$1016,COLUMN($E$1),FALSE)/(LEN(VLOOKUP($D329,素材!$1:$1016,COLUMN($F$1),FALSE))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C329">
        <f>IF(ISNUMBER(SEARCH(SUBSTITUTE(AC$1,RIGHT(AC$1,2),""),VLOOKUP($D329,素材!$1:$1016,COLUMN($F$1),FALSE))),VLOOKUP($C329,武器!$1:$998,COLUMN($O$1),FALSE)*VLOOKUP($D329,素材!$1:$1016,COLUMN($E$1),FALSE)/(LEN(VLOOKUP($D329,素材!$1:$1016,COLUMN($F$1),FALSE))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D329">
        <f>IF(ISNUMBER(SEARCH(SUBSTITUTE(AD$1,RIGHT(AD$1,2),""),VLOOKUP($D329,素材!$1:$1016,COLUMN($F$1),FALSE))),VLOOKUP($C329,武器!$1:$998,COLUMN($O$1),FALSE)*VLOOKUP($D329,素材!$1:$1016,COLUMN($E$1),FALSE)/(LEN(VLOOKUP($D329,素材!$1:$1016,COLUMN($F$1),FALSE))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E329">
        <f>IF(ISNUMBER(SEARCH(SUBSTITUTE(AE$1,RIGHT(AE$1,2),""),VLOOKUP($D329,素材!$1:$1016,COLUMN($F$1),FALSE))),VLOOKUP($C329,武器!$1:$998,COLUMN($O$1),FALSE)*VLOOKUP($D329,素材!$1:$1016,COLUMN($E$1),FALSE)/(LEN(VLOOKUP($D329,素材!$1:$1016,COLUMN($F$1),FALSE))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F329">
        <f>IF(ISNUMBER(SEARCH(SUBSTITUTE(AF$1,RIGHT(AF$1,2),""),VLOOKUP($D329,素材!$1:$1016,COLUMN($F$1),FALSE))),VLOOKUP($C329,武器!$1:$998,COLUMN($O$1),FALSE)*VLOOKUP($D329,素材!$1:$1016,COLUMN($E$1),FALSE)/(LEN(VLOOKUP($D329,素材!$1:$1016,COLUMN($F$1),FALSE))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G329">
        <f>IF(ISNUMBER(SEARCH(SUBSTITUTE(AG$1,RIGHT(AG$1,2),""),VLOOKUP($D329,素材!$1:$1016,COLUMN($F$1),FALSE))),VLOOKUP($C329,武器!$1:$998,COLUMN($O$1),FALSE)*VLOOKUP($D329,素材!$1:$1016,COLUMN($E$1),FALSE)/(LEN(VLOOKUP($D329,素材!$1:$1016,COLUMN($F$1),FALSE))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H329">
        <f>IF(ISNUMBER(SEARCH(SUBSTITUTE(AH$1,RIGHT(AH$1,2),""),VLOOKUP($D329,素材!$1:$1016,COLUMN($F$1),FALSE))),VLOOKUP($C329,武器!$1:$998,COLUMN($O$1),FALSE)*VLOOKUP($D329,素材!$1:$1016,COLUMN($E$1),FALSE)/(LEN(VLOOKUP($D329,素材!$1:$1016,COLUMN($F$1),FALSE))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I329">
        <f>IF(ISNUMBER(SEARCH(SUBSTITUTE(AI$1,RIGHT(AI$1,2),""),VLOOKUP($D329,素材!$1:$1016,COLUMN($F$1),FALSE))),VLOOKUP($C329,武器!$1:$998,COLUMN($O$1),FALSE)*VLOOKUP($D329,素材!$1:$1016,COLUMN($E$1),FALSE)/(LEN(VLOOKUP($D329,素材!$1:$1016,COLUMN($F$1),FALSE))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J329">
        <f>IF(ISNUMBER(SEARCH(SUBSTITUTE(AJ$1,RIGHT(AJ$1,2),""),VLOOKUP($D329,素材!$1:$1016,COLUMN($F$1),FALSE))),VLOOKUP($C329,武器!$1:$998,COLUMN($O$1),FALSE)*VLOOKUP($D329,素材!$1:$1016,COLUMN($E$1),FALSE)/(LEN(VLOOKUP($D329,素材!$1:$1016,COLUMN($F$1),FALSE))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K329">
        <f>IF(ISNUMBER(SEARCH(SUBSTITUTE(AK$1,RIGHT(AK$1,2),""),VLOOKUP($D329,素材!$1:$1016,COLUMN($F$1),FALSE))),VLOOKUP($C329,武器!$1:$998,COLUMN($O$1),FALSE)*VLOOKUP($D329,素材!$1:$1016,COLUMN($E$1),FALSE)/(LEN(VLOOKUP($D329,素材!$1:$1016,COLUMN($F$1),FALSE))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L329">
        <f>IF(ISNUMBER(SEARCH(SUBSTITUTE(AL$1,RIGHT(AL$1,2),""),VLOOKUP($D329,素材!$1:$1016,COLUMN($F$1),FALSE))),VLOOKUP($C329,武器!$1:$998,COLUMN($O$1),FALSE)*VLOOKUP($D329,素材!$1:$1016,COLUMN($E$1),FALSE)/(LEN(VLOOKUP($D329,素材!$1:$1016,COLUMN($F$1),FALSE))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M329">
        <f>IF(ISNUMBER(SEARCH(SUBSTITUTE(AM$1,RIGHT(AM$1,2),""),VLOOKUP($D329,素材!$1:$1016,COLUMN($F$1),FALSE))),VLOOKUP($C329,武器!$1:$998,COLUMN($O$1),FALSE)*VLOOKUP($D329,素材!$1:$1016,COLUMN($E$1),FALSE)/(LEN(VLOOKUP($D329,素材!$1:$1016,COLUMN($F$1),FALSE))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N329">
        <f>IF(ISNUMBER(SEARCH(SUBSTITUTE(AN$1,RIGHT(AN$1,2),""),VLOOKUP($D329,素材!$1:$1016,COLUMN($F$1),FALSE))),VLOOKUP($C329,武器!$1:$998,COLUMN($O$1),FALSE)*VLOOKUP($D329,素材!$1:$1016,COLUMN($E$1),FALSE)/(LEN(VLOOKUP($D329,素材!$1:$1016,COLUMN($F$1),FALSE))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O329">
        <f>IF(ISNUMBER(SEARCH(SUBSTITUTE(AO$1,RIGHT(AO$1,2),""),VLOOKUP($D329,素材!$1:$1016,COLUMN($F$1),FALSE))),VLOOKUP($C329,武器!$1:$998,COLUMN($O$1),FALSE)*VLOOKUP($D329,素材!$1:$1016,COLUMN($E$1),FALSE)/(LEN(VLOOKUP($D329,素材!$1:$1016,COLUMN($F$1),FALSE))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P329">
        <f>IF(ISNUMBER(SEARCH(SUBSTITUTE(AP$1,RIGHT(AP$1,2),""),VLOOKUP($D329,素材!$1:$1016,COLUMN($F$1),FALSE))),VLOOKUP($C329,武器!$1:$998,COLUMN($O$1),FALSE)*VLOOKUP($D329,素材!$1:$1016,COLUMN($E$1),FALSE)/(LEN(VLOOKUP($D329,素材!$1:$1016,COLUMN($F$1),FALSE))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Q329">
        <f>IF(ISNUMBER(SEARCH(SUBSTITUTE(AQ$1,RIGHT(AQ$1,2),""),VLOOKUP($D329,素材!$1:$1016,COLUMN($F$1),FALSE))),VLOOKUP($C329,武器!$1:$998,COLUMN($O$1),FALSE)*VLOOKUP($D329,素材!$1:$1016,COLUMN($E$1),FALSE)/(LEN(VLOOKUP($D329,素材!$1:$1016,COLUMN($F$1),FALSE))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R329">
        <f>IF(ISNUMBER(SEARCH(SUBSTITUTE(AR$1,RIGHT(AR$1,2),""),VLOOKUP($D329,素材!$1:$1016,COLUMN($F$1),FALSE))),VLOOKUP($C329,武器!$1:$998,COLUMN($O$1),FALSE)*VLOOKUP($D329,素材!$1:$1016,COLUMN($E$1),FALSE)/(LEN(VLOOKUP($D329,素材!$1:$1016,COLUMN($F$1),FALSE))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S329">
        <f>IF(ISNUMBER(SEARCH(SUBSTITUTE(AS$1,RIGHT(AS$1,2),""),VLOOKUP($D329,素材!$1:$1016,COLUMN($F$1),FALSE))),VLOOKUP($C329,武器!$1:$998,COLUMN($O$1),FALSE)*VLOOKUP($D329,素材!$1:$1016,COLUMN($E$1),FALSE)/(LEN(VLOOKUP($D329,素材!$1:$1016,COLUMN($F$1),FALSE))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T329">
        <f>IF(ISNUMBER(SEARCH(SUBSTITUTE(AT$1,RIGHT(AT$1,2),""),VLOOKUP($D329,素材!$1:$1016,COLUMN($F$1),FALSE))),VLOOKUP($C329,武器!$1:$998,COLUMN($O$1),FALSE)*VLOOKUP($D329,素材!$1:$1016,COLUMN($E$1),FALSE)/(LEN(VLOOKUP($D329,素材!$1:$1016,COLUMN($F$1),FALSE))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U329">
        <f>IF(ISNUMBER(SEARCH(SUBSTITUTE(AU$1,RIGHT(AU$1,2),""),VLOOKUP($D329,素材!$1:$1016,COLUMN($F$1),FALSE))),VLOOKUP($C329,武器!$1:$998,COLUMN($O$1),FALSE)*VLOOKUP($D329,素材!$1:$1016,COLUMN($E$1),FALSE)/(LEN(VLOOKUP($D329,素材!$1:$1016,COLUMN($F$1),FALSE))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V329">
        <f>IF(ISNUMBER(SEARCH(SUBSTITUTE(AV$1,RIGHT(AV$1,2),""),VLOOKUP($D329,素材!$1:$1016,COLUMN($F$1),FALSE))),VLOOKUP($C329,武器!$1:$998,COLUMN($O$1),FALSE)*VLOOKUP($D329,素材!$1:$1016,COLUMN($E$1),FALSE)/(LEN(VLOOKUP($D329,素材!$1:$1016,COLUMN($F$1),FALSE))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W329">
        <f>IF(ISNUMBER(SEARCH(SUBSTITUTE(AW$1,RIGHT(AW$1,2),""),VLOOKUP($D329,素材!$1:$1016,COLUMN($F$1),FALSE))),VLOOKUP($C329,武器!$1:$998,COLUMN($O$1),FALSE)*VLOOKUP($D329,素材!$1:$1016,COLUMN($E$1),FALSE)/(LEN(VLOOKUP($D329,素材!$1:$1016,COLUMN($F$1),FALSE))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X329">
        <f>IF(ISNUMBER(SEARCH(SUBSTITUTE(AX$1,RIGHT(AX$1,2),""),VLOOKUP($D329,素材!$1:$1016,COLUMN($F$1),FALSE))),VLOOKUP($C329,武器!$1:$998,COLUMN($O$1),FALSE)*VLOOKUP($D329,素材!$1:$1016,COLUMN($E$1),FALSE)/(LEN(VLOOKUP($D329,素材!$1:$1016,COLUMN($F$1),FALSE))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Y329">
        <f>IF(ISNUMBER(SEARCH(SUBSTITUTE(AY$1,RIGHT(AY$1,2),""),VLOOKUP($D329,素材!$1:$1016,COLUMN($F$1),FALSE))),VLOOKUP($C329,武器!$1:$998,COLUMN($O$1),FALSE)*VLOOKUP($D329,素材!$1:$1016,COLUMN($E$1),FALSE)/(LEN(VLOOKUP($D329,素材!$1:$1016,COLUMN($F$1),FALSE))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AZ329">
        <f>IF(ISNUMBER(SEARCH(SUBSTITUTE(AZ$1,RIGHT(AZ$1,2),""),VLOOKUP($D329,素材!$1:$1016,COLUMN($F$1),FALSE))),VLOOKUP($C329,武器!$1:$998,COLUMN($O$1),FALSE)*VLOOKUP($D329,素材!$1:$1016,COLUMN($E$1),FALSE)/(LEN(VLOOKUP($D329,素材!$1:$1016,COLUMN($F$1),FALSE))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BA329">
        <f>IF(ISNUMBER(SEARCH(SUBSTITUTE(BA$1,RIGHT(BA$1,2),""),VLOOKUP($D329,素材!$1:$1016,COLUMN($F$1),FALSE))),VLOOKUP($C329,武器!$1:$998,COLUMN($O$1),FALSE)*VLOOKUP($D329,素材!$1:$1016,COLUMN($E$1),FALSE)/(LEN(VLOOKUP($D329,素材!$1:$1016,COLUMN($F$1),FALSE))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BB329">
        <f>IF(ISNUMBER(SEARCH(SUBSTITUTE(BB$1,RIGHT(BB$1,2),""),VLOOKUP($D329,素材!$1:$1016,COLUMN($F$1),FALSE))),VLOOKUP($C329,武器!$1:$998,COLUMN($O$1),FALSE)*VLOOKUP($D329,素材!$1:$1016,COLUMN($E$1),FALSE)/(LEN(VLOOKUP($D329,素材!$1:$1016,COLUMN($F$1),FALSE))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BC329">
        <f>IF(ISNUMBER(SEARCH(SUBSTITUTE(BC$1,RIGHT(BC$1,2),""),VLOOKUP($D329,素材!$1:$1016,COLUMN($F$1),FALSE))),VLOOKUP($C329,武器!$1:$998,COLUMN($O$1),FALSE)*VLOOKUP($D329,素材!$1:$1016,COLUMN($E$1),FALSE)/(LEN(VLOOKUP($D329,素材!$1:$1016,COLUMN($F$1),FALSE))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BD329">
        <f>IF(ISNUMBER(SEARCH(SUBSTITUTE(BD$1,RIGHT(BD$1,2),""),VLOOKUP($D329,素材!$1:$1016,COLUMN($F$1),FALSE))),VLOOKUP($C329,武器!$1:$998,COLUMN($O$1),FALSE)*VLOOKUP($D329,素材!$1:$1016,COLUMN($E$1),FALSE)/(LEN(VLOOKUP($D329,素材!$1:$1016,COLUMN($F$1),FALSE))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BE329">
        <f>IF(ISNUMBER(SEARCH(SUBSTITUTE(BE$1,RIGHT(BE$1,2),""),VLOOKUP($D329,素材!$1:$1016,COLUMN($F$1),FALSE))),VLOOKUP($C329,武器!$1:$998,COLUMN($O$1),FALSE)*VLOOKUP($D329,素材!$1:$1016,COLUMN($E$1),FALSE)/(LEN(VLOOKUP($D329,素材!$1:$1016,COLUMN($F$1),FALSE))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BF329">
        <f>IF(ISNUMBER(SEARCH(SUBSTITUTE(BF$1,RIGHT(BF$1,2),""),VLOOKUP($D329,素材!$1:$1016,COLUMN($F$1),FALSE))),VLOOKUP($C329,武器!$1:$998,COLUMN($O$1),FALSE)*VLOOKUP($D329,素材!$1:$1016,COLUMN($E$1),FALSE)/(LEN(VLOOKUP($D329,素材!$1:$1016,COLUMN($F$1),FALSE)) - LEN(SUBSTITUTE(VLOOKUP($D329,素材!$1:$1016,COLUMN($F$1),FALSE), "・", 0)) + 1), 0)</f>
        <v>0</v>
      </c>
      <c r="CM329">
        <f t="shared" si="39"/>
        <v>0</v>
      </c>
      <c r="CN329" s="22" t="str">
        <f>IF(E329="武器",IF(J329-1&gt;SUM(G329:I329),"盾",IF(MAX(G329:I329)=G329,"切断",IF(MAX(G329:I329)=H329,"貫通",IF(MAX(G329:I329)=I329,"打撃","射撃")))),E329)&amp;".webp"</f>
        <v>.webp</v>
      </c>
      <c r="CO329" t="str">
        <f>IFERROR(VLOOKUP($C329,武器!$1:$998,COLUMN(V$1),FALSE)*VLOOKUP($D329,素材!$1:$1016,COLUMN(N$1),FALSE)+IF(CJ329="",0,VLOOKUP($CJ329,装強!$1:$1008,COLUMN($CL$1),FALSE)),"")</f>
        <v/>
      </c>
      <c r="CP329" t="e">
        <f>VLOOKUP(D329,素材!$A:$O,COLUMN(素材!O$1),FALSE)</f>
        <v>#N/A</v>
      </c>
      <c r="CQ329" t="e">
        <f>VLOOKUP(C329,武器!$A:$W,COLUMN(武器!W$1),FALSE)</f>
        <v>#N/A</v>
      </c>
      <c r="CS329" t="str">
        <f t="shared" si="37"/>
        <v>e_329</v>
      </c>
      <c r="CT329" t="e">
        <f t="shared" si="38"/>
        <v>#VALUE!</v>
      </c>
    </row>
    <row r="330" spans="1:98" hidden="1" outlineLevel="1" x14ac:dyDescent="0.4">
      <c r="A330" t="str">
        <f>IF(CJ330="",D330&amp;"の"&amp;C330,CJ330&amp;"の"&amp;C330)</f>
        <v>の</v>
      </c>
      <c r="B330" t="str">
        <f>IFERROR(IF(CJ330="",VLOOKUP($D330,素材!$1:$1016,COLUMN($B$1),FALSE)&amp;"・"&amp;VLOOKUP($C330,武器!$1:$998,COLUMN(B$1),FALSE),VLOOKUP($CJ330,装強!$1:$1008,COLUMN($B$1),FALSE)&amp;"・"&amp;VLOOKUP($C330,武器!$1:$998,COLUMN(B$1),FALSE)),"")</f>
        <v/>
      </c>
      <c r="C330" s="24"/>
      <c r="D330" s="24"/>
      <c r="E330" t="str">
        <f>IFERROR(VLOOKUP(C330,武器!$1:$998,COLUMN(C$1),FALSE),"")</f>
        <v/>
      </c>
      <c r="F330" t="str">
        <f>IFERROR(ROUNDDOWN((VLOOKUP($C330,武器!$1:$998,COLUMN(D$1),FALSE)+IFERROR(VLOOKUP($CJ330,装強!$1:$999,COLUMN(F$1),FALSE),0))*VLOOKUP($D330,素材!$1:$1016,COLUMN(D$1),FALSE),0),"")</f>
        <v/>
      </c>
      <c r="G330" t="str">
        <f>IFERROR(ROUNDDOWN((VLOOKUP($C330,武器!$1:$998,COLUMN(E$1),FALSE)+IFERROR(VLOOKUP($CJ330,装強!$1:$999,COLUMN(G$1),FALSE),0))*VLOOKUP($D330,素材!$1:$1016,COLUMN($E$1),FALSE),0),"")</f>
        <v/>
      </c>
      <c r="H330" t="str">
        <f>IFERROR(ROUNDDOWN((VLOOKUP($C330,武器!$1:$998,COLUMN(F$1),FALSE)+IFERROR(VLOOKUP($CJ330,装強!$1:$999,COLUMN(H$1),FALSE),0))*VLOOKUP($D330,素材!$1:$1016,COLUMN($E$1),FALSE),0),"")</f>
        <v/>
      </c>
      <c r="I330" t="str">
        <f>IFERROR(ROUNDDOWN((VLOOKUP($C330,武器!$1:$998,COLUMN(G$1),FALSE)+IFERROR(VLOOKUP($CJ330,装強!$1:$999,COLUMN(I$1),FALSE),0))*VLOOKUP($D330,素材!$1:$1016,COLUMN($E$1),FALSE),0),"")</f>
        <v/>
      </c>
      <c r="J330" t="str">
        <f>IFERROR(ROUNDDOWN((VLOOKUP($C330,武器!$1:$998,COLUMN(H$1),FALSE)+IFERROR(VLOOKUP($CJ330,装強!$1:$999,COLUMN(J$1),FALSE),0))*VLOOKUP($D330,素材!$1:$1016,COLUMN($E$1),FALSE),0),"")</f>
        <v/>
      </c>
      <c r="K330" t="str">
        <f>IFERROR(ROUNDDOWN((VLOOKUP($C330,武器!$1:$998,COLUMN(I$1),FALSE)+IFERROR(VLOOKUP($CJ330,装強!$1:$999,COLUMN(K$1),FALSE),0))*VLOOKUP($D330,素材!$1:$1016,COLUMN($E$1),FALSE),0),"")</f>
        <v/>
      </c>
      <c r="L330" t="str">
        <f>IFERROR(VLOOKUP($D330,素材!$1:$1016,COLUMN($F$1),FALSE),"")</f>
        <v/>
      </c>
      <c r="M330" t="str">
        <f>IFERROR(VLOOKUP($C330,武器!$1:$998,COLUMN(AA$1),FALSE)*VLOOKUP($D330,素材!$1:$1016,COLUMN($G$1),FALSE),"")</f>
        <v/>
      </c>
      <c r="N330" t="str">
        <f>IFERROR(VLOOKUP($C330,武器!$1:$998,COLUMN(I$1),FALSE),"")</f>
        <v/>
      </c>
      <c r="O330" s="23" t="str">
        <f>IFERROR((VLOOKUP($C330,武器!$1:$998,COLUMN(K$1),FALSE)+VLOOKUP($D330,素材!$1:$1016,COLUMN(H$1),FALSE))*100+IFERROR(VLOOKUP($CJ330,装強!$1:$999,COLUMN(O$1),FALSE),0),"")</f>
        <v/>
      </c>
      <c r="P330" s="23" t="str">
        <f>IFERROR((VLOOKUP($C330,武器!$1:$998,COLUMN(L$1),FALSE)+VLOOKUP($D330,素材!$1:$1016,COLUMN(I$1),FALSE))*100+IFERROR(VLOOKUP($CJ330,装強!$1:$999,COLUMN(P$1),FALSE),0),"")</f>
        <v/>
      </c>
      <c r="Q330" t="str">
        <f>IFERROR(ROUNDUP(VLOOKUP($C330,武器!$1:$998,COLUMN(M$1),FALSE)*(VLOOKUP($D330,素材!$1:$1002,COLUMN(D$1),FALSE)/100),1),"")</f>
        <v/>
      </c>
      <c r="R330" t="str">
        <f>IFERROR(ROUNDUP(VLOOKUP($C330,武器!$1:$998,COLUMN(N$1),FALSE)*(VLOOKUP($D330,素材!$1:$1002,COLUMN(D$1),FALSE)/100),1),"")</f>
        <v/>
      </c>
      <c r="S330" t="str">
        <f>IFERROR(VLOOKUP($C330,武器!$1:$998,COLUMN(P$1),FALSE),"")</f>
        <v/>
      </c>
      <c r="T330" t="str">
        <f>IFERROR(VLOOKUP($C330,武器!$1:$998,COLUMN(Q$1),FALSE),"")</f>
        <v/>
      </c>
      <c r="U330" t="str">
        <f>IFERROR(VLOOKUP($C330,武器!$1:$998,COLUMN(R$1),FALSE),"")</f>
        <v/>
      </c>
      <c r="V330" t="str">
        <f>IFERROR(VLOOKUP($C330,武器!$1:$998,COLUMN(Q$1),FALSE),"")</f>
        <v/>
      </c>
      <c r="W330" t="str">
        <f>IFERROR(VLOOKUP($C330,武器!$1:$998,COLUMN(T$1),FALSE),"")</f>
        <v/>
      </c>
      <c r="Y330" t="str">
        <f>IFERROR(VLOOKUP($C330,武器!$1:$998,COLUMN(U$1),FALSE),"")</f>
        <v/>
      </c>
      <c r="Z330" t="str">
        <f>IFERROR(ROUNDUP(VLOOKUP($C330,武器!$1:$998,COLUMN(O$1),FALSE)*VLOOKUP($D330,素材!$1:$1016,COLUMN(E$1),FALSE),1),"")</f>
        <v/>
      </c>
      <c r="AA330">
        <f>IF(ISNUMBER(SEARCH(SUBSTITUTE(AA$1,RIGHT(AA$1,2),""),VLOOKUP($D330,素材!$1:$1016,COLUMN($F$1),FALSE))),VLOOKUP($C330,武器!$1:$998,COLUMN($O$1),FALSE)*VLOOKUP($D330,素材!$1:$1016,COLUMN($E$1),FALSE)/(LEN(VLOOKUP($D330,素材!$1:$1016,COLUMN($F$1),FALSE))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B330">
        <f>IF(ISNUMBER(SEARCH(SUBSTITUTE(AB$1,RIGHT(AB$1,2),""),VLOOKUP($D330,素材!$1:$1016,COLUMN($F$1),FALSE))),VLOOKUP($C330,武器!$1:$998,COLUMN($O$1),FALSE)*VLOOKUP($D330,素材!$1:$1016,COLUMN($E$1),FALSE)/(LEN(VLOOKUP($D330,素材!$1:$1016,COLUMN($F$1),FALSE))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C330">
        <f>IF(ISNUMBER(SEARCH(SUBSTITUTE(AC$1,RIGHT(AC$1,2),""),VLOOKUP($D330,素材!$1:$1016,COLUMN($F$1),FALSE))),VLOOKUP($C330,武器!$1:$998,COLUMN($O$1),FALSE)*VLOOKUP($D330,素材!$1:$1016,COLUMN($E$1),FALSE)/(LEN(VLOOKUP($D330,素材!$1:$1016,COLUMN($F$1),FALSE))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D330">
        <f>IF(ISNUMBER(SEARCH(SUBSTITUTE(AD$1,RIGHT(AD$1,2),""),VLOOKUP($D330,素材!$1:$1016,COLUMN($F$1),FALSE))),VLOOKUP($C330,武器!$1:$998,COLUMN($O$1),FALSE)*VLOOKUP($D330,素材!$1:$1016,COLUMN($E$1),FALSE)/(LEN(VLOOKUP($D330,素材!$1:$1016,COLUMN($F$1),FALSE))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E330">
        <f>IF(ISNUMBER(SEARCH(SUBSTITUTE(AE$1,RIGHT(AE$1,2),""),VLOOKUP($D330,素材!$1:$1016,COLUMN($F$1),FALSE))),VLOOKUP($C330,武器!$1:$998,COLUMN($O$1),FALSE)*VLOOKUP($D330,素材!$1:$1016,COLUMN($E$1),FALSE)/(LEN(VLOOKUP($D330,素材!$1:$1016,COLUMN($F$1),FALSE))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F330">
        <f>IF(ISNUMBER(SEARCH(SUBSTITUTE(AF$1,RIGHT(AF$1,2),""),VLOOKUP($D330,素材!$1:$1016,COLUMN($F$1),FALSE))),VLOOKUP($C330,武器!$1:$998,COLUMN($O$1),FALSE)*VLOOKUP($D330,素材!$1:$1016,COLUMN($E$1),FALSE)/(LEN(VLOOKUP($D330,素材!$1:$1016,COLUMN($F$1),FALSE))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G330">
        <f>IF(ISNUMBER(SEARCH(SUBSTITUTE(AG$1,RIGHT(AG$1,2),""),VLOOKUP($D330,素材!$1:$1016,COLUMN($F$1),FALSE))),VLOOKUP($C330,武器!$1:$998,COLUMN($O$1),FALSE)*VLOOKUP($D330,素材!$1:$1016,COLUMN($E$1),FALSE)/(LEN(VLOOKUP($D330,素材!$1:$1016,COLUMN($F$1),FALSE))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H330">
        <f>IF(ISNUMBER(SEARCH(SUBSTITUTE(AH$1,RIGHT(AH$1,2),""),VLOOKUP($D330,素材!$1:$1016,COLUMN($F$1),FALSE))),VLOOKUP($C330,武器!$1:$998,COLUMN($O$1),FALSE)*VLOOKUP($D330,素材!$1:$1016,COLUMN($E$1),FALSE)/(LEN(VLOOKUP($D330,素材!$1:$1016,COLUMN($F$1),FALSE))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I330">
        <f>IF(ISNUMBER(SEARCH(SUBSTITUTE(AI$1,RIGHT(AI$1,2),""),VLOOKUP($D330,素材!$1:$1016,COLUMN($F$1),FALSE))),VLOOKUP($C330,武器!$1:$998,COLUMN($O$1),FALSE)*VLOOKUP($D330,素材!$1:$1016,COLUMN($E$1),FALSE)/(LEN(VLOOKUP($D330,素材!$1:$1016,COLUMN($F$1),FALSE))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J330">
        <f>IF(ISNUMBER(SEARCH(SUBSTITUTE(AJ$1,RIGHT(AJ$1,2),""),VLOOKUP($D330,素材!$1:$1016,COLUMN($F$1),FALSE))),VLOOKUP($C330,武器!$1:$998,COLUMN($O$1),FALSE)*VLOOKUP($D330,素材!$1:$1016,COLUMN($E$1),FALSE)/(LEN(VLOOKUP($D330,素材!$1:$1016,COLUMN($F$1),FALSE))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K330">
        <f>IF(ISNUMBER(SEARCH(SUBSTITUTE(AK$1,RIGHT(AK$1,2),""),VLOOKUP($D330,素材!$1:$1016,COLUMN($F$1),FALSE))),VLOOKUP($C330,武器!$1:$998,COLUMN($O$1),FALSE)*VLOOKUP($D330,素材!$1:$1016,COLUMN($E$1),FALSE)/(LEN(VLOOKUP($D330,素材!$1:$1016,COLUMN($F$1),FALSE))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L330">
        <f>IF(ISNUMBER(SEARCH(SUBSTITUTE(AL$1,RIGHT(AL$1,2),""),VLOOKUP($D330,素材!$1:$1016,COLUMN($F$1),FALSE))),VLOOKUP($C330,武器!$1:$998,COLUMN($O$1),FALSE)*VLOOKUP($D330,素材!$1:$1016,COLUMN($E$1),FALSE)/(LEN(VLOOKUP($D330,素材!$1:$1016,COLUMN($F$1),FALSE))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M330">
        <f>IF(ISNUMBER(SEARCH(SUBSTITUTE(AM$1,RIGHT(AM$1,2),""),VLOOKUP($D330,素材!$1:$1016,COLUMN($F$1),FALSE))),VLOOKUP($C330,武器!$1:$998,COLUMN($O$1),FALSE)*VLOOKUP($D330,素材!$1:$1016,COLUMN($E$1),FALSE)/(LEN(VLOOKUP($D330,素材!$1:$1016,COLUMN($F$1),FALSE))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N330">
        <f>IF(ISNUMBER(SEARCH(SUBSTITUTE(AN$1,RIGHT(AN$1,2),""),VLOOKUP($D330,素材!$1:$1016,COLUMN($F$1),FALSE))),VLOOKUP($C330,武器!$1:$998,COLUMN($O$1),FALSE)*VLOOKUP($D330,素材!$1:$1016,COLUMN($E$1),FALSE)/(LEN(VLOOKUP($D330,素材!$1:$1016,COLUMN($F$1),FALSE))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O330">
        <f>IF(ISNUMBER(SEARCH(SUBSTITUTE(AO$1,RIGHT(AO$1,2),""),VLOOKUP($D330,素材!$1:$1016,COLUMN($F$1),FALSE))),VLOOKUP($C330,武器!$1:$998,COLUMN($O$1),FALSE)*VLOOKUP($D330,素材!$1:$1016,COLUMN($E$1),FALSE)/(LEN(VLOOKUP($D330,素材!$1:$1016,COLUMN($F$1),FALSE))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P330">
        <f>IF(ISNUMBER(SEARCH(SUBSTITUTE(AP$1,RIGHT(AP$1,2),""),VLOOKUP($D330,素材!$1:$1016,COLUMN($F$1),FALSE))),VLOOKUP($C330,武器!$1:$998,COLUMN($O$1),FALSE)*VLOOKUP($D330,素材!$1:$1016,COLUMN($E$1),FALSE)/(LEN(VLOOKUP($D330,素材!$1:$1016,COLUMN($F$1),FALSE))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Q330">
        <f>IF(ISNUMBER(SEARCH(SUBSTITUTE(AQ$1,RIGHT(AQ$1,2),""),VLOOKUP($D330,素材!$1:$1016,COLUMN($F$1),FALSE))),VLOOKUP($C330,武器!$1:$998,COLUMN($O$1),FALSE)*VLOOKUP($D330,素材!$1:$1016,COLUMN($E$1),FALSE)/(LEN(VLOOKUP($D330,素材!$1:$1016,COLUMN($F$1),FALSE))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R330">
        <f>IF(ISNUMBER(SEARCH(SUBSTITUTE(AR$1,RIGHT(AR$1,2),""),VLOOKUP($D330,素材!$1:$1016,COLUMN($F$1),FALSE))),VLOOKUP($C330,武器!$1:$998,COLUMN($O$1),FALSE)*VLOOKUP($D330,素材!$1:$1016,COLUMN($E$1),FALSE)/(LEN(VLOOKUP($D330,素材!$1:$1016,COLUMN($F$1),FALSE))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S330">
        <f>IF(ISNUMBER(SEARCH(SUBSTITUTE(AS$1,RIGHT(AS$1,2),""),VLOOKUP($D330,素材!$1:$1016,COLUMN($F$1),FALSE))),VLOOKUP($C330,武器!$1:$998,COLUMN($O$1),FALSE)*VLOOKUP($D330,素材!$1:$1016,COLUMN($E$1),FALSE)/(LEN(VLOOKUP($D330,素材!$1:$1016,COLUMN($F$1),FALSE))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T330">
        <f>IF(ISNUMBER(SEARCH(SUBSTITUTE(AT$1,RIGHT(AT$1,2),""),VLOOKUP($D330,素材!$1:$1016,COLUMN($F$1),FALSE))),VLOOKUP($C330,武器!$1:$998,COLUMN($O$1),FALSE)*VLOOKUP($D330,素材!$1:$1016,COLUMN($E$1),FALSE)/(LEN(VLOOKUP($D330,素材!$1:$1016,COLUMN($F$1),FALSE))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U330">
        <f>IF(ISNUMBER(SEARCH(SUBSTITUTE(AU$1,RIGHT(AU$1,2),""),VLOOKUP($D330,素材!$1:$1016,COLUMN($F$1),FALSE))),VLOOKUP($C330,武器!$1:$998,COLUMN($O$1),FALSE)*VLOOKUP($D330,素材!$1:$1016,COLUMN($E$1),FALSE)/(LEN(VLOOKUP($D330,素材!$1:$1016,COLUMN($F$1),FALSE))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V330">
        <f>IF(ISNUMBER(SEARCH(SUBSTITUTE(AV$1,RIGHT(AV$1,2),""),VLOOKUP($D330,素材!$1:$1016,COLUMN($F$1),FALSE))),VLOOKUP($C330,武器!$1:$998,COLUMN($O$1),FALSE)*VLOOKUP($D330,素材!$1:$1016,COLUMN($E$1),FALSE)/(LEN(VLOOKUP($D330,素材!$1:$1016,COLUMN($F$1),FALSE))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W330">
        <f>IF(ISNUMBER(SEARCH(SUBSTITUTE(AW$1,RIGHT(AW$1,2),""),VLOOKUP($D330,素材!$1:$1016,COLUMN($F$1),FALSE))),VLOOKUP($C330,武器!$1:$998,COLUMN($O$1),FALSE)*VLOOKUP($D330,素材!$1:$1016,COLUMN($E$1),FALSE)/(LEN(VLOOKUP($D330,素材!$1:$1016,COLUMN($F$1),FALSE))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X330">
        <f>IF(ISNUMBER(SEARCH(SUBSTITUTE(AX$1,RIGHT(AX$1,2),""),VLOOKUP($D330,素材!$1:$1016,COLUMN($F$1),FALSE))),VLOOKUP($C330,武器!$1:$998,COLUMN($O$1),FALSE)*VLOOKUP($D330,素材!$1:$1016,COLUMN($E$1),FALSE)/(LEN(VLOOKUP($D330,素材!$1:$1016,COLUMN($F$1),FALSE))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Y330">
        <f>IF(ISNUMBER(SEARCH(SUBSTITUTE(AY$1,RIGHT(AY$1,2),""),VLOOKUP($D330,素材!$1:$1016,COLUMN($F$1),FALSE))),VLOOKUP($C330,武器!$1:$998,COLUMN($O$1),FALSE)*VLOOKUP($D330,素材!$1:$1016,COLUMN($E$1),FALSE)/(LEN(VLOOKUP($D330,素材!$1:$1016,COLUMN($F$1),FALSE))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AZ330">
        <f>IF(ISNUMBER(SEARCH(SUBSTITUTE(AZ$1,RIGHT(AZ$1,2),""),VLOOKUP($D330,素材!$1:$1016,COLUMN($F$1),FALSE))),VLOOKUP($C330,武器!$1:$998,COLUMN($O$1),FALSE)*VLOOKUP($D330,素材!$1:$1016,COLUMN($E$1),FALSE)/(LEN(VLOOKUP($D330,素材!$1:$1016,COLUMN($F$1),FALSE))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BA330">
        <f>IF(ISNUMBER(SEARCH(SUBSTITUTE(BA$1,RIGHT(BA$1,2),""),VLOOKUP($D330,素材!$1:$1016,COLUMN($F$1),FALSE))),VLOOKUP($C330,武器!$1:$998,COLUMN($O$1),FALSE)*VLOOKUP($D330,素材!$1:$1016,COLUMN($E$1),FALSE)/(LEN(VLOOKUP($D330,素材!$1:$1016,COLUMN($F$1),FALSE))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BB330">
        <f>IF(ISNUMBER(SEARCH(SUBSTITUTE(BB$1,RIGHT(BB$1,2),""),VLOOKUP($D330,素材!$1:$1016,COLUMN($F$1),FALSE))),VLOOKUP($C330,武器!$1:$998,COLUMN($O$1),FALSE)*VLOOKUP($D330,素材!$1:$1016,COLUMN($E$1),FALSE)/(LEN(VLOOKUP($D330,素材!$1:$1016,COLUMN($F$1),FALSE))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BC330">
        <f>IF(ISNUMBER(SEARCH(SUBSTITUTE(BC$1,RIGHT(BC$1,2),""),VLOOKUP($D330,素材!$1:$1016,COLUMN($F$1),FALSE))),VLOOKUP($C330,武器!$1:$998,COLUMN($O$1),FALSE)*VLOOKUP($D330,素材!$1:$1016,COLUMN($E$1),FALSE)/(LEN(VLOOKUP($D330,素材!$1:$1016,COLUMN($F$1),FALSE))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BD330">
        <f>IF(ISNUMBER(SEARCH(SUBSTITUTE(BD$1,RIGHT(BD$1,2),""),VLOOKUP($D330,素材!$1:$1016,COLUMN($F$1),FALSE))),VLOOKUP($C330,武器!$1:$998,COLUMN($O$1),FALSE)*VLOOKUP($D330,素材!$1:$1016,COLUMN($E$1),FALSE)/(LEN(VLOOKUP($D330,素材!$1:$1016,COLUMN($F$1),FALSE))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BE330">
        <f>IF(ISNUMBER(SEARCH(SUBSTITUTE(BE$1,RIGHT(BE$1,2),""),VLOOKUP($D330,素材!$1:$1016,COLUMN($F$1),FALSE))),VLOOKUP($C330,武器!$1:$998,COLUMN($O$1),FALSE)*VLOOKUP($D330,素材!$1:$1016,COLUMN($E$1),FALSE)/(LEN(VLOOKUP($D330,素材!$1:$1016,COLUMN($F$1),FALSE))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BF330">
        <f>IF(ISNUMBER(SEARCH(SUBSTITUTE(BF$1,RIGHT(BF$1,2),""),VLOOKUP($D330,素材!$1:$1016,COLUMN($F$1),FALSE))),VLOOKUP($C330,武器!$1:$998,COLUMN($O$1),FALSE)*VLOOKUP($D330,素材!$1:$1016,COLUMN($E$1),FALSE)/(LEN(VLOOKUP($D330,素材!$1:$1016,COLUMN($F$1),FALSE)) - LEN(SUBSTITUTE(VLOOKUP($D330,素材!$1:$1016,COLUMN($F$1),FALSE), "・", 0)) + 1), 0)</f>
        <v>0</v>
      </c>
      <c r="CM330">
        <f t="shared" si="39"/>
        <v>0</v>
      </c>
      <c r="CN330" s="22" t="str">
        <f>IF(E330="武器",IF(J330-1&gt;SUM(G330:I330),"盾",IF(MAX(G330:I330)=G330,"切断",IF(MAX(G330:I330)=H330,"貫通",IF(MAX(G330:I330)=I330,"打撃","射撃")))),E330)&amp;".webp"</f>
        <v>.webp</v>
      </c>
      <c r="CO330" t="str">
        <f>IFERROR(VLOOKUP($C330,武器!$1:$998,COLUMN(V$1),FALSE)*VLOOKUP($D330,素材!$1:$1016,COLUMN(N$1),FALSE)+IF(CJ330="",0,VLOOKUP($CJ330,装強!$1:$1008,COLUMN($CL$1),FALSE)),"")</f>
        <v/>
      </c>
      <c r="CP330" t="e">
        <f>VLOOKUP(D330,素材!$A:$O,COLUMN(素材!O$1),FALSE)</f>
        <v>#N/A</v>
      </c>
      <c r="CQ330" t="e">
        <f>VLOOKUP(C330,武器!$A:$W,COLUMN(武器!W$1),FALSE)</f>
        <v>#N/A</v>
      </c>
      <c r="CS330" t="str">
        <f>"e_"&amp;ROW(CS330)</f>
        <v>e_330</v>
      </c>
      <c r="CT330" t="e">
        <f t="shared" si="38"/>
        <v>#VALUE!</v>
      </c>
    </row>
    <row r="331" spans="1:98" hidden="1" outlineLevel="1" x14ac:dyDescent="0.4">
      <c r="A331" t="str">
        <f>IF(CJ331="",D331&amp;"の"&amp;C331,CJ331&amp;"の"&amp;C331)</f>
        <v>の</v>
      </c>
      <c r="B331" t="str">
        <f>IFERROR(IF(CJ331="",VLOOKUP($D331,素材!$1:$1016,COLUMN($B$1),FALSE)&amp;"・"&amp;VLOOKUP($C331,武器!$1:$998,COLUMN(B$1),FALSE),VLOOKUP($CJ331,装強!$1:$1008,COLUMN($B$1),FALSE)&amp;"・"&amp;VLOOKUP($C331,武器!$1:$998,COLUMN(B$1),FALSE)),"")</f>
        <v/>
      </c>
      <c r="C331" s="24"/>
      <c r="D331" s="24"/>
      <c r="E331" t="str">
        <f>IFERROR(VLOOKUP(C331,武器!$1:$998,COLUMN(C$1),FALSE),"")</f>
        <v/>
      </c>
      <c r="F331" t="str">
        <f>IFERROR(ROUNDDOWN((VLOOKUP($C331,武器!$1:$998,COLUMN(D$1),FALSE)+IFERROR(VLOOKUP($CJ331,装強!$1:$999,COLUMN(F$1),FALSE),0))*VLOOKUP($D331,素材!$1:$1016,COLUMN(D$1),FALSE),0),"")</f>
        <v/>
      </c>
      <c r="G331" t="str">
        <f>IFERROR(ROUNDDOWN((VLOOKUP($C331,武器!$1:$998,COLUMN(E$1),FALSE)+IFERROR(VLOOKUP($CJ331,装強!$1:$999,COLUMN(G$1),FALSE),0))*VLOOKUP($D331,素材!$1:$1016,COLUMN($E$1),FALSE),0),"")</f>
        <v/>
      </c>
      <c r="H331" t="str">
        <f>IFERROR(ROUNDDOWN((VLOOKUP($C331,武器!$1:$998,COLUMN(F$1),FALSE)+IFERROR(VLOOKUP($CJ331,装強!$1:$999,COLUMN(H$1),FALSE),0))*VLOOKUP($D331,素材!$1:$1016,COLUMN($E$1),FALSE),0),"")</f>
        <v/>
      </c>
      <c r="I331" t="str">
        <f>IFERROR(ROUNDDOWN((VLOOKUP($C331,武器!$1:$998,COLUMN(G$1),FALSE)+IFERROR(VLOOKUP($CJ331,装強!$1:$999,COLUMN(I$1),FALSE),0))*VLOOKUP($D331,素材!$1:$1016,COLUMN($E$1),FALSE),0),"")</f>
        <v/>
      </c>
      <c r="J331" t="str">
        <f>IFERROR(ROUNDDOWN((VLOOKUP($C331,武器!$1:$998,COLUMN(H$1),FALSE)+IFERROR(VLOOKUP($CJ331,装強!$1:$999,COLUMN(J$1),FALSE),0))*VLOOKUP($D331,素材!$1:$1016,COLUMN($E$1),FALSE),0),"")</f>
        <v/>
      </c>
      <c r="K331" t="str">
        <f>IFERROR(ROUNDDOWN((VLOOKUP($C331,武器!$1:$998,COLUMN(I$1),FALSE)+IFERROR(VLOOKUP($CJ331,装強!$1:$999,COLUMN(K$1),FALSE),0))*VLOOKUP($D331,素材!$1:$1016,COLUMN($E$1),FALSE),0),"")</f>
        <v/>
      </c>
      <c r="L331" t="str">
        <f>IFERROR(VLOOKUP($D331,素材!$1:$1016,COLUMN($F$1),FALSE),"")</f>
        <v/>
      </c>
      <c r="M331" t="str">
        <f>IFERROR(VLOOKUP($C331,武器!$1:$998,COLUMN(AA$1),FALSE)*VLOOKUP($D331,素材!$1:$1016,COLUMN($G$1),FALSE),"")</f>
        <v/>
      </c>
      <c r="N331" t="str">
        <f>IFERROR(VLOOKUP($C331,武器!$1:$998,COLUMN(I$1),FALSE),"")</f>
        <v/>
      </c>
      <c r="O331" s="23" t="str">
        <f>IFERROR((VLOOKUP($C331,武器!$1:$998,COLUMN(K$1),FALSE)+VLOOKUP($D331,素材!$1:$1016,COLUMN(H$1),FALSE))*100+IFERROR(VLOOKUP($CJ331,装強!$1:$999,COLUMN(O$1),FALSE),0),"")</f>
        <v/>
      </c>
      <c r="P331" s="23" t="str">
        <f>IFERROR((VLOOKUP($C331,武器!$1:$998,COLUMN(L$1),FALSE)+VLOOKUP($D331,素材!$1:$1016,COLUMN(I$1),FALSE))*100+IFERROR(VLOOKUP($CJ331,装強!$1:$999,COLUMN(P$1),FALSE),0),"")</f>
        <v/>
      </c>
      <c r="Q331" t="str">
        <f>IFERROR(ROUNDUP(VLOOKUP($C331,武器!$1:$998,COLUMN(M$1),FALSE)*(VLOOKUP($D331,素材!$1:$1002,COLUMN(D$1),FALSE)/100),1),"")</f>
        <v/>
      </c>
      <c r="R331" t="str">
        <f>IFERROR(ROUNDUP(VLOOKUP($C331,武器!$1:$998,COLUMN(N$1),FALSE)*(VLOOKUP($D331,素材!$1:$1002,COLUMN(D$1),FALSE)/100),1),"")</f>
        <v/>
      </c>
      <c r="S331" t="str">
        <f>IFERROR(VLOOKUP($C331,武器!$1:$998,COLUMN(P$1),FALSE),"")</f>
        <v/>
      </c>
      <c r="T331" t="str">
        <f>IFERROR(VLOOKUP($C331,武器!$1:$998,COLUMN(Q$1),FALSE),"")</f>
        <v/>
      </c>
      <c r="U331" t="str">
        <f>IFERROR(VLOOKUP($C331,武器!$1:$998,COLUMN(R$1),FALSE),"")</f>
        <v/>
      </c>
      <c r="V331" t="str">
        <f>IFERROR(VLOOKUP($C331,武器!$1:$998,COLUMN(Q$1),FALSE),"")</f>
        <v/>
      </c>
      <c r="W331" t="str">
        <f>IFERROR(VLOOKUP($C331,武器!$1:$998,COLUMN(T$1),FALSE),"")</f>
        <v/>
      </c>
      <c r="Y331" t="str">
        <f>IFERROR(VLOOKUP($C331,武器!$1:$998,COLUMN(U$1),FALSE),"")</f>
        <v/>
      </c>
      <c r="Z331" t="str">
        <f>IFERROR(ROUNDUP(VLOOKUP($C331,武器!$1:$998,COLUMN(O$1),FALSE)*VLOOKUP($D331,素材!$1:$1016,COLUMN(E$1),FALSE),1),"")</f>
        <v/>
      </c>
      <c r="AA331">
        <f>IF(ISNUMBER(SEARCH(SUBSTITUTE(AA$1,RIGHT(AA$1,2),""),VLOOKUP($D331,素材!$1:$1016,COLUMN($F$1),FALSE))),VLOOKUP($C331,武器!$1:$998,COLUMN($O$1),FALSE)*VLOOKUP($D331,素材!$1:$1016,COLUMN($E$1),FALSE)/(LEN(VLOOKUP($D331,素材!$1:$1016,COLUMN($F$1),FALSE))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B331">
        <f>IF(ISNUMBER(SEARCH(SUBSTITUTE(AB$1,RIGHT(AB$1,2),""),VLOOKUP($D331,素材!$1:$1016,COLUMN($F$1),FALSE))),VLOOKUP($C331,武器!$1:$998,COLUMN($O$1),FALSE)*VLOOKUP($D331,素材!$1:$1016,COLUMN($E$1),FALSE)/(LEN(VLOOKUP($D331,素材!$1:$1016,COLUMN($F$1),FALSE))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C331">
        <f>IF(ISNUMBER(SEARCH(SUBSTITUTE(AC$1,RIGHT(AC$1,2),""),VLOOKUP($D331,素材!$1:$1016,COLUMN($F$1),FALSE))),VLOOKUP($C331,武器!$1:$998,COLUMN($O$1),FALSE)*VLOOKUP($D331,素材!$1:$1016,COLUMN($E$1),FALSE)/(LEN(VLOOKUP($D331,素材!$1:$1016,COLUMN($F$1),FALSE))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D331">
        <f>IF(ISNUMBER(SEARCH(SUBSTITUTE(AD$1,RIGHT(AD$1,2),""),VLOOKUP($D331,素材!$1:$1016,COLUMN($F$1),FALSE))),VLOOKUP($C331,武器!$1:$998,COLUMN($O$1),FALSE)*VLOOKUP($D331,素材!$1:$1016,COLUMN($E$1),FALSE)/(LEN(VLOOKUP($D331,素材!$1:$1016,COLUMN($F$1),FALSE))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E331">
        <f>IF(ISNUMBER(SEARCH(SUBSTITUTE(AE$1,RIGHT(AE$1,2),""),VLOOKUP($D331,素材!$1:$1016,COLUMN($F$1),FALSE))),VLOOKUP($C331,武器!$1:$998,COLUMN($O$1),FALSE)*VLOOKUP($D331,素材!$1:$1016,COLUMN($E$1),FALSE)/(LEN(VLOOKUP($D331,素材!$1:$1016,COLUMN($F$1),FALSE))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F331">
        <f>IF(ISNUMBER(SEARCH(SUBSTITUTE(AF$1,RIGHT(AF$1,2),""),VLOOKUP($D331,素材!$1:$1016,COLUMN($F$1),FALSE))),VLOOKUP($C331,武器!$1:$998,COLUMN($O$1),FALSE)*VLOOKUP($D331,素材!$1:$1016,COLUMN($E$1),FALSE)/(LEN(VLOOKUP($D331,素材!$1:$1016,COLUMN($F$1),FALSE))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G331">
        <f>IF(ISNUMBER(SEARCH(SUBSTITUTE(AG$1,RIGHT(AG$1,2),""),VLOOKUP($D331,素材!$1:$1016,COLUMN($F$1),FALSE))),VLOOKUP($C331,武器!$1:$998,COLUMN($O$1),FALSE)*VLOOKUP($D331,素材!$1:$1016,COLUMN($E$1),FALSE)/(LEN(VLOOKUP($D331,素材!$1:$1016,COLUMN($F$1),FALSE))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H331">
        <f>IF(ISNUMBER(SEARCH(SUBSTITUTE(AH$1,RIGHT(AH$1,2),""),VLOOKUP($D331,素材!$1:$1016,COLUMN($F$1),FALSE))),VLOOKUP($C331,武器!$1:$998,COLUMN($O$1),FALSE)*VLOOKUP($D331,素材!$1:$1016,COLUMN($E$1),FALSE)/(LEN(VLOOKUP($D331,素材!$1:$1016,COLUMN($F$1),FALSE))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I331">
        <f>IF(ISNUMBER(SEARCH(SUBSTITUTE(AI$1,RIGHT(AI$1,2),""),VLOOKUP($D331,素材!$1:$1016,COLUMN($F$1),FALSE))),VLOOKUP($C331,武器!$1:$998,COLUMN($O$1),FALSE)*VLOOKUP($D331,素材!$1:$1016,COLUMN($E$1),FALSE)/(LEN(VLOOKUP($D331,素材!$1:$1016,COLUMN($F$1),FALSE))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J331">
        <f>IF(ISNUMBER(SEARCH(SUBSTITUTE(AJ$1,RIGHT(AJ$1,2),""),VLOOKUP($D331,素材!$1:$1016,COLUMN($F$1),FALSE))),VLOOKUP($C331,武器!$1:$998,COLUMN($O$1),FALSE)*VLOOKUP($D331,素材!$1:$1016,COLUMN($E$1),FALSE)/(LEN(VLOOKUP($D331,素材!$1:$1016,COLUMN($F$1),FALSE))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K331">
        <f>IF(ISNUMBER(SEARCH(SUBSTITUTE(AK$1,RIGHT(AK$1,2),""),VLOOKUP($D331,素材!$1:$1016,COLUMN($F$1),FALSE))),VLOOKUP($C331,武器!$1:$998,COLUMN($O$1),FALSE)*VLOOKUP($D331,素材!$1:$1016,COLUMN($E$1),FALSE)/(LEN(VLOOKUP($D331,素材!$1:$1016,COLUMN($F$1),FALSE))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L331">
        <f>IF(ISNUMBER(SEARCH(SUBSTITUTE(AL$1,RIGHT(AL$1,2),""),VLOOKUP($D331,素材!$1:$1016,COLUMN($F$1),FALSE))),VLOOKUP($C331,武器!$1:$998,COLUMN($O$1),FALSE)*VLOOKUP($D331,素材!$1:$1016,COLUMN($E$1),FALSE)/(LEN(VLOOKUP($D331,素材!$1:$1016,COLUMN($F$1),FALSE))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M331">
        <f>IF(ISNUMBER(SEARCH(SUBSTITUTE(AM$1,RIGHT(AM$1,2),""),VLOOKUP($D331,素材!$1:$1016,COLUMN($F$1),FALSE))),VLOOKUP($C331,武器!$1:$998,COLUMN($O$1),FALSE)*VLOOKUP($D331,素材!$1:$1016,COLUMN($E$1),FALSE)/(LEN(VLOOKUP($D331,素材!$1:$1016,COLUMN($F$1),FALSE))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N331">
        <f>IF(ISNUMBER(SEARCH(SUBSTITUTE(AN$1,RIGHT(AN$1,2),""),VLOOKUP($D331,素材!$1:$1016,COLUMN($F$1),FALSE))),VLOOKUP($C331,武器!$1:$998,COLUMN($O$1),FALSE)*VLOOKUP($D331,素材!$1:$1016,COLUMN($E$1),FALSE)/(LEN(VLOOKUP($D331,素材!$1:$1016,COLUMN($F$1),FALSE))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O331">
        <f>IF(ISNUMBER(SEARCH(SUBSTITUTE(AO$1,RIGHT(AO$1,2),""),VLOOKUP($D331,素材!$1:$1016,COLUMN($F$1),FALSE))),VLOOKUP($C331,武器!$1:$998,COLUMN($O$1),FALSE)*VLOOKUP($D331,素材!$1:$1016,COLUMN($E$1),FALSE)/(LEN(VLOOKUP($D331,素材!$1:$1016,COLUMN($F$1),FALSE))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P331">
        <f>IF(ISNUMBER(SEARCH(SUBSTITUTE(AP$1,RIGHT(AP$1,2),""),VLOOKUP($D331,素材!$1:$1016,COLUMN($F$1),FALSE))),VLOOKUP($C331,武器!$1:$998,COLUMN($O$1),FALSE)*VLOOKUP($D331,素材!$1:$1016,COLUMN($E$1),FALSE)/(LEN(VLOOKUP($D331,素材!$1:$1016,COLUMN($F$1),FALSE))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Q331">
        <f>IF(ISNUMBER(SEARCH(SUBSTITUTE(AQ$1,RIGHT(AQ$1,2),""),VLOOKUP($D331,素材!$1:$1016,COLUMN($F$1),FALSE))),VLOOKUP($C331,武器!$1:$998,COLUMN($O$1),FALSE)*VLOOKUP($D331,素材!$1:$1016,COLUMN($E$1),FALSE)/(LEN(VLOOKUP($D331,素材!$1:$1016,COLUMN($F$1),FALSE))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R331">
        <f>IF(ISNUMBER(SEARCH(SUBSTITUTE(AR$1,RIGHT(AR$1,2),""),VLOOKUP($D331,素材!$1:$1016,COLUMN($F$1),FALSE))),VLOOKUP($C331,武器!$1:$998,COLUMN($O$1),FALSE)*VLOOKUP($D331,素材!$1:$1016,COLUMN($E$1),FALSE)/(LEN(VLOOKUP($D331,素材!$1:$1016,COLUMN($F$1),FALSE))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S331">
        <f>IF(ISNUMBER(SEARCH(SUBSTITUTE(AS$1,RIGHT(AS$1,2),""),VLOOKUP($D331,素材!$1:$1016,COLUMN($F$1),FALSE))),VLOOKUP($C331,武器!$1:$998,COLUMN($O$1),FALSE)*VLOOKUP($D331,素材!$1:$1016,COLUMN($E$1),FALSE)/(LEN(VLOOKUP($D331,素材!$1:$1016,COLUMN($F$1),FALSE))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T331">
        <f>IF(ISNUMBER(SEARCH(SUBSTITUTE(AT$1,RIGHT(AT$1,2),""),VLOOKUP($D331,素材!$1:$1016,COLUMN($F$1),FALSE))),VLOOKUP($C331,武器!$1:$998,COLUMN($O$1),FALSE)*VLOOKUP($D331,素材!$1:$1016,COLUMN($E$1),FALSE)/(LEN(VLOOKUP($D331,素材!$1:$1016,COLUMN($F$1),FALSE))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U331">
        <f>IF(ISNUMBER(SEARCH(SUBSTITUTE(AU$1,RIGHT(AU$1,2),""),VLOOKUP($D331,素材!$1:$1016,COLUMN($F$1),FALSE))),VLOOKUP($C331,武器!$1:$998,COLUMN($O$1),FALSE)*VLOOKUP($D331,素材!$1:$1016,COLUMN($E$1),FALSE)/(LEN(VLOOKUP($D331,素材!$1:$1016,COLUMN($F$1),FALSE))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V331">
        <f>IF(ISNUMBER(SEARCH(SUBSTITUTE(AV$1,RIGHT(AV$1,2),""),VLOOKUP($D331,素材!$1:$1016,COLUMN($F$1),FALSE))),VLOOKUP($C331,武器!$1:$998,COLUMN($O$1),FALSE)*VLOOKUP($D331,素材!$1:$1016,COLUMN($E$1),FALSE)/(LEN(VLOOKUP($D331,素材!$1:$1016,COLUMN($F$1),FALSE))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W331">
        <f>IF(ISNUMBER(SEARCH(SUBSTITUTE(AW$1,RIGHT(AW$1,2),""),VLOOKUP($D331,素材!$1:$1016,COLUMN($F$1),FALSE))),VLOOKUP($C331,武器!$1:$998,COLUMN($O$1),FALSE)*VLOOKUP($D331,素材!$1:$1016,COLUMN($E$1),FALSE)/(LEN(VLOOKUP($D331,素材!$1:$1016,COLUMN($F$1),FALSE))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X331">
        <f>IF(ISNUMBER(SEARCH(SUBSTITUTE(AX$1,RIGHT(AX$1,2),""),VLOOKUP($D331,素材!$1:$1016,COLUMN($F$1),FALSE))),VLOOKUP($C331,武器!$1:$998,COLUMN($O$1),FALSE)*VLOOKUP($D331,素材!$1:$1016,COLUMN($E$1),FALSE)/(LEN(VLOOKUP($D331,素材!$1:$1016,COLUMN($F$1),FALSE))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Y331">
        <f>IF(ISNUMBER(SEARCH(SUBSTITUTE(AY$1,RIGHT(AY$1,2),""),VLOOKUP($D331,素材!$1:$1016,COLUMN($F$1),FALSE))),VLOOKUP($C331,武器!$1:$998,COLUMN($O$1),FALSE)*VLOOKUP($D331,素材!$1:$1016,COLUMN($E$1),FALSE)/(LEN(VLOOKUP($D331,素材!$1:$1016,COLUMN($F$1),FALSE))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AZ331">
        <f>IF(ISNUMBER(SEARCH(SUBSTITUTE(AZ$1,RIGHT(AZ$1,2),""),VLOOKUP($D331,素材!$1:$1016,COLUMN($F$1),FALSE))),VLOOKUP($C331,武器!$1:$998,COLUMN($O$1),FALSE)*VLOOKUP($D331,素材!$1:$1016,COLUMN($E$1),FALSE)/(LEN(VLOOKUP($D331,素材!$1:$1016,COLUMN($F$1),FALSE))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BA331">
        <f>IF(ISNUMBER(SEARCH(SUBSTITUTE(BA$1,RIGHT(BA$1,2),""),VLOOKUP($D331,素材!$1:$1016,COLUMN($F$1),FALSE))),VLOOKUP($C331,武器!$1:$998,COLUMN($O$1),FALSE)*VLOOKUP($D331,素材!$1:$1016,COLUMN($E$1),FALSE)/(LEN(VLOOKUP($D331,素材!$1:$1016,COLUMN($F$1),FALSE))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BB331">
        <f>IF(ISNUMBER(SEARCH(SUBSTITUTE(BB$1,RIGHT(BB$1,2),""),VLOOKUP($D331,素材!$1:$1016,COLUMN($F$1),FALSE))),VLOOKUP($C331,武器!$1:$998,COLUMN($O$1),FALSE)*VLOOKUP($D331,素材!$1:$1016,COLUMN($E$1),FALSE)/(LEN(VLOOKUP($D331,素材!$1:$1016,COLUMN($F$1),FALSE))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BC331">
        <f>IF(ISNUMBER(SEARCH(SUBSTITUTE(BC$1,RIGHT(BC$1,2),""),VLOOKUP($D331,素材!$1:$1016,COLUMN($F$1),FALSE))),VLOOKUP($C331,武器!$1:$998,COLUMN($O$1),FALSE)*VLOOKUP($D331,素材!$1:$1016,COLUMN($E$1),FALSE)/(LEN(VLOOKUP($D331,素材!$1:$1016,COLUMN($F$1),FALSE))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BD331">
        <f>IF(ISNUMBER(SEARCH(SUBSTITUTE(BD$1,RIGHT(BD$1,2),""),VLOOKUP($D331,素材!$1:$1016,COLUMN($F$1),FALSE))),VLOOKUP($C331,武器!$1:$998,COLUMN($O$1),FALSE)*VLOOKUP($D331,素材!$1:$1016,COLUMN($E$1),FALSE)/(LEN(VLOOKUP($D331,素材!$1:$1016,COLUMN($F$1),FALSE))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BE331">
        <f>IF(ISNUMBER(SEARCH(SUBSTITUTE(BE$1,RIGHT(BE$1,2),""),VLOOKUP($D331,素材!$1:$1016,COLUMN($F$1),FALSE))),VLOOKUP($C331,武器!$1:$998,COLUMN($O$1),FALSE)*VLOOKUP($D331,素材!$1:$1016,COLUMN($E$1),FALSE)/(LEN(VLOOKUP($D331,素材!$1:$1016,COLUMN($F$1),FALSE))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BF331">
        <f>IF(ISNUMBER(SEARCH(SUBSTITUTE(BF$1,RIGHT(BF$1,2),""),VLOOKUP($D331,素材!$1:$1016,COLUMN($F$1),FALSE))),VLOOKUP($C331,武器!$1:$998,COLUMN($O$1),FALSE)*VLOOKUP($D331,素材!$1:$1016,COLUMN($E$1),FALSE)/(LEN(VLOOKUP($D331,素材!$1:$1016,COLUMN($F$1),FALSE)) - LEN(SUBSTITUTE(VLOOKUP($D331,素材!$1:$1016,COLUMN($F$1),FALSE), "・", 0)) + 1), 0)</f>
        <v>0</v>
      </c>
      <c r="CM331">
        <f t="shared" si="39"/>
        <v>0</v>
      </c>
      <c r="CN331" s="22" t="str">
        <f>IF(E331="武器",IF(J331-1&gt;SUM(G331:I331),"盾",IF(MAX(G331:I331)=G331,"切断",IF(MAX(G331:I331)=H331,"貫通",IF(MAX(G331:I331)=I331,"打撃","射撃")))),E331)&amp;".webp"</f>
        <v>.webp</v>
      </c>
      <c r="CO331" t="str">
        <f>IFERROR(VLOOKUP($C331,武器!$1:$998,COLUMN(V$1),FALSE)*VLOOKUP($D331,素材!$1:$1016,COLUMN(N$1),FALSE)+IF(CJ331="",0,VLOOKUP($CJ331,装強!$1:$1008,COLUMN($CL$1),FALSE)),"")</f>
        <v/>
      </c>
      <c r="CP331" t="e">
        <f>VLOOKUP(D331,素材!$A:$O,COLUMN(素材!O$1),FALSE)</f>
        <v>#N/A</v>
      </c>
      <c r="CQ331" t="e">
        <f>VLOOKUP(C331,武器!$A:$W,COLUMN(武器!W$1),FALSE)</f>
        <v>#N/A</v>
      </c>
      <c r="CS331" t="str">
        <f>"e_"&amp;ROW(CS331)</f>
        <v>e_331</v>
      </c>
      <c r="CT331" t="e">
        <f>CO331*100</f>
        <v>#VALUE!</v>
      </c>
    </row>
    <row r="332" spans="1:98" hidden="1" outlineLevel="1" x14ac:dyDescent="0.4">
      <c r="A332" t="str">
        <f>IF(CJ332="",D332&amp;"の"&amp;C332,CJ332&amp;"の"&amp;C332)</f>
        <v>の</v>
      </c>
      <c r="B332" t="str">
        <f>IFERROR(IF(CJ332="",VLOOKUP($D332,素材!$1:$1016,COLUMN($B$1),FALSE)&amp;"・"&amp;VLOOKUP($C332,武器!$1:$998,COLUMN(B$1),FALSE),VLOOKUP($CJ332,装強!$1:$1008,COLUMN($B$1),FALSE)&amp;"・"&amp;VLOOKUP($C332,武器!$1:$998,COLUMN(B$1),FALSE)),"")</f>
        <v/>
      </c>
      <c r="C332" s="24"/>
      <c r="D332" s="24"/>
      <c r="E332" t="str">
        <f>IFERROR(VLOOKUP(C332,武器!$1:$998,COLUMN(C$1),FALSE),"")</f>
        <v/>
      </c>
      <c r="F332" t="str">
        <f>IFERROR(ROUNDDOWN((VLOOKUP($C332,武器!$1:$998,COLUMN(D$1),FALSE)+IFERROR(VLOOKUP($CJ332,装強!$1:$999,COLUMN(F$1),FALSE),0))*VLOOKUP($D332,素材!$1:$1016,COLUMN(D$1),FALSE),0),"")</f>
        <v/>
      </c>
      <c r="G332" t="str">
        <f>IFERROR(ROUNDDOWN((VLOOKUP($C332,武器!$1:$998,COLUMN(E$1),FALSE)+IFERROR(VLOOKUP($CJ332,装強!$1:$999,COLUMN(G$1),FALSE),0))*VLOOKUP($D332,素材!$1:$1016,COLUMN($E$1),FALSE),0),"")</f>
        <v/>
      </c>
      <c r="H332" t="str">
        <f>IFERROR(ROUNDDOWN((VLOOKUP($C332,武器!$1:$998,COLUMN(F$1),FALSE)+IFERROR(VLOOKUP($CJ332,装強!$1:$999,COLUMN(H$1),FALSE),0))*VLOOKUP($D332,素材!$1:$1016,COLUMN($E$1),FALSE),0),"")</f>
        <v/>
      </c>
      <c r="I332" t="str">
        <f>IFERROR(ROUNDDOWN((VLOOKUP($C332,武器!$1:$998,COLUMN(G$1),FALSE)+IFERROR(VLOOKUP($CJ332,装強!$1:$999,COLUMN(I$1),FALSE),0))*VLOOKUP($D332,素材!$1:$1016,COLUMN($E$1),FALSE),0),"")</f>
        <v/>
      </c>
      <c r="J332" t="str">
        <f>IFERROR(ROUNDDOWN((VLOOKUP($C332,武器!$1:$998,COLUMN(H$1),FALSE)+IFERROR(VLOOKUP($CJ332,装強!$1:$999,COLUMN(J$1),FALSE),0))*VLOOKUP($D332,素材!$1:$1016,COLUMN($E$1),FALSE),0),"")</f>
        <v/>
      </c>
      <c r="K332" t="str">
        <f>IFERROR(ROUNDDOWN((VLOOKUP($C332,武器!$1:$998,COLUMN(I$1),FALSE)+IFERROR(VLOOKUP($CJ332,装強!$1:$999,COLUMN(K$1),FALSE),0))*VLOOKUP($D332,素材!$1:$1016,COLUMN($E$1),FALSE),0),"")</f>
        <v/>
      </c>
      <c r="L332" t="str">
        <f>IFERROR(VLOOKUP($D332,素材!$1:$1016,COLUMN($F$1),FALSE),"")</f>
        <v/>
      </c>
      <c r="M332" t="str">
        <f>IFERROR(VLOOKUP($C332,武器!$1:$998,COLUMN(AA$1),FALSE)*VLOOKUP($D332,素材!$1:$1016,COLUMN($G$1),FALSE),"")</f>
        <v/>
      </c>
      <c r="N332" t="str">
        <f>IFERROR(VLOOKUP($C332,武器!$1:$998,COLUMN(I$1),FALSE),"")</f>
        <v/>
      </c>
      <c r="O332" s="23" t="str">
        <f>IFERROR((VLOOKUP($C332,武器!$1:$998,COLUMN(K$1),FALSE)+VLOOKUP($D332,素材!$1:$1016,COLUMN(H$1),FALSE))*100+IFERROR(VLOOKUP($CJ332,装強!$1:$999,COLUMN(O$1),FALSE),0),"")</f>
        <v/>
      </c>
      <c r="P332" s="23" t="str">
        <f>IFERROR((VLOOKUP($C332,武器!$1:$998,COLUMN(L$1),FALSE)+VLOOKUP($D332,素材!$1:$1016,COLUMN(I$1),FALSE))*100+IFERROR(VLOOKUP($CJ332,装強!$1:$999,COLUMN(P$1),FALSE),0),"")</f>
        <v/>
      </c>
      <c r="Q332" t="str">
        <f>IFERROR(ROUNDUP(VLOOKUP($C332,武器!$1:$998,COLUMN(M$1),FALSE)*(VLOOKUP($D332,素材!$1:$1002,COLUMN(D$1),FALSE)/100),1),"")</f>
        <v/>
      </c>
      <c r="R332" t="str">
        <f>IFERROR(ROUNDUP(VLOOKUP($C332,武器!$1:$998,COLUMN(N$1),FALSE)*(VLOOKUP($D332,素材!$1:$1002,COLUMN(D$1),FALSE)/100),1),"")</f>
        <v/>
      </c>
      <c r="S332" t="str">
        <f>IFERROR(VLOOKUP($C332,武器!$1:$998,COLUMN(P$1),FALSE),"")</f>
        <v/>
      </c>
      <c r="T332" t="str">
        <f>IFERROR(VLOOKUP($C332,武器!$1:$998,COLUMN(Q$1),FALSE),"")</f>
        <v/>
      </c>
      <c r="U332" t="str">
        <f>IFERROR(VLOOKUP($C332,武器!$1:$998,COLUMN(R$1),FALSE),"")</f>
        <v/>
      </c>
      <c r="V332" t="str">
        <f>IFERROR(VLOOKUP($C332,武器!$1:$998,COLUMN(Q$1),FALSE),"")</f>
        <v/>
      </c>
      <c r="W332" t="str">
        <f>IFERROR(VLOOKUP($C332,武器!$1:$998,COLUMN(T$1),FALSE),"")</f>
        <v/>
      </c>
      <c r="Y332" t="str">
        <f>IFERROR(VLOOKUP($C332,武器!$1:$998,COLUMN(U$1),FALSE),"")</f>
        <v/>
      </c>
      <c r="Z332" t="str">
        <f>IFERROR(ROUNDUP(VLOOKUP($C332,武器!$1:$998,COLUMN(O$1),FALSE)*VLOOKUP($D332,素材!$1:$1016,COLUMN(E$1),FALSE),1),"")</f>
        <v/>
      </c>
      <c r="AA332">
        <f>IF(ISNUMBER(SEARCH(SUBSTITUTE(AA$1,RIGHT(AA$1,2),""),VLOOKUP($D332,素材!$1:$1016,COLUMN($F$1),FALSE))),VLOOKUP($C332,武器!$1:$998,COLUMN($O$1),FALSE)*VLOOKUP($D332,素材!$1:$1016,COLUMN($E$1),FALSE)/(LEN(VLOOKUP($D332,素材!$1:$1016,COLUMN($F$1),FALSE))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B332">
        <f>IF(ISNUMBER(SEARCH(SUBSTITUTE(AB$1,RIGHT(AB$1,2),""),VLOOKUP($D332,素材!$1:$1016,COLUMN($F$1),FALSE))),VLOOKUP($C332,武器!$1:$998,COLUMN($O$1),FALSE)*VLOOKUP($D332,素材!$1:$1016,COLUMN($E$1),FALSE)/(LEN(VLOOKUP($D332,素材!$1:$1016,COLUMN($F$1),FALSE))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C332">
        <f>IF(ISNUMBER(SEARCH(SUBSTITUTE(AC$1,RIGHT(AC$1,2),""),VLOOKUP($D332,素材!$1:$1016,COLUMN($F$1),FALSE))),VLOOKUP($C332,武器!$1:$998,COLUMN($O$1),FALSE)*VLOOKUP($D332,素材!$1:$1016,COLUMN($E$1),FALSE)/(LEN(VLOOKUP($D332,素材!$1:$1016,COLUMN($F$1),FALSE))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D332">
        <f>IF(ISNUMBER(SEARCH(SUBSTITUTE(AD$1,RIGHT(AD$1,2),""),VLOOKUP($D332,素材!$1:$1016,COLUMN($F$1),FALSE))),VLOOKUP($C332,武器!$1:$998,COLUMN($O$1),FALSE)*VLOOKUP($D332,素材!$1:$1016,COLUMN($E$1),FALSE)/(LEN(VLOOKUP($D332,素材!$1:$1016,COLUMN($F$1),FALSE))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E332">
        <f>IF(ISNUMBER(SEARCH(SUBSTITUTE(AE$1,RIGHT(AE$1,2),""),VLOOKUP($D332,素材!$1:$1016,COLUMN($F$1),FALSE))),VLOOKUP($C332,武器!$1:$998,COLUMN($O$1),FALSE)*VLOOKUP($D332,素材!$1:$1016,COLUMN($E$1),FALSE)/(LEN(VLOOKUP($D332,素材!$1:$1016,COLUMN($F$1),FALSE))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F332">
        <f>IF(ISNUMBER(SEARCH(SUBSTITUTE(AF$1,RIGHT(AF$1,2),""),VLOOKUP($D332,素材!$1:$1016,COLUMN($F$1),FALSE))),VLOOKUP($C332,武器!$1:$998,COLUMN($O$1),FALSE)*VLOOKUP($D332,素材!$1:$1016,COLUMN($E$1),FALSE)/(LEN(VLOOKUP($D332,素材!$1:$1016,COLUMN($F$1),FALSE))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G332">
        <f>IF(ISNUMBER(SEARCH(SUBSTITUTE(AG$1,RIGHT(AG$1,2),""),VLOOKUP($D332,素材!$1:$1016,COLUMN($F$1),FALSE))),VLOOKUP($C332,武器!$1:$998,COLUMN($O$1),FALSE)*VLOOKUP($D332,素材!$1:$1016,COLUMN($E$1),FALSE)/(LEN(VLOOKUP($D332,素材!$1:$1016,COLUMN($F$1),FALSE))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H332">
        <f>IF(ISNUMBER(SEARCH(SUBSTITUTE(AH$1,RIGHT(AH$1,2),""),VLOOKUP($D332,素材!$1:$1016,COLUMN($F$1),FALSE))),VLOOKUP($C332,武器!$1:$998,COLUMN($O$1),FALSE)*VLOOKUP($D332,素材!$1:$1016,COLUMN($E$1),FALSE)/(LEN(VLOOKUP($D332,素材!$1:$1016,COLUMN($F$1),FALSE))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I332">
        <f>IF(ISNUMBER(SEARCH(SUBSTITUTE(AI$1,RIGHT(AI$1,2),""),VLOOKUP($D332,素材!$1:$1016,COLUMN($F$1),FALSE))),VLOOKUP($C332,武器!$1:$998,COLUMN($O$1),FALSE)*VLOOKUP($D332,素材!$1:$1016,COLUMN($E$1),FALSE)/(LEN(VLOOKUP($D332,素材!$1:$1016,COLUMN($F$1),FALSE))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J332">
        <f>IF(ISNUMBER(SEARCH(SUBSTITUTE(AJ$1,RIGHT(AJ$1,2),""),VLOOKUP($D332,素材!$1:$1016,COLUMN($F$1),FALSE))),VLOOKUP($C332,武器!$1:$998,COLUMN($O$1),FALSE)*VLOOKUP($D332,素材!$1:$1016,COLUMN($E$1),FALSE)/(LEN(VLOOKUP($D332,素材!$1:$1016,COLUMN($F$1),FALSE))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K332">
        <f>IF(ISNUMBER(SEARCH(SUBSTITUTE(AK$1,RIGHT(AK$1,2),""),VLOOKUP($D332,素材!$1:$1016,COLUMN($F$1),FALSE))),VLOOKUP($C332,武器!$1:$998,COLUMN($O$1),FALSE)*VLOOKUP($D332,素材!$1:$1016,COLUMN($E$1),FALSE)/(LEN(VLOOKUP($D332,素材!$1:$1016,COLUMN($F$1),FALSE))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L332">
        <f>IF(ISNUMBER(SEARCH(SUBSTITUTE(AL$1,RIGHT(AL$1,2),""),VLOOKUP($D332,素材!$1:$1016,COLUMN($F$1),FALSE))),VLOOKUP($C332,武器!$1:$998,COLUMN($O$1),FALSE)*VLOOKUP($D332,素材!$1:$1016,COLUMN($E$1),FALSE)/(LEN(VLOOKUP($D332,素材!$1:$1016,COLUMN($F$1),FALSE))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M332">
        <f>IF(ISNUMBER(SEARCH(SUBSTITUTE(AM$1,RIGHT(AM$1,2),""),VLOOKUP($D332,素材!$1:$1016,COLUMN($F$1),FALSE))),VLOOKUP($C332,武器!$1:$998,COLUMN($O$1),FALSE)*VLOOKUP($D332,素材!$1:$1016,COLUMN($E$1),FALSE)/(LEN(VLOOKUP($D332,素材!$1:$1016,COLUMN($F$1),FALSE))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N332">
        <f>IF(ISNUMBER(SEARCH(SUBSTITUTE(AN$1,RIGHT(AN$1,2),""),VLOOKUP($D332,素材!$1:$1016,COLUMN($F$1),FALSE))),VLOOKUP($C332,武器!$1:$998,COLUMN($O$1),FALSE)*VLOOKUP($D332,素材!$1:$1016,COLUMN($E$1),FALSE)/(LEN(VLOOKUP($D332,素材!$1:$1016,COLUMN($F$1),FALSE))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O332">
        <f>IF(ISNUMBER(SEARCH(SUBSTITUTE(AO$1,RIGHT(AO$1,2),""),VLOOKUP($D332,素材!$1:$1016,COLUMN($F$1),FALSE))),VLOOKUP($C332,武器!$1:$998,COLUMN($O$1),FALSE)*VLOOKUP($D332,素材!$1:$1016,COLUMN($E$1),FALSE)/(LEN(VLOOKUP($D332,素材!$1:$1016,COLUMN($F$1),FALSE))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P332">
        <f>IF(ISNUMBER(SEARCH(SUBSTITUTE(AP$1,RIGHT(AP$1,2),""),VLOOKUP($D332,素材!$1:$1016,COLUMN($F$1),FALSE))),VLOOKUP($C332,武器!$1:$998,COLUMN($O$1),FALSE)*VLOOKUP($D332,素材!$1:$1016,COLUMN($E$1),FALSE)/(LEN(VLOOKUP($D332,素材!$1:$1016,COLUMN($F$1),FALSE))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Q332">
        <f>IF(ISNUMBER(SEARCH(SUBSTITUTE(AQ$1,RIGHT(AQ$1,2),""),VLOOKUP($D332,素材!$1:$1016,COLUMN($F$1),FALSE))),VLOOKUP($C332,武器!$1:$998,COLUMN($O$1),FALSE)*VLOOKUP($D332,素材!$1:$1016,COLUMN($E$1),FALSE)/(LEN(VLOOKUP($D332,素材!$1:$1016,COLUMN($F$1),FALSE))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R332">
        <f>IF(ISNUMBER(SEARCH(SUBSTITUTE(AR$1,RIGHT(AR$1,2),""),VLOOKUP($D332,素材!$1:$1016,COLUMN($F$1),FALSE))),VLOOKUP($C332,武器!$1:$998,COLUMN($O$1),FALSE)*VLOOKUP($D332,素材!$1:$1016,COLUMN($E$1),FALSE)/(LEN(VLOOKUP($D332,素材!$1:$1016,COLUMN($F$1),FALSE))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S332">
        <f>IF(ISNUMBER(SEARCH(SUBSTITUTE(AS$1,RIGHT(AS$1,2),""),VLOOKUP($D332,素材!$1:$1016,COLUMN($F$1),FALSE))),VLOOKUP($C332,武器!$1:$998,COLUMN($O$1),FALSE)*VLOOKUP($D332,素材!$1:$1016,COLUMN($E$1),FALSE)/(LEN(VLOOKUP($D332,素材!$1:$1016,COLUMN($F$1),FALSE))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T332">
        <f>IF(ISNUMBER(SEARCH(SUBSTITUTE(AT$1,RIGHT(AT$1,2),""),VLOOKUP($D332,素材!$1:$1016,COLUMN($F$1),FALSE))),VLOOKUP($C332,武器!$1:$998,COLUMN($O$1),FALSE)*VLOOKUP($D332,素材!$1:$1016,COLUMN($E$1),FALSE)/(LEN(VLOOKUP($D332,素材!$1:$1016,COLUMN($F$1),FALSE))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U332">
        <f>IF(ISNUMBER(SEARCH(SUBSTITUTE(AU$1,RIGHT(AU$1,2),""),VLOOKUP($D332,素材!$1:$1016,COLUMN($F$1),FALSE))),VLOOKUP($C332,武器!$1:$998,COLUMN($O$1),FALSE)*VLOOKUP($D332,素材!$1:$1016,COLUMN($E$1),FALSE)/(LEN(VLOOKUP($D332,素材!$1:$1016,COLUMN($F$1),FALSE))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V332">
        <f>IF(ISNUMBER(SEARCH(SUBSTITUTE(AV$1,RIGHT(AV$1,2),""),VLOOKUP($D332,素材!$1:$1016,COLUMN($F$1),FALSE))),VLOOKUP($C332,武器!$1:$998,COLUMN($O$1),FALSE)*VLOOKUP($D332,素材!$1:$1016,COLUMN($E$1),FALSE)/(LEN(VLOOKUP($D332,素材!$1:$1016,COLUMN($F$1),FALSE))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W332">
        <f>IF(ISNUMBER(SEARCH(SUBSTITUTE(AW$1,RIGHT(AW$1,2),""),VLOOKUP($D332,素材!$1:$1016,COLUMN($F$1),FALSE))),VLOOKUP($C332,武器!$1:$998,COLUMN($O$1),FALSE)*VLOOKUP($D332,素材!$1:$1016,COLUMN($E$1),FALSE)/(LEN(VLOOKUP($D332,素材!$1:$1016,COLUMN($F$1),FALSE))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X332">
        <f>IF(ISNUMBER(SEARCH(SUBSTITUTE(AX$1,RIGHT(AX$1,2),""),VLOOKUP($D332,素材!$1:$1016,COLUMN($F$1),FALSE))),VLOOKUP($C332,武器!$1:$998,COLUMN($O$1),FALSE)*VLOOKUP($D332,素材!$1:$1016,COLUMN($E$1),FALSE)/(LEN(VLOOKUP($D332,素材!$1:$1016,COLUMN($F$1),FALSE))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Y332">
        <f>IF(ISNUMBER(SEARCH(SUBSTITUTE(AY$1,RIGHT(AY$1,2),""),VLOOKUP($D332,素材!$1:$1016,COLUMN($F$1),FALSE))),VLOOKUP($C332,武器!$1:$998,COLUMN($O$1),FALSE)*VLOOKUP($D332,素材!$1:$1016,COLUMN($E$1),FALSE)/(LEN(VLOOKUP($D332,素材!$1:$1016,COLUMN($F$1),FALSE))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AZ332">
        <f>IF(ISNUMBER(SEARCH(SUBSTITUTE(AZ$1,RIGHT(AZ$1,2),""),VLOOKUP($D332,素材!$1:$1016,COLUMN($F$1),FALSE))),VLOOKUP($C332,武器!$1:$998,COLUMN($O$1),FALSE)*VLOOKUP($D332,素材!$1:$1016,COLUMN($E$1),FALSE)/(LEN(VLOOKUP($D332,素材!$1:$1016,COLUMN($F$1),FALSE))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BA332">
        <f>IF(ISNUMBER(SEARCH(SUBSTITUTE(BA$1,RIGHT(BA$1,2),""),VLOOKUP($D332,素材!$1:$1016,COLUMN($F$1),FALSE))),VLOOKUP($C332,武器!$1:$998,COLUMN($O$1),FALSE)*VLOOKUP($D332,素材!$1:$1016,COLUMN($E$1),FALSE)/(LEN(VLOOKUP($D332,素材!$1:$1016,COLUMN($F$1),FALSE))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BB332">
        <f>IF(ISNUMBER(SEARCH(SUBSTITUTE(BB$1,RIGHT(BB$1,2),""),VLOOKUP($D332,素材!$1:$1016,COLUMN($F$1),FALSE))),VLOOKUP($C332,武器!$1:$998,COLUMN($O$1),FALSE)*VLOOKUP($D332,素材!$1:$1016,COLUMN($E$1),FALSE)/(LEN(VLOOKUP($D332,素材!$1:$1016,COLUMN($F$1),FALSE))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BC332">
        <f>IF(ISNUMBER(SEARCH(SUBSTITUTE(BC$1,RIGHT(BC$1,2),""),VLOOKUP($D332,素材!$1:$1016,COLUMN($F$1),FALSE))),VLOOKUP($C332,武器!$1:$998,COLUMN($O$1),FALSE)*VLOOKUP($D332,素材!$1:$1016,COLUMN($E$1),FALSE)/(LEN(VLOOKUP($D332,素材!$1:$1016,COLUMN($F$1),FALSE))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BD332">
        <f>IF(ISNUMBER(SEARCH(SUBSTITUTE(BD$1,RIGHT(BD$1,2),""),VLOOKUP($D332,素材!$1:$1016,COLUMN($F$1),FALSE))),VLOOKUP($C332,武器!$1:$998,COLUMN($O$1),FALSE)*VLOOKUP($D332,素材!$1:$1016,COLUMN($E$1),FALSE)/(LEN(VLOOKUP($D332,素材!$1:$1016,COLUMN($F$1),FALSE))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BE332">
        <f>IF(ISNUMBER(SEARCH(SUBSTITUTE(BE$1,RIGHT(BE$1,2),""),VLOOKUP($D332,素材!$1:$1016,COLUMN($F$1),FALSE))),VLOOKUP($C332,武器!$1:$998,COLUMN($O$1),FALSE)*VLOOKUP($D332,素材!$1:$1016,COLUMN($E$1),FALSE)/(LEN(VLOOKUP($D332,素材!$1:$1016,COLUMN($F$1),FALSE))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BF332">
        <f>IF(ISNUMBER(SEARCH(SUBSTITUTE(BF$1,RIGHT(BF$1,2),""),VLOOKUP($D332,素材!$1:$1016,COLUMN($F$1),FALSE))),VLOOKUP($C332,武器!$1:$998,COLUMN($O$1),FALSE)*VLOOKUP($D332,素材!$1:$1016,COLUMN($E$1),FALSE)/(LEN(VLOOKUP($D332,素材!$1:$1016,COLUMN($F$1),FALSE)) - LEN(SUBSTITUTE(VLOOKUP($D332,素材!$1:$1016,COLUMN($F$1),FALSE), "・", 0)) + 1), 0)</f>
        <v>0</v>
      </c>
      <c r="CM332">
        <f t="shared" si="39"/>
        <v>0</v>
      </c>
      <c r="CN332" s="22" t="str">
        <f>IF(E332="武器",IF(J332-1&gt;SUM(G332:I332),"盾",IF(MAX(G332:I332)=G332,"切断",IF(MAX(G332:I332)=H332,"貫通",IF(MAX(G332:I332)=I332,"打撃","射撃")))),E332)&amp;".webp"</f>
        <v>.webp</v>
      </c>
      <c r="CO332" t="str">
        <f>IFERROR(VLOOKUP($C332,武器!$1:$998,COLUMN(V$1),FALSE)*VLOOKUP($D332,素材!$1:$1016,COLUMN(N$1),FALSE)+IF(CJ332="",0,VLOOKUP($CJ332,装強!$1:$1008,COLUMN($CL$1),FALSE)),"")</f>
        <v/>
      </c>
      <c r="CP332" t="e">
        <f>VLOOKUP(D332,素材!$A:$O,COLUMN(素材!O$1),FALSE)</f>
        <v>#N/A</v>
      </c>
      <c r="CQ332" t="e">
        <f>VLOOKUP(C332,武器!$A:$W,COLUMN(武器!W$1),FALSE)</f>
        <v>#N/A</v>
      </c>
      <c r="CS332" t="str">
        <f>"e_"&amp;ROW(CS332)</f>
        <v>e_332</v>
      </c>
      <c r="CT332" t="e">
        <f>CO332*100</f>
        <v>#VALUE!</v>
      </c>
    </row>
    <row r="333" spans="1:98" hidden="1" outlineLevel="1" x14ac:dyDescent="0.4">
      <c r="A333" t="str">
        <f>IF(CJ333="",D333&amp;"の"&amp;C333,CJ333&amp;"の"&amp;C333)</f>
        <v>の</v>
      </c>
      <c r="B333" t="str">
        <f>IFERROR(IF(CJ333="",VLOOKUP($D333,素材!$1:$1016,COLUMN($B$1),FALSE)&amp;"・"&amp;VLOOKUP($C333,武器!$1:$998,COLUMN(B$1),FALSE),VLOOKUP($CJ333,装強!$1:$1008,COLUMN($B$1),FALSE)&amp;"・"&amp;VLOOKUP($C333,武器!$1:$998,COLUMN(B$1),FALSE)),"")</f>
        <v/>
      </c>
      <c r="C333" s="24"/>
      <c r="D333" s="24"/>
      <c r="E333" t="str">
        <f>IFERROR(VLOOKUP(C333,武器!$1:$998,COLUMN(C$1),FALSE),"")</f>
        <v/>
      </c>
      <c r="F333" t="str">
        <f>IFERROR(ROUNDDOWN((VLOOKUP($C333,武器!$1:$998,COLUMN(D$1),FALSE)+IFERROR(VLOOKUP($CJ333,装強!$1:$999,COLUMN(F$1),FALSE),0))*VLOOKUP($D333,素材!$1:$1016,COLUMN(D$1),FALSE),0),"")</f>
        <v/>
      </c>
      <c r="G333" t="str">
        <f>IFERROR(ROUNDDOWN((VLOOKUP($C333,武器!$1:$998,COLUMN(E$1),FALSE)+IFERROR(VLOOKUP($CJ333,装強!$1:$999,COLUMN(G$1),FALSE),0))*VLOOKUP($D333,素材!$1:$1016,COLUMN($E$1),FALSE),0),"")</f>
        <v/>
      </c>
      <c r="H333" t="str">
        <f>IFERROR(ROUNDDOWN((VLOOKUP($C333,武器!$1:$998,COLUMN(F$1),FALSE)+IFERROR(VLOOKUP($CJ333,装強!$1:$999,COLUMN(H$1),FALSE),0))*VLOOKUP($D333,素材!$1:$1016,COLUMN($E$1),FALSE),0),"")</f>
        <v/>
      </c>
      <c r="I333" t="str">
        <f>IFERROR(ROUNDDOWN((VLOOKUP($C333,武器!$1:$998,COLUMN(G$1),FALSE)+IFERROR(VLOOKUP($CJ333,装強!$1:$999,COLUMN(I$1),FALSE),0))*VLOOKUP($D333,素材!$1:$1016,COLUMN($E$1),FALSE),0),"")</f>
        <v/>
      </c>
      <c r="J333" t="str">
        <f>IFERROR(ROUNDDOWN((VLOOKUP($C333,武器!$1:$998,COLUMN(H$1),FALSE)+IFERROR(VLOOKUP($CJ333,装強!$1:$999,COLUMN(J$1),FALSE),0))*VLOOKUP($D333,素材!$1:$1016,COLUMN($E$1),FALSE),0),"")</f>
        <v/>
      </c>
      <c r="K333" t="str">
        <f>IFERROR(ROUNDDOWN((VLOOKUP($C333,武器!$1:$998,COLUMN(I$1),FALSE)+IFERROR(VLOOKUP($CJ333,装強!$1:$999,COLUMN(K$1),FALSE),0))*VLOOKUP($D333,素材!$1:$1016,COLUMN($E$1),FALSE),0),"")</f>
        <v/>
      </c>
      <c r="L333" t="str">
        <f>IFERROR(VLOOKUP($D333,素材!$1:$1016,COLUMN($F$1),FALSE),"")</f>
        <v/>
      </c>
      <c r="M333" t="str">
        <f>IFERROR(VLOOKUP($C333,武器!$1:$998,COLUMN(AA$1),FALSE)*VLOOKUP($D333,素材!$1:$1016,COLUMN($G$1),FALSE),"")</f>
        <v/>
      </c>
      <c r="N333" t="str">
        <f>IFERROR(VLOOKUP($C333,武器!$1:$998,COLUMN(I$1),FALSE),"")</f>
        <v/>
      </c>
      <c r="O333" s="23" t="str">
        <f>IFERROR((VLOOKUP($C333,武器!$1:$998,COLUMN(K$1),FALSE)+VLOOKUP($D333,素材!$1:$1016,COLUMN(H$1),FALSE))*100+IFERROR(VLOOKUP($CJ333,装強!$1:$999,COLUMN(O$1),FALSE),0),"")</f>
        <v/>
      </c>
      <c r="P333" s="23" t="str">
        <f>IFERROR((VLOOKUP($C333,武器!$1:$998,COLUMN(L$1),FALSE)+VLOOKUP($D333,素材!$1:$1016,COLUMN(I$1),FALSE))*100+IFERROR(VLOOKUP($CJ333,装強!$1:$999,COLUMN(P$1),FALSE),0),"")</f>
        <v/>
      </c>
      <c r="Q333" t="str">
        <f>IFERROR(ROUNDUP(VLOOKUP($C333,武器!$1:$998,COLUMN(M$1),FALSE)*(VLOOKUP($D333,素材!$1:$1002,COLUMN(D$1),FALSE)/100),1),"")</f>
        <v/>
      </c>
      <c r="R333" t="str">
        <f>IFERROR(ROUNDUP(VLOOKUP($C333,武器!$1:$998,COLUMN(N$1),FALSE)*(VLOOKUP($D333,素材!$1:$1002,COLUMN(D$1),FALSE)/100),1),"")</f>
        <v/>
      </c>
      <c r="S333" t="str">
        <f>IFERROR(VLOOKUP($C333,武器!$1:$998,COLUMN(P$1),FALSE),"")</f>
        <v/>
      </c>
      <c r="T333" t="str">
        <f>IFERROR(VLOOKUP($C333,武器!$1:$998,COLUMN(Q$1),FALSE),"")</f>
        <v/>
      </c>
      <c r="U333" t="str">
        <f>IFERROR(VLOOKUP($C333,武器!$1:$998,COLUMN(R$1),FALSE),"")</f>
        <v/>
      </c>
      <c r="V333" t="str">
        <f>IFERROR(VLOOKUP($C333,武器!$1:$998,COLUMN(Q$1),FALSE),"")</f>
        <v/>
      </c>
      <c r="W333" t="str">
        <f>IFERROR(VLOOKUP($C333,武器!$1:$998,COLUMN(T$1),FALSE),"")</f>
        <v/>
      </c>
      <c r="Y333" t="str">
        <f>IFERROR(VLOOKUP($C333,武器!$1:$998,COLUMN(U$1),FALSE),"")</f>
        <v/>
      </c>
      <c r="Z333" t="str">
        <f>IFERROR(ROUNDUP(VLOOKUP($C333,武器!$1:$998,COLUMN(O$1),FALSE)*VLOOKUP($D333,素材!$1:$1016,COLUMN(E$1),FALSE),1),"")</f>
        <v/>
      </c>
      <c r="AA333">
        <f>IF(ISNUMBER(SEARCH(SUBSTITUTE(AA$1,RIGHT(AA$1,2),""),VLOOKUP($D333,素材!$1:$1016,COLUMN($F$1),FALSE))),VLOOKUP($C333,武器!$1:$998,COLUMN($O$1),FALSE)*VLOOKUP($D333,素材!$1:$1016,COLUMN($E$1),FALSE)/(LEN(VLOOKUP($D333,素材!$1:$1016,COLUMN($F$1),FALSE))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B333">
        <f>IF(ISNUMBER(SEARCH(SUBSTITUTE(AB$1,RIGHT(AB$1,2),""),VLOOKUP($D333,素材!$1:$1016,COLUMN($F$1),FALSE))),VLOOKUP($C333,武器!$1:$998,COLUMN($O$1),FALSE)*VLOOKUP($D333,素材!$1:$1016,COLUMN($E$1),FALSE)/(LEN(VLOOKUP($D333,素材!$1:$1016,COLUMN($F$1),FALSE))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C333">
        <f>IF(ISNUMBER(SEARCH(SUBSTITUTE(AC$1,RIGHT(AC$1,2),""),VLOOKUP($D333,素材!$1:$1016,COLUMN($F$1),FALSE))),VLOOKUP($C333,武器!$1:$998,COLUMN($O$1),FALSE)*VLOOKUP($D333,素材!$1:$1016,COLUMN($E$1),FALSE)/(LEN(VLOOKUP($D333,素材!$1:$1016,COLUMN($F$1),FALSE))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D333">
        <f>IF(ISNUMBER(SEARCH(SUBSTITUTE(AD$1,RIGHT(AD$1,2),""),VLOOKUP($D333,素材!$1:$1016,COLUMN($F$1),FALSE))),VLOOKUP($C333,武器!$1:$998,COLUMN($O$1),FALSE)*VLOOKUP($D333,素材!$1:$1016,COLUMN($E$1),FALSE)/(LEN(VLOOKUP($D333,素材!$1:$1016,COLUMN($F$1),FALSE))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E333">
        <f>IF(ISNUMBER(SEARCH(SUBSTITUTE(AE$1,RIGHT(AE$1,2),""),VLOOKUP($D333,素材!$1:$1016,COLUMN($F$1),FALSE))),VLOOKUP($C333,武器!$1:$998,COLUMN($O$1),FALSE)*VLOOKUP($D333,素材!$1:$1016,COLUMN($E$1),FALSE)/(LEN(VLOOKUP($D333,素材!$1:$1016,COLUMN($F$1),FALSE))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F333">
        <f>IF(ISNUMBER(SEARCH(SUBSTITUTE(AF$1,RIGHT(AF$1,2),""),VLOOKUP($D333,素材!$1:$1016,COLUMN($F$1),FALSE))),VLOOKUP($C333,武器!$1:$998,COLUMN($O$1),FALSE)*VLOOKUP($D333,素材!$1:$1016,COLUMN($E$1),FALSE)/(LEN(VLOOKUP($D333,素材!$1:$1016,COLUMN($F$1),FALSE))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G333">
        <f>IF(ISNUMBER(SEARCH(SUBSTITUTE(AG$1,RIGHT(AG$1,2),""),VLOOKUP($D333,素材!$1:$1016,COLUMN($F$1),FALSE))),VLOOKUP($C333,武器!$1:$998,COLUMN($O$1),FALSE)*VLOOKUP($D333,素材!$1:$1016,COLUMN($E$1),FALSE)/(LEN(VLOOKUP($D333,素材!$1:$1016,COLUMN($F$1),FALSE))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H333">
        <f>IF(ISNUMBER(SEARCH(SUBSTITUTE(AH$1,RIGHT(AH$1,2),""),VLOOKUP($D333,素材!$1:$1016,COLUMN($F$1),FALSE))),VLOOKUP($C333,武器!$1:$998,COLUMN($O$1),FALSE)*VLOOKUP($D333,素材!$1:$1016,COLUMN($E$1),FALSE)/(LEN(VLOOKUP($D333,素材!$1:$1016,COLUMN($F$1),FALSE))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I333">
        <f>IF(ISNUMBER(SEARCH(SUBSTITUTE(AI$1,RIGHT(AI$1,2),""),VLOOKUP($D333,素材!$1:$1016,COLUMN($F$1),FALSE))),VLOOKUP($C333,武器!$1:$998,COLUMN($O$1),FALSE)*VLOOKUP($D333,素材!$1:$1016,COLUMN($E$1),FALSE)/(LEN(VLOOKUP($D333,素材!$1:$1016,COLUMN($F$1),FALSE))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J333">
        <f>IF(ISNUMBER(SEARCH(SUBSTITUTE(AJ$1,RIGHT(AJ$1,2),""),VLOOKUP($D333,素材!$1:$1016,COLUMN($F$1),FALSE))),VLOOKUP($C333,武器!$1:$998,COLUMN($O$1),FALSE)*VLOOKUP($D333,素材!$1:$1016,COLUMN($E$1),FALSE)/(LEN(VLOOKUP($D333,素材!$1:$1016,COLUMN($F$1),FALSE))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K333">
        <f>IF(ISNUMBER(SEARCH(SUBSTITUTE(AK$1,RIGHT(AK$1,2),""),VLOOKUP($D333,素材!$1:$1016,COLUMN($F$1),FALSE))),VLOOKUP($C333,武器!$1:$998,COLUMN($O$1),FALSE)*VLOOKUP($D333,素材!$1:$1016,COLUMN($E$1),FALSE)/(LEN(VLOOKUP($D333,素材!$1:$1016,COLUMN($F$1),FALSE))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L333">
        <f>IF(ISNUMBER(SEARCH(SUBSTITUTE(AL$1,RIGHT(AL$1,2),""),VLOOKUP($D333,素材!$1:$1016,COLUMN($F$1),FALSE))),VLOOKUP($C333,武器!$1:$998,COLUMN($O$1),FALSE)*VLOOKUP($D333,素材!$1:$1016,COLUMN($E$1),FALSE)/(LEN(VLOOKUP($D333,素材!$1:$1016,COLUMN($F$1),FALSE))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M333">
        <f>IF(ISNUMBER(SEARCH(SUBSTITUTE(AM$1,RIGHT(AM$1,2),""),VLOOKUP($D333,素材!$1:$1016,COLUMN($F$1),FALSE))),VLOOKUP($C333,武器!$1:$998,COLUMN($O$1),FALSE)*VLOOKUP($D333,素材!$1:$1016,COLUMN($E$1),FALSE)/(LEN(VLOOKUP($D333,素材!$1:$1016,COLUMN($F$1),FALSE))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N333">
        <f>IF(ISNUMBER(SEARCH(SUBSTITUTE(AN$1,RIGHT(AN$1,2),""),VLOOKUP($D333,素材!$1:$1016,COLUMN($F$1),FALSE))),VLOOKUP($C333,武器!$1:$998,COLUMN($O$1),FALSE)*VLOOKUP($D333,素材!$1:$1016,COLUMN($E$1),FALSE)/(LEN(VLOOKUP($D333,素材!$1:$1016,COLUMN($F$1),FALSE))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O333">
        <f>IF(ISNUMBER(SEARCH(SUBSTITUTE(AO$1,RIGHT(AO$1,2),""),VLOOKUP($D333,素材!$1:$1016,COLUMN($F$1),FALSE))),VLOOKUP($C333,武器!$1:$998,COLUMN($O$1),FALSE)*VLOOKUP($D333,素材!$1:$1016,COLUMN($E$1),FALSE)/(LEN(VLOOKUP($D333,素材!$1:$1016,COLUMN($F$1),FALSE))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P333">
        <f>IF(ISNUMBER(SEARCH(SUBSTITUTE(AP$1,RIGHT(AP$1,2),""),VLOOKUP($D333,素材!$1:$1016,COLUMN($F$1),FALSE))),VLOOKUP($C333,武器!$1:$998,COLUMN($O$1),FALSE)*VLOOKUP($D333,素材!$1:$1016,COLUMN($E$1),FALSE)/(LEN(VLOOKUP($D333,素材!$1:$1016,COLUMN($F$1),FALSE))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Q333">
        <f>IF(ISNUMBER(SEARCH(SUBSTITUTE(AQ$1,RIGHT(AQ$1,2),""),VLOOKUP($D333,素材!$1:$1016,COLUMN($F$1),FALSE))),VLOOKUP($C333,武器!$1:$998,COLUMN($O$1),FALSE)*VLOOKUP($D333,素材!$1:$1016,COLUMN($E$1),FALSE)/(LEN(VLOOKUP($D333,素材!$1:$1016,COLUMN($F$1),FALSE))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R333">
        <f>IF(ISNUMBER(SEARCH(SUBSTITUTE(AR$1,RIGHT(AR$1,2),""),VLOOKUP($D333,素材!$1:$1016,COLUMN($F$1),FALSE))),VLOOKUP($C333,武器!$1:$998,COLUMN($O$1),FALSE)*VLOOKUP($D333,素材!$1:$1016,COLUMN($E$1),FALSE)/(LEN(VLOOKUP($D333,素材!$1:$1016,COLUMN($F$1),FALSE))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S333">
        <f>IF(ISNUMBER(SEARCH(SUBSTITUTE(AS$1,RIGHT(AS$1,2),""),VLOOKUP($D333,素材!$1:$1016,COLUMN($F$1),FALSE))),VLOOKUP($C333,武器!$1:$998,COLUMN($O$1),FALSE)*VLOOKUP($D333,素材!$1:$1016,COLUMN($E$1),FALSE)/(LEN(VLOOKUP($D333,素材!$1:$1016,COLUMN($F$1),FALSE))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T333">
        <f>IF(ISNUMBER(SEARCH(SUBSTITUTE(AT$1,RIGHT(AT$1,2),""),VLOOKUP($D333,素材!$1:$1016,COLUMN($F$1),FALSE))),VLOOKUP($C333,武器!$1:$998,COLUMN($O$1),FALSE)*VLOOKUP($D333,素材!$1:$1016,COLUMN($E$1),FALSE)/(LEN(VLOOKUP($D333,素材!$1:$1016,COLUMN($F$1),FALSE))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U333">
        <f>IF(ISNUMBER(SEARCH(SUBSTITUTE(AU$1,RIGHT(AU$1,2),""),VLOOKUP($D333,素材!$1:$1016,COLUMN($F$1),FALSE))),VLOOKUP($C333,武器!$1:$998,COLUMN($O$1),FALSE)*VLOOKUP($D333,素材!$1:$1016,COLUMN($E$1),FALSE)/(LEN(VLOOKUP($D333,素材!$1:$1016,COLUMN($F$1),FALSE))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V333">
        <f>IF(ISNUMBER(SEARCH(SUBSTITUTE(AV$1,RIGHT(AV$1,2),""),VLOOKUP($D333,素材!$1:$1016,COLUMN($F$1),FALSE))),VLOOKUP($C333,武器!$1:$998,COLUMN($O$1),FALSE)*VLOOKUP($D333,素材!$1:$1016,COLUMN($E$1),FALSE)/(LEN(VLOOKUP($D333,素材!$1:$1016,COLUMN($F$1),FALSE))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W333">
        <f>IF(ISNUMBER(SEARCH(SUBSTITUTE(AW$1,RIGHT(AW$1,2),""),VLOOKUP($D333,素材!$1:$1016,COLUMN($F$1),FALSE))),VLOOKUP($C333,武器!$1:$998,COLUMN($O$1),FALSE)*VLOOKUP($D333,素材!$1:$1016,COLUMN($E$1),FALSE)/(LEN(VLOOKUP($D333,素材!$1:$1016,COLUMN($F$1),FALSE))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X333">
        <f>IF(ISNUMBER(SEARCH(SUBSTITUTE(AX$1,RIGHT(AX$1,2),""),VLOOKUP($D333,素材!$1:$1016,COLUMN($F$1),FALSE))),VLOOKUP($C333,武器!$1:$998,COLUMN($O$1),FALSE)*VLOOKUP($D333,素材!$1:$1016,COLUMN($E$1),FALSE)/(LEN(VLOOKUP($D333,素材!$1:$1016,COLUMN($F$1),FALSE))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Y333">
        <f>IF(ISNUMBER(SEARCH(SUBSTITUTE(AY$1,RIGHT(AY$1,2),""),VLOOKUP($D333,素材!$1:$1016,COLUMN($F$1),FALSE))),VLOOKUP($C333,武器!$1:$998,COLUMN($O$1),FALSE)*VLOOKUP($D333,素材!$1:$1016,COLUMN($E$1),FALSE)/(LEN(VLOOKUP($D333,素材!$1:$1016,COLUMN($F$1),FALSE))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AZ333">
        <f>IF(ISNUMBER(SEARCH(SUBSTITUTE(AZ$1,RIGHT(AZ$1,2),""),VLOOKUP($D333,素材!$1:$1016,COLUMN($F$1),FALSE))),VLOOKUP($C333,武器!$1:$998,COLUMN($O$1),FALSE)*VLOOKUP($D333,素材!$1:$1016,COLUMN($E$1),FALSE)/(LEN(VLOOKUP($D333,素材!$1:$1016,COLUMN($F$1),FALSE))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BA333">
        <f>IF(ISNUMBER(SEARCH(SUBSTITUTE(BA$1,RIGHT(BA$1,2),""),VLOOKUP($D333,素材!$1:$1016,COLUMN($F$1),FALSE))),VLOOKUP($C333,武器!$1:$998,COLUMN($O$1),FALSE)*VLOOKUP($D333,素材!$1:$1016,COLUMN($E$1),FALSE)/(LEN(VLOOKUP($D333,素材!$1:$1016,COLUMN($F$1),FALSE))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BB333">
        <f>IF(ISNUMBER(SEARCH(SUBSTITUTE(BB$1,RIGHT(BB$1,2),""),VLOOKUP($D333,素材!$1:$1016,COLUMN($F$1),FALSE))),VLOOKUP($C333,武器!$1:$998,COLUMN($O$1),FALSE)*VLOOKUP($D333,素材!$1:$1016,COLUMN($E$1),FALSE)/(LEN(VLOOKUP($D333,素材!$1:$1016,COLUMN($F$1),FALSE))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BC333">
        <f>IF(ISNUMBER(SEARCH(SUBSTITUTE(BC$1,RIGHT(BC$1,2),""),VLOOKUP($D333,素材!$1:$1016,COLUMN($F$1),FALSE))),VLOOKUP($C333,武器!$1:$998,COLUMN($O$1),FALSE)*VLOOKUP($D333,素材!$1:$1016,COLUMN($E$1),FALSE)/(LEN(VLOOKUP($D333,素材!$1:$1016,COLUMN($F$1),FALSE))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BD333">
        <f>IF(ISNUMBER(SEARCH(SUBSTITUTE(BD$1,RIGHT(BD$1,2),""),VLOOKUP($D333,素材!$1:$1016,COLUMN($F$1),FALSE))),VLOOKUP($C333,武器!$1:$998,COLUMN($O$1),FALSE)*VLOOKUP($D333,素材!$1:$1016,COLUMN($E$1),FALSE)/(LEN(VLOOKUP($D333,素材!$1:$1016,COLUMN($F$1),FALSE))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BE333">
        <f>IF(ISNUMBER(SEARCH(SUBSTITUTE(BE$1,RIGHT(BE$1,2),""),VLOOKUP($D333,素材!$1:$1016,COLUMN($F$1),FALSE))),VLOOKUP($C333,武器!$1:$998,COLUMN($O$1),FALSE)*VLOOKUP($D333,素材!$1:$1016,COLUMN($E$1),FALSE)/(LEN(VLOOKUP($D333,素材!$1:$1016,COLUMN($F$1),FALSE))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BF333">
        <f>IF(ISNUMBER(SEARCH(SUBSTITUTE(BF$1,RIGHT(BF$1,2),""),VLOOKUP($D333,素材!$1:$1016,COLUMN($F$1),FALSE))),VLOOKUP($C333,武器!$1:$998,COLUMN($O$1),FALSE)*VLOOKUP($D333,素材!$1:$1016,COLUMN($E$1),FALSE)/(LEN(VLOOKUP($D333,素材!$1:$1016,COLUMN($F$1),FALSE)) - LEN(SUBSTITUTE(VLOOKUP($D333,素材!$1:$1016,COLUMN($F$1),FALSE), "・", 0)) + 1), 0)</f>
        <v>0</v>
      </c>
      <c r="CM333">
        <f t="shared" si="39"/>
        <v>0</v>
      </c>
      <c r="CN333" s="22" t="str">
        <f>IF(E333="武器",IF(J333-1&gt;SUM(G333:I333),"盾",IF(MAX(G333:I333)=G333,"切断",IF(MAX(G333:I333)=H333,"貫通",IF(MAX(G333:I333)=I333,"打撃","射撃")))),E333)&amp;".webp"</f>
        <v>.webp</v>
      </c>
      <c r="CO333" t="str">
        <f>IFERROR(VLOOKUP($C333,武器!$1:$998,COLUMN(V$1),FALSE)*VLOOKUP($D333,素材!$1:$1016,COLUMN(N$1),FALSE)+IF(CJ333="",0,VLOOKUP($CJ333,装強!$1:$1008,COLUMN($CL$1),FALSE)),"")</f>
        <v/>
      </c>
      <c r="CP333" t="e">
        <f>VLOOKUP(D333,素材!$A:$O,COLUMN(素材!O$1),FALSE)</f>
        <v>#N/A</v>
      </c>
      <c r="CQ333" t="e">
        <f>VLOOKUP(C333,武器!$A:$W,COLUMN(武器!W$1),FALSE)</f>
        <v>#N/A</v>
      </c>
      <c r="CS333" t="str">
        <f>"e_"&amp;ROW(CS333)</f>
        <v>e_333</v>
      </c>
      <c r="CT333" t="e">
        <f>CO333*100</f>
        <v>#VALUE!</v>
      </c>
    </row>
    <row r="334" spans="1:98" hidden="1" outlineLevel="1" x14ac:dyDescent="0.4">
      <c r="A334" t="str">
        <f>IF(CJ334="",D334&amp;"の"&amp;C334,CJ334&amp;"の"&amp;C334)</f>
        <v>の</v>
      </c>
      <c r="B334" t="str">
        <f>IFERROR(IF(CJ334="",VLOOKUP($D334,素材!$1:$1016,COLUMN($B$1),FALSE)&amp;"・"&amp;VLOOKUP($C334,武器!$1:$998,COLUMN(B$1),FALSE),VLOOKUP($CJ334,装強!$1:$1008,COLUMN($B$1),FALSE)&amp;"・"&amp;VLOOKUP($C334,武器!$1:$998,COLUMN(B$1),FALSE)),"")</f>
        <v/>
      </c>
      <c r="C334" s="24"/>
      <c r="D334" s="24"/>
      <c r="E334" t="str">
        <f>IFERROR(VLOOKUP(C334,武器!$1:$998,COLUMN(C$1),FALSE),"")</f>
        <v/>
      </c>
      <c r="F334" t="str">
        <f>IFERROR(ROUNDDOWN((VLOOKUP($C334,武器!$1:$998,COLUMN(D$1),FALSE)+IFERROR(VLOOKUP($CJ334,装強!$1:$999,COLUMN(F$1),FALSE),0))*VLOOKUP($D334,素材!$1:$1016,COLUMN(D$1),FALSE),0),"")</f>
        <v/>
      </c>
      <c r="G334" t="str">
        <f>IFERROR(ROUNDDOWN((VLOOKUP($C334,武器!$1:$998,COLUMN(E$1),FALSE)+IFERROR(VLOOKUP($CJ334,装強!$1:$999,COLUMN(G$1),FALSE),0))*VLOOKUP($D334,素材!$1:$1016,COLUMN($E$1),FALSE),0),"")</f>
        <v/>
      </c>
      <c r="H334" t="str">
        <f>IFERROR(ROUNDDOWN((VLOOKUP($C334,武器!$1:$998,COLUMN(F$1),FALSE)+IFERROR(VLOOKUP($CJ334,装強!$1:$999,COLUMN(H$1),FALSE),0))*VLOOKUP($D334,素材!$1:$1016,COLUMN($E$1),FALSE),0),"")</f>
        <v/>
      </c>
      <c r="I334" t="str">
        <f>IFERROR(ROUNDDOWN((VLOOKUP($C334,武器!$1:$998,COLUMN(G$1),FALSE)+IFERROR(VLOOKUP($CJ334,装強!$1:$999,COLUMN(I$1),FALSE),0))*VLOOKUP($D334,素材!$1:$1016,COLUMN($E$1),FALSE),0),"")</f>
        <v/>
      </c>
      <c r="J334" t="str">
        <f>IFERROR(ROUNDDOWN((VLOOKUP($C334,武器!$1:$998,COLUMN(H$1),FALSE)+IFERROR(VLOOKUP($CJ334,装強!$1:$999,COLUMN(J$1),FALSE),0))*VLOOKUP($D334,素材!$1:$1016,COLUMN($E$1),FALSE),0),"")</f>
        <v/>
      </c>
      <c r="K334" t="str">
        <f>IFERROR(ROUNDDOWN((VLOOKUP($C334,武器!$1:$998,COLUMN(I$1),FALSE)+IFERROR(VLOOKUP($CJ334,装強!$1:$999,COLUMN(K$1),FALSE),0))*VLOOKUP($D334,素材!$1:$1016,COLUMN($E$1),FALSE),0),"")</f>
        <v/>
      </c>
      <c r="L334" t="str">
        <f>IFERROR(VLOOKUP($D334,素材!$1:$1016,COLUMN($F$1),FALSE),"")</f>
        <v/>
      </c>
      <c r="M334" t="str">
        <f>IFERROR(VLOOKUP($C334,武器!$1:$998,COLUMN(AA$1),FALSE)*VLOOKUP($D334,素材!$1:$1016,COLUMN($G$1),FALSE),"")</f>
        <v/>
      </c>
      <c r="N334" t="str">
        <f>IFERROR(VLOOKUP($C334,武器!$1:$998,COLUMN(I$1),FALSE),"")</f>
        <v/>
      </c>
      <c r="O334" s="23" t="str">
        <f>IFERROR((VLOOKUP($C334,武器!$1:$998,COLUMN(K$1),FALSE)+VLOOKUP($D334,素材!$1:$1016,COLUMN(H$1),FALSE))*100+IFERROR(VLOOKUP($CJ334,装強!$1:$999,COLUMN(O$1),FALSE),0),"")</f>
        <v/>
      </c>
      <c r="P334" s="23" t="str">
        <f>IFERROR((VLOOKUP($C334,武器!$1:$998,COLUMN(L$1),FALSE)+VLOOKUP($D334,素材!$1:$1016,COLUMN(I$1),FALSE))*100+IFERROR(VLOOKUP($CJ334,装強!$1:$999,COLUMN(P$1),FALSE),0),"")</f>
        <v/>
      </c>
      <c r="Q334" t="str">
        <f>IFERROR(ROUNDUP(VLOOKUP($C334,武器!$1:$998,COLUMN(M$1),FALSE)*(VLOOKUP($D334,素材!$1:$1002,COLUMN(D$1),FALSE)/100),1),"")</f>
        <v/>
      </c>
      <c r="R334" t="str">
        <f>IFERROR(ROUNDUP(VLOOKUP($C334,武器!$1:$998,COLUMN(N$1),FALSE)*(VLOOKUP($D334,素材!$1:$1002,COLUMN(D$1),FALSE)/100),1),"")</f>
        <v/>
      </c>
      <c r="S334" t="str">
        <f>IFERROR(VLOOKUP($C334,武器!$1:$998,COLUMN(P$1),FALSE),"")</f>
        <v/>
      </c>
      <c r="T334" t="str">
        <f>IFERROR(VLOOKUP($C334,武器!$1:$998,COLUMN(Q$1),FALSE),"")</f>
        <v/>
      </c>
      <c r="U334" t="str">
        <f>IFERROR(VLOOKUP($C334,武器!$1:$998,COLUMN(R$1),FALSE),"")</f>
        <v/>
      </c>
      <c r="V334" t="str">
        <f>IFERROR(VLOOKUP($C334,武器!$1:$998,COLUMN(Q$1),FALSE),"")</f>
        <v/>
      </c>
      <c r="W334" t="str">
        <f>IFERROR(VLOOKUP($C334,武器!$1:$998,COLUMN(T$1),FALSE),"")</f>
        <v/>
      </c>
      <c r="Y334" t="str">
        <f>IFERROR(VLOOKUP($C334,武器!$1:$998,COLUMN(U$1),FALSE),"")</f>
        <v/>
      </c>
      <c r="Z334" t="str">
        <f>IFERROR(ROUNDUP(VLOOKUP($C334,武器!$1:$998,COLUMN(O$1),FALSE)*VLOOKUP($D334,素材!$1:$1016,COLUMN(E$1),FALSE),1),"")</f>
        <v/>
      </c>
      <c r="AA334">
        <f>IF(ISNUMBER(SEARCH(SUBSTITUTE(AA$1,RIGHT(AA$1,2),""),VLOOKUP($D334,素材!$1:$1016,COLUMN($F$1),FALSE))),VLOOKUP($C334,武器!$1:$998,COLUMN($O$1),FALSE)*VLOOKUP($D334,素材!$1:$1016,COLUMN($E$1),FALSE)/(LEN(VLOOKUP($D334,素材!$1:$1016,COLUMN($F$1),FALSE))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B334">
        <f>IF(ISNUMBER(SEARCH(SUBSTITUTE(AB$1,RIGHT(AB$1,2),""),VLOOKUP($D334,素材!$1:$1016,COLUMN($F$1),FALSE))),VLOOKUP($C334,武器!$1:$998,COLUMN($O$1),FALSE)*VLOOKUP($D334,素材!$1:$1016,COLUMN($E$1),FALSE)/(LEN(VLOOKUP($D334,素材!$1:$1016,COLUMN($F$1),FALSE))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C334">
        <f>IF(ISNUMBER(SEARCH(SUBSTITUTE(AC$1,RIGHT(AC$1,2),""),VLOOKUP($D334,素材!$1:$1016,COLUMN($F$1),FALSE))),VLOOKUP($C334,武器!$1:$998,COLUMN($O$1),FALSE)*VLOOKUP($D334,素材!$1:$1016,COLUMN($E$1),FALSE)/(LEN(VLOOKUP($D334,素材!$1:$1016,COLUMN($F$1),FALSE))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D334">
        <f>IF(ISNUMBER(SEARCH(SUBSTITUTE(AD$1,RIGHT(AD$1,2),""),VLOOKUP($D334,素材!$1:$1016,COLUMN($F$1),FALSE))),VLOOKUP($C334,武器!$1:$998,COLUMN($O$1),FALSE)*VLOOKUP($D334,素材!$1:$1016,COLUMN($E$1),FALSE)/(LEN(VLOOKUP($D334,素材!$1:$1016,COLUMN($F$1),FALSE))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E334">
        <f>IF(ISNUMBER(SEARCH(SUBSTITUTE(AE$1,RIGHT(AE$1,2),""),VLOOKUP($D334,素材!$1:$1016,COLUMN($F$1),FALSE))),VLOOKUP($C334,武器!$1:$998,COLUMN($O$1),FALSE)*VLOOKUP($D334,素材!$1:$1016,COLUMN($E$1),FALSE)/(LEN(VLOOKUP($D334,素材!$1:$1016,COLUMN($F$1),FALSE))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F334">
        <f>IF(ISNUMBER(SEARCH(SUBSTITUTE(AF$1,RIGHT(AF$1,2),""),VLOOKUP($D334,素材!$1:$1016,COLUMN($F$1),FALSE))),VLOOKUP($C334,武器!$1:$998,COLUMN($O$1),FALSE)*VLOOKUP($D334,素材!$1:$1016,COLUMN($E$1),FALSE)/(LEN(VLOOKUP($D334,素材!$1:$1016,COLUMN($F$1),FALSE))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G334">
        <f>IF(ISNUMBER(SEARCH(SUBSTITUTE(AG$1,RIGHT(AG$1,2),""),VLOOKUP($D334,素材!$1:$1016,COLUMN($F$1),FALSE))),VLOOKUP($C334,武器!$1:$998,COLUMN($O$1),FALSE)*VLOOKUP($D334,素材!$1:$1016,COLUMN($E$1),FALSE)/(LEN(VLOOKUP($D334,素材!$1:$1016,COLUMN($F$1),FALSE))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H334">
        <f>IF(ISNUMBER(SEARCH(SUBSTITUTE(AH$1,RIGHT(AH$1,2),""),VLOOKUP($D334,素材!$1:$1016,COLUMN($F$1),FALSE))),VLOOKUP($C334,武器!$1:$998,COLUMN($O$1),FALSE)*VLOOKUP($D334,素材!$1:$1016,COLUMN($E$1),FALSE)/(LEN(VLOOKUP($D334,素材!$1:$1016,COLUMN($F$1),FALSE))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I334">
        <f>IF(ISNUMBER(SEARCH(SUBSTITUTE(AI$1,RIGHT(AI$1,2),""),VLOOKUP($D334,素材!$1:$1016,COLUMN($F$1),FALSE))),VLOOKUP($C334,武器!$1:$998,COLUMN($O$1),FALSE)*VLOOKUP($D334,素材!$1:$1016,COLUMN($E$1),FALSE)/(LEN(VLOOKUP($D334,素材!$1:$1016,COLUMN($F$1),FALSE))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J334">
        <f>IF(ISNUMBER(SEARCH(SUBSTITUTE(AJ$1,RIGHT(AJ$1,2),""),VLOOKUP($D334,素材!$1:$1016,COLUMN($F$1),FALSE))),VLOOKUP($C334,武器!$1:$998,COLUMN($O$1),FALSE)*VLOOKUP($D334,素材!$1:$1016,COLUMN($E$1),FALSE)/(LEN(VLOOKUP($D334,素材!$1:$1016,COLUMN($F$1),FALSE))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K334">
        <f>IF(ISNUMBER(SEARCH(SUBSTITUTE(AK$1,RIGHT(AK$1,2),""),VLOOKUP($D334,素材!$1:$1016,COLUMN($F$1),FALSE))),VLOOKUP($C334,武器!$1:$998,COLUMN($O$1),FALSE)*VLOOKUP($D334,素材!$1:$1016,COLUMN($E$1),FALSE)/(LEN(VLOOKUP($D334,素材!$1:$1016,COLUMN($F$1),FALSE))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L334">
        <f>IF(ISNUMBER(SEARCH(SUBSTITUTE(AL$1,RIGHT(AL$1,2),""),VLOOKUP($D334,素材!$1:$1016,COLUMN($F$1),FALSE))),VLOOKUP($C334,武器!$1:$998,COLUMN($O$1),FALSE)*VLOOKUP($D334,素材!$1:$1016,COLUMN($E$1),FALSE)/(LEN(VLOOKUP($D334,素材!$1:$1016,COLUMN($F$1),FALSE))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M334">
        <f>IF(ISNUMBER(SEARCH(SUBSTITUTE(AM$1,RIGHT(AM$1,2),""),VLOOKUP($D334,素材!$1:$1016,COLUMN($F$1),FALSE))),VLOOKUP($C334,武器!$1:$998,COLUMN($O$1),FALSE)*VLOOKUP($D334,素材!$1:$1016,COLUMN($E$1),FALSE)/(LEN(VLOOKUP($D334,素材!$1:$1016,COLUMN($F$1),FALSE))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N334">
        <f>IF(ISNUMBER(SEARCH(SUBSTITUTE(AN$1,RIGHT(AN$1,2),""),VLOOKUP($D334,素材!$1:$1016,COLUMN($F$1),FALSE))),VLOOKUP($C334,武器!$1:$998,COLUMN($O$1),FALSE)*VLOOKUP($D334,素材!$1:$1016,COLUMN($E$1),FALSE)/(LEN(VLOOKUP($D334,素材!$1:$1016,COLUMN($F$1),FALSE))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O334">
        <f>IF(ISNUMBER(SEARCH(SUBSTITUTE(AO$1,RIGHT(AO$1,2),""),VLOOKUP($D334,素材!$1:$1016,COLUMN($F$1),FALSE))),VLOOKUP($C334,武器!$1:$998,COLUMN($O$1),FALSE)*VLOOKUP($D334,素材!$1:$1016,COLUMN($E$1),FALSE)/(LEN(VLOOKUP($D334,素材!$1:$1016,COLUMN($F$1),FALSE))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P334">
        <f>IF(ISNUMBER(SEARCH(SUBSTITUTE(AP$1,RIGHT(AP$1,2),""),VLOOKUP($D334,素材!$1:$1016,COLUMN($F$1),FALSE))),VLOOKUP($C334,武器!$1:$998,COLUMN($O$1),FALSE)*VLOOKUP($D334,素材!$1:$1016,COLUMN($E$1),FALSE)/(LEN(VLOOKUP($D334,素材!$1:$1016,COLUMN($F$1),FALSE))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Q334">
        <f>IF(ISNUMBER(SEARCH(SUBSTITUTE(AQ$1,RIGHT(AQ$1,2),""),VLOOKUP($D334,素材!$1:$1016,COLUMN($F$1),FALSE))),VLOOKUP($C334,武器!$1:$998,COLUMN($O$1),FALSE)*VLOOKUP($D334,素材!$1:$1016,COLUMN($E$1),FALSE)/(LEN(VLOOKUP($D334,素材!$1:$1016,COLUMN($F$1),FALSE))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R334">
        <f>IF(ISNUMBER(SEARCH(SUBSTITUTE(AR$1,RIGHT(AR$1,2),""),VLOOKUP($D334,素材!$1:$1016,COLUMN($F$1),FALSE))),VLOOKUP($C334,武器!$1:$998,COLUMN($O$1),FALSE)*VLOOKUP($D334,素材!$1:$1016,COLUMN($E$1),FALSE)/(LEN(VLOOKUP($D334,素材!$1:$1016,COLUMN($F$1),FALSE))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S334">
        <f>IF(ISNUMBER(SEARCH(SUBSTITUTE(AS$1,RIGHT(AS$1,2),""),VLOOKUP($D334,素材!$1:$1016,COLUMN($F$1),FALSE))),VLOOKUP($C334,武器!$1:$998,COLUMN($O$1),FALSE)*VLOOKUP($D334,素材!$1:$1016,COLUMN($E$1),FALSE)/(LEN(VLOOKUP($D334,素材!$1:$1016,COLUMN($F$1),FALSE))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T334">
        <f>IF(ISNUMBER(SEARCH(SUBSTITUTE(AT$1,RIGHT(AT$1,2),""),VLOOKUP($D334,素材!$1:$1016,COLUMN($F$1),FALSE))),VLOOKUP($C334,武器!$1:$998,COLUMN($O$1),FALSE)*VLOOKUP($D334,素材!$1:$1016,COLUMN($E$1),FALSE)/(LEN(VLOOKUP($D334,素材!$1:$1016,COLUMN($F$1),FALSE))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U334">
        <f>IF(ISNUMBER(SEARCH(SUBSTITUTE(AU$1,RIGHT(AU$1,2),""),VLOOKUP($D334,素材!$1:$1016,COLUMN($F$1),FALSE))),VLOOKUP($C334,武器!$1:$998,COLUMN($O$1),FALSE)*VLOOKUP($D334,素材!$1:$1016,COLUMN($E$1),FALSE)/(LEN(VLOOKUP($D334,素材!$1:$1016,COLUMN($F$1),FALSE))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V334">
        <f>IF(ISNUMBER(SEARCH(SUBSTITUTE(AV$1,RIGHT(AV$1,2),""),VLOOKUP($D334,素材!$1:$1016,COLUMN($F$1),FALSE))),VLOOKUP($C334,武器!$1:$998,COLUMN($O$1),FALSE)*VLOOKUP($D334,素材!$1:$1016,COLUMN($E$1),FALSE)/(LEN(VLOOKUP($D334,素材!$1:$1016,COLUMN($F$1),FALSE))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W334">
        <f>IF(ISNUMBER(SEARCH(SUBSTITUTE(AW$1,RIGHT(AW$1,2),""),VLOOKUP($D334,素材!$1:$1016,COLUMN($F$1),FALSE))),VLOOKUP($C334,武器!$1:$998,COLUMN($O$1),FALSE)*VLOOKUP($D334,素材!$1:$1016,COLUMN($E$1),FALSE)/(LEN(VLOOKUP($D334,素材!$1:$1016,COLUMN($F$1),FALSE))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X334">
        <f>IF(ISNUMBER(SEARCH(SUBSTITUTE(AX$1,RIGHT(AX$1,2),""),VLOOKUP($D334,素材!$1:$1016,COLUMN($F$1),FALSE))),VLOOKUP($C334,武器!$1:$998,COLUMN($O$1),FALSE)*VLOOKUP($D334,素材!$1:$1016,COLUMN($E$1),FALSE)/(LEN(VLOOKUP($D334,素材!$1:$1016,COLUMN($F$1),FALSE))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Y334">
        <f>IF(ISNUMBER(SEARCH(SUBSTITUTE(AY$1,RIGHT(AY$1,2),""),VLOOKUP($D334,素材!$1:$1016,COLUMN($F$1),FALSE))),VLOOKUP($C334,武器!$1:$998,COLUMN($O$1),FALSE)*VLOOKUP($D334,素材!$1:$1016,COLUMN($E$1),FALSE)/(LEN(VLOOKUP($D334,素材!$1:$1016,COLUMN($F$1),FALSE))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AZ334">
        <f>IF(ISNUMBER(SEARCH(SUBSTITUTE(AZ$1,RIGHT(AZ$1,2),""),VLOOKUP($D334,素材!$1:$1016,COLUMN($F$1),FALSE))),VLOOKUP($C334,武器!$1:$998,COLUMN($O$1),FALSE)*VLOOKUP($D334,素材!$1:$1016,COLUMN($E$1),FALSE)/(LEN(VLOOKUP($D334,素材!$1:$1016,COLUMN($F$1),FALSE))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BA334">
        <f>IF(ISNUMBER(SEARCH(SUBSTITUTE(BA$1,RIGHT(BA$1,2),""),VLOOKUP($D334,素材!$1:$1016,COLUMN($F$1),FALSE))),VLOOKUP($C334,武器!$1:$998,COLUMN($O$1),FALSE)*VLOOKUP($D334,素材!$1:$1016,COLUMN($E$1),FALSE)/(LEN(VLOOKUP($D334,素材!$1:$1016,COLUMN($F$1),FALSE))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BB334">
        <f>IF(ISNUMBER(SEARCH(SUBSTITUTE(BB$1,RIGHT(BB$1,2),""),VLOOKUP($D334,素材!$1:$1016,COLUMN($F$1),FALSE))),VLOOKUP($C334,武器!$1:$998,COLUMN($O$1),FALSE)*VLOOKUP($D334,素材!$1:$1016,COLUMN($E$1),FALSE)/(LEN(VLOOKUP($D334,素材!$1:$1016,COLUMN($F$1),FALSE))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BC334">
        <f>IF(ISNUMBER(SEARCH(SUBSTITUTE(BC$1,RIGHT(BC$1,2),""),VLOOKUP($D334,素材!$1:$1016,COLUMN($F$1),FALSE))),VLOOKUP($C334,武器!$1:$998,COLUMN($O$1),FALSE)*VLOOKUP($D334,素材!$1:$1016,COLUMN($E$1),FALSE)/(LEN(VLOOKUP($D334,素材!$1:$1016,COLUMN($F$1),FALSE))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BD334">
        <f>IF(ISNUMBER(SEARCH(SUBSTITUTE(BD$1,RIGHT(BD$1,2),""),VLOOKUP($D334,素材!$1:$1016,COLUMN($F$1),FALSE))),VLOOKUP($C334,武器!$1:$998,COLUMN($O$1),FALSE)*VLOOKUP($D334,素材!$1:$1016,COLUMN($E$1),FALSE)/(LEN(VLOOKUP($D334,素材!$1:$1016,COLUMN($F$1),FALSE))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BE334">
        <f>IF(ISNUMBER(SEARCH(SUBSTITUTE(BE$1,RIGHT(BE$1,2),""),VLOOKUP($D334,素材!$1:$1016,COLUMN($F$1),FALSE))),VLOOKUP($C334,武器!$1:$998,COLUMN($O$1),FALSE)*VLOOKUP($D334,素材!$1:$1016,COLUMN($E$1),FALSE)/(LEN(VLOOKUP($D334,素材!$1:$1016,COLUMN($F$1),FALSE))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BF334">
        <f>IF(ISNUMBER(SEARCH(SUBSTITUTE(BF$1,RIGHT(BF$1,2),""),VLOOKUP($D334,素材!$1:$1016,COLUMN($F$1),FALSE))),VLOOKUP($C334,武器!$1:$998,COLUMN($O$1),FALSE)*VLOOKUP($D334,素材!$1:$1016,COLUMN($E$1),FALSE)/(LEN(VLOOKUP($D334,素材!$1:$1016,COLUMN($F$1),FALSE)) - LEN(SUBSTITUTE(VLOOKUP($D334,素材!$1:$1016,COLUMN($F$1),FALSE), "・", 0)) + 1), 0)</f>
        <v>0</v>
      </c>
      <c r="CM334">
        <f t="shared" si="39"/>
        <v>0</v>
      </c>
      <c r="CN334" s="22" t="str">
        <f>IF(E334="武器",IF(J334-1&gt;SUM(G334:I334),"盾",IF(MAX(G334:I334)=G334,"切断",IF(MAX(G334:I334)=H334,"貫通",IF(MAX(G334:I334)=I334,"打撃","射撃")))),E334)&amp;".webp"</f>
        <v>.webp</v>
      </c>
      <c r="CO334" t="str">
        <f>IFERROR(VLOOKUP($C334,武器!$1:$998,COLUMN(V$1),FALSE)*VLOOKUP($D334,素材!$1:$1016,COLUMN(N$1),FALSE)+IF(CJ334="",0,VLOOKUP($CJ334,装強!$1:$1008,COLUMN($CL$1),FALSE)),"")</f>
        <v/>
      </c>
      <c r="CP334" t="e">
        <f>VLOOKUP(D334,素材!$A:$O,COLUMN(素材!O$1),FALSE)</f>
        <v>#N/A</v>
      </c>
      <c r="CQ334" t="e">
        <f>VLOOKUP(C334,武器!$A:$W,COLUMN(武器!W$1),FALSE)</f>
        <v>#N/A</v>
      </c>
      <c r="CS334" t="str">
        <f>"e_"&amp;ROW(CS334)</f>
        <v>e_334</v>
      </c>
      <c r="CT334" t="e">
        <f>CO334*100</f>
        <v>#VALUE!</v>
      </c>
    </row>
    <row r="335" spans="1:98" hidden="1" outlineLevel="1" x14ac:dyDescent="0.4">
      <c r="A335" t="str">
        <f>IF(CJ335="",D335&amp;"の"&amp;C335,CJ335&amp;"の"&amp;C335)</f>
        <v>の</v>
      </c>
      <c r="B335" t="str">
        <f>IFERROR(IF(CJ335="",VLOOKUP($D335,素材!$1:$1016,COLUMN($B$1),FALSE)&amp;"・"&amp;VLOOKUP($C335,武器!$1:$998,COLUMN(B$1),FALSE),VLOOKUP($CJ335,装強!$1:$1008,COLUMN($B$1),FALSE)&amp;"・"&amp;VLOOKUP($C335,武器!$1:$998,COLUMN(B$1),FALSE)),"")</f>
        <v/>
      </c>
      <c r="C335" s="24"/>
      <c r="D335" s="24"/>
      <c r="E335" t="str">
        <f>IFERROR(VLOOKUP(C335,武器!$1:$998,COLUMN(C$1),FALSE),"")</f>
        <v/>
      </c>
      <c r="F335" t="str">
        <f>IFERROR(ROUNDDOWN((VLOOKUP($C335,武器!$1:$998,COLUMN(D$1),FALSE)+IFERROR(VLOOKUP($CJ335,装強!$1:$999,COLUMN(F$1),FALSE),0))*VLOOKUP($D335,素材!$1:$1016,COLUMN(D$1),FALSE),0),"")</f>
        <v/>
      </c>
      <c r="G335" t="str">
        <f>IFERROR(ROUNDDOWN((VLOOKUP($C335,武器!$1:$998,COLUMN(E$1),FALSE)+IFERROR(VLOOKUP($CJ335,装強!$1:$999,COLUMN(G$1),FALSE),0))*VLOOKUP($D335,素材!$1:$1016,COLUMN($E$1),FALSE),0),"")</f>
        <v/>
      </c>
      <c r="H335" t="str">
        <f>IFERROR(ROUNDDOWN((VLOOKUP($C335,武器!$1:$998,COLUMN(F$1),FALSE)+IFERROR(VLOOKUP($CJ335,装強!$1:$999,COLUMN(H$1),FALSE),0))*VLOOKUP($D335,素材!$1:$1016,COLUMN($E$1),FALSE),0),"")</f>
        <v/>
      </c>
      <c r="I335" t="str">
        <f>IFERROR(ROUNDDOWN((VLOOKUP($C335,武器!$1:$998,COLUMN(G$1),FALSE)+IFERROR(VLOOKUP($CJ335,装強!$1:$999,COLUMN(I$1),FALSE),0))*VLOOKUP($D335,素材!$1:$1016,COLUMN($E$1),FALSE),0),"")</f>
        <v/>
      </c>
      <c r="J335" t="str">
        <f>IFERROR(ROUNDDOWN((VLOOKUP($C335,武器!$1:$998,COLUMN(H$1),FALSE)+IFERROR(VLOOKUP($CJ335,装強!$1:$999,COLUMN(J$1),FALSE),0))*VLOOKUP($D335,素材!$1:$1016,COLUMN($E$1),FALSE),0),"")</f>
        <v/>
      </c>
      <c r="K335" t="str">
        <f>IFERROR(ROUNDDOWN((VLOOKUP($C335,武器!$1:$998,COLUMN(I$1),FALSE)+IFERROR(VLOOKUP($CJ335,装強!$1:$999,COLUMN(K$1),FALSE),0))*VLOOKUP($D335,素材!$1:$1016,COLUMN($E$1),FALSE),0),"")</f>
        <v/>
      </c>
      <c r="L335" t="str">
        <f>IFERROR(VLOOKUP($D335,素材!$1:$1016,COLUMN($F$1),FALSE),"")</f>
        <v/>
      </c>
      <c r="M335" t="str">
        <f>IFERROR(VLOOKUP($C335,武器!$1:$998,COLUMN(AA$1),FALSE)*VLOOKUP($D335,素材!$1:$1016,COLUMN($G$1),FALSE),"")</f>
        <v/>
      </c>
      <c r="N335" t="str">
        <f>IFERROR(VLOOKUP($C335,武器!$1:$998,COLUMN(I$1),FALSE),"")</f>
        <v/>
      </c>
      <c r="O335" s="23" t="str">
        <f>IFERROR((VLOOKUP($C335,武器!$1:$998,COLUMN(K$1),FALSE)+VLOOKUP($D335,素材!$1:$1016,COLUMN(H$1),FALSE))*100+IFERROR(VLOOKUP($CJ335,装強!$1:$999,COLUMN(O$1),FALSE),0),"")</f>
        <v/>
      </c>
      <c r="P335" s="23" t="str">
        <f>IFERROR((VLOOKUP($C335,武器!$1:$998,COLUMN(L$1),FALSE)+VLOOKUP($D335,素材!$1:$1016,COLUMN(I$1),FALSE))*100+IFERROR(VLOOKUP($CJ335,装強!$1:$999,COLUMN(P$1),FALSE),0),"")</f>
        <v/>
      </c>
      <c r="Q335" t="str">
        <f>IFERROR(ROUNDUP(VLOOKUP($C335,武器!$1:$998,COLUMN(M$1),FALSE)*(VLOOKUP($D335,素材!$1:$1002,COLUMN(D$1),FALSE)/100),1),"")</f>
        <v/>
      </c>
      <c r="R335" t="str">
        <f>IFERROR(ROUNDUP(VLOOKUP($C335,武器!$1:$998,COLUMN(N$1),FALSE)*(VLOOKUP($D335,素材!$1:$1002,COLUMN(D$1),FALSE)/100),1),"")</f>
        <v/>
      </c>
      <c r="S335" t="str">
        <f>IFERROR(VLOOKUP($C335,武器!$1:$998,COLUMN(P$1),FALSE),"")</f>
        <v/>
      </c>
      <c r="T335" t="str">
        <f>IFERROR(VLOOKUP($C335,武器!$1:$998,COLUMN(Q$1),FALSE),"")</f>
        <v/>
      </c>
      <c r="U335" t="str">
        <f>IFERROR(VLOOKUP($C335,武器!$1:$998,COLUMN(R$1),FALSE),"")</f>
        <v/>
      </c>
      <c r="V335" t="str">
        <f>IFERROR(VLOOKUP($C335,武器!$1:$998,COLUMN(Q$1),FALSE),"")</f>
        <v/>
      </c>
      <c r="W335" t="str">
        <f>IFERROR(VLOOKUP($C335,武器!$1:$998,COLUMN(T$1),FALSE),"")</f>
        <v/>
      </c>
      <c r="Y335" t="str">
        <f>IFERROR(VLOOKUP($C335,武器!$1:$998,COLUMN(U$1),FALSE),"")</f>
        <v/>
      </c>
      <c r="Z335" t="str">
        <f>IFERROR(ROUNDUP(VLOOKUP($C335,武器!$1:$998,COLUMN(O$1),FALSE)*VLOOKUP($D335,素材!$1:$1016,COLUMN(E$1),FALSE),1),"")</f>
        <v/>
      </c>
      <c r="AA335">
        <f>IF(ISNUMBER(SEARCH(SUBSTITUTE(AA$1,RIGHT(AA$1,2),""),VLOOKUP($D335,素材!$1:$1016,COLUMN($F$1),FALSE))),VLOOKUP($C335,武器!$1:$998,COLUMN($O$1),FALSE)*VLOOKUP($D335,素材!$1:$1016,COLUMN($E$1),FALSE)/(LEN(VLOOKUP($D335,素材!$1:$1016,COLUMN($F$1),FALSE))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B335">
        <f>IF(ISNUMBER(SEARCH(SUBSTITUTE(AB$1,RIGHT(AB$1,2),""),VLOOKUP($D335,素材!$1:$1016,COLUMN($F$1),FALSE))),VLOOKUP($C335,武器!$1:$998,COLUMN($O$1),FALSE)*VLOOKUP($D335,素材!$1:$1016,COLUMN($E$1),FALSE)/(LEN(VLOOKUP($D335,素材!$1:$1016,COLUMN($F$1),FALSE))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C335">
        <f>IF(ISNUMBER(SEARCH(SUBSTITUTE(AC$1,RIGHT(AC$1,2),""),VLOOKUP($D335,素材!$1:$1016,COLUMN($F$1),FALSE))),VLOOKUP($C335,武器!$1:$998,COLUMN($O$1),FALSE)*VLOOKUP($D335,素材!$1:$1016,COLUMN($E$1),FALSE)/(LEN(VLOOKUP($D335,素材!$1:$1016,COLUMN($F$1),FALSE))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D335">
        <f>IF(ISNUMBER(SEARCH(SUBSTITUTE(AD$1,RIGHT(AD$1,2),""),VLOOKUP($D335,素材!$1:$1016,COLUMN($F$1),FALSE))),VLOOKUP($C335,武器!$1:$998,COLUMN($O$1),FALSE)*VLOOKUP($D335,素材!$1:$1016,COLUMN($E$1),FALSE)/(LEN(VLOOKUP($D335,素材!$1:$1016,COLUMN($F$1),FALSE))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E335">
        <f>IF(ISNUMBER(SEARCH(SUBSTITUTE(AE$1,RIGHT(AE$1,2),""),VLOOKUP($D335,素材!$1:$1016,COLUMN($F$1),FALSE))),VLOOKUP($C335,武器!$1:$998,COLUMN($O$1),FALSE)*VLOOKUP($D335,素材!$1:$1016,COLUMN($E$1),FALSE)/(LEN(VLOOKUP($D335,素材!$1:$1016,COLUMN($F$1),FALSE))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F335">
        <f>IF(ISNUMBER(SEARCH(SUBSTITUTE(AF$1,RIGHT(AF$1,2),""),VLOOKUP($D335,素材!$1:$1016,COLUMN($F$1),FALSE))),VLOOKUP($C335,武器!$1:$998,COLUMN($O$1),FALSE)*VLOOKUP($D335,素材!$1:$1016,COLUMN($E$1),FALSE)/(LEN(VLOOKUP($D335,素材!$1:$1016,COLUMN($F$1),FALSE))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G335">
        <f>IF(ISNUMBER(SEARCH(SUBSTITUTE(AG$1,RIGHT(AG$1,2),""),VLOOKUP($D335,素材!$1:$1016,COLUMN($F$1),FALSE))),VLOOKUP($C335,武器!$1:$998,COLUMN($O$1),FALSE)*VLOOKUP($D335,素材!$1:$1016,COLUMN($E$1),FALSE)/(LEN(VLOOKUP($D335,素材!$1:$1016,COLUMN($F$1),FALSE))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H335">
        <f>IF(ISNUMBER(SEARCH(SUBSTITUTE(AH$1,RIGHT(AH$1,2),""),VLOOKUP($D335,素材!$1:$1016,COLUMN($F$1),FALSE))),VLOOKUP($C335,武器!$1:$998,COLUMN($O$1),FALSE)*VLOOKUP($D335,素材!$1:$1016,COLUMN($E$1),FALSE)/(LEN(VLOOKUP($D335,素材!$1:$1016,COLUMN($F$1),FALSE))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I335">
        <f>IF(ISNUMBER(SEARCH(SUBSTITUTE(AI$1,RIGHT(AI$1,2),""),VLOOKUP($D335,素材!$1:$1016,COLUMN($F$1),FALSE))),VLOOKUP($C335,武器!$1:$998,COLUMN($O$1),FALSE)*VLOOKUP($D335,素材!$1:$1016,COLUMN($E$1),FALSE)/(LEN(VLOOKUP($D335,素材!$1:$1016,COLUMN($F$1),FALSE))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J335">
        <f>IF(ISNUMBER(SEARCH(SUBSTITUTE(AJ$1,RIGHT(AJ$1,2),""),VLOOKUP($D335,素材!$1:$1016,COLUMN($F$1),FALSE))),VLOOKUP($C335,武器!$1:$998,COLUMN($O$1),FALSE)*VLOOKUP($D335,素材!$1:$1016,COLUMN($E$1),FALSE)/(LEN(VLOOKUP($D335,素材!$1:$1016,COLUMN($F$1),FALSE))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K335">
        <f>IF(ISNUMBER(SEARCH(SUBSTITUTE(AK$1,RIGHT(AK$1,2),""),VLOOKUP($D335,素材!$1:$1016,COLUMN($F$1),FALSE))),VLOOKUP($C335,武器!$1:$998,COLUMN($O$1),FALSE)*VLOOKUP($D335,素材!$1:$1016,COLUMN($E$1),FALSE)/(LEN(VLOOKUP($D335,素材!$1:$1016,COLUMN($F$1),FALSE))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L335">
        <f>IF(ISNUMBER(SEARCH(SUBSTITUTE(AL$1,RIGHT(AL$1,2),""),VLOOKUP($D335,素材!$1:$1016,COLUMN($F$1),FALSE))),VLOOKUP($C335,武器!$1:$998,COLUMN($O$1),FALSE)*VLOOKUP($D335,素材!$1:$1016,COLUMN($E$1),FALSE)/(LEN(VLOOKUP($D335,素材!$1:$1016,COLUMN($F$1),FALSE))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M335">
        <f>IF(ISNUMBER(SEARCH(SUBSTITUTE(AM$1,RIGHT(AM$1,2),""),VLOOKUP($D335,素材!$1:$1016,COLUMN($F$1),FALSE))),VLOOKUP($C335,武器!$1:$998,COLUMN($O$1),FALSE)*VLOOKUP($D335,素材!$1:$1016,COLUMN($E$1),FALSE)/(LEN(VLOOKUP($D335,素材!$1:$1016,COLUMN($F$1),FALSE))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N335">
        <f>IF(ISNUMBER(SEARCH(SUBSTITUTE(AN$1,RIGHT(AN$1,2),""),VLOOKUP($D335,素材!$1:$1016,COLUMN($F$1),FALSE))),VLOOKUP($C335,武器!$1:$998,COLUMN($O$1),FALSE)*VLOOKUP($D335,素材!$1:$1016,COLUMN($E$1),FALSE)/(LEN(VLOOKUP($D335,素材!$1:$1016,COLUMN($F$1),FALSE))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O335">
        <f>IF(ISNUMBER(SEARCH(SUBSTITUTE(AO$1,RIGHT(AO$1,2),""),VLOOKUP($D335,素材!$1:$1016,COLUMN($F$1),FALSE))),VLOOKUP($C335,武器!$1:$998,COLUMN($O$1),FALSE)*VLOOKUP($D335,素材!$1:$1016,COLUMN($E$1),FALSE)/(LEN(VLOOKUP($D335,素材!$1:$1016,COLUMN($F$1),FALSE))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P335">
        <f>IF(ISNUMBER(SEARCH(SUBSTITUTE(AP$1,RIGHT(AP$1,2),""),VLOOKUP($D335,素材!$1:$1016,COLUMN($F$1),FALSE))),VLOOKUP($C335,武器!$1:$998,COLUMN($O$1),FALSE)*VLOOKUP($D335,素材!$1:$1016,COLUMN($E$1),FALSE)/(LEN(VLOOKUP($D335,素材!$1:$1016,COLUMN($F$1),FALSE))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Q335">
        <f>IF(ISNUMBER(SEARCH(SUBSTITUTE(AQ$1,RIGHT(AQ$1,2),""),VLOOKUP($D335,素材!$1:$1016,COLUMN($F$1),FALSE))),VLOOKUP($C335,武器!$1:$998,COLUMN($O$1),FALSE)*VLOOKUP($D335,素材!$1:$1016,COLUMN($E$1),FALSE)/(LEN(VLOOKUP($D335,素材!$1:$1016,COLUMN($F$1),FALSE))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R335">
        <f>IF(ISNUMBER(SEARCH(SUBSTITUTE(AR$1,RIGHT(AR$1,2),""),VLOOKUP($D335,素材!$1:$1016,COLUMN($F$1),FALSE))),VLOOKUP($C335,武器!$1:$998,COLUMN($O$1),FALSE)*VLOOKUP($D335,素材!$1:$1016,COLUMN($E$1),FALSE)/(LEN(VLOOKUP($D335,素材!$1:$1016,COLUMN($F$1),FALSE))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S335">
        <f>IF(ISNUMBER(SEARCH(SUBSTITUTE(AS$1,RIGHT(AS$1,2),""),VLOOKUP($D335,素材!$1:$1016,COLUMN($F$1),FALSE))),VLOOKUP($C335,武器!$1:$998,COLUMN($O$1),FALSE)*VLOOKUP($D335,素材!$1:$1016,COLUMN($E$1),FALSE)/(LEN(VLOOKUP($D335,素材!$1:$1016,COLUMN($F$1),FALSE))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T335">
        <f>IF(ISNUMBER(SEARCH(SUBSTITUTE(AT$1,RIGHT(AT$1,2),""),VLOOKUP($D335,素材!$1:$1016,COLUMN($F$1),FALSE))),VLOOKUP($C335,武器!$1:$998,COLUMN($O$1),FALSE)*VLOOKUP($D335,素材!$1:$1016,COLUMN($E$1),FALSE)/(LEN(VLOOKUP($D335,素材!$1:$1016,COLUMN($F$1),FALSE))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U335">
        <f>IF(ISNUMBER(SEARCH(SUBSTITUTE(AU$1,RIGHT(AU$1,2),""),VLOOKUP($D335,素材!$1:$1016,COLUMN($F$1),FALSE))),VLOOKUP($C335,武器!$1:$998,COLUMN($O$1),FALSE)*VLOOKUP($D335,素材!$1:$1016,COLUMN($E$1),FALSE)/(LEN(VLOOKUP($D335,素材!$1:$1016,COLUMN($F$1),FALSE))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V335">
        <f>IF(ISNUMBER(SEARCH(SUBSTITUTE(AV$1,RIGHT(AV$1,2),""),VLOOKUP($D335,素材!$1:$1016,COLUMN($F$1),FALSE))),VLOOKUP($C335,武器!$1:$998,COLUMN($O$1),FALSE)*VLOOKUP($D335,素材!$1:$1016,COLUMN($E$1),FALSE)/(LEN(VLOOKUP($D335,素材!$1:$1016,COLUMN($F$1),FALSE))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W335">
        <f>IF(ISNUMBER(SEARCH(SUBSTITUTE(AW$1,RIGHT(AW$1,2),""),VLOOKUP($D335,素材!$1:$1016,COLUMN($F$1),FALSE))),VLOOKUP($C335,武器!$1:$998,COLUMN($O$1),FALSE)*VLOOKUP($D335,素材!$1:$1016,COLUMN($E$1),FALSE)/(LEN(VLOOKUP($D335,素材!$1:$1016,COLUMN($F$1),FALSE))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X335">
        <f>IF(ISNUMBER(SEARCH(SUBSTITUTE(AX$1,RIGHT(AX$1,2),""),VLOOKUP($D335,素材!$1:$1016,COLUMN($F$1),FALSE))),VLOOKUP($C335,武器!$1:$998,COLUMN($O$1),FALSE)*VLOOKUP($D335,素材!$1:$1016,COLUMN($E$1),FALSE)/(LEN(VLOOKUP($D335,素材!$1:$1016,COLUMN($F$1),FALSE))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Y335">
        <f>IF(ISNUMBER(SEARCH(SUBSTITUTE(AY$1,RIGHT(AY$1,2),""),VLOOKUP($D335,素材!$1:$1016,COLUMN($F$1),FALSE))),VLOOKUP($C335,武器!$1:$998,COLUMN($O$1),FALSE)*VLOOKUP($D335,素材!$1:$1016,COLUMN($E$1),FALSE)/(LEN(VLOOKUP($D335,素材!$1:$1016,COLUMN($F$1),FALSE))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AZ335">
        <f>IF(ISNUMBER(SEARCH(SUBSTITUTE(AZ$1,RIGHT(AZ$1,2),""),VLOOKUP($D335,素材!$1:$1016,COLUMN($F$1),FALSE))),VLOOKUP($C335,武器!$1:$998,COLUMN($O$1),FALSE)*VLOOKUP($D335,素材!$1:$1016,COLUMN($E$1),FALSE)/(LEN(VLOOKUP($D335,素材!$1:$1016,COLUMN($F$1),FALSE))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BA335">
        <f>IF(ISNUMBER(SEARCH(SUBSTITUTE(BA$1,RIGHT(BA$1,2),""),VLOOKUP($D335,素材!$1:$1016,COLUMN($F$1),FALSE))),VLOOKUP($C335,武器!$1:$998,COLUMN($O$1),FALSE)*VLOOKUP($D335,素材!$1:$1016,COLUMN($E$1),FALSE)/(LEN(VLOOKUP($D335,素材!$1:$1016,COLUMN($F$1),FALSE))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BB335">
        <f>IF(ISNUMBER(SEARCH(SUBSTITUTE(BB$1,RIGHT(BB$1,2),""),VLOOKUP($D335,素材!$1:$1016,COLUMN($F$1),FALSE))),VLOOKUP($C335,武器!$1:$998,COLUMN($O$1),FALSE)*VLOOKUP($D335,素材!$1:$1016,COLUMN($E$1),FALSE)/(LEN(VLOOKUP($D335,素材!$1:$1016,COLUMN($F$1),FALSE))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BC335">
        <f>IF(ISNUMBER(SEARCH(SUBSTITUTE(BC$1,RIGHT(BC$1,2),""),VLOOKUP($D335,素材!$1:$1016,COLUMN($F$1),FALSE))),VLOOKUP($C335,武器!$1:$998,COLUMN($O$1),FALSE)*VLOOKUP($D335,素材!$1:$1016,COLUMN($E$1),FALSE)/(LEN(VLOOKUP($D335,素材!$1:$1016,COLUMN($F$1),FALSE))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BD335">
        <f>IF(ISNUMBER(SEARCH(SUBSTITUTE(BD$1,RIGHT(BD$1,2),""),VLOOKUP($D335,素材!$1:$1016,COLUMN($F$1),FALSE))),VLOOKUP($C335,武器!$1:$998,COLUMN($O$1),FALSE)*VLOOKUP($D335,素材!$1:$1016,COLUMN($E$1),FALSE)/(LEN(VLOOKUP($D335,素材!$1:$1016,COLUMN($F$1),FALSE))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BE335">
        <f>IF(ISNUMBER(SEARCH(SUBSTITUTE(BE$1,RIGHT(BE$1,2),""),VLOOKUP($D335,素材!$1:$1016,COLUMN($F$1),FALSE))),VLOOKUP($C335,武器!$1:$998,COLUMN($O$1),FALSE)*VLOOKUP($D335,素材!$1:$1016,COLUMN($E$1),FALSE)/(LEN(VLOOKUP($D335,素材!$1:$1016,COLUMN($F$1),FALSE))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BF335">
        <f>IF(ISNUMBER(SEARCH(SUBSTITUTE(BF$1,RIGHT(BF$1,2),""),VLOOKUP($D335,素材!$1:$1016,COLUMN($F$1),FALSE))),VLOOKUP($C335,武器!$1:$998,COLUMN($O$1),FALSE)*VLOOKUP($D335,素材!$1:$1016,COLUMN($E$1),FALSE)/(LEN(VLOOKUP($D335,素材!$1:$1016,COLUMN($F$1),FALSE)) - LEN(SUBSTITUTE(VLOOKUP($D335,素材!$1:$1016,COLUMN($F$1),FALSE), "・", 0)) + 1), 0)</f>
        <v>0</v>
      </c>
      <c r="CM335">
        <f t="shared" si="39"/>
        <v>0</v>
      </c>
      <c r="CN335" s="22" t="str">
        <f>IF(E335="武器",IF(J335-1&gt;SUM(G335:I335),"盾",IF(MAX(G335:I335)=G335,"切断",IF(MAX(G335:I335)=H335,"貫通",IF(MAX(G335:I335)=I335,"打撃","射撃")))),E335)&amp;".webp"</f>
        <v>.webp</v>
      </c>
      <c r="CO335" t="str">
        <f>IFERROR(VLOOKUP($C335,武器!$1:$998,COLUMN(V$1),FALSE)*VLOOKUP($D335,素材!$1:$1016,COLUMN(N$1),FALSE)+IF(CJ335="",0,VLOOKUP($CJ335,装強!$1:$1008,COLUMN($CL$1),FALSE)),"")</f>
        <v/>
      </c>
      <c r="CP335" t="e">
        <f>VLOOKUP(D335,素材!$A:$O,COLUMN(素材!O$1),FALSE)</f>
        <v>#N/A</v>
      </c>
      <c r="CQ335" t="e">
        <f>VLOOKUP(C335,武器!$A:$W,COLUMN(武器!W$1),FALSE)</f>
        <v>#N/A</v>
      </c>
      <c r="CS335" t="str">
        <f>"e_"&amp;ROW(CS335)</f>
        <v>e_335</v>
      </c>
      <c r="CT335" t="e">
        <f>CO335*100</f>
        <v>#VALUE!</v>
      </c>
    </row>
    <row r="336" spans="1:98" hidden="1" outlineLevel="1" x14ac:dyDescent="0.4">
      <c r="A336" t="str">
        <f>IF(CJ336="",D336&amp;"の"&amp;C336,CJ336&amp;"の"&amp;C336)</f>
        <v>の</v>
      </c>
      <c r="B336" t="str">
        <f>IFERROR(IF(CJ336="",VLOOKUP($D336,素材!$1:$1016,COLUMN($B$1),FALSE)&amp;"・"&amp;VLOOKUP($C336,武器!$1:$998,COLUMN(B$1),FALSE),VLOOKUP($CJ336,装強!$1:$1008,COLUMN($B$1),FALSE)&amp;"・"&amp;VLOOKUP($C336,武器!$1:$998,COLUMN(B$1),FALSE)),"")</f>
        <v/>
      </c>
      <c r="C336" s="24"/>
      <c r="D336" s="24"/>
      <c r="E336" t="str">
        <f>IFERROR(VLOOKUP(C336,武器!$1:$998,COLUMN(C$1),FALSE),"")</f>
        <v/>
      </c>
      <c r="F336" t="str">
        <f>IFERROR(ROUNDDOWN((VLOOKUP($C336,武器!$1:$998,COLUMN(D$1),FALSE)+IFERROR(VLOOKUP($CJ336,装強!$1:$999,COLUMN(F$1),FALSE),0))*VLOOKUP($D336,素材!$1:$1016,COLUMN(D$1),FALSE),0),"")</f>
        <v/>
      </c>
      <c r="G336" t="str">
        <f>IFERROR(ROUNDDOWN((VLOOKUP($C336,武器!$1:$998,COLUMN(E$1),FALSE)+IFERROR(VLOOKUP($CJ336,装強!$1:$999,COLUMN(G$1),FALSE),0))*VLOOKUP($D336,素材!$1:$1016,COLUMN($E$1),FALSE),0),"")</f>
        <v/>
      </c>
      <c r="H336" t="str">
        <f>IFERROR(ROUNDDOWN((VLOOKUP($C336,武器!$1:$998,COLUMN(F$1),FALSE)+IFERROR(VLOOKUP($CJ336,装強!$1:$999,COLUMN(H$1),FALSE),0))*VLOOKUP($D336,素材!$1:$1016,COLUMN($E$1),FALSE),0),"")</f>
        <v/>
      </c>
      <c r="I336" t="str">
        <f>IFERROR(ROUNDDOWN((VLOOKUP($C336,武器!$1:$998,COLUMN(G$1),FALSE)+IFERROR(VLOOKUP($CJ336,装強!$1:$999,COLUMN(I$1),FALSE),0))*VLOOKUP($D336,素材!$1:$1016,COLUMN($E$1),FALSE),0),"")</f>
        <v/>
      </c>
      <c r="J336" t="str">
        <f>IFERROR(ROUNDDOWN((VLOOKUP($C336,武器!$1:$998,COLUMN(H$1),FALSE)+IFERROR(VLOOKUP($CJ336,装強!$1:$999,COLUMN(J$1),FALSE),0))*VLOOKUP($D336,素材!$1:$1016,COLUMN($E$1),FALSE),0),"")</f>
        <v/>
      </c>
      <c r="K336" t="str">
        <f>IFERROR(ROUNDDOWN((VLOOKUP($C336,武器!$1:$998,COLUMN(I$1),FALSE)+IFERROR(VLOOKUP($CJ336,装強!$1:$999,COLUMN(K$1),FALSE),0))*VLOOKUP($D336,素材!$1:$1016,COLUMN($E$1),FALSE),0),"")</f>
        <v/>
      </c>
      <c r="L336" t="str">
        <f>IFERROR(VLOOKUP($D336,素材!$1:$1016,COLUMN($F$1),FALSE),"")</f>
        <v/>
      </c>
      <c r="M336" t="str">
        <f>IFERROR(VLOOKUP($C336,武器!$1:$998,COLUMN(AA$1),FALSE)*VLOOKUP($D336,素材!$1:$1016,COLUMN($G$1),FALSE),"")</f>
        <v/>
      </c>
      <c r="N336" t="str">
        <f>IFERROR(VLOOKUP($C336,武器!$1:$998,COLUMN(I$1),FALSE),"")</f>
        <v/>
      </c>
      <c r="O336" s="23" t="str">
        <f>IFERROR((VLOOKUP($C336,武器!$1:$998,COLUMN(K$1),FALSE)+VLOOKUP($D336,素材!$1:$1016,COLUMN(H$1),FALSE))*100+IFERROR(VLOOKUP($CJ336,装強!$1:$999,COLUMN(O$1),FALSE),0),"")</f>
        <v/>
      </c>
      <c r="P336" s="23" t="str">
        <f>IFERROR((VLOOKUP($C336,武器!$1:$998,COLUMN(L$1),FALSE)+VLOOKUP($D336,素材!$1:$1016,COLUMN(I$1),FALSE))*100+IFERROR(VLOOKUP($CJ336,装強!$1:$999,COLUMN(P$1),FALSE),0),"")</f>
        <v/>
      </c>
      <c r="Q336" t="str">
        <f>IFERROR(ROUNDUP(VLOOKUP($C336,武器!$1:$998,COLUMN(M$1),FALSE)*(VLOOKUP($D336,素材!$1:$1002,COLUMN(D$1),FALSE)/100),1),"")</f>
        <v/>
      </c>
      <c r="R336" t="str">
        <f>IFERROR(ROUNDUP(VLOOKUP($C336,武器!$1:$998,COLUMN(N$1),FALSE)*(VLOOKUP($D336,素材!$1:$1002,COLUMN(D$1),FALSE)/100),1),"")</f>
        <v/>
      </c>
      <c r="S336" t="str">
        <f>IFERROR(VLOOKUP($C336,武器!$1:$998,COLUMN(P$1),FALSE),"")</f>
        <v/>
      </c>
      <c r="T336" t="str">
        <f>IFERROR(VLOOKUP($C336,武器!$1:$998,COLUMN(Q$1),FALSE),"")</f>
        <v/>
      </c>
      <c r="U336" t="str">
        <f>IFERROR(VLOOKUP($C336,武器!$1:$998,COLUMN(R$1),FALSE),"")</f>
        <v/>
      </c>
      <c r="V336" t="str">
        <f>IFERROR(VLOOKUP($C336,武器!$1:$998,COLUMN(Q$1),FALSE),"")</f>
        <v/>
      </c>
      <c r="W336" t="str">
        <f>IFERROR(VLOOKUP($C336,武器!$1:$998,COLUMN(T$1),FALSE),"")</f>
        <v/>
      </c>
      <c r="Y336" t="str">
        <f>IFERROR(VLOOKUP($C336,武器!$1:$998,COLUMN(U$1),FALSE),"")</f>
        <v/>
      </c>
      <c r="Z336" t="str">
        <f>IFERROR(ROUNDUP(VLOOKUP($C336,武器!$1:$998,COLUMN(O$1),FALSE)*VLOOKUP($D336,素材!$1:$1016,COLUMN(E$1),FALSE),1),"")</f>
        <v/>
      </c>
      <c r="AA336">
        <f>IF(ISNUMBER(SEARCH(SUBSTITUTE(AA$1,RIGHT(AA$1,2),""),VLOOKUP($D336,素材!$1:$1016,COLUMN($F$1),FALSE))),VLOOKUP($C336,武器!$1:$998,COLUMN($O$1),FALSE)*VLOOKUP($D336,素材!$1:$1016,COLUMN($E$1),FALSE)/(LEN(VLOOKUP($D336,素材!$1:$1016,COLUMN($F$1),FALSE))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B336">
        <f>IF(ISNUMBER(SEARCH(SUBSTITUTE(AB$1,RIGHT(AB$1,2),""),VLOOKUP($D336,素材!$1:$1016,COLUMN($F$1),FALSE))),VLOOKUP($C336,武器!$1:$998,COLUMN($O$1),FALSE)*VLOOKUP($D336,素材!$1:$1016,COLUMN($E$1),FALSE)/(LEN(VLOOKUP($D336,素材!$1:$1016,COLUMN($F$1),FALSE))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C336">
        <f>IF(ISNUMBER(SEARCH(SUBSTITUTE(AC$1,RIGHT(AC$1,2),""),VLOOKUP($D336,素材!$1:$1016,COLUMN($F$1),FALSE))),VLOOKUP($C336,武器!$1:$998,COLUMN($O$1),FALSE)*VLOOKUP($D336,素材!$1:$1016,COLUMN($E$1),FALSE)/(LEN(VLOOKUP($D336,素材!$1:$1016,COLUMN($F$1),FALSE))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D336">
        <f>IF(ISNUMBER(SEARCH(SUBSTITUTE(AD$1,RIGHT(AD$1,2),""),VLOOKUP($D336,素材!$1:$1016,COLUMN($F$1),FALSE))),VLOOKUP($C336,武器!$1:$998,COLUMN($O$1),FALSE)*VLOOKUP($D336,素材!$1:$1016,COLUMN($E$1),FALSE)/(LEN(VLOOKUP($D336,素材!$1:$1016,COLUMN($F$1),FALSE))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E336">
        <f>IF(ISNUMBER(SEARCH(SUBSTITUTE(AE$1,RIGHT(AE$1,2),""),VLOOKUP($D336,素材!$1:$1016,COLUMN($F$1),FALSE))),VLOOKUP($C336,武器!$1:$998,COLUMN($O$1),FALSE)*VLOOKUP($D336,素材!$1:$1016,COLUMN($E$1),FALSE)/(LEN(VLOOKUP($D336,素材!$1:$1016,COLUMN($F$1),FALSE))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F336">
        <f>IF(ISNUMBER(SEARCH(SUBSTITUTE(AF$1,RIGHT(AF$1,2),""),VLOOKUP($D336,素材!$1:$1016,COLUMN($F$1),FALSE))),VLOOKUP($C336,武器!$1:$998,COLUMN($O$1),FALSE)*VLOOKUP($D336,素材!$1:$1016,COLUMN($E$1),FALSE)/(LEN(VLOOKUP($D336,素材!$1:$1016,COLUMN($F$1),FALSE))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G336">
        <f>IF(ISNUMBER(SEARCH(SUBSTITUTE(AG$1,RIGHT(AG$1,2),""),VLOOKUP($D336,素材!$1:$1016,COLUMN($F$1),FALSE))),VLOOKUP($C336,武器!$1:$998,COLUMN($O$1),FALSE)*VLOOKUP($D336,素材!$1:$1016,COLUMN($E$1),FALSE)/(LEN(VLOOKUP($D336,素材!$1:$1016,COLUMN($F$1),FALSE))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H336">
        <f>IF(ISNUMBER(SEARCH(SUBSTITUTE(AH$1,RIGHT(AH$1,2),""),VLOOKUP($D336,素材!$1:$1016,COLUMN($F$1),FALSE))),VLOOKUP($C336,武器!$1:$998,COLUMN($O$1),FALSE)*VLOOKUP($D336,素材!$1:$1016,COLUMN($E$1),FALSE)/(LEN(VLOOKUP($D336,素材!$1:$1016,COLUMN($F$1),FALSE))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I336">
        <f>IF(ISNUMBER(SEARCH(SUBSTITUTE(AI$1,RIGHT(AI$1,2),""),VLOOKUP($D336,素材!$1:$1016,COLUMN($F$1),FALSE))),VLOOKUP($C336,武器!$1:$998,COLUMN($O$1),FALSE)*VLOOKUP($D336,素材!$1:$1016,COLUMN($E$1),FALSE)/(LEN(VLOOKUP($D336,素材!$1:$1016,COLUMN($F$1),FALSE))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J336">
        <f>IF(ISNUMBER(SEARCH(SUBSTITUTE(AJ$1,RIGHT(AJ$1,2),""),VLOOKUP($D336,素材!$1:$1016,COLUMN($F$1),FALSE))),VLOOKUP($C336,武器!$1:$998,COLUMN($O$1),FALSE)*VLOOKUP($D336,素材!$1:$1016,COLUMN($E$1),FALSE)/(LEN(VLOOKUP($D336,素材!$1:$1016,COLUMN($F$1),FALSE))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K336">
        <f>IF(ISNUMBER(SEARCH(SUBSTITUTE(AK$1,RIGHT(AK$1,2),""),VLOOKUP($D336,素材!$1:$1016,COLUMN($F$1),FALSE))),VLOOKUP($C336,武器!$1:$998,COLUMN($O$1),FALSE)*VLOOKUP($D336,素材!$1:$1016,COLUMN($E$1),FALSE)/(LEN(VLOOKUP($D336,素材!$1:$1016,COLUMN($F$1),FALSE))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L336">
        <f>IF(ISNUMBER(SEARCH(SUBSTITUTE(AL$1,RIGHT(AL$1,2),""),VLOOKUP($D336,素材!$1:$1016,COLUMN($F$1),FALSE))),VLOOKUP($C336,武器!$1:$998,COLUMN($O$1),FALSE)*VLOOKUP($D336,素材!$1:$1016,COLUMN($E$1),FALSE)/(LEN(VLOOKUP($D336,素材!$1:$1016,COLUMN($F$1),FALSE))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M336">
        <f>IF(ISNUMBER(SEARCH(SUBSTITUTE(AM$1,RIGHT(AM$1,2),""),VLOOKUP($D336,素材!$1:$1016,COLUMN($F$1),FALSE))),VLOOKUP($C336,武器!$1:$998,COLUMN($O$1),FALSE)*VLOOKUP($D336,素材!$1:$1016,COLUMN($E$1),FALSE)/(LEN(VLOOKUP($D336,素材!$1:$1016,COLUMN($F$1),FALSE))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N336">
        <f>IF(ISNUMBER(SEARCH(SUBSTITUTE(AN$1,RIGHT(AN$1,2),""),VLOOKUP($D336,素材!$1:$1016,COLUMN($F$1),FALSE))),VLOOKUP($C336,武器!$1:$998,COLUMN($O$1),FALSE)*VLOOKUP($D336,素材!$1:$1016,COLUMN($E$1),FALSE)/(LEN(VLOOKUP($D336,素材!$1:$1016,COLUMN($F$1),FALSE))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O336">
        <f>IF(ISNUMBER(SEARCH(SUBSTITUTE(AO$1,RIGHT(AO$1,2),""),VLOOKUP($D336,素材!$1:$1016,COLUMN($F$1),FALSE))),VLOOKUP($C336,武器!$1:$998,COLUMN($O$1),FALSE)*VLOOKUP($D336,素材!$1:$1016,COLUMN($E$1),FALSE)/(LEN(VLOOKUP($D336,素材!$1:$1016,COLUMN($F$1),FALSE))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P336">
        <f>IF(ISNUMBER(SEARCH(SUBSTITUTE(AP$1,RIGHT(AP$1,2),""),VLOOKUP($D336,素材!$1:$1016,COLUMN($F$1),FALSE))),VLOOKUP($C336,武器!$1:$998,COLUMN($O$1),FALSE)*VLOOKUP($D336,素材!$1:$1016,COLUMN($E$1),FALSE)/(LEN(VLOOKUP($D336,素材!$1:$1016,COLUMN($F$1),FALSE))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Q336">
        <f>IF(ISNUMBER(SEARCH(SUBSTITUTE(AQ$1,RIGHT(AQ$1,2),""),VLOOKUP($D336,素材!$1:$1016,COLUMN($F$1),FALSE))),VLOOKUP($C336,武器!$1:$998,COLUMN($O$1),FALSE)*VLOOKUP($D336,素材!$1:$1016,COLUMN($E$1),FALSE)/(LEN(VLOOKUP($D336,素材!$1:$1016,COLUMN($F$1),FALSE))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R336">
        <f>IF(ISNUMBER(SEARCH(SUBSTITUTE(AR$1,RIGHT(AR$1,2),""),VLOOKUP($D336,素材!$1:$1016,COLUMN($F$1),FALSE))),VLOOKUP($C336,武器!$1:$998,COLUMN($O$1),FALSE)*VLOOKUP($D336,素材!$1:$1016,COLUMN($E$1),FALSE)/(LEN(VLOOKUP($D336,素材!$1:$1016,COLUMN($F$1),FALSE))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S336">
        <f>IF(ISNUMBER(SEARCH(SUBSTITUTE(AS$1,RIGHT(AS$1,2),""),VLOOKUP($D336,素材!$1:$1016,COLUMN($F$1),FALSE))),VLOOKUP($C336,武器!$1:$998,COLUMN($O$1),FALSE)*VLOOKUP($D336,素材!$1:$1016,COLUMN($E$1),FALSE)/(LEN(VLOOKUP($D336,素材!$1:$1016,COLUMN($F$1),FALSE))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T336">
        <f>IF(ISNUMBER(SEARCH(SUBSTITUTE(AT$1,RIGHT(AT$1,2),""),VLOOKUP($D336,素材!$1:$1016,COLUMN($F$1),FALSE))),VLOOKUP($C336,武器!$1:$998,COLUMN($O$1),FALSE)*VLOOKUP($D336,素材!$1:$1016,COLUMN($E$1),FALSE)/(LEN(VLOOKUP($D336,素材!$1:$1016,COLUMN($F$1),FALSE))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U336">
        <f>IF(ISNUMBER(SEARCH(SUBSTITUTE(AU$1,RIGHT(AU$1,2),""),VLOOKUP($D336,素材!$1:$1016,COLUMN($F$1),FALSE))),VLOOKUP($C336,武器!$1:$998,COLUMN($O$1),FALSE)*VLOOKUP($D336,素材!$1:$1016,COLUMN($E$1),FALSE)/(LEN(VLOOKUP($D336,素材!$1:$1016,COLUMN($F$1),FALSE))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V336">
        <f>IF(ISNUMBER(SEARCH(SUBSTITUTE(AV$1,RIGHT(AV$1,2),""),VLOOKUP($D336,素材!$1:$1016,COLUMN($F$1),FALSE))),VLOOKUP($C336,武器!$1:$998,COLUMN($O$1),FALSE)*VLOOKUP($D336,素材!$1:$1016,COLUMN($E$1),FALSE)/(LEN(VLOOKUP($D336,素材!$1:$1016,COLUMN($F$1),FALSE))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W336">
        <f>IF(ISNUMBER(SEARCH(SUBSTITUTE(AW$1,RIGHT(AW$1,2),""),VLOOKUP($D336,素材!$1:$1016,COLUMN($F$1),FALSE))),VLOOKUP($C336,武器!$1:$998,COLUMN($O$1),FALSE)*VLOOKUP($D336,素材!$1:$1016,COLUMN($E$1),FALSE)/(LEN(VLOOKUP($D336,素材!$1:$1016,COLUMN($F$1),FALSE))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X336">
        <f>IF(ISNUMBER(SEARCH(SUBSTITUTE(AX$1,RIGHT(AX$1,2),""),VLOOKUP($D336,素材!$1:$1016,COLUMN($F$1),FALSE))),VLOOKUP($C336,武器!$1:$998,COLUMN($O$1),FALSE)*VLOOKUP($D336,素材!$1:$1016,COLUMN($E$1),FALSE)/(LEN(VLOOKUP($D336,素材!$1:$1016,COLUMN($F$1),FALSE))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Y336">
        <f>IF(ISNUMBER(SEARCH(SUBSTITUTE(AY$1,RIGHT(AY$1,2),""),VLOOKUP($D336,素材!$1:$1016,COLUMN($F$1),FALSE))),VLOOKUP($C336,武器!$1:$998,COLUMN($O$1),FALSE)*VLOOKUP($D336,素材!$1:$1016,COLUMN($E$1),FALSE)/(LEN(VLOOKUP($D336,素材!$1:$1016,COLUMN($F$1),FALSE))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AZ336">
        <f>IF(ISNUMBER(SEARCH(SUBSTITUTE(AZ$1,RIGHT(AZ$1,2),""),VLOOKUP($D336,素材!$1:$1016,COLUMN($F$1),FALSE))),VLOOKUP($C336,武器!$1:$998,COLUMN($O$1),FALSE)*VLOOKUP($D336,素材!$1:$1016,COLUMN($E$1),FALSE)/(LEN(VLOOKUP($D336,素材!$1:$1016,COLUMN($F$1),FALSE))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BA336">
        <f>IF(ISNUMBER(SEARCH(SUBSTITUTE(BA$1,RIGHT(BA$1,2),""),VLOOKUP($D336,素材!$1:$1016,COLUMN($F$1),FALSE))),VLOOKUP($C336,武器!$1:$998,COLUMN($O$1),FALSE)*VLOOKUP($D336,素材!$1:$1016,COLUMN($E$1),FALSE)/(LEN(VLOOKUP($D336,素材!$1:$1016,COLUMN($F$1),FALSE))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BB336">
        <f>IF(ISNUMBER(SEARCH(SUBSTITUTE(BB$1,RIGHT(BB$1,2),""),VLOOKUP($D336,素材!$1:$1016,COLUMN($F$1),FALSE))),VLOOKUP($C336,武器!$1:$998,COLUMN($O$1),FALSE)*VLOOKUP($D336,素材!$1:$1016,COLUMN($E$1),FALSE)/(LEN(VLOOKUP($D336,素材!$1:$1016,COLUMN($F$1),FALSE))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BC336">
        <f>IF(ISNUMBER(SEARCH(SUBSTITUTE(BC$1,RIGHT(BC$1,2),""),VLOOKUP($D336,素材!$1:$1016,COLUMN($F$1),FALSE))),VLOOKUP($C336,武器!$1:$998,COLUMN($O$1),FALSE)*VLOOKUP($D336,素材!$1:$1016,COLUMN($E$1),FALSE)/(LEN(VLOOKUP($D336,素材!$1:$1016,COLUMN($F$1),FALSE))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BD336">
        <f>IF(ISNUMBER(SEARCH(SUBSTITUTE(BD$1,RIGHT(BD$1,2),""),VLOOKUP($D336,素材!$1:$1016,COLUMN($F$1),FALSE))),VLOOKUP($C336,武器!$1:$998,COLUMN($O$1),FALSE)*VLOOKUP($D336,素材!$1:$1016,COLUMN($E$1),FALSE)/(LEN(VLOOKUP($D336,素材!$1:$1016,COLUMN($F$1),FALSE))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BE336">
        <f>IF(ISNUMBER(SEARCH(SUBSTITUTE(BE$1,RIGHT(BE$1,2),""),VLOOKUP($D336,素材!$1:$1016,COLUMN($F$1),FALSE))),VLOOKUP($C336,武器!$1:$998,COLUMN($O$1),FALSE)*VLOOKUP($D336,素材!$1:$1016,COLUMN($E$1),FALSE)/(LEN(VLOOKUP($D336,素材!$1:$1016,COLUMN($F$1),FALSE))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BF336">
        <f>IF(ISNUMBER(SEARCH(SUBSTITUTE(BF$1,RIGHT(BF$1,2),""),VLOOKUP($D336,素材!$1:$1016,COLUMN($F$1),FALSE))),VLOOKUP($C336,武器!$1:$998,COLUMN($O$1),FALSE)*VLOOKUP($D336,素材!$1:$1016,COLUMN($E$1),FALSE)/(LEN(VLOOKUP($D336,素材!$1:$1016,COLUMN($F$1),FALSE)) - LEN(SUBSTITUTE(VLOOKUP($D336,素材!$1:$1016,COLUMN($F$1),FALSE), "・", 0)) + 1), 0)</f>
        <v>0</v>
      </c>
      <c r="CM336">
        <f t="shared" si="39"/>
        <v>0</v>
      </c>
      <c r="CN336" s="22" t="str">
        <f>IF(E336="武器",IF(J336-1&gt;SUM(G336:I336),"盾",IF(MAX(G336:I336)=G336,"切断",IF(MAX(G336:I336)=H336,"貫通",IF(MAX(G336:I336)=I336,"打撃","射撃")))),E336)&amp;".webp"</f>
        <v>.webp</v>
      </c>
      <c r="CO336" t="str">
        <f>IFERROR(VLOOKUP($C336,武器!$1:$998,COLUMN(V$1),FALSE)*VLOOKUP($D336,素材!$1:$1016,COLUMN(N$1),FALSE)+IF(CJ336="",0,VLOOKUP($CJ336,装強!$1:$1008,COLUMN($CL$1),FALSE)),"")</f>
        <v/>
      </c>
      <c r="CP336" t="e">
        <f>VLOOKUP(D336,素材!$A:$O,COLUMN(素材!O$1),FALSE)</f>
        <v>#N/A</v>
      </c>
      <c r="CQ336" t="e">
        <f>VLOOKUP(C336,武器!$A:$W,COLUMN(武器!W$1),FALSE)</f>
        <v>#N/A</v>
      </c>
      <c r="CS336" t="str">
        <f>"e_"&amp;ROW(CS336)</f>
        <v>e_336</v>
      </c>
      <c r="CT336" t="e">
        <f>CO336*100</f>
        <v>#VALUE!</v>
      </c>
    </row>
    <row r="337" spans="1:98" hidden="1" outlineLevel="1" x14ac:dyDescent="0.4">
      <c r="A337" t="str">
        <f>IF(CJ337="",D337&amp;"の"&amp;C337,CJ337&amp;"の"&amp;C337)</f>
        <v>の</v>
      </c>
      <c r="B337" t="str">
        <f>IFERROR(IF(CJ337="",VLOOKUP($D337,素材!$1:$1016,COLUMN($B$1),FALSE)&amp;"・"&amp;VLOOKUP($C337,武器!$1:$998,COLUMN(B$1),FALSE),VLOOKUP($CJ337,装強!$1:$1008,COLUMN($B$1),FALSE)&amp;"・"&amp;VLOOKUP($C337,武器!$1:$998,COLUMN(B$1),FALSE)),"")</f>
        <v/>
      </c>
      <c r="C337" s="24"/>
      <c r="D337" s="24"/>
      <c r="E337" t="str">
        <f>IFERROR(VLOOKUP(C337,武器!$1:$998,COLUMN(C$1),FALSE),"")</f>
        <v/>
      </c>
      <c r="F337" t="str">
        <f>IFERROR(ROUNDDOWN((VLOOKUP($C337,武器!$1:$998,COLUMN(D$1),FALSE)+IFERROR(VLOOKUP($CJ337,装強!$1:$999,COLUMN(F$1),FALSE),0))*VLOOKUP($D337,素材!$1:$1016,COLUMN(D$1),FALSE),0),"")</f>
        <v/>
      </c>
      <c r="G337" t="str">
        <f>IFERROR(ROUNDDOWN((VLOOKUP($C337,武器!$1:$998,COLUMN(E$1),FALSE)+IFERROR(VLOOKUP($CJ337,装強!$1:$999,COLUMN(G$1),FALSE),0))*VLOOKUP($D337,素材!$1:$1016,COLUMN($E$1),FALSE),0),"")</f>
        <v/>
      </c>
      <c r="H337" t="str">
        <f>IFERROR(ROUNDDOWN((VLOOKUP($C337,武器!$1:$998,COLUMN(F$1),FALSE)+IFERROR(VLOOKUP($CJ337,装強!$1:$999,COLUMN(H$1),FALSE),0))*VLOOKUP($D337,素材!$1:$1016,COLUMN($E$1),FALSE),0),"")</f>
        <v/>
      </c>
      <c r="I337" t="str">
        <f>IFERROR(ROUNDDOWN((VLOOKUP($C337,武器!$1:$998,COLUMN(G$1),FALSE)+IFERROR(VLOOKUP($CJ337,装強!$1:$999,COLUMN(I$1),FALSE),0))*VLOOKUP($D337,素材!$1:$1016,COLUMN($E$1),FALSE),0),"")</f>
        <v/>
      </c>
      <c r="J337" t="str">
        <f>IFERROR(ROUNDDOWN((VLOOKUP($C337,武器!$1:$998,COLUMN(H$1),FALSE)+IFERROR(VLOOKUP($CJ337,装強!$1:$999,COLUMN(J$1),FALSE),0))*VLOOKUP($D337,素材!$1:$1016,COLUMN($E$1),FALSE),0),"")</f>
        <v/>
      </c>
      <c r="K337" t="str">
        <f>IFERROR(ROUNDDOWN((VLOOKUP($C337,武器!$1:$998,COLUMN(I$1),FALSE)+IFERROR(VLOOKUP($CJ337,装強!$1:$999,COLUMN(K$1),FALSE),0))*VLOOKUP($D337,素材!$1:$1016,COLUMN($E$1),FALSE),0),"")</f>
        <v/>
      </c>
      <c r="L337" t="str">
        <f>IFERROR(VLOOKUP($D337,素材!$1:$1016,COLUMN($F$1),FALSE),"")</f>
        <v/>
      </c>
      <c r="M337" t="str">
        <f>IFERROR(VLOOKUP($C337,武器!$1:$998,COLUMN(AA$1),FALSE)*VLOOKUP($D337,素材!$1:$1016,COLUMN($G$1),FALSE),"")</f>
        <v/>
      </c>
      <c r="N337" t="str">
        <f>IFERROR(VLOOKUP($C337,武器!$1:$998,COLUMN(I$1),FALSE),"")</f>
        <v/>
      </c>
      <c r="O337" s="23" t="str">
        <f>IFERROR((VLOOKUP($C337,武器!$1:$998,COLUMN(K$1),FALSE)+VLOOKUP($D337,素材!$1:$1016,COLUMN(H$1),FALSE))*100+IFERROR(VLOOKUP($CJ337,装強!$1:$999,COLUMN(O$1),FALSE),0),"")</f>
        <v/>
      </c>
      <c r="P337" s="23" t="str">
        <f>IFERROR((VLOOKUP($C337,武器!$1:$998,COLUMN(L$1),FALSE)+VLOOKUP($D337,素材!$1:$1016,COLUMN(I$1),FALSE))*100+IFERROR(VLOOKUP($CJ337,装強!$1:$999,COLUMN(P$1),FALSE),0),"")</f>
        <v/>
      </c>
      <c r="Q337" t="str">
        <f>IFERROR(ROUNDUP(VLOOKUP($C337,武器!$1:$998,COLUMN(M$1),FALSE)*(VLOOKUP($D337,素材!$1:$1002,COLUMN(D$1),FALSE)/100),1),"")</f>
        <v/>
      </c>
      <c r="R337" t="str">
        <f>IFERROR(ROUNDUP(VLOOKUP($C337,武器!$1:$998,COLUMN(N$1),FALSE)*(VLOOKUP($D337,素材!$1:$1002,COLUMN(D$1),FALSE)/100),1),"")</f>
        <v/>
      </c>
      <c r="S337" t="str">
        <f>IFERROR(VLOOKUP($C337,武器!$1:$998,COLUMN(P$1),FALSE),"")</f>
        <v/>
      </c>
      <c r="T337" t="str">
        <f>IFERROR(VLOOKUP($C337,武器!$1:$998,COLUMN(Q$1),FALSE),"")</f>
        <v/>
      </c>
      <c r="U337" t="str">
        <f>IFERROR(VLOOKUP($C337,武器!$1:$998,COLUMN(R$1),FALSE),"")</f>
        <v/>
      </c>
      <c r="V337" t="str">
        <f>IFERROR(VLOOKUP($C337,武器!$1:$998,COLUMN(Q$1),FALSE),"")</f>
        <v/>
      </c>
      <c r="W337" t="str">
        <f>IFERROR(VLOOKUP($C337,武器!$1:$998,COLUMN(T$1),FALSE),"")</f>
        <v/>
      </c>
      <c r="Y337" t="str">
        <f>IFERROR(VLOOKUP($C337,武器!$1:$998,COLUMN(U$1),FALSE),"")</f>
        <v/>
      </c>
      <c r="Z337" t="str">
        <f>IFERROR(ROUNDUP(VLOOKUP($C337,武器!$1:$998,COLUMN(O$1),FALSE)*VLOOKUP($D337,素材!$1:$1016,COLUMN(E$1),FALSE),1),"")</f>
        <v/>
      </c>
      <c r="AA337">
        <f>IF(ISNUMBER(SEARCH(SUBSTITUTE(AA$1,RIGHT(AA$1,2),""),VLOOKUP($D337,素材!$1:$1016,COLUMN($F$1),FALSE))),VLOOKUP($C337,武器!$1:$998,COLUMN($O$1),FALSE)*VLOOKUP($D337,素材!$1:$1016,COLUMN($E$1),FALSE)/(LEN(VLOOKUP($D337,素材!$1:$1016,COLUMN($F$1),FALSE))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B337">
        <f>IF(ISNUMBER(SEARCH(SUBSTITUTE(AB$1,RIGHT(AB$1,2),""),VLOOKUP($D337,素材!$1:$1016,COLUMN($F$1),FALSE))),VLOOKUP($C337,武器!$1:$998,COLUMN($O$1),FALSE)*VLOOKUP($D337,素材!$1:$1016,COLUMN($E$1),FALSE)/(LEN(VLOOKUP($D337,素材!$1:$1016,COLUMN($F$1),FALSE))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C337">
        <f>IF(ISNUMBER(SEARCH(SUBSTITUTE(AC$1,RIGHT(AC$1,2),""),VLOOKUP($D337,素材!$1:$1016,COLUMN($F$1),FALSE))),VLOOKUP($C337,武器!$1:$998,COLUMN($O$1),FALSE)*VLOOKUP($D337,素材!$1:$1016,COLUMN($E$1),FALSE)/(LEN(VLOOKUP($D337,素材!$1:$1016,COLUMN($F$1),FALSE))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D337">
        <f>IF(ISNUMBER(SEARCH(SUBSTITUTE(AD$1,RIGHT(AD$1,2),""),VLOOKUP($D337,素材!$1:$1016,COLUMN($F$1),FALSE))),VLOOKUP($C337,武器!$1:$998,COLUMN($O$1),FALSE)*VLOOKUP($D337,素材!$1:$1016,COLUMN($E$1),FALSE)/(LEN(VLOOKUP($D337,素材!$1:$1016,COLUMN($F$1),FALSE))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E337">
        <f>IF(ISNUMBER(SEARCH(SUBSTITUTE(AE$1,RIGHT(AE$1,2),""),VLOOKUP($D337,素材!$1:$1016,COLUMN($F$1),FALSE))),VLOOKUP($C337,武器!$1:$998,COLUMN($O$1),FALSE)*VLOOKUP($D337,素材!$1:$1016,COLUMN($E$1),FALSE)/(LEN(VLOOKUP($D337,素材!$1:$1016,COLUMN($F$1),FALSE))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F337">
        <f>IF(ISNUMBER(SEARCH(SUBSTITUTE(AF$1,RIGHT(AF$1,2),""),VLOOKUP($D337,素材!$1:$1016,COLUMN($F$1),FALSE))),VLOOKUP($C337,武器!$1:$998,COLUMN($O$1),FALSE)*VLOOKUP($D337,素材!$1:$1016,COLUMN($E$1),FALSE)/(LEN(VLOOKUP($D337,素材!$1:$1016,COLUMN($F$1),FALSE))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G337">
        <f>IF(ISNUMBER(SEARCH(SUBSTITUTE(AG$1,RIGHT(AG$1,2),""),VLOOKUP($D337,素材!$1:$1016,COLUMN($F$1),FALSE))),VLOOKUP($C337,武器!$1:$998,COLUMN($O$1),FALSE)*VLOOKUP($D337,素材!$1:$1016,COLUMN($E$1),FALSE)/(LEN(VLOOKUP($D337,素材!$1:$1016,COLUMN($F$1),FALSE))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H337">
        <f>IF(ISNUMBER(SEARCH(SUBSTITUTE(AH$1,RIGHT(AH$1,2),""),VLOOKUP($D337,素材!$1:$1016,COLUMN($F$1),FALSE))),VLOOKUP($C337,武器!$1:$998,COLUMN($O$1),FALSE)*VLOOKUP($D337,素材!$1:$1016,COLUMN($E$1),FALSE)/(LEN(VLOOKUP($D337,素材!$1:$1016,COLUMN($F$1),FALSE))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I337">
        <f>IF(ISNUMBER(SEARCH(SUBSTITUTE(AI$1,RIGHT(AI$1,2),""),VLOOKUP($D337,素材!$1:$1016,COLUMN($F$1),FALSE))),VLOOKUP($C337,武器!$1:$998,COLUMN($O$1),FALSE)*VLOOKUP($D337,素材!$1:$1016,COLUMN($E$1),FALSE)/(LEN(VLOOKUP($D337,素材!$1:$1016,COLUMN($F$1),FALSE))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J337">
        <f>IF(ISNUMBER(SEARCH(SUBSTITUTE(AJ$1,RIGHT(AJ$1,2),""),VLOOKUP($D337,素材!$1:$1016,COLUMN($F$1),FALSE))),VLOOKUP($C337,武器!$1:$998,COLUMN($O$1),FALSE)*VLOOKUP($D337,素材!$1:$1016,COLUMN($E$1),FALSE)/(LEN(VLOOKUP($D337,素材!$1:$1016,COLUMN($F$1),FALSE))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K337">
        <f>IF(ISNUMBER(SEARCH(SUBSTITUTE(AK$1,RIGHT(AK$1,2),""),VLOOKUP($D337,素材!$1:$1016,COLUMN($F$1),FALSE))),VLOOKUP($C337,武器!$1:$998,COLUMN($O$1),FALSE)*VLOOKUP($D337,素材!$1:$1016,COLUMN($E$1),FALSE)/(LEN(VLOOKUP($D337,素材!$1:$1016,COLUMN($F$1),FALSE))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L337">
        <f>IF(ISNUMBER(SEARCH(SUBSTITUTE(AL$1,RIGHT(AL$1,2),""),VLOOKUP($D337,素材!$1:$1016,COLUMN($F$1),FALSE))),VLOOKUP($C337,武器!$1:$998,COLUMN($O$1),FALSE)*VLOOKUP($D337,素材!$1:$1016,COLUMN($E$1),FALSE)/(LEN(VLOOKUP($D337,素材!$1:$1016,COLUMN($F$1),FALSE))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M337">
        <f>IF(ISNUMBER(SEARCH(SUBSTITUTE(AM$1,RIGHT(AM$1,2),""),VLOOKUP($D337,素材!$1:$1016,COLUMN($F$1),FALSE))),VLOOKUP($C337,武器!$1:$998,COLUMN($O$1),FALSE)*VLOOKUP($D337,素材!$1:$1016,COLUMN($E$1),FALSE)/(LEN(VLOOKUP($D337,素材!$1:$1016,COLUMN($F$1),FALSE))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N337">
        <f>IF(ISNUMBER(SEARCH(SUBSTITUTE(AN$1,RIGHT(AN$1,2),""),VLOOKUP($D337,素材!$1:$1016,COLUMN($F$1),FALSE))),VLOOKUP($C337,武器!$1:$998,COLUMN($O$1),FALSE)*VLOOKUP($D337,素材!$1:$1016,COLUMN($E$1),FALSE)/(LEN(VLOOKUP($D337,素材!$1:$1016,COLUMN($F$1),FALSE))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O337">
        <f>IF(ISNUMBER(SEARCH(SUBSTITUTE(AO$1,RIGHT(AO$1,2),""),VLOOKUP($D337,素材!$1:$1016,COLUMN($F$1),FALSE))),VLOOKUP($C337,武器!$1:$998,COLUMN($O$1),FALSE)*VLOOKUP($D337,素材!$1:$1016,COLUMN($E$1),FALSE)/(LEN(VLOOKUP($D337,素材!$1:$1016,COLUMN($F$1),FALSE))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P337">
        <f>IF(ISNUMBER(SEARCH(SUBSTITUTE(AP$1,RIGHT(AP$1,2),""),VLOOKUP($D337,素材!$1:$1016,COLUMN($F$1),FALSE))),VLOOKUP($C337,武器!$1:$998,COLUMN($O$1),FALSE)*VLOOKUP($D337,素材!$1:$1016,COLUMN($E$1),FALSE)/(LEN(VLOOKUP($D337,素材!$1:$1016,COLUMN($F$1),FALSE))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Q337">
        <f>IF(ISNUMBER(SEARCH(SUBSTITUTE(AQ$1,RIGHT(AQ$1,2),""),VLOOKUP($D337,素材!$1:$1016,COLUMN($F$1),FALSE))),VLOOKUP($C337,武器!$1:$998,COLUMN($O$1),FALSE)*VLOOKUP($D337,素材!$1:$1016,COLUMN($E$1),FALSE)/(LEN(VLOOKUP($D337,素材!$1:$1016,COLUMN($F$1),FALSE))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R337">
        <f>IF(ISNUMBER(SEARCH(SUBSTITUTE(AR$1,RIGHT(AR$1,2),""),VLOOKUP($D337,素材!$1:$1016,COLUMN($F$1),FALSE))),VLOOKUP($C337,武器!$1:$998,COLUMN($O$1),FALSE)*VLOOKUP($D337,素材!$1:$1016,COLUMN($E$1),FALSE)/(LEN(VLOOKUP($D337,素材!$1:$1016,COLUMN($F$1),FALSE))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S337">
        <f>IF(ISNUMBER(SEARCH(SUBSTITUTE(AS$1,RIGHT(AS$1,2),""),VLOOKUP($D337,素材!$1:$1016,COLUMN($F$1),FALSE))),VLOOKUP($C337,武器!$1:$998,COLUMN($O$1),FALSE)*VLOOKUP($D337,素材!$1:$1016,COLUMN($E$1),FALSE)/(LEN(VLOOKUP($D337,素材!$1:$1016,COLUMN($F$1),FALSE))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T337">
        <f>IF(ISNUMBER(SEARCH(SUBSTITUTE(AT$1,RIGHT(AT$1,2),""),VLOOKUP($D337,素材!$1:$1016,COLUMN($F$1),FALSE))),VLOOKUP($C337,武器!$1:$998,COLUMN($O$1),FALSE)*VLOOKUP($D337,素材!$1:$1016,COLUMN($E$1),FALSE)/(LEN(VLOOKUP($D337,素材!$1:$1016,COLUMN($F$1),FALSE))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U337">
        <f>IF(ISNUMBER(SEARCH(SUBSTITUTE(AU$1,RIGHT(AU$1,2),""),VLOOKUP($D337,素材!$1:$1016,COLUMN($F$1),FALSE))),VLOOKUP($C337,武器!$1:$998,COLUMN($O$1),FALSE)*VLOOKUP($D337,素材!$1:$1016,COLUMN($E$1),FALSE)/(LEN(VLOOKUP($D337,素材!$1:$1016,COLUMN($F$1),FALSE))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V337">
        <f>IF(ISNUMBER(SEARCH(SUBSTITUTE(AV$1,RIGHT(AV$1,2),""),VLOOKUP($D337,素材!$1:$1016,COLUMN($F$1),FALSE))),VLOOKUP($C337,武器!$1:$998,COLUMN($O$1),FALSE)*VLOOKUP($D337,素材!$1:$1016,COLUMN($E$1),FALSE)/(LEN(VLOOKUP($D337,素材!$1:$1016,COLUMN($F$1),FALSE))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W337">
        <f>IF(ISNUMBER(SEARCH(SUBSTITUTE(AW$1,RIGHT(AW$1,2),""),VLOOKUP($D337,素材!$1:$1016,COLUMN($F$1),FALSE))),VLOOKUP($C337,武器!$1:$998,COLUMN($O$1),FALSE)*VLOOKUP($D337,素材!$1:$1016,COLUMN($E$1),FALSE)/(LEN(VLOOKUP($D337,素材!$1:$1016,COLUMN($F$1),FALSE))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X337">
        <f>IF(ISNUMBER(SEARCH(SUBSTITUTE(AX$1,RIGHT(AX$1,2),""),VLOOKUP($D337,素材!$1:$1016,COLUMN($F$1),FALSE))),VLOOKUP($C337,武器!$1:$998,COLUMN($O$1),FALSE)*VLOOKUP($D337,素材!$1:$1016,COLUMN($E$1),FALSE)/(LEN(VLOOKUP($D337,素材!$1:$1016,COLUMN($F$1),FALSE))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Y337">
        <f>IF(ISNUMBER(SEARCH(SUBSTITUTE(AY$1,RIGHT(AY$1,2),""),VLOOKUP($D337,素材!$1:$1016,COLUMN($F$1),FALSE))),VLOOKUP($C337,武器!$1:$998,COLUMN($O$1),FALSE)*VLOOKUP($D337,素材!$1:$1016,COLUMN($E$1),FALSE)/(LEN(VLOOKUP($D337,素材!$1:$1016,COLUMN($F$1),FALSE))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AZ337">
        <f>IF(ISNUMBER(SEARCH(SUBSTITUTE(AZ$1,RIGHT(AZ$1,2),""),VLOOKUP($D337,素材!$1:$1016,COLUMN($F$1),FALSE))),VLOOKUP($C337,武器!$1:$998,COLUMN($O$1),FALSE)*VLOOKUP($D337,素材!$1:$1016,COLUMN($E$1),FALSE)/(LEN(VLOOKUP($D337,素材!$1:$1016,COLUMN($F$1),FALSE))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BA337">
        <f>IF(ISNUMBER(SEARCH(SUBSTITUTE(BA$1,RIGHT(BA$1,2),""),VLOOKUP($D337,素材!$1:$1016,COLUMN($F$1),FALSE))),VLOOKUP($C337,武器!$1:$998,COLUMN($O$1),FALSE)*VLOOKUP($D337,素材!$1:$1016,COLUMN($E$1),FALSE)/(LEN(VLOOKUP($D337,素材!$1:$1016,COLUMN($F$1),FALSE))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BB337">
        <f>IF(ISNUMBER(SEARCH(SUBSTITUTE(BB$1,RIGHT(BB$1,2),""),VLOOKUP($D337,素材!$1:$1016,COLUMN($F$1),FALSE))),VLOOKUP($C337,武器!$1:$998,COLUMN($O$1),FALSE)*VLOOKUP($D337,素材!$1:$1016,COLUMN($E$1),FALSE)/(LEN(VLOOKUP($D337,素材!$1:$1016,COLUMN($F$1),FALSE))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BC337">
        <f>IF(ISNUMBER(SEARCH(SUBSTITUTE(BC$1,RIGHT(BC$1,2),""),VLOOKUP($D337,素材!$1:$1016,COLUMN($F$1),FALSE))),VLOOKUP($C337,武器!$1:$998,COLUMN($O$1),FALSE)*VLOOKUP($D337,素材!$1:$1016,COLUMN($E$1),FALSE)/(LEN(VLOOKUP($D337,素材!$1:$1016,COLUMN($F$1),FALSE))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BD337">
        <f>IF(ISNUMBER(SEARCH(SUBSTITUTE(BD$1,RIGHT(BD$1,2),""),VLOOKUP($D337,素材!$1:$1016,COLUMN($F$1),FALSE))),VLOOKUP($C337,武器!$1:$998,COLUMN($O$1),FALSE)*VLOOKUP($D337,素材!$1:$1016,COLUMN($E$1),FALSE)/(LEN(VLOOKUP($D337,素材!$1:$1016,COLUMN($F$1),FALSE))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BE337">
        <f>IF(ISNUMBER(SEARCH(SUBSTITUTE(BE$1,RIGHT(BE$1,2),""),VLOOKUP($D337,素材!$1:$1016,COLUMN($F$1),FALSE))),VLOOKUP($C337,武器!$1:$998,COLUMN($O$1),FALSE)*VLOOKUP($D337,素材!$1:$1016,COLUMN($E$1),FALSE)/(LEN(VLOOKUP($D337,素材!$1:$1016,COLUMN($F$1),FALSE))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BF337">
        <f>IF(ISNUMBER(SEARCH(SUBSTITUTE(BF$1,RIGHT(BF$1,2),""),VLOOKUP($D337,素材!$1:$1016,COLUMN($F$1),FALSE))),VLOOKUP($C337,武器!$1:$998,COLUMN($O$1),FALSE)*VLOOKUP($D337,素材!$1:$1016,COLUMN($E$1),FALSE)/(LEN(VLOOKUP($D337,素材!$1:$1016,COLUMN($F$1),FALSE)) - LEN(SUBSTITUTE(VLOOKUP($D337,素材!$1:$1016,COLUMN($F$1),FALSE), "・", 0)) + 1), 0)</f>
        <v>0</v>
      </c>
      <c r="CM337">
        <f t="shared" si="39"/>
        <v>0</v>
      </c>
      <c r="CN337" s="22" t="str">
        <f>IF(E337="武器",IF(J337-1&gt;SUM(G337:I337),"盾",IF(MAX(G337:I337)=G337,"切断",IF(MAX(G337:I337)=H337,"貫通",IF(MAX(G337:I337)=I337,"打撃","射撃")))),E337)&amp;".webp"</f>
        <v>.webp</v>
      </c>
      <c r="CO337" t="str">
        <f>IFERROR(VLOOKUP($C337,武器!$1:$998,COLUMN(V$1),FALSE)*VLOOKUP($D337,素材!$1:$1016,COLUMN(N$1),FALSE)+IF(CJ337="",0,VLOOKUP($CJ337,装強!$1:$1008,COLUMN($CL$1),FALSE)),"")</f>
        <v/>
      </c>
      <c r="CP337" t="e">
        <f>VLOOKUP(D337,素材!$A:$O,COLUMN(素材!O$1),FALSE)</f>
        <v>#N/A</v>
      </c>
      <c r="CQ337" t="e">
        <f>VLOOKUP(C337,武器!$A:$W,COLUMN(武器!W$1),FALSE)</f>
        <v>#N/A</v>
      </c>
      <c r="CS337" t="str">
        <f>"e_"&amp;ROW(CS337)</f>
        <v>e_337</v>
      </c>
      <c r="CT337" t="e">
        <f>CO337*100</f>
        <v>#VALUE!</v>
      </c>
    </row>
    <row r="338" spans="1:98" hidden="1" outlineLevel="1" x14ac:dyDescent="0.4">
      <c r="A338" t="str">
        <f>IF(CJ338="",D338&amp;"の"&amp;C338,CJ338&amp;"の"&amp;C338)</f>
        <v>の</v>
      </c>
      <c r="B338" t="str">
        <f>IFERROR(IF(CJ338="",VLOOKUP($D338,素材!$1:$1016,COLUMN($B$1),FALSE)&amp;"・"&amp;VLOOKUP($C338,武器!$1:$998,COLUMN(B$1),FALSE),VLOOKUP($CJ338,装強!$1:$1008,COLUMN($B$1),FALSE)&amp;"・"&amp;VLOOKUP($C338,武器!$1:$998,COLUMN(B$1),FALSE)),"")</f>
        <v/>
      </c>
      <c r="C338" s="24"/>
      <c r="D338" s="24"/>
      <c r="E338" t="str">
        <f>IFERROR(VLOOKUP(C338,武器!$1:$998,COLUMN(C$1),FALSE),"")</f>
        <v/>
      </c>
      <c r="F338" t="str">
        <f>IFERROR(ROUNDDOWN((VLOOKUP($C338,武器!$1:$998,COLUMN(D$1),FALSE)+IFERROR(VLOOKUP($CJ338,装強!$1:$999,COLUMN(F$1),FALSE),0))*VLOOKUP($D338,素材!$1:$1016,COLUMN(D$1),FALSE),0),"")</f>
        <v/>
      </c>
      <c r="G338" t="str">
        <f>IFERROR(ROUNDDOWN((VLOOKUP($C338,武器!$1:$998,COLUMN(E$1),FALSE)+IFERROR(VLOOKUP($CJ338,装強!$1:$999,COLUMN(G$1),FALSE),0))*VLOOKUP($D338,素材!$1:$1016,COLUMN($E$1),FALSE),0),"")</f>
        <v/>
      </c>
      <c r="H338" t="str">
        <f>IFERROR(ROUNDDOWN((VLOOKUP($C338,武器!$1:$998,COLUMN(F$1),FALSE)+IFERROR(VLOOKUP($CJ338,装強!$1:$999,COLUMN(H$1),FALSE),0))*VLOOKUP($D338,素材!$1:$1016,COLUMN($E$1),FALSE),0),"")</f>
        <v/>
      </c>
      <c r="I338" t="str">
        <f>IFERROR(ROUNDDOWN((VLOOKUP($C338,武器!$1:$998,COLUMN(G$1),FALSE)+IFERROR(VLOOKUP($CJ338,装強!$1:$999,COLUMN(I$1),FALSE),0))*VLOOKUP($D338,素材!$1:$1016,COLUMN($E$1),FALSE),0),"")</f>
        <v/>
      </c>
      <c r="J338" t="str">
        <f>IFERROR(ROUNDDOWN((VLOOKUP($C338,武器!$1:$998,COLUMN(H$1),FALSE)+IFERROR(VLOOKUP($CJ338,装強!$1:$999,COLUMN(J$1),FALSE),0))*VLOOKUP($D338,素材!$1:$1016,COLUMN($E$1),FALSE),0),"")</f>
        <v/>
      </c>
      <c r="K338" t="str">
        <f>IFERROR(ROUNDDOWN((VLOOKUP($C338,武器!$1:$998,COLUMN(I$1),FALSE)+IFERROR(VLOOKUP($CJ338,装強!$1:$999,COLUMN(K$1),FALSE),0))*VLOOKUP($D338,素材!$1:$1016,COLUMN($E$1),FALSE),0),"")</f>
        <v/>
      </c>
      <c r="L338" t="str">
        <f>IFERROR(VLOOKUP($D338,素材!$1:$1016,COLUMN($F$1),FALSE),"")</f>
        <v/>
      </c>
      <c r="M338" t="str">
        <f>IFERROR(VLOOKUP($C338,武器!$1:$998,COLUMN(AA$1),FALSE)*VLOOKUP($D338,素材!$1:$1016,COLUMN($G$1),FALSE),"")</f>
        <v/>
      </c>
      <c r="N338" t="str">
        <f>IFERROR(VLOOKUP($C338,武器!$1:$998,COLUMN(I$1),FALSE),"")</f>
        <v/>
      </c>
      <c r="O338" s="23" t="str">
        <f>IFERROR((VLOOKUP($C338,武器!$1:$998,COLUMN(K$1),FALSE)+VLOOKUP($D338,素材!$1:$1016,COLUMN(H$1),FALSE))*100+IFERROR(VLOOKUP($CJ338,装強!$1:$999,COLUMN(O$1),FALSE),0),"")</f>
        <v/>
      </c>
      <c r="P338" s="23" t="str">
        <f>IFERROR((VLOOKUP($C338,武器!$1:$998,COLUMN(L$1),FALSE)+VLOOKUP($D338,素材!$1:$1016,COLUMN(I$1),FALSE))*100+IFERROR(VLOOKUP($CJ338,装強!$1:$999,COLUMN(P$1),FALSE),0),"")</f>
        <v/>
      </c>
      <c r="Q338" t="str">
        <f>IFERROR(ROUNDUP(VLOOKUP($C338,武器!$1:$998,COLUMN(M$1),FALSE)*(VLOOKUP($D338,素材!$1:$1002,COLUMN(D$1),FALSE)/100),1),"")</f>
        <v/>
      </c>
      <c r="R338" t="str">
        <f>IFERROR(ROUNDUP(VLOOKUP($C338,武器!$1:$998,COLUMN(N$1),FALSE)*(VLOOKUP($D338,素材!$1:$1002,COLUMN(D$1),FALSE)/100),1),"")</f>
        <v/>
      </c>
      <c r="S338" t="str">
        <f>IFERROR(VLOOKUP($C338,武器!$1:$998,COLUMN(P$1),FALSE),"")</f>
        <v/>
      </c>
      <c r="T338" t="str">
        <f>IFERROR(VLOOKUP($C338,武器!$1:$998,COLUMN(Q$1),FALSE),"")</f>
        <v/>
      </c>
      <c r="U338" t="str">
        <f>IFERROR(VLOOKUP($C338,武器!$1:$998,COLUMN(R$1),FALSE),"")</f>
        <v/>
      </c>
      <c r="V338" t="str">
        <f>IFERROR(VLOOKUP($C338,武器!$1:$998,COLUMN(Q$1),FALSE),"")</f>
        <v/>
      </c>
      <c r="W338" t="str">
        <f>IFERROR(VLOOKUP($C338,武器!$1:$998,COLUMN(T$1),FALSE),"")</f>
        <v/>
      </c>
      <c r="Y338" t="str">
        <f>IFERROR(VLOOKUP($C338,武器!$1:$998,COLUMN(U$1),FALSE),"")</f>
        <v/>
      </c>
      <c r="Z338" t="str">
        <f>IFERROR(ROUNDUP(VLOOKUP($C338,武器!$1:$998,COLUMN(O$1),FALSE)*VLOOKUP($D338,素材!$1:$1016,COLUMN(E$1),FALSE),1),"")</f>
        <v/>
      </c>
      <c r="AA338">
        <f>IF(ISNUMBER(SEARCH(SUBSTITUTE(AA$1,RIGHT(AA$1,2),""),VLOOKUP($D338,素材!$1:$1016,COLUMN($F$1),FALSE))),VLOOKUP($C338,武器!$1:$998,COLUMN($O$1),FALSE)*VLOOKUP($D338,素材!$1:$1016,COLUMN($E$1),FALSE)/(LEN(VLOOKUP($D338,素材!$1:$1016,COLUMN($F$1),FALSE))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B338">
        <f>IF(ISNUMBER(SEARCH(SUBSTITUTE(AB$1,RIGHT(AB$1,2),""),VLOOKUP($D338,素材!$1:$1016,COLUMN($F$1),FALSE))),VLOOKUP($C338,武器!$1:$998,COLUMN($O$1),FALSE)*VLOOKUP($D338,素材!$1:$1016,COLUMN($E$1),FALSE)/(LEN(VLOOKUP($D338,素材!$1:$1016,COLUMN($F$1),FALSE))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C338">
        <f>IF(ISNUMBER(SEARCH(SUBSTITUTE(AC$1,RIGHT(AC$1,2),""),VLOOKUP($D338,素材!$1:$1016,COLUMN($F$1),FALSE))),VLOOKUP($C338,武器!$1:$998,COLUMN($O$1),FALSE)*VLOOKUP($D338,素材!$1:$1016,COLUMN($E$1),FALSE)/(LEN(VLOOKUP($D338,素材!$1:$1016,COLUMN($F$1),FALSE))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D338">
        <f>IF(ISNUMBER(SEARCH(SUBSTITUTE(AD$1,RIGHT(AD$1,2),""),VLOOKUP($D338,素材!$1:$1016,COLUMN($F$1),FALSE))),VLOOKUP($C338,武器!$1:$998,COLUMN($O$1),FALSE)*VLOOKUP($D338,素材!$1:$1016,COLUMN($E$1),FALSE)/(LEN(VLOOKUP($D338,素材!$1:$1016,COLUMN($F$1),FALSE))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E338">
        <f>IF(ISNUMBER(SEARCH(SUBSTITUTE(AE$1,RIGHT(AE$1,2),""),VLOOKUP($D338,素材!$1:$1016,COLUMN($F$1),FALSE))),VLOOKUP($C338,武器!$1:$998,COLUMN($O$1),FALSE)*VLOOKUP($D338,素材!$1:$1016,COLUMN($E$1),FALSE)/(LEN(VLOOKUP($D338,素材!$1:$1016,COLUMN($F$1),FALSE))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F338">
        <f>IF(ISNUMBER(SEARCH(SUBSTITUTE(AF$1,RIGHT(AF$1,2),""),VLOOKUP($D338,素材!$1:$1016,COLUMN($F$1),FALSE))),VLOOKUP($C338,武器!$1:$998,COLUMN($O$1),FALSE)*VLOOKUP($D338,素材!$1:$1016,COLUMN($E$1),FALSE)/(LEN(VLOOKUP($D338,素材!$1:$1016,COLUMN($F$1),FALSE))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G338">
        <f>IF(ISNUMBER(SEARCH(SUBSTITUTE(AG$1,RIGHT(AG$1,2),""),VLOOKUP($D338,素材!$1:$1016,COLUMN($F$1),FALSE))),VLOOKUP($C338,武器!$1:$998,COLUMN($O$1),FALSE)*VLOOKUP($D338,素材!$1:$1016,COLUMN($E$1),FALSE)/(LEN(VLOOKUP($D338,素材!$1:$1016,COLUMN($F$1),FALSE))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H338">
        <f>IF(ISNUMBER(SEARCH(SUBSTITUTE(AH$1,RIGHT(AH$1,2),""),VLOOKUP($D338,素材!$1:$1016,COLUMN($F$1),FALSE))),VLOOKUP($C338,武器!$1:$998,COLUMN($O$1),FALSE)*VLOOKUP($D338,素材!$1:$1016,COLUMN($E$1),FALSE)/(LEN(VLOOKUP($D338,素材!$1:$1016,COLUMN($F$1),FALSE))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I338">
        <f>IF(ISNUMBER(SEARCH(SUBSTITUTE(AI$1,RIGHT(AI$1,2),""),VLOOKUP($D338,素材!$1:$1016,COLUMN($F$1),FALSE))),VLOOKUP($C338,武器!$1:$998,COLUMN($O$1),FALSE)*VLOOKUP($D338,素材!$1:$1016,COLUMN($E$1),FALSE)/(LEN(VLOOKUP($D338,素材!$1:$1016,COLUMN($F$1),FALSE))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J338">
        <f>IF(ISNUMBER(SEARCH(SUBSTITUTE(AJ$1,RIGHT(AJ$1,2),""),VLOOKUP($D338,素材!$1:$1016,COLUMN($F$1),FALSE))),VLOOKUP($C338,武器!$1:$998,COLUMN($O$1),FALSE)*VLOOKUP($D338,素材!$1:$1016,COLUMN($E$1),FALSE)/(LEN(VLOOKUP($D338,素材!$1:$1016,COLUMN($F$1),FALSE))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K338">
        <f>IF(ISNUMBER(SEARCH(SUBSTITUTE(AK$1,RIGHT(AK$1,2),""),VLOOKUP($D338,素材!$1:$1016,COLUMN($F$1),FALSE))),VLOOKUP($C338,武器!$1:$998,COLUMN($O$1),FALSE)*VLOOKUP($D338,素材!$1:$1016,COLUMN($E$1),FALSE)/(LEN(VLOOKUP($D338,素材!$1:$1016,COLUMN($F$1),FALSE))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L338">
        <f>IF(ISNUMBER(SEARCH(SUBSTITUTE(AL$1,RIGHT(AL$1,2),""),VLOOKUP($D338,素材!$1:$1016,COLUMN($F$1),FALSE))),VLOOKUP($C338,武器!$1:$998,COLUMN($O$1),FALSE)*VLOOKUP($D338,素材!$1:$1016,COLUMN($E$1),FALSE)/(LEN(VLOOKUP($D338,素材!$1:$1016,COLUMN($F$1),FALSE))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M338">
        <f>IF(ISNUMBER(SEARCH(SUBSTITUTE(AM$1,RIGHT(AM$1,2),""),VLOOKUP($D338,素材!$1:$1016,COLUMN($F$1),FALSE))),VLOOKUP($C338,武器!$1:$998,COLUMN($O$1),FALSE)*VLOOKUP($D338,素材!$1:$1016,COLUMN($E$1),FALSE)/(LEN(VLOOKUP($D338,素材!$1:$1016,COLUMN($F$1),FALSE))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N338">
        <f>IF(ISNUMBER(SEARCH(SUBSTITUTE(AN$1,RIGHT(AN$1,2),""),VLOOKUP($D338,素材!$1:$1016,COLUMN($F$1),FALSE))),VLOOKUP($C338,武器!$1:$998,COLUMN($O$1),FALSE)*VLOOKUP($D338,素材!$1:$1016,COLUMN($E$1),FALSE)/(LEN(VLOOKUP($D338,素材!$1:$1016,COLUMN($F$1),FALSE))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O338">
        <f>IF(ISNUMBER(SEARCH(SUBSTITUTE(AO$1,RIGHT(AO$1,2),""),VLOOKUP($D338,素材!$1:$1016,COLUMN($F$1),FALSE))),VLOOKUP($C338,武器!$1:$998,COLUMN($O$1),FALSE)*VLOOKUP($D338,素材!$1:$1016,COLUMN($E$1),FALSE)/(LEN(VLOOKUP($D338,素材!$1:$1016,COLUMN($F$1),FALSE))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P338">
        <f>IF(ISNUMBER(SEARCH(SUBSTITUTE(AP$1,RIGHT(AP$1,2),""),VLOOKUP($D338,素材!$1:$1016,COLUMN($F$1),FALSE))),VLOOKUP($C338,武器!$1:$998,COLUMN($O$1),FALSE)*VLOOKUP($D338,素材!$1:$1016,COLUMN($E$1),FALSE)/(LEN(VLOOKUP($D338,素材!$1:$1016,COLUMN($F$1),FALSE))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Q338">
        <f>IF(ISNUMBER(SEARCH(SUBSTITUTE(AQ$1,RIGHT(AQ$1,2),""),VLOOKUP($D338,素材!$1:$1016,COLUMN($F$1),FALSE))),VLOOKUP($C338,武器!$1:$998,COLUMN($O$1),FALSE)*VLOOKUP($D338,素材!$1:$1016,COLUMN($E$1),FALSE)/(LEN(VLOOKUP($D338,素材!$1:$1016,COLUMN($F$1),FALSE))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R338">
        <f>IF(ISNUMBER(SEARCH(SUBSTITUTE(AR$1,RIGHT(AR$1,2),""),VLOOKUP($D338,素材!$1:$1016,COLUMN($F$1),FALSE))),VLOOKUP($C338,武器!$1:$998,COLUMN($O$1),FALSE)*VLOOKUP($D338,素材!$1:$1016,COLUMN($E$1),FALSE)/(LEN(VLOOKUP($D338,素材!$1:$1016,COLUMN($F$1),FALSE))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S338">
        <f>IF(ISNUMBER(SEARCH(SUBSTITUTE(AS$1,RIGHT(AS$1,2),""),VLOOKUP($D338,素材!$1:$1016,COLUMN($F$1),FALSE))),VLOOKUP($C338,武器!$1:$998,COLUMN($O$1),FALSE)*VLOOKUP($D338,素材!$1:$1016,COLUMN($E$1),FALSE)/(LEN(VLOOKUP($D338,素材!$1:$1016,COLUMN($F$1),FALSE))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T338">
        <f>IF(ISNUMBER(SEARCH(SUBSTITUTE(AT$1,RIGHT(AT$1,2),""),VLOOKUP($D338,素材!$1:$1016,COLUMN($F$1),FALSE))),VLOOKUP($C338,武器!$1:$998,COLUMN($O$1),FALSE)*VLOOKUP($D338,素材!$1:$1016,COLUMN($E$1),FALSE)/(LEN(VLOOKUP($D338,素材!$1:$1016,COLUMN($F$1),FALSE))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U338">
        <f>IF(ISNUMBER(SEARCH(SUBSTITUTE(AU$1,RIGHT(AU$1,2),""),VLOOKUP($D338,素材!$1:$1016,COLUMN($F$1),FALSE))),VLOOKUP($C338,武器!$1:$998,COLUMN($O$1),FALSE)*VLOOKUP($D338,素材!$1:$1016,COLUMN($E$1),FALSE)/(LEN(VLOOKUP($D338,素材!$1:$1016,COLUMN($F$1),FALSE))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V338">
        <f>IF(ISNUMBER(SEARCH(SUBSTITUTE(AV$1,RIGHT(AV$1,2),""),VLOOKUP($D338,素材!$1:$1016,COLUMN($F$1),FALSE))),VLOOKUP($C338,武器!$1:$998,COLUMN($O$1),FALSE)*VLOOKUP($D338,素材!$1:$1016,COLUMN($E$1),FALSE)/(LEN(VLOOKUP($D338,素材!$1:$1016,COLUMN($F$1),FALSE))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W338">
        <f>IF(ISNUMBER(SEARCH(SUBSTITUTE(AW$1,RIGHT(AW$1,2),""),VLOOKUP($D338,素材!$1:$1016,COLUMN($F$1),FALSE))),VLOOKUP($C338,武器!$1:$998,COLUMN($O$1),FALSE)*VLOOKUP($D338,素材!$1:$1016,COLUMN($E$1),FALSE)/(LEN(VLOOKUP($D338,素材!$1:$1016,COLUMN($F$1),FALSE))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X338">
        <f>IF(ISNUMBER(SEARCH(SUBSTITUTE(AX$1,RIGHT(AX$1,2),""),VLOOKUP($D338,素材!$1:$1016,COLUMN($F$1),FALSE))),VLOOKUP($C338,武器!$1:$998,COLUMN($O$1),FALSE)*VLOOKUP($D338,素材!$1:$1016,COLUMN($E$1),FALSE)/(LEN(VLOOKUP($D338,素材!$1:$1016,COLUMN($F$1),FALSE))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Y338">
        <f>IF(ISNUMBER(SEARCH(SUBSTITUTE(AY$1,RIGHT(AY$1,2),""),VLOOKUP($D338,素材!$1:$1016,COLUMN($F$1),FALSE))),VLOOKUP($C338,武器!$1:$998,COLUMN($O$1),FALSE)*VLOOKUP($D338,素材!$1:$1016,COLUMN($E$1),FALSE)/(LEN(VLOOKUP($D338,素材!$1:$1016,COLUMN($F$1),FALSE))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AZ338">
        <f>IF(ISNUMBER(SEARCH(SUBSTITUTE(AZ$1,RIGHT(AZ$1,2),""),VLOOKUP($D338,素材!$1:$1016,COLUMN($F$1),FALSE))),VLOOKUP($C338,武器!$1:$998,COLUMN($O$1),FALSE)*VLOOKUP($D338,素材!$1:$1016,COLUMN($E$1),FALSE)/(LEN(VLOOKUP($D338,素材!$1:$1016,COLUMN($F$1),FALSE))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BA338">
        <f>IF(ISNUMBER(SEARCH(SUBSTITUTE(BA$1,RIGHT(BA$1,2),""),VLOOKUP($D338,素材!$1:$1016,COLUMN($F$1),FALSE))),VLOOKUP($C338,武器!$1:$998,COLUMN($O$1),FALSE)*VLOOKUP($D338,素材!$1:$1016,COLUMN($E$1),FALSE)/(LEN(VLOOKUP($D338,素材!$1:$1016,COLUMN($F$1),FALSE))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BB338">
        <f>IF(ISNUMBER(SEARCH(SUBSTITUTE(BB$1,RIGHT(BB$1,2),""),VLOOKUP($D338,素材!$1:$1016,COLUMN($F$1),FALSE))),VLOOKUP($C338,武器!$1:$998,COLUMN($O$1),FALSE)*VLOOKUP($D338,素材!$1:$1016,COLUMN($E$1),FALSE)/(LEN(VLOOKUP($D338,素材!$1:$1016,COLUMN($F$1),FALSE))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BC338">
        <f>IF(ISNUMBER(SEARCH(SUBSTITUTE(BC$1,RIGHT(BC$1,2),""),VLOOKUP($D338,素材!$1:$1016,COLUMN($F$1),FALSE))),VLOOKUP($C338,武器!$1:$998,COLUMN($O$1),FALSE)*VLOOKUP($D338,素材!$1:$1016,COLUMN($E$1),FALSE)/(LEN(VLOOKUP($D338,素材!$1:$1016,COLUMN($F$1),FALSE))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BD338">
        <f>IF(ISNUMBER(SEARCH(SUBSTITUTE(BD$1,RIGHT(BD$1,2),""),VLOOKUP($D338,素材!$1:$1016,COLUMN($F$1),FALSE))),VLOOKUP($C338,武器!$1:$998,COLUMN($O$1),FALSE)*VLOOKUP($D338,素材!$1:$1016,COLUMN($E$1),FALSE)/(LEN(VLOOKUP($D338,素材!$1:$1016,COLUMN($F$1),FALSE))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BE338">
        <f>IF(ISNUMBER(SEARCH(SUBSTITUTE(BE$1,RIGHT(BE$1,2),""),VLOOKUP($D338,素材!$1:$1016,COLUMN($F$1),FALSE))),VLOOKUP($C338,武器!$1:$998,COLUMN($O$1),FALSE)*VLOOKUP($D338,素材!$1:$1016,COLUMN($E$1),FALSE)/(LEN(VLOOKUP($D338,素材!$1:$1016,COLUMN($F$1),FALSE))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BF338">
        <f>IF(ISNUMBER(SEARCH(SUBSTITUTE(BF$1,RIGHT(BF$1,2),""),VLOOKUP($D338,素材!$1:$1016,COLUMN($F$1),FALSE))),VLOOKUP($C338,武器!$1:$998,COLUMN($O$1),FALSE)*VLOOKUP($D338,素材!$1:$1016,COLUMN($E$1),FALSE)/(LEN(VLOOKUP($D338,素材!$1:$1016,COLUMN($F$1),FALSE)) - LEN(SUBSTITUTE(VLOOKUP($D338,素材!$1:$1016,COLUMN($F$1),FALSE), "・", 0)) + 1), 0)</f>
        <v>0</v>
      </c>
      <c r="CM338">
        <f t="shared" si="39"/>
        <v>0</v>
      </c>
      <c r="CN338" s="22" t="str">
        <f>IF(E338="武器",IF(J338-1&gt;SUM(G338:I338),"盾",IF(MAX(G338:I338)=G338,"切断",IF(MAX(G338:I338)=H338,"貫通",IF(MAX(G338:I338)=I338,"打撃","射撃")))),E338)&amp;".webp"</f>
        <v>.webp</v>
      </c>
      <c r="CO338" t="str">
        <f>IFERROR(VLOOKUP($C338,武器!$1:$998,COLUMN(V$1),FALSE)*VLOOKUP($D338,素材!$1:$1016,COLUMN(N$1),FALSE)+IF(CJ338="",0,VLOOKUP($CJ338,装強!$1:$1008,COLUMN($CL$1),FALSE)),"")</f>
        <v/>
      </c>
      <c r="CP338" t="e">
        <f>VLOOKUP(D338,素材!$A:$O,COLUMN(素材!O$1),FALSE)</f>
        <v>#N/A</v>
      </c>
      <c r="CQ338" t="e">
        <f>VLOOKUP(C338,武器!$A:$W,COLUMN(武器!W$1),FALSE)</f>
        <v>#N/A</v>
      </c>
      <c r="CS338" t="str">
        <f>"e_"&amp;ROW(CS338)</f>
        <v>e_338</v>
      </c>
      <c r="CT338" t="e">
        <f>CO338*100</f>
        <v>#VALUE!</v>
      </c>
    </row>
    <row r="339" spans="1:98" hidden="1" outlineLevel="1" x14ac:dyDescent="0.4">
      <c r="A339" t="str">
        <f>IF(CJ339="",D339&amp;"の"&amp;C339,CJ339&amp;"の"&amp;C339)</f>
        <v>の</v>
      </c>
      <c r="B339" t="str">
        <f>IFERROR(IF(CJ339="",VLOOKUP($D339,素材!$1:$1016,COLUMN($B$1),FALSE)&amp;"・"&amp;VLOOKUP($C339,武器!$1:$998,COLUMN(B$1),FALSE),VLOOKUP($CJ339,装強!$1:$1008,COLUMN($B$1),FALSE)&amp;"・"&amp;VLOOKUP($C339,武器!$1:$998,COLUMN(B$1),FALSE)),"")</f>
        <v/>
      </c>
      <c r="C339" s="24"/>
      <c r="D339" s="24"/>
      <c r="E339" t="str">
        <f>IFERROR(VLOOKUP(C339,武器!$1:$998,COLUMN(C$1),FALSE),"")</f>
        <v/>
      </c>
      <c r="F339" t="str">
        <f>IFERROR(ROUNDDOWN((VLOOKUP($C339,武器!$1:$998,COLUMN(D$1),FALSE)+IFERROR(VLOOKUP($CJ339,装強!$1:$999,COLUMN(F$1),FALSE),0))*VLOOKUP($D339,素材!$1:$1016,COLUMN(D$1),FALSE),0),"")</f>
        <v/>
      </c>
      <c r="G339" t="str">
        <f>IFERROR(ROUNDDOWN((VLOOKUP($C339,武器!$1:$998,COLUMN(E$1),FALSE)+IFERROR(VLOOKUP($CJ339,装強!$1:$999,COLUMN(G$1),FALSE),0))*VLOOKUP($D339,素材!$1:$1016,COLUMN($E$1),FALSE),0),"")</f>
        <v/>
      </c>
      <c r="H339" t="str">
        <f>IFERROR(ROUNDDOWN((VLOOKUP($C339,武器!$1:$998,COLUMN(F$1),FALSE)+IFERROR(VLOOKUP($CJ339,装強!$1:$999,COLUMN(H$1),FALSE),0))*VLOOKUP($D339,素材!$1:$1016,COLUMN($E$1),FALSE),0),"")</f>
        <v/>
      </c>
      <c r="I339" t="str">
        <f>IFERROR(ROUNDDOWN((VLOOKUP($C339,武器!$1:$998,COLUMN(G$1),FALSE)+IFERROR(VLOOKUP($CJ339,装強!$1:$999,COLUMN(I$1),FALSE),0))*VLOOKUP($D339,素材!$1:$1016,COLUMN($E$1),FALSE),0),"")</f>
        <v/>
      </c>
      <c r="J339" t="str">
        <f>IFERROR(ROUNDDOWN((VLOOKUP($C339,武器!$1:$998,COLUMN(H$1),FALSE)+IFERROR(VLOOKUP($CJ339,装強!$1:$999,COLUMN(J$1),FALSE),0))*VLOOKUP($D339,素材!$1:$1016,COLUMN($E$1),FALSE),0),"")</f>
        <v/>
      </c>
      <c r="K339" t="str">
        <f>IFERROR(ROUNDDOWN((VLOOKUP($C339,武器!$1:$998,COLUMN(I$1),FALSE)+IFERROR(VLOOKUP($CJ339,装強!$1:$999,COLUMN(K$1),FALSE),0))*VLOOKUP($D339,素材!$1:$1016,COLUMN($E$1),FALSE),0),"")</f>
        <v/>
      </c>
      <c r="L339" t="str">
        <f>IFERROR(VLOOKUP($D339,素材!$1:$1016,COLUMN($F$1),FALSE),"")</f>
        <v/>
      </c>
      <c r="M339" t="str">
        <f>IFERROR(VLOOKUP($C339,武器!$1:$998,COLUMN(AA$1),FALSE)*VLOOKUP($D339,素材!$1:$1016,COLUMN($G$1),FALSE),"")</f>
        <v/>
      </c>
      <c r="N339" t="str">
        <f>IFERROR(VLOOKUP($C339,武器!$1:$998,COLUMN(I$1),FALSE),"")</f>
        <v/>
      </c>
      <c r="O339" s="23" t="str">
        <f>IFERROR((VLOOKUP($C339,武器!$1:$998,COLUMN(K$1),FALSE)+VLOOKUP($D339,素材!$1:$1016,COLUMN(H$1),FALSE))*100+IFERROR(VLOOKUP($CJ339,装強!$1:$999,COLUMN(O$1),FALSE),0),"")</f>
        <v/>
      </c>
      <c r="P339" s="23" t="str">
        <f>IFERROR((VLOOKUP($C339,武器!$1:$998,COLUMN(L$1),FALSE)+VLOOKUP($D339,素材!$1:$1016,COLUMN(I$1),FALSE))*100+IFERROR(VLOOKUP($CJ339,装強!$1:$999,COLUMN(P$1),FALSE),0),"")</f>
        <v/>
      </c>
      <c r="Q339" t="str">
        <f>IFERROR(ROUNDUP(VLOOKUP($C339,武器!$1:$998,COLUMN(M$1),FALSE)*(VLOOKUP($D339,素材!$1:$1002,COLUMN(D$1),FALSE)/100),1),"")</f>
        <v/>
      </c>
      <c r="R339" t="str">
        <f>IFERROR(ROUNDUP(VLOOKUP($C339,武器!$1:$998,COLUMN(N$1),FALSE)*(VLOOKUP($D339,素材!$1:$1002,COLUMN(D$1),FALSE)/100),1),"")</f>
        <v/>
      </c>
      <c r="S339" t="str">
        <f>IFERROR(VLOOKUP($C339,武器!$1:$998,COLUMN(P$1),FALSE),"")</f>
        <v/>
      </c>
      <c r="T339" t="str">
        <f>IFERROR(VLOOKUP($C339,武器!$1:$998,COLUMN(Q$1),FALSE),"")</f>
        <v/>
      </c>
      <c r="U339" t="str">
        <f>IFERROR(VLOOKUP($C339,武器!$1:$998,COLUMN(R$1),FALSE),"")</f>
        <v/>
      </c>
      <c r="V339" t="str">
        <f>IFERROR(VLOOKUP($C339,武器!$1:$998,COLUMN(Q$1),FALSE),"")</f>
        <v/>
      </c>
      <c r="W339" t="str">
        <f>IFERROR(VLOOKUP($C339,武器!$1:$998,COLUMN(T$1),FALSE),"")</f>
        <v/>
      </c>
      <c r="Y339" t="str">
        <f>IFERROR(VLOOKUP($C339,武器!$1:$998,COLUMN(U$1),FALSE),"")</f>
        <v/>
      </c>
      <c r="Z339" t="str">
        <f>IFERROR(ROUNDUP(VLOOKUP($C339,武器!$1:$998,COLUMN(O$1),FALSE)*VLOOKUP($D339,素材!$1:$1016,COLUMN(E$1),FALSE),1),"")</f>
        <v/>
      </c>
      <c r="AA339">
        <f>IF(ISNUMBER(SEARCH(SUBSTITUTE(AA$1,RIGHT(AA$1,2),""),VLOOKUP($D339,素材!$1:$1016,COLUMN($F$1),FALSE))),VLOOKUP($C339,武器!$1:$998,COLUMN($O$1),FALSE)*VLOOKUP($D339,素材!$1:$1016,COLUMN($E$1),FALSE)/(LEN(VLOOKUP($D339,素材!$1:$1016,COLUMN($F$1),FALSE))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B339">
        <f>IF(ISNUMBER(SEARCH(SUBSTITUTE(AB$1,RIGHT(AB$1,2),""),VLOOKUP($D339,素材!$1:$1016,COLUMN($F$1),FALSE))),VLOOKUP($C339,武器!$1:$998,COLUMN($O$1),FALSE)*VLOOKUP($D339,素材!$1:$1016,COLUMN($E$1),FALSE)/(LEN(VLOOKUP($D339,素材!$1:$1016,COLUMN($F$1),FALSE))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C339">
        <f>IF(ISNUMBER(SEARCH(SUBSTITUTE(AC$1,RIGHT(AC$1,2),""),VLOOKUP($D339,素材!$1:$1016,COLUMN($F$1),FALSE))),VLOOKUP($C339,武器!$1:$998,COLUMN($O$1),FALSE)*VLOOKUP($D339,素材!$1:$1016,COLUMN($E$1),FALSE)/(LEN(VLOOKUP($D339,素材!$1:$1016,COLUMN($F$1),FALSE))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D339">
        <f>IF(ISNUMBER(SEARCH(SUBSTITUTE(AD$1,RIGHT(AD$1,2),""),VLOOKUP($D339,素材!$1:$1016,COLUMN($F$1),FALSE))),VLOOKUP($C339,武器!$1:$998,COLUMN($O$1),FALSE)*VLOOKUP($D339,素材!$1:$1016,COLUMN($E$1),FALSE)/(LEN(VLOOKUP($D339,素材!$1:$1016,COLUMN($F$1),FALSE))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E339">
        <f>IF(ISNUMBER(SEARCH(SUBSTITUTE(AE$1,RIGHT(AE$1,2),""),VLOOKUP($D339,素材!$1:$1016,COLUMN($F$1),FALSE))),VLOOKUP($C339,武器!$1:$998,COLUMN($O$1),FALSE)*VLOOKUP($D339,素材!$1:$1016,COLUMN($E$1),FALSE)/(LEN(VLOOKUP($D339,素材!$1:$1016,COLUMN($F$1),FALSE))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F339">
        <f>IF(ISNUMBER(SEARCH(SUBSTITUTE(AF$1,RIGHT(AF$1,2),""),VLOOKUP($D339,素材!$1:$1016,COLUMN($F$1),FALSE))),VLOOKUP($C339,武器!$1:$998,COLUMN($O$1),FALSE)*VLOOKUP($D339,素材!$1:$1016,COLUMN($E$1),FALSE)/(LEN(VLOOKUP($D339,素材!$1:$1016,COLUMN($F$1),FALSE))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G339">
        <f>IF(ISNUMBER(SEARCH(SUBSTITUTE(AG$1,RIGHT(AG$1,2),""),VLOOKUP($D339,素材!$1:$1016,COLUMN($F$1),FALSE))),VLOOKUP($C339,武器!$1:$998,COLUMN($O$1),FALSE)*VLOOKUP($D339,素材!$1:$1016,COLUMN($E$1),FALSE)/(LEN(VLOOKUP($D339,素材!$1:$1016,COLUMN($F$1),FALSE))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H339">
        <f>IF(ISNUMBER(SEARCH(SUBSTITUTE(AH$1,RIGHT(AH$1,2),""),VLOOKUP($D339,素材!$1:$1016,COLUMN($F$1),FALSE))),VLOOKUP($C339,武器!$1:$998,COLUMN($O$1),FALSE)*VLOOKUP($D339,素材!$1:$1016,COLUMN($E$1),FALSE)/(LEN(VLOOKUP($D339,素材!$1:$1016,COLUMN($F$1),FALSE))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I339">
        <f>IF(ISNUMBER(SEARCH(SUBSTITUTE(AI$1,RIGHT(AI$1,2),""),VLOOKUP($D339,素材!$1:$1016,COLUMN($F$1),FALSE))),VLOOKUP($C339,武器!$1:$998,COLUMN($O$1),FALSE)*VLOOKUP($D339,素材!$1:$1016,COLUMN($E$1),FALSE)/(LEN(VLOOKUP($D339,素材!$1:$1016,COLUMN($F$1),FALSE))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J339">
        <f>IF(ISNUMBER(SEARCH(SUBSTITUTE(AJ$1,RIGHT(AJ$1,2),""),VLOOKUP($D339,素材!$1:$1016,COLUMN($F$1),FALSE))),VLOOKUP($C339,武器!$1:$998,COLUMN($O$1),FALSE)*VLOOKUP($D339,素材!$1:$1016,COLUMN($E$1),FALSE)/(LEN(VLOOKUP($D339,素材!$1:$1016,COLUMN($F$1),FALSE))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K339">
        <f>IF(ISNUMBER(SEARCH(SUBSTITUTE(AK$1,RIGHT(AK$1,2),""),VLOOKUP($D339,素材!$1:$1016,COLUMN($F$1),FALSE))),VLOOKUP($C339,武器!$1:$998,COLUMN($O$1),FALSE)*VLOOKUP($D339,素材!$1:$1016,COLUMN($E$1),FALSE)/(LEN(VLOOKUP($D339,素材!$1:$1016,COLUMN($F$1),FALSE))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L339">
        <f>IF(ISNUMBER(SEARCH(SUBSTITUTE(AL$1,RIGHT(AL$1,2),""),VLOOKUP($D339,素材!$1:$1016,COLUMN($F$1),FALSE))),VLOOKUP($C339,武器!$1:$998,COLUMN($O$1),FALSE)*VLOOKUP($D339,素材!$1:$1016,COLUMN($E$1),FALSE)/(LEN(VLOOKUP($D339,素材!$1:$1016,COLUMN($F$1),FALSE))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M339">
        <f>IF(ISNUMBER(SEARCH(SUBSTITUTE(AM$1,RIGHT(AM$1,2),""),VLOOKUP($D339,素材!$1:$1016,COLUMN($F$1),FALSE))),VLOOKUP($C339,武器!$1:$998,COLUMN($O$1),FALSE)*VLOOKUP($D339,素材!$1:$1016,COLUMN($E$1),FALSE)/(LEN(VLOOKUP($D339,素材!$1:$1016,COLUMN($F$1),FALSE))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N339">
        <f>IF(ISNUMBER(SEARCH(SUBSTITUTE(AN$1,RIGHT(AN$1,2),""),VLOOKUP($D339,素材!$1:$1016,COLUMN($F$1),FALSE))),VLOOKUP($C339,武器!$1:$998,COLUMN($O$1),FALSE)*VLOOKUP($D339,素材!$1:$1016,COLUMN($E$1),FALSE)/(LEN(VLOOKUP($D339,素材!$1:$1016,COLUMN($F$1),FALSE))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O339">
        <f>IF(ISNUMBER(SEARCH(SUBSTITUTE(AO$1,RIGHT(AO$1,2),""),VLOOKUP($D339,素材!$1:$1016,COLUMN($F$1),FALSE))),VLOOKUP($C339,武器!$1:$998,COLUMN($O$1),FALSE)*VLOOKUP($D339,素材!$1:$1016,COLUMN($E$1),FALSE)/(LEN(VLOOKUP($D339,素材!$1:$1016,COLUMN($F$1),FALSE))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P339">
        <f>IF(ISNUMBER(SEARCH(SUBSTITUTE(AP$1,RIGHT(AP$1,2),""),VLOOKUP($D339,素材!$1:$1016,COLUMN($F$1),FALSE))),VLOOKUP($C339,武器!$1:$998,COLUMN($O$1),FALSE)*VLOOKUP($D339,素材!$1:$1016,COLUMN($E$1),FALSE)/(LEN(VLOOKUP($D339,素材!$1:$1016,COLUMN($F$1),FALSE))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Q339">
        <f>IF(ISNUMBER(SEARCH(SUBSTITUTE(AQ$1,RIGHT(AQ$1,2),""),VLOOKUP($D339,素材!$1:$1016,COLUMN($F$1),FALSE))),VLOOKUP($C339,武器!$1:$998,COLUMN($O$1),FALSE)*VLOOKUP($D339,素材!$1:$1016,COLUMN($E$1),FALSE)/(LEN(VLOOKUP($D339,素材!$1:$1016,COLUMN($F$1),FALSE))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R339">
        <f>IF(ISNUMBER(SEARCH(SUBSTITUTE(AR$1,RIGHT(AR$1,2),""),VLOOKUP($D339,素材!$1:$1016,COLUMN($F$1),FALSE))),VLOOKUP($C339,武器!$1:$998,COLUMN($O$1),FALSE)*VLOOKUP($D339,素材!$1:$1016,COLUMN($E$1),FALSE)/(LEN(VLOOKUP($D339,素材!$1:$1016,COLUMN($F$1),FALSE))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S339">
        <f>IF(ISNUMBER(SEARCH(SUBSTITUTE(AS$1,RIGHT(AS$1,2),""),VLOOKUP($D339,素材!$1:$1016,COLUMN($F$1),FALSE))),VLOOKUP($C339,武器!$1:$998,COLUMN($O$1),FALSE)*VLOOKUP($D339,素材!$1:$1016,COLUMN($E$1),FALSE)/(LEN(VLOOKUP($D339,素材!$1:$1016,COLUMN($F$1),FALSE))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T339">
        <f>IF(ISNUMBER(SEARCH(SUBSTITUTE(AT$1,RIGHT(AT$1,2),""),VLOOKUP($D339,素材!$1:$1016,COLUMN($F$1),FALSE))),VLOOKUP($C339,武器!$1:$998,COLUMN($O$1),FALSE)*VLOOKUP($D339,素材!$1:$1016,COLUMN($E$1),FALSE)/(LEN(VLOOKUP($D339,素材!$1:$1016,COLUMN($F$1),FALSE))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U339">
        <f>IF(ISNUMBER(SEARCH(SUBSTITUTE(AU$1,RIGHT(AU$1,2),""),VLOOKUP($D339,素材!$1:$1016,COLUMN($F$1),FALSE))),VLOOKUP($C339,武器!$1:$998,COLUMN($O$1),FALSE)*VLOOKUP($D339,素材!$1:$1016,COLUMN($E$1),FALSE)/(LEN(VLOOKUP($D339,素材!$1:$1016,COLUMN($F$1),FALSE))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V339">
        <f>IF(ISNUMBER(SEARCH(SUBSTITUTE(AV$1,RIGHT(AV$1,2),""),VLOOKUP($D339,素材!$1:$1016,COLUMN($F$1),FALSE))),VLOOKUP($C339,武器!$1:$998,COLUMN($O$1),FALSE)*VLOOKUP($D339,素材!$1:$1016,COLUMN($E$1),FALSE)/(LEN(VLOOKUP($D339,素材!$1:$1016,COLUMN($F$1),FALSE))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W339">
        <f>IF(ISNUMBER(SEARCH(SUBSTITUTE(AW$1,RIGHT(AW$1,2),""),VLOOKUP($D339,素材!$1:$1016,COLUMN($F$1),FALSE))),VLOOKUP($C339,武器!$1:$998,COLUMN($O$1),FALSE)*VLOOKUP($D339,素材!$1:$1016,COLUMN($E$1),FALSE)/(LEN(VLOOKUP($D339,素材!$1:$1016,COLUMN($F$1),FALSE))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X339">
        <f>IF(ISNUMBER(SEARCH(SUBSTITUTE(AX$1,RIGHT(AX$1,2),""),VLOOKUP($D339,素材!$1:$1016,COLUMN($F$1),FALSE))),VLOOKUP($C339,武器!$1:$998,COLUMN($O$1),FALSE)*VLOOKUP($D339,素材!$1:$1016,COLUMN($E$1),FALSE)/(LEN(VLOOKUP($D339,素材!$1:$1016,COLUMN($F$1),FALSE))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Y339">
        <f>IF(ISNUMBER(SEARCH(SUBSTITUTE(AY$1,RIGHT(AY$1,2),""),VLOOKUP($D339,素材!$1:$1016,COLUMN($F$1),FALSE))),VLOOKUP($C339,武器!$1:$998,COLUMN($O$1),FALSE)*VLOOKUP($D339,素材!$1:$1016,COLUMN($E$1),FALSE)/(LEN(VLOOKUP($D339,素材!$1:$1016,COLUMN($F$1),FALSE))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AZ339">
        <f>IF(ISNUMBER(SEARCH(SUBSTITUTE(AZ$1,RIGHT(AZ$1,2),""),VLOOKUP($D339,素材!$1:$1016,COLUMN($F$1),FALSE))),VLOOKUP($C339,武器!$1:$998,COLUMN($O$1),FALSE)*VLOOKUP($D339,素材!$1:$1016,COLUMN($E$1),FALSE)/(LEN(VLOOKUP($D339,素材!$1:$1016,COLUMN($F$1),FALSE))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BA339">
        <f>IF(ISNUMBER(SEARCH(SUBSTITUTE(BA$1,RIGHT(BA$1,2),""),VLOOKUP($D339,素材!$1:$1016,COLUMN($F$1),FALSE))),VLOOKUP($C339,武器!$1:$998,COLUMN($O$1),FALSE)*VLOOKUP($D339,素材!$1:$1016,COLUMN($E$1),FALSE)/(LEN(VLOOKUP($D339,素材!$1:$1016,COLUMN($F$1),FALSE))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BB339">
        <f>IF(ISNUMBER(SEARCH(SUBSTITUTE(BB$1,RIGHT(BB$1,2),""),VLOOKUP($D339,素材!$1:$1016,COLUMN($F$1),FALSE))),VLOOKUP($C339,武器!$1:$998,COLUMN($O$1),FALSE)*VLOOKUP($D339,素材!$1:$1016,COLUMN($E$1),FALSE)/(LEN(VLOOKUP($D339,素材!$1:$1016,COLUMN($F$1),FALSE))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BC339">
        <f>IF(ISNUMBER(SEARCH(SUBSTITUTE(BC$1,RIGHT(BC$1,2),""),VLOOKUP($D339,素材!$1:$1016,COLUMN($F$1),FALSE))),VLOOKUP($C339,武器!$1:$998,COLUMN($O$1),FALSE)*VLOOKUP($D339,素材!$1:$1016,COLUMN($E$1),FALSE)/(LEN(VLOOKUP($D339,素材!$1:$1016,COLUMN($F$1),FALSE))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BD339">
        <f>IF(ISNUMBER(SEARCH(SUBSTITUTE(BD$1,RIGHT(BD$1,2),""),VLOOKUP($D339,素材!$1:$1016,COLUMN($F$1),FALSE))),VLOOKUP($C339,武器!$1:$998,COLUMN($O$1),FALSE)*VLOOKUP($D339,素材!$1:$1016,COLUMN($E$1),FALSE)/(LEN(VLOOKUP($D339,素材!$1:$1016,COLUMN($F$1),FALSE))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BE339">
        <f>IF(ISNUMBER(SEARCH(SUBSTITUTE(BE$1,RIGHT(BE$1,2),""),VLOOKUP($D339,素材!$1:$1016,COLUMN($F$1),FALSE))),VLOOKUP($C339,武器!$1:$998,COLUMN($O$1),FALSE)*VLOOKUP($D339,素材!$1:$1016,COLUMN($E$1),FALSE)/(LEN(VLOOKUP($D339,素材!$1:$1016,COLUMN($F$1),FALSE))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BF339">
        <f>IF(ISNUMBER(SEARCH(SUBSTITUTE(BF$1,RIGHT(BF$1,2),""),VLOOKUP($D339,素材!$1:$1016,COLUMN($F$1),FALSE))),VLOOKUP($C339,武器!$1:$998,COLUMN($O$1),FALSE)*VLOOKUP($D339,素材!$1:$1016,COLUMN($E$1),FALSE)/(LEN(VLOOKUP($D339,素材!$1:$1016,COLUMN($F$1),FALSE)) - LEN(SUBSTITUTE(VLOOKUP($D339,素材!$1:$1016,COLUMN($F$1),FALSE), "・", 0)) + 1), 0)</f>
        <v>0</v>
      </c>
      <c r="CM339">
        <f t="shared" si="39"/>
        <v>0</v>
      </c>
      <c r="CN339" s="22" t="str">
        <f>IF(E339="武器",IF(J339-1&gt;SUM(G339:I339),"盾",IF(MAX(G339:I339)=G339,"切断",IF(MAX(G339:I339)=H339,"貫通",IF(MAX(G339:I339)=I339,"打撃","射撃")))),E339)&amp;".webp"</f>
        <v>.webp</v>
      </c>
      <c r="CO339" t="str">
        <f>IFERROR(VLOOKUP($C339,武器!$1:$998,COLUMN(V$1),FALSE)*VLOOKUP($D339,素材!$1:$1016,COLUMN(N$1),FALSE)+IF(CJ339="",0,VLOOKUP($CJ339,装強!$1:$1008,COLUMN($CL$1),FALSE)),"")</f>
        <v/>
      </c>
      <c r="CP339" t="e">
        <f>VLOOKUP(D339,素材!$A:$O,COLUMN(素材!O$1),FALSE)</f>
        <v>#N/A</v>
      </c>
      <c r="CQ339" t="e">
        <f>VLOOKUP(C339,武器!$A:$W,COLUMN(武器!W$1),FALSE)</f>
        <v>#N/A</v>
      </c>
      <c r="CS339" t="str">
        <f>"e_"&amp;ROW(CS339)</f>
        <v>e_339</v>
      </c>
      <c r="CT339" t="e">
        <f>CO339*100</f>
        <v>#VALUE!</v>
      </c>
    </row>
    <row r="340" spans="1:98" hidden="1" outlineLevel="1" x14ac:dyDescent="0.4">
      <c r="A340" t="str">
        <f>IF(CJ340="",D340&amp;"の"&amp;C340,CJ340&amp;"の"&amp;C340)</f>
        <v>の</v>
      </c>
      <c r="B340" t="str">
        <f>IFERROR(IF(CJ340="",VLOOKUP($D340,素材!$1:$1016,COLUMN($B$1),FALSE)&amp;"・"&amp;VLOOKUP($C340,武器!$1:$998,COLUMN(B$1),FALSE),VLOOKUP($CJ340,装強!$1:$1008,COLUMN($B$1),FALSE)&amp;"・"&amp;VLOOKUP($C340,武器!$1:$998,COLUMN(B$1),FALSE)),"")</f>
        <v/>
      </c>
      <c r="C340" s="24"/>
      <c r="D340" s="24"/>
      <c r="E340" t="str">
        <f>IFERROR(VLOOKUP(C340,武器!$1:$998,COLUMN(C$1),FALSE),"")</f>
        <v/>
      </c>
      <c r="F340" t="str">
        <f>IFERROR(ROUNDDOWN((VLOOKUP($C340,武器!$1:$998,COLUMN(D$1),FALSE)+IFERROR(VLOOKUP($CJ340,装強!$1:$999,COLUMN(F$1),FALSE),0))*VLOOKUP($D340,素材!$1:$1016,COLUMN(D$1),FALSE),0),"")</f>
        <v/>
      </c>
      <c r="G340" t="str">
        <f>IFERROR(ROUNDDOWN((VLOOKUP($C340,武器!$1:$998,COLUMN(E$1),FALSE)+IFERROR(VLOOKUP($CJ340,装強!$1:$999,COLUMN(G$1),FALSE),0))*VLOOKUP($D340,素材!$1:$1016,COLUMN($E$1),FALSE),0),"")</f>
        <v/>
      </c>
      <c r="H340" t="str">
        <f>IFERROR(ROUNDDOWN((VLOOKUP($C340,武器!$1:$998,COLUMN(F$1),FALSE)+IFERROR(VLOOKUP($CJ340,装強!$1:$999,COLUMN(H$1),FALSE),0))*VLOOKUP($D340,素材!$1:$1016,COLUMN($E$1),FALSE),0),"")</f>
        <v/>
      </c>
      <c r="I340" t="str">
        <f>IFERROR(ROUNDDOWN((VLOOKUP($C340,武器!$1:$998,COLUMN(G$1),FALSE)+IFERROR(VLOOKUP($CJ340,装強!$1:$999,COLUMN(I$1),FALSE),0))*VLOOKUP($D340,素材!$1:$1016,COLUMN($E$1),FALSE),0),"")</f>
        <v/>
      </c>
      <c r="J340" t="str">
        <f>IFERROR(ROUNDDOWN((VLOOKUP($C340,武器!$1:$998,COLUMN(H$1),FALSE)+IFERROR(VLOOKUP($CJ340,装強!$1:$999,COLUMN(J$1),FALSE),0))*VLOOKUP($D340,素材!$1:$1016,COLUMN($E$1),FALSE),0),"")</f>
        <v/>
      </c>
      <c r="K340" t="str">
        <f>IFERROR(ROUNDDOWN((VLOOKUP($C340,武器!$1:$998,COLUMN(I$1),FALSE)+IFERROR(VLOOKUP($CJ340,装強!$1:$999,COLUMN(K$1),FALSE),0))*VLOOKUP($D340,素材!$1:$1016,COLUMN($E$1),FALSE),0),"")</f>
        <v/>
      </c>
      <c r="L340" t="str">
        <f>IFERROR(VLOOKUP($D340,素材!$1:$1016,COLUMN($F$1),FALSE),"")</f>
        <v/>
      </c>
      <c r="M340" t="str">
        <f>IFERROR(VLOOKUP($C340,武器!$1:$998,COLUMN(AA$1),FALSE)*VLOOKUP($D340,素材!$1:$1016,COLUMN($G$1),FALSE),"")</f>
        <v/>
      </c>
      <c r="N340" t="str">
        <f>IFERROR(VLOOKUP($C340,武器!$1:$998,COLUMN(I$1),FALSE),"")</f>
        <v/>
      </c>
      <c r="O340" s="23" t="str">
        <f>IFERROR((VLOOKUP($C340,武器!$1:$998,COLUMN(K$1),FALSE)+VLOOKUP($D340,素材!$1:$1016,COLUMN(H$1),FALSE))*100+IFERROR(VLOOKUP($CJ340,装強!$1:$999,COLUMN(O$1),FALSE),0),"")</f>
        <v/>
      </c>
      <c r="P340" s="23" t="str">
        <f>IFERROR((VLOOKUP($C340,武器!$1:$998,COLUMN(L$1),FALSE)+VLOOKUP($D340,素材!$1:$1016,COLUMN(I$1),FALSE))*100+IFERROR(VLOOKUP($CJ340,装強!$1:$999,COLUMN(P$1),FALSE),0),"")</f>
        <v/>
      </c>
      <c r="Q340" t="str">
        <f>IFERROR(ROUNDUP(VLOOKUP($C340,武器!$1:$998,COLUMN(M$1),FALSE)*(VLOOKUP($D340,素材!$1:$1002,COLUMN(D$1),FALSE)/100),1),"")</f>
        <v/>
      </c>
      <c r="R340" t="str">
        <f>IFERROR(ROUNDUP(VLOOKUP($C340,武器!$1:$998,COLUMN(N$1),FALSE)*(VLOOKUP($D340,素材!$1:$1002,COLUMN(D$1),FALSE)/100),1),"")</f>
        <v/>
      </c>
      <c r="S340" t="str">
        <f>IFERROR(VLOOKUP($C340,武器!$1:$998,COLUMN(P$1),FALSE),"")</f>
        <v/>
      </c>
      <c r="T340" t="str">
        <f>IFERROR(VLOOKUP($C340,武器!$1:$998,COLUMN(Q$1),FALSE),"")</f>
        <v/>
      </c>
      <c r="U340" t="str">
        <f>IFERROR(VLOOKUP($C340,武器!$1:$998,COLUMN(R$1),FALSE),"")</f>
        <v/>
      </c>
      <c r="V340" t="str">
        <f>IFERROR(VLOOKUP($C340,武器!$1:$998,COLUMN(Q$1),FALSE),"")</f>
        <v/>
      </c>
      <c r="W340" t="str">
        <f>IFERROR(VLOOKUP($C340,武器!$1:$998,COLUMN(T$1),FALSE),"")</f>
        <v/>
      </c>
      <c r="Y340" t="str">
        <f>IFERROR(VLOOKUP($C340,武器!$1:$998,COLUMN(U$1),FALSE),"")</f>
        <v/>
      </c>
      <c r="Z340" t="str">
        <f>IFERROR(ROUNDUP(VLOOKUP($C340,武器!$1:$998,COLUMN(O$1),FALSE)*VLOOKUP($D340,素材!$1:$1016,COLUMN(E$1),FALSE),1),"")</f>
        <v/>
      </c>
      <c r="AA340">
        <f>IF(ISNUMBER(SEARCH(SUBSTITUTE(AA$1,RIGHT(AA$1,2),""),VLOOKUP($D340,素材!$1:$1016,COLUMN($F$1),FALSE))),VLOOKUP($C340,武器!$1:$998,COLUMN($O$1),FALSE)*VLOOKUP($D340,素材!$1:$1016,COLUMN($E$1),FALSE)/(LEN(VLOOKUP($D340,素材!$1:$1016,COLUMN($F$1),FALSE))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B340">
        <f>IF(ISNUMBER(SEARCH(SUBSTITUTE(AB$1,RIGHT(AB$1,2),""),VLOOKUP($D340,素材!$1:$1016,COLUMN($F$1),FALSE))),VLOOKUP($C340,武器!$1:$998,COLUMN($O$1),FALSE)*VLOOKUP($D340,素材!$1:$1016,COLUMN($E$1),FALSE)/(LEN(VLOOKUP($D340,素材!$1:$1016,COLUMN($F$1),FALSE))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C340">
        <f>IF(ISNUMBER(SEARCH(SUBSTITUTE(AC$1,RIGHT(AC$1,2),""),VLOOKUP($D340,素材!$1:$1016,COLUMN($F$1),FALSE))),VLOOKUP($C340,武器!$1:$998,COLUMN($O$1),FALSE)*VLOOKUP($D340,素材!$1:$1016,COLUMN($E$1),FALSE)/(LEN(VLOOKUP($D340,素材!$1:$1016,COLUMN($F$1),FALSE))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D340">
        <f>IF(ISNUMBER(SEARCH(SUBSTITUTE(AD$1,RIGHT(AD$1,2),""),VLOOKUP($D340,素材!$1:$1016,COLUMN($F$1),FALSE))),VLOOKUP($C340,武器!$1:$998,COLUMN($O$1),FALSE)*VLOOKUP($D340,素材!$1:$1016,COLUMN($E$1),FALSE)/(LEN(VLOOKUP($D340,素材!$1:$1016,COLUMN($F$1),FALSE))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E340">
        <f>IF(ISNUMBER(SEARCH(SUBSTITUTE(AE$1,RIGHT(AE$1,2),""),VLOOKUP($D340,素材!$1:$1016,COLUMN($F$1),FALSE))),VLOOKUP($C340,武器!$1:$998,COLUMN($O$1),FALSE)*VLOOKUP($D340,素材!$1:$1016,COLUMN($E$1),FALSE)/(LEN(VLOOKUP($D340,素材!$1:$1016,COLUMN($F$1),FALSE))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F340">
        <f>IF(ISNUMBER(SEARCH(SUBSTITUTE(AF$1,RIGHT(AF$1,2),""),VLOOKUP($D340,素材!$1:$1016,COLUMN($F$1),FALSE))),VLOOKUP($C340,武器!$1:$998,COLUMN($O$1),FALSE)*VLOOKUP($D340,素材!$1:$1016,COLUMN($E$1),FALSE)/(LEN(VLOOKUP($D340,素材!$1:$1016,COLUMN($F$1),FALSE))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G340">
        <f>IF(ISNUMBER(SEARCH(SUBSTITUTE(AG$1,RIGHT(AG$1,2),""),VLOOKUP($D340,素材!$1:$1016,COLUMN($F$1),FALSE))),VLOOKUP($C340,武器!$1:$998,COLUMN($O$1),FALSE)*VLOOKUP($D340,素材!$1:$1016,COLUMN($E$1),FALSE)/(LEN(VLOOKUP($D340,素材!$1:$1016,COLUMN($F$1),FALSE))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H340">
        <f>IF(ISNUMBER(SEARCH(SUBSTITUTE(AH$1,RIGHT(AH$1,2),""),VLOOKUP($D340,素材!$1:$1016,COLUMN($F$1),FALSE))),VLOOKUP($C340,武器!$1:$998,COLUMN($O$1),FALSE)*VLOOKUP($D340,素材!$1:$1016,COLUMN($E$1),FALSE)/(LEN(VLOOKUP($D340,素材!$1:$1016,COLUMN($F$1),FALSE))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I340">
        <f>IF(ISNUMBER(SEARCH(SUBSTITUTE(AI$1,RIGHT(AI$1,2),""),VLOOKUP($D340,素材!$1:$1016,COLUMN($F$1),FALSE))),VLOOKUP($C340,武器!$1:$998,COLUMN($O$1),FALSE)*VLOOKUP($D340,素材!$1:$1016,COLUMN($E$1),FALSE)/(LEN(VLOOKUP($D340,素材!$1:$1016,COLUMN($F$1),FALSE))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J340">
        <f>IF(ISNUMBER(SEARCH(SUBSTITUTE(AJ$1,RIGHT(AJ$1,2),""),VLOOKUP($D340,素材!$1:$1016,COLUMN($F$1),FALSE))),VLOOKUP($C340,武器!$1:$998,COLUMN($O$1),FALSE)*VLOOKUP($D340,素材!$1:$1016,COLUMN($E$1),FALSE)/(LEN(VLOOKUP($D340,素材!$1:$1016,COLUMN($F$1),FALSE))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K340">
        <f>IF(ISNUMBER(SEARCH(SUBSTITUTE(AK$1,RIGHT(AK$1,2),""),VLOOKUP($D340,素材!$1:$1016,COLUMN($F$1),FALSE))),VLOOKUP($C340,武器!$1:$998,COLUMN($O$1),FALSE)*VLOOKUP($D340,素材!$1:$1016,COLUMN($E$1),FALSE)/(LEN(VLOOKUP($D340,素材!$1:$1016,COLUMN($F$1),FALSE))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L340">
        <f>IF(ISNUMBER(SEARCH(SUBSTITUTE(AL$1,RIGHT(AL$1,2),""),VLOOKUP($D340,素材!$1:$1016,COLUMN($F$1),FALSE))),VLOOKUP($C340,武器!$1:$998,COLUMN($O$1),FALSE)*VLOOKUP($D340,素材!$1:$1016,COLUMN($E$1),FALSE)/(LEN(VLOOKUP($D340,素材!$1:$1016,COLUMN($F$1),FALSE))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M340">
        <f>IF(ISNUMBER(SEARCH(SUBSTITUTE(AM$1,RIGHT(AM$1,2),""),VLOOKUP($D340,素材!$1:$1016,COLUMN($F$1),FALSE))),VLOOKUP($C340,武器!$1:$998,COLUMN($O$1),FALSE)*VLOOKUP($D340,素材!$1:$1016,COLUMN($E$1),FALSE)/(LEN(VLOOKUP($D340,素材!$1:$1016,COLUMN($F$1),FALSE))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N340">
        <f>IF(ISNUMBER(SEARCH(SUBSTITUTE(AN$1,RIGHT(AN$1,2),""),VLOOKUP($D340,素材!$1:$1016,COLUMN($F$1),FALSE))),VLOOKUP($C340,武器!$1:$998,COLUMN($O$1),FALSE)*VLOOKUP($D340,素材!$1:$1016,COLUMN($E$1),FALSE)/(LEN(VLOOKUP($D340,素材!$1:$1016,COLUMN($F$1),FALSE))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O340">
        <f>IF(ISNUMBER(SEARCH(SUBSTITUTE(AO$1,RIGHT(AO$1,2),""),VLOOKUP($D340,素材!$1:$1016,COLUMN($F$1),FALSE))),VLOOKUP($C340,武器!$1:$998,COLUMN($O$1),FALSE)*VLOOKUP($D340,素材!$1:$1016,COLUMN($E$1),FALSE)/(LEN(VLOOKUP($D340,素材!$1:$1016,COLUMN($F$1),FALSE))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P340">
        <f>IF(ISNUMBER(SEARCH(SUBSTITUTE(AP$1,RIGHT(AP$1,2),""),VLOOKUP($D340,素材!$1:$1016,COLUMN($F$1),FALSE))),VLOOKUP($C340,武器!$1:$998,COLUMN($O$1),FALSE)*VLOOKUP($D340,素材!$1:$1016,COLUMN($E$1),FALSE)/(LEN(VLOOKUP($D340,素材!$1:$1016,COLUMN($F$1),FALSE))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Q340">
        <f>IF(ISNUMBER(SEARCH(SUBSTITUTE(AQ$1,RIGHT(AQ$1,2),""),VLOOKUP($D340,素材!$1:$1016,COLUMN($F$1),FALSE))),VLOOKUP($C340,武器!$1:$998,COLUMN($O$1),FALSE)*VLOOKUP($D340,素材!$1:$1016,COLUMN($E$1),FALSE)/(LEN(VLOOKUP($D340,素材!$1:$1016,COLUMN($F$1),FALSE))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R340">
        <f>IF(ISNUMBER(SEARCH(SUBSTITUTE(AR$1,RIGHT(AR$1,2),""),VLOOKUP($D340,素材!$1:$1016,COLUMN($F$1),FALSE))),VLOOKUP($C340,武器!$1:$998,COLUMN($O$1),FALSE)*VLOOKUP($D340,素材!$1:$1016,COLUMN($E$1),FALSE)/(LEN(VLOOKUP($D340,素材!$1:$1016,COLUMN($F$1),FALSE))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S340">
        <f>IF(ISNUMBER(SEARCH(SUBSTITUTE(AS$1,RIGHT(AS$1,2),""),VLOOKUP($D340,素材!$1:$1016,COLUMN($F$1),FALSE))),VLOOKUP($C340,武器!$1:$998,COLUMN($O$1),FALSE)*VLOOKUP($D340,素材!$1:$1016,COLUMN($E$1),FALSE)/(LEN(VLOOKUP($D340,素材!$1:$1016,COLUMN($F$1),FALSE))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T340">
        <f>IF(ISNUMBER(SEARCH(SUBSTITUTE(AT$1,RIGHT(AT$1,2),""),VLOOKUP($D340,素材!$1:$1016,COLUMN($F$1),FALSE))),VLOOKUP($C340,武器!$1:$998,COLUMN($O$1),FALSE)*VLOOKUP($D340,素材!$1:$1016,COLUMN($E$1),FALSE)/(LEN(VLOOKUP($D340,素材!$1:$1016,COLUMN($F$1),FALSE))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U340">
        <f>IF(ISNUMBER(SEARCH(SUBSTITUTE(AU$1,RIGHT(AU$1,2),""),VLOOKUP($D340,素材!$1:$1016,COLUMN($F$1),FALSE))),VLOOKUP($C340,武器!$1:$998,COLUMN($O$1),FALSE)*VLOOKUP($D340,素材!$1:$1016,COLUMN($E$1),FALSE)/(LEN(VLOOKUP($D340,素材!$1:$1016,COLUMN($F$1),FALSE))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V340">
        <f>IF(ISNUMBER(SEARCH(SUBSTITUTE(AV$1,RIGHT(AV$1,2),""),VLOOKUP($D340,素材!$1:$1016,COLUMN($F$1),FALSE))),VLOOKUP($C340,武器!$1:$998,COLUMN($O$1),FALSE)*VLOOKUP($D340,素材!$1:$1016,COLUMN($E$1),FALSE)/(LEN(VLOOKUP($D340,素材!$1:$1016,COLUMN($F$1),FALSE))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W340">
        <f>IF(ISNUMBER(SEARCH(SUBSTITUTE(AW$1,RIGHT(AW$1,2),""),VLOOKUP($D340,素材!$1:$1016,COLUMN($F$1),FALSE))),VLOOKUP($C340,武器!$1:$998,COLUMN($O$1),FALSE)*VLOOKUP($D340,素材!$1:$1016,COLUMN($E$1),FALSE)/(LEN(VLOOKUP($D340,素材!$1:$1016,COLUMN($F$1),FALSE))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X340">
        <f>IF(ISNUMBER(SEARCH(SUBSTITUTE(AX$1,RIGHT(AX$1,2),""),VLOOKUP($D340,素材!$1:$1016,COLUMN($F$1),FALSE))),VLOOKUP($C340,武器!$1:$998,COLUMN($O$1),FALSE)*VLOOKUP($D340,素材!$1:$1016,COLUMN($E$1),FALSE)/(LEN(VLOOKUP($D340,素材!$1:$1016,COLUMN($F$1),FALSE))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Y340">
        <f>IF(ISNUMBER(SEARCH(SUBSTITUTE(AY$1,RIGHT(AY$1,2),""),VLOOKUP($D340,素材!$1:$1016,COLUMN($F$1),FALSE))),VLOOKUP($C340,武器!$1:$998,COLUMN($O$1),FALSE)*VLOOKUP($D340,素材!$1:$1016,COLUMN($E$1),FALSE)/(LEN(VLOOKUP($D340,素材!$1:$1016,COLUMN($F$1),FALSE))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AZ340">
        <f>IF(ISNUMBER(SEARCH(SUBSTITUTE(AZ$1,RIGHT(AZ$1,2),""),VLOOKUP($D340,素材!$1:$1016,COLUMN($F$1),FALSE))),VLOOKUP($C340,武器!$1:$998,COLUMN($O$1),FALSE)*VLOOKUP($D340,素材!$1:$1016,COLUMN($E$1),FALSE)/(LEN(VLOOKUP($D340,素材!$1:$1016,COLUMN($F$1),FALSE))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BA340">
        <f>IF(ISNUMBER(SEARCH(SUBSTITUTE(BA$1,RIGHT(BA$1,2),""),VLOOKUP($D340,素材!$1:$1016,COLUMN($F$1),FALSE))),VLOOKUP($C340,武器!$1:$998,COLUMN($O$1),FALSE)*VLOOKUP($D340,素材!$1:$1016,COLUMN($E$1),FALSE)/(LEN(VLOOKUP($D340,素材!$1:$1016,COLUMN($F$1),FALSE))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BB340">
        <f>IF(ISNUMBER(SEARCH(SUBSTITUTE(BB$1,RIGHT(BB$1,2),""),VLOOKUP($D340,素材!$1:$1016,COLUMN($F$1),FALSE))),VLOOKUP($C340,武器!$1:$998,COLUMN($O$1),FALSE)*VLOOKUP($D340,素材!$1:$1016,COLUMN($E$1),FALSE)/(LEN(VLOOKUP($D340,素材!$1:$1016,COLUMN($F$1),FALSE))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BC340">
        <f>IF(ISNUMBER(SEARCH(SUBSTITUTE(BC$1,RIGHT(BC$1,2),""),VLOOKUP($D340,素材!$1:$1016,COLUMN($F$1),FALSE))),VLOOKUP($C340,武器!$1:$998,COLUMN($O$1),FALSE)*VLOOKUP($D340,素材!$1:$1016,COLUMN($E$1),FALSE)/(LEN(VLOOKUP($D340,素材!$1:$1016,COLUMN($F$1),FALSE))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BD340">
        <f>IF(ISNUMBER(SEARCH(SUBSTITUTE(BD$1,RIGHT(BD$1,2),""),VLOOKUP($D340,素材!$1:$1016,COLUMN($F$1),FALSE))),VLOOKUP($C340,武器!$1:$998,COLUMN($O$1),FALSE)*VLOOKUP($D340,素材!$1:$1016,COLUMN($E$1),FALSE)/(LEN(VLOOKUP($D340,素材!$1:$1016,COLUMN($F$1),FALSE))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BE340">
        <f>IF(ISNUMBER(SEARCH(SUBSTITUTE(BE$1,RIGHT(BE$1,2),""),VLOOKUP($D340,素材!$1:$1016,COLUMN($F$1),FALSE))),VLOOKUP($C340,武器!$1:$998,COLUMN($O$1),FALSE)*VLOOKUP($D340,素材!$1:$1016,COLUMN($E$1),FALSE)/(LEN(VLOOKUP($D340,素材!$1:$1016,COLUMN($F$1),FALSE))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BF340">
        <f>IF(ISNUMBER(SEARCH(SUBSTITUTE(BF$1,RIGHT(BF$1,2),""),VLOOKUP($D340,素材!$1:$1016,COLUMN($F$1),FALSE))),VLOOKUP($C340,武器!$1:$998,COLUMN($O$1),FALSE)*VLOOKUP($D340,素材!$1:$1016,COLUMN($E$1),FALSE)/(LEN(VLOOKUP($D340,素材!$1:$1016,COLUMN($F$1),FALSE)) - LEN(SUBSTITUTE(VLOOKUP($D340,素材!$1:$1016,COLUMN($F$1),FALSE), "・", 0)) + 1), 0)</f>
        <v>0</v>
      </c>
      <c r="CM340">
        <f t="shared" si="39"/>
        <v>0</v>
      </c>
      <c r="CN340" s="22" t="str">
        <f>IF(E340="武器",IF(J340-1&gt;SUM(G340:I340),"盾",IF(MAX(G340:I340)=G340,"切断",IF(MAX(G340:I340)=H340,"貫通",IF(MAX(G340:I340)=I340,"打撃","射撃")))),E340)&amp;".webp"</f>
        <v>.webp</v>
      </c>
      <c r="CO340" t="str">
        <f>IFERROR(VLOOKUP($C340,武器!$1:$998,COLUMN(V$1),FALSE)*VLOOKUP($D340,素材!$1:$1016,COLUMN(N$1),FALSE)+IF(CJ340="",0,VLOOKUP($CJ340,装強!$1:$1008,COLUMN($CL$1),FALSE)),"")</f>
        <v/>
      </c>
      <c r="CP340" t="e">
        <f>VLOOKUP(D340,素材!$A:$O,COLUMN(素材!O$1),FALSE)</f>
        <v>#N/A</v>
      </c>
      <c r="CQ340" t="e">
        <f>VLOOKUP(C340,武器!$A:$W,COLUMN(武器!W$1),FALSE)</f>
        <v>#N/A</v>
      </c>
      <c r="CS340" t="str">
        <f>"e_"&amp;ROW(CS340)</f>
        <v>e_340</v>
      </c>
      <c r="CT340" t="e">
        <f>CO340*100</f>
        <v>#VALUE!</v>
      </c>
    </row>
    <row r="341" spans="1:98" hidden="1" outlineLevel="1" x14ac:dyDescent="0.4">
      <c r="A341" t="str">
        <f>IF(CJ341="",D341&amp;"の"&amp;C341,CJ341&amp;"の"&amp;C341)</f>
        <v>の</v>
      </c>
      <c r="B341" t="str">
        <f>IFERROR(IF(CJ341="",VLOOKUP($D341,素材!$1:$1016,COLUMN($B$1),FALSE)&amp;"・"&amp;VLOOKUP($C341,武器!$1:$998,COLUMN(B$1),FALSE),VLOOKUP($CJ341,装強!$1:$1008,COLUMN($B$1),FALSE)&amp;"・"&amp;VLOOKUP($C341,武器!$1:$998,COLUMN(B$1),FALSE)),"")</f>
        <v/>
      </c>
      <c r="C341" s="24"/>
      <c r="D341" s="24"/>
      <c r="E341" t="str">
        <f>IFERROR(VLOOKUP(C341,武器!$1:$998,COLUMN(C$1),FALSE),"")</f>
        <v/>
      </c>
      <c r="F341" t="str">
        <f>IFERROR(ROUNDDOWN((VLOOKUP($C341,武器!$1:$998,COLUMN(D$1),FALSE)+IFERROR(VLOOKUP($CJ341,装強!$1:$999,COLUMN(F$1),FALSE),0))*VLOOKUP($D341,素材!$1:$1016,COLUMN(D$1),FALSE),0),"")</f>
        <v/>
      </c>
      <c r="G341" t="str">
        <f>IFERROR(ROUNDDOWN((VLOOKUP($C341,武器!$1:$998,COLUMN(E$1),FALSE)+IFERROR(VLOOKUP($CJ341,装強!$1:$999,COLUMN(G$1),FALSE),0))*VLOOKUP($D341,素材!$1:$1016,COLUMN($E$1),FALSE),0),"")</f>
        <v/>
      </c>
      <c r="H341" t="str">
        <f>IFERROR(ROUNDDOWN((VLOOKUP($C341,武器!$1:$998,COLUMN(F$1),FALSE)+IFERROR(VLOOKUP($CJ341,装強!$1:$999,COLUMN(H$1),FALSE),0))*VLOOKUP($D341,素材!$1:$1016,COLUMN($E$1),FALSE),0),"")</f>
        <v/>
      </c>
      <c r="I341" t="str">
        <f>IFERROR(ROUNDDOWN((VLOOKUP($C341,武器!$1:$998,COLUMN(G$1),FALSE)+IFERROR(VLOOKUP($CJ341,装強!$1:$999,COLUMN(I$1),FALSE),0))*VLOOKUP($D341,素材!$1:$1016,COLUMN($E$1),FALSE),0),"")</f>
        <v/>
      </c>
      <c r="J341" t="str">
        <f>IFERROR(ROUNDDOWN((VLOOKUP($C341,武器!$1:$998,COLUMN(H$1),FALSE)+IFERROR(VLOOKUP($CJ341,装強!$1:$999,COLUMN(J$1),FALSE),0))*VLOOKUP($D341,素材!$1:$1016,COLUMN($E$1),FALSE),0),"")</f>
        <v/>
      </c>
      <c r="K341" t="str">
        <f>IFERROR(ROUNDDOWN((VLOOKUP($C341,武器!$1:$998,COLUMN(I$1),FALSE)+IFERROR(VLOOKUP($CJ341,装強!$1:$999,COLUMN(K$1),FALSE),0))*VLOOKUP($D341,素材!$1:$1016,COLUMN($E$1),FALSE),0),"")</f>
        <v/>
      </c>
      <c r="L341" t="str">
        <f>IFERROR(VLOOKUP($D341,素材!$1:$1016,COLUMN($F$1),FALSE),"")</f>
        <v/>
      </c>
      <c r="M341" t="str">
        <f>IFERROR(VLOOKUP($C341,武器!$1:$998,COLUMN(AA$1),FALSE)*VLOOKUP($D341,素材!$1:$1016,COLUMN($G$1),FALSE),"")</f>
        <v/>
      </c>
      <c r="N341" t="str">
        <f>IFERROR(VLOOKUP($C341,武器!$1:$998,COLUMN(I$1),FALSE),"")</f>
        <v/>
      </c>
      <c r="O341" s="23" t="str">
        <f>IFERROR((VLOOKUP($C341,武器!$1:$998,COLUMN(K$1),FALSE)+VLOOKUP($D341,素材!$1:$1016,COLUMN(H$1),FALSE))*100+IFERROR(VLOOKUP($CJ341,装強!$1:$999,COLUMN(O$1),FALSE),0),"")</f>
        <v/>
      </c>
      <c r="P341" s="23" t="str">
        <f>IFERROR((VLOOKUP($C341,武器!$1:$998,COLUMN(L$1),FALSE)+VLOOKUP($D341,素材!$1:$1016,COLUMN(I$1),FALSE))*100+IFERROR(VLOOKUP($CJ341,装強!$1:$999,COLUMN(P$1),FALSE),0),"")</f>
        <v/>
      </c>
      <c r="Q341" t="str">
        <f>IFERROR(ROUNDUP(VLOOKUP($C341,武器!$1:$998,COLUMN(M$1),FALSE)*(VLOOKUP($D341,素材!$1:$1002,COLUMN(D$1),FALSE)/100),1),"")</f>
        <v/>
      </c>
      <c r="R341" t="str">
        <f>IFERROR(ROUNDUP(VLOOKUP($C341,武器!$1:$998,COLUMN(N$1),FALSE)*(VLOOKUP($D341,素材!$1:$1002,COLUMN(D$1),FALSE)/100),1),"")</f>
        <v/>
      </c>
      <c r="S341" t="str">
        <f>IFERROR(VLOOKUP($C341,武器!$1:$998,COLUMN(P$1),FALSE),"")</f>
        <v/>
      </c>
      <c r="T341" t="str">
        <f>IFERROR(VLOOKUP($C341,武器!$1:$998,COLUMN(Q$1),FALSE),"")</f>
        <v/>
      </c>
      <c r="U341" t="str">
        <f>IFERROR(VLOOKUP($C341,武器!$1:$998,COLUMN(R$1),FALSE),"")</f>
        <v/>
      </c>
      <c r="V341" t="str">
        <f>IFERROR(VLOOKUP($C341,武器!$1:$998,COLUMN(Q$1),FALSE),"")</f>
        <v/>
      </c>
      <c r="W341" t="str">
        <f>IFERROR(VLOOKUP($C341,武器!$1:$998,COLUMN(T$1),FALSE),"")</f>
        <v/>
      </c>
      <c r="Y341" t="str">
        <f>IFERROR(VLOOKUP($C341,武器!$1:$998,COLUMN(U$1),FALSE),"")</f>
        <v/>
      </c>
      <c r="Z341" t="str">
        <f>IFERROR(ROUNDUP(VLOOKUP($C341,武器!$1:$998,COLUMN(O$1),FALSE)*VLOOKUP($D341,素材!$1:$1016,COLUMN(E$1),FALSE),1),"")</f>
        <v/>
      </c>
      <c r="AA341">
        <f>IF(ISNUMBER(SEARCH(SUBSTITUTE(AA$1,RIGHT(AA$1,2),""),VLOOKUP($D341,素材!$1:$1016,COLUMN($F$1),FALSE))),VLOOKUP($C341,武器!$1:$998,COLUMN($O$1),FALSE)*VLOOKUP($D341,素材!$1:$1016,COLUMN($E$1),FALSE)/(LEN(VLOOKUP($D341,素材!$1:$1016,COLUMN($F$1),FALSE))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B341">
        <f>IF(ISNUMBER(SEARCH(SUBSTITUTE(AB$1,RIGHT(AB$1,2),""),VLOOKUP($D341,素材!$1:$1016,COLUMN($F$1),FALSE))),VLOOKUP($C341,武器!$1:$998,COLUMN($O$1),FALSE)*VLOOKUP($D341,素材!$1:$1016,COLUMN($E$1),FALSE)/(LEN(VLOOKUP($D341,素材!$1:$1016,COLUMN($F$1),FALSE))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C341">
        <f>IF(ISNUMBER(SEARCH(SUBSTITUTE(AC$1,RIGHT(AC$1,2),""),VLOOKUP($D341,素材!$1:$1016,COLUMN($F$1),FALSE))),VLOOKUP($C341,武器!$1:$998,COLUMN($O$1),FALSE)*VLOOKUP($D341,素材!$1:$1016,COLUMN($E$1),FALSE)/(LEN(VLOOKUP($D341,素材!$1:$1016,COLUMN($F$1),FALSE))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D341">
        <f>IF(ISNUMBER(SEARCH(SUBSTITUTE(AD$1,RIGHT(AD$1,2),""),VLOOKUP($D341,素材!$1:$1016,COLUMN($F$1),FALSE))),VLOOKUP($C341,武器!$1:$998,COLUMN($O$1),FALSE)*VLOOKUP($D341,素材!$1:$1016,COLUMN($E$1),FALSE)/(LEN(VLOOKUP($D341,素材!$1:$1016,COLUMN($F$1),FALSE))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E341">
        <f>IF(ISNUMBER(SEARCH(SUBSTITUTE(AE$1,RIGHT(AE$1,2),""),VLOOKUP($D341,素材!$1:$1016,COLUMN($F$1),FALSE))),VLOOKUP($C341,武器!$1:$998,COLUMN($O$1),FALSE)*VLOOKUP($D341,素材!$1:$1016,COLUMN($E$1),FALSE)/(LEN(VLOOKUP($D341,素材!$1:$1016,COLUMN($F$1),FALSE))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F341">
        <f>IF(ISNUMBER(SEARCH(SUBSTITUTE(AF$1,RIGHT(AF$1,2),""),VLOOKUP($D341,素材!$1:$1016,COLUMN($F$1),FALSE))),VLOOKUP($C341,武器!$1:$998,COLUMN($O$1),FALSE)*VLOOKUP($D341,素材!$1:$1016,COLUMN($E$1),FALSE)/(LEN(VLOOKUP($D341,素材!$1:$1016,COLUMN($F$1),FALSE))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G341">
        <f>IF(ISNUMBER(SEARCH(SUBSTITUTE(AG$1,RIGHT(AG$1,2),""),VLOOKUP($D341,素材!$1:$1016,COLUMN($F$1),FALSE))),VLOOKUP($C341,武器!$1:$998,COLUMN($O$1),FALSE)*VLOOKUP($D341,素材!$1:$1016,COLUMN($E$1),FALSE)/(LEN(VLOOKUP($D341,素材!$1:$1016,COLUMN($F$1),FALSE))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H341">
        <f>IF(ISNUMBER(SEARCH(SUBSTITUTE(AH$1,RIGHT(AH$1,2),""),VLOOKUP($D341,素材!$1:$1016,COLUMN($F$1),FALSE))),VLOOKUP($C341,武器!$1:$998,COLUMN($O$1),FALSE)*VLOOKUP($D341,素材!$1:$1016,COLUMN($E$1),FALSE)/(LEN(VLOOKUP($D341,素材!$1:$1016,COLUMN($F$1),FALSE))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I341">
        <f>IF(ISNUMBER(SEARCH(SUBSTITUTE(AI$1,RIGHT(AI$1,2),""),VLOOKUP($D341,素材!$1:$1016,COLUMN($F$1),FALSE))),VLOOKUP($C341,武器!$1:$998,COLUMN($O$1),FALSE)*VLOOKUP($D341,素材!$1:$1016,COLUMN($E$1),FALSE)/(LEN(VLOOKUP($D341,素材!$1:$1016,COLUMN($F$1),FALSE))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J341">
        <f>IF(ISNUMBER(SEARCH(SUBSTITUTE(AJ$1,RIGHT(AJ$1,2),""),VLOOKUP($D341,素材!$1:$1016,COLUMN($F$1),FALSE))),VLOOKUP($C341,武器!$1:$998,COLUMN($O$1),FALSE)*VLOOKUP($D341,素材!$1:$1016,COLUMN($E$1),FALSE)/(LEN(VLOOKUP($D341,素材!$1:$1016,COLUMN($F$1),FALSE))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K341">
        <f>IF(ISNUMBER(SEARCH(SUBSTITUTE(AK$1,RIGHT(AK$1,2),""),VLOOKUP($D341,素材!$1:$1016,COLUMN($F$1),FALSE))),VLOOKUP($C341,武器!$1:$998,COLUMN($O$1),FALSE)*VLOOKUP($D341,素材!$1:$1016,COLUMN($E$1),FALSE)/(LEN(VLOOKUP($D341,素材!$1:$1016,COLUMN($F$1),FALSE))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L341">
        <f>IF(ISNUMBER(SEARCH(SUBSTITUTE(AL$1,RIGHT(AL$1,2),""),VLOOKUP($D341,素材!$1:$1016,COLUMN($F$1),FALSE))),VLOOKUP($C341,武器!$1:$998,COLUMN($O$1),FALSE)*VLOOKUP($D341,素材!$1:$1016,COLUMN($E$1),FALSE)/(LEN(VLOOKUP($D341,素材!$1:$1016,COLUMN($F$1),FALSE))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M341">
        <f>IF(ISNUMBER(SEARCH(SUBSTITUTE(AM$1,RIGHT(AM$1,2),""),VLOOKUP($D341,素材!$1:$1016,COLUMN($F$1),FALSE))),VLOOKUP($C341,武器!$1:$998,COLUMN($O$1),FALSE)*VLOOKUP($D341,素材!$1:$1016,COLUMN($E$1),FALSE)/(LEN(VLOOKUP($D341,素材!$1:$1016,COLUMN($F$1),FALSE))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N341">
        <f>IF(ISNUMBER(SEARCH(SUBSTITUTE(AN$1,RIGHT(AN$1,2),""),VLOOKUP($D341,素材!$1:$1016,COLUMN($F$1),FALSE))),VLOOKUP($C341,武器!$1:$998,COLUMN($O$1),FALSE)*VLOOKUP($D341,素材!$1:$1016,COLUMN($E$1),FALSE)/(LEN(VLOOKUP($D341,素材!$1:$1016,COLUMN($F$1),FALSE))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O341">
        <f>IF(ISNUMBER(SEARCH(SUBSTITUTE(AO$1,RIGHT(AO$1,2),""),VLOOKUP($D341,素材!$1:$1016,COLUMN($F$1),FALSE))),VLOOKUP($C341,武器!$1:$998,COLUMN($O$1),FALSE)*VLOOKUP($D341,素材!$1:$1016,COLUMN($E$1),FALSE)/(LEN(VLOOKUP($D341,素材!$1:$1016,COLUMN($F$1),FALSE))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P341">
        <f>IF(ISNUMBER(SEARCH(SUBSTITUTE(AP$1,RIGHT(AP$1,2),""),VLOOKUP($D341,素材!$1:$1016,COLUMN($F$1),FALSE))),VLOOKUP($C341,武器!$1:$998,COLUMN($O$1),FALSE)*VLOOKUP($D341,素材!$1:$1016,COLUMN($E$1),FALSE)/(LEN(VLOOKUP($D341,素材!$1:$1016,COLUMN($F$1),FALSE))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Q341">
        <f>IF(ISNUMBER(SEARCH(SUBSTITUTE(AQ$1,RIGHT(AQ$1,2),""),VLOOKUP($D341,素材!$1:$1016,COLUMN($F$1),FALSE))),VLOOKUP($C341,武器!$1:$998,COLUMN($O$1),FALSE)*VLOOKUP($D341,素材!$1:$1016,COLUMN($E$1),FALSE)/(LEN(VLOOKUP($D341,素材!$1:$1016,COLUMN($F$1),FALSE))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R341">
        <f>IF(ISNUMBER(SEARCH(SUBSTITUTE(AR$1,RIGHT(AR$1,2),""),VLOOKUP($D341,素材!$1:$1016,COLUMN($F$1),FALSE))),VLOOKUP($C341,武器!$1:$998,COLUMN($O$1),FALSE)*VLOOKUP($D341,素材!$1:$1016,COLUMN($E$1),FALSE)/(LEN(VLOOKUP($D341,素材!$1:$1016,COLUMN($F$1),FALSE))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S341">
        <f>IF(ISNUMBER(SEARCH(SUBSTITUTE(AS$1,RIGHT(AS$1,2),""),VLOOKUP($D341,素材!$1:$1016,COLUMN($F$1),FALSE))),VLOOKUP($C341,武器!$1:$998,COLUMN($O$1),FALSE)*VLOOKUP($D341,素材!$1:$1016,COLUMN($E$1),FALSE)/(LEN(VLOOKUP($D341,素材!$1:$1016,COLUMN($F$1),FALSE))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T341">
        <f>IF(ISNUMBER(SEARCH(SUBSTITUTE(AT$1,RIGHT(AT$1,2),""),VLOOKUP($D341,素材!$1:$1016,COLUMN($F$1),FALSE))),VLOOKUP($C341,武器!$1:$998,COLUMN($O$1),FALSE)*VLOOKUP($D341,素材!$1:$1016,COLUMN($E$1),FALSE)/(LEN(VLOOKUP($D341,素材!$1:$1016,COLUMN($F$1),FALSE))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U341">
        <f>IF(ISNUMBER(SEARCH(SUBSTITUTE(AU$1,RIGHT(AU$1,2),""),VLOOKUP($D341,素材!$1:$1016,COLUMN($F$1),FALSE))),VLOOKUP($C341,武器!$1:$998,COLUMN($O$1),FALSE)*VLOOKUP($D341,素材!$1:$1016,COLUMN($E$1),FALSE)/(LEN(VLOOKUP($D341,素材!$1:$1016,COLUMN($F$1),FALSE))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V341">
        <f>IF(ISNUMBER(SEARCH(SUBSTITUTE(AV$1,RIGHT(AV$1,2),""),VLOOKUP($D341,素材!$1:$1016,COLUMN($F$1),FALSE))),VLOOKUP($C341,武器!$1:$998,COLUMN($O$1),FALSE)*VLOOKUP($D341,素材!$1:$1016,COLUMN($E$1),FALSE)/(LEN(VLOOKUP($D341,素材!$1:$1016,COLUMN($F$1),FALSE))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W341">
        <f>IF(ISNUMBER(SEARCH(SUBSTITUTE(AW$1,RIGHT(AW$1,2),""),VLOOKUP($D341,素材!$1:$1016,COLUMN($F$1),FALSE))),VLOOKUP($C341,武器!$1:$998,COLUMN($O$1),FALSE)*VLOOKUP($D341,素材!$1:$1016,COLUMN($E$1),FALSE)/(LEN(VLOOKUP($D341,素材!$1:$1016,COLUMN($F$1),FALSE))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X341">
        <f>IF(ISNUMBER(SEARCH(SUBSTITUTE(AX$1,RIGHT(AX$1,2),""),VLOOKUP($D341,素材!$1:$1016,COLUMN($F$1),FALSE))),VLOOKUP($C341,武器!$1:$998,COLUMN($O$1),FALSE)*VLOOKUP($D341,素材!$1:$1016,COLUMN($E$1),FALSE)/(LEN(VLOOKUP($D341,素材!$1:$1016,COLUMN($F$1),FALSE))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Y341">
        <f>IF(ISNUMBER(SEARCH(SUBSTITUTE(AY$1,RIGHT(AY$1,2),""),VLOOKUP($D341,素材!$1:$1016,COLUMN($F$1),FALSE))),VLOOKUP($C341,武器!$1:$998,COLUMN($O$1),FALSE)*VLOOKUP($D341,素材!$1:$1016,COLUMN($E$1),FALSE)/(LEN(VLOOKUP($D341,素材!$1:$1016,COLUMN($F$1),FALSE))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AZ341">
        <f>IF(ISNUMBER(SEARCH(SUBSTITUTE(AZ$1,RIGHT(AZ$1,2),""),VLOOKUP($D341,素材!$1:$1016,COLUMN($F$1),FALSE))),VLOOKUP($C341,武器!$1:$998,COLUMN($O$1),FALSE)*VLOOKUP($D341,素材!$1:$1016,COLUMN($E$1),FALSE)/(LEN(VLOOKUP($D341,素材!$1:$1016,COLUMN($F$1),FALSE))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BA341">
        <f>IF(ISNUMBER(SEARCH(SUBSTITUTE(BA$1,RIGHT(BA$1,2),""),VLOOKUP($D341,素材!$1:$1016,COLUMN($F$1),FALSE))),VLOOKUP($C341,武器!$1:$998,COLUMN($O$1),FALSE)*VLOOKUP($D341,素材!$1:$1016,COLUMN($E$1),FALSE)/(LEN(VLOOKUP($D341,素材!$1:$1016,COLUMN($F$1),FALSE))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BB341">
        <f>IF(ISNUMBER(SEARCH(SUBSTITUTE(BB$1,RIGHT(BB$1,2),""),VLOOKUP($D341,素材!$1:$1016,COLUMN($F$1),FALSE))),VLOOKUP($C341,武器!$1:$998,COLUMN($O$1),FALSE)*VLOOKUP($D341,素材!$1:$1016,COLUMN($E$1),FALSE)/(LEN(VLOOKUP($D341,素材!$1:$1016,COLUMN($F$1),FALSE))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BC341">
        <f>IF(ISNUMBER(SEARCH(SUBSTITUTE(BC$1,RIGHT(BC$1,2),""),VLOOKUP($D341,素材!$1:$1016,COLUMN($F$1),FALSE))),VLOOKUP($C341,武器!$1:$998,COLUMN($O$1),FALSE)*VLOOKUP($D341,素材!$1:$1016,COLUMN($E$1),FALSE)/(LEN(VLOOKUP($D341,素材!$1:$1016,COLUMN($F$1),FALSE))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BD341">
        <f>IF(ISNUMBER(SEARCH(SUBSTITUTE(BD$1,RIGHT(BD$1,2),""),VLOOKUP($D341,素材!$1:$1016,COLUMN($F$1),FALSE))),VLOOKUP($C341,武器!$1:$998,COLUMN($O$1),FALSE)*VLOOKUP($D341,素材!$1:$1016,COLUMN($E$1),FALSE)/(LEN(VLOOKUP($D341,素材!$1:$1016,COLUMN($F$1),FALSE))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BE341">
        <f>IF(ISNUMBER(SEARCH(SUBSTITUTE(BE$1,RIGHT(BE$1,2),""),VLOOKUP($D341,素材!$1:$1016,COLUMN($F$1),FALSE))),VLOOKUP($C341,武器!$1:$998,COLUMN($O$1),FALSE)*VLOOKUP($D341,素材!$1:$1016,COLUMN($E$1),FALSE)/(LEN(VLOOKUP($D341,素材!$1:$1016,COLUMN($F$1),FALSE))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BF341">
        <f>IF(ISNUMBER(SEARCH(SUBSTITUTE(BF$1,RIGHT(BF$1,2),""),VLOOKUP($D341,素材!$1:$1016,COLUMN($F$1),FALSE))),VLOOKUP($C341,武器!$1:$998,COLUMN($O$1),FALSE)*VLOOKUP($D341,素材!$1:$1016,COLUMN($E$1),FALSE)/(LEN(VLOOKUP($D341,素材!$1:$1016,COLUMN($F$1),FALSE)) - LEN(SUBSTITUTE(VLOOKUP($D341,素材!$1:$1016,COLUMN($F$1),FALSE), "・", 0)) + 1), 0)</f>
        <v>0</v>
      </c>
      <c r="CM341">
        <f t="shared" si="39"/>
        <v>0</v>
      </c>
      <c r="CN341" s="22" t="str">
        <f>IF(E341="武器",IF(J341-1&gt;SUM(G341:I341),"盾",IF(MAX(G341:I341)=G341,"切断",IF(MAX(G341:I341)=H341,"貫通",IF(MAX(G341:I341)=I341,"打撃","射撃")))),E341)&amp;".webp"</f>
        <v>.webp</v>
      </c>
      <c r="CO341" t="str">
        <f>IFERROR(VLOOKUP($C341,武器!$1:$998,COLUMN(V$1),FALSE)*VLOOKUP($D341,素材!$1:$1016,COLUMN(N$1),FALSE)+IF(CJ341="",0,VLOOKUP($CJ341,装強!$1:$1008,COLUMN($CL$1),FALSE)),"")</f>
        <v/>
      </c>
      <c r="CP341" t="e">
        <f>VLOOKUP(D341,素材!$A:$O,COLUMN(素材!O$1),FALSE)</f>
        <v>#N/A</v>
      </c>
      <c r="CQ341" t="e">
        <f>VLOOKUP(C341,武器!$A:$W,COLUMN(武器!W$1),FALSE)</f>
        <v>#N/A</v>
      </c>
      <c r="CS341" t="str">
        <f>"e_"&amp;ROW(CS341)</f>
        <v>e_341</v>
      </c>
      <c r="CT341" t="e">
        <f>CO341*100</f>
        <v>#VALUE!</v>
      </c>
    </row>
    <row r="342" spans="1:98" hidden="1" outlineLevel="1" x14ac:dyDescent="0.4">
      <c r="A342" t="str">
        <f>IF(CJ342="",D342&amp;"の"&amp;C342,CJ342&amp;"の"&amp;C342)</f>
        <v>の</v>
      </c>
      <c r="B342" t="str">
        <f>IFERROR(IF(CJ342="",VLOOKUP($D342,素材!$1:$1016,COLUMN($B$1),FALSE)&amp;"・"&amp;VLOOKUP($C342,武器!$1:$998,COLUMN(B$1),FALSE),VLOOKUP($CJ342,装強!$1:$1008,COLUMN($B$1),FALSE)&amp;"・"&amp;VLOOKUP($C342,武器!$1:$998,COLUMN(B$1),FALSE)),"")</f>
        <v/>
      </c>
      <c r="C342" s="24"/>
      <c r="D342" s="24"/>
      <c r="E342" t="str">
        <f>IFERROR(VLOOKUP(C342,武器!$1:$998,COLUMN(C$1),FALSE),"")</f>
        <v/>
      </c>
      <c r="F342" t="str">
        <f>IFERROR(ROUNDDOWN((VLOOKUP($C342,武器!$1:$998,COLUMN(D$1),FALSE)+IFERROR(VLOOKUP($CJ342,装強!$1:$999,COLUMN(F$1),FALSE),0))*VLOOKUP($D342,素材!$1:$1016,COLUMN(D$1),FALSE),0),"")</f>
        <v/>
      </c>
      <c r="G342" t="str">
        <f>IFERROR(ROUNDDOWN((VLOOKUP($C342,武器!$1:$998,COLUMN(E$1),FALSE)+IFERROR(VLOOKUP($CJ342,装強!$1:$999,COLUMN(G$1),FALSE),0))*VLOOKUP($D342,素材!$1:$1016,COLUMN($E$1),FALSE),0),"")</f>
        <v/>
      </c>
      <c r="H342" t="str">
        <f>IFERROR(ROUNDDOWN((VLOOKUP($C342,武器!$1:$998,COLUMN(F$1),FALSE)+IFERROR(VLOOKUP($CJ342,装強!$1:$999,COLUMN(H$1),FALSE),0))*VLOOKUP($D342,素材!$1:$1016,COLUMN($E$1),FALSE),0),"")</f>
        <v/>
      </c>
      <c r="I342" t="str">
        <f>IFERROR(ROUNDDOWN((VLOOKUP($C342,武器!$1:$998,COLUMN(G$1),FALSE)+IFERROR(VLOOKUP($CJ342,装強!$1:$999,COLUMN(I$1),FALSE),0))*VLOOKUP($D342,素材!$1:$1016,COLUMN($E$1),FALSE),0),"")</f>
        <v/>
      </c>
      <c r="J342" t="str">
        <f>IFERROR(ROUNDDOWN((VLOOKUP($C342,武器!$1:$998,COLUMN(H$1),FALSE)+IFERROR(VLOOKUP($CJ342,装強!$1:$999,COLUMN(J$1),FALSE),0))*VLOOKUP($D342,素材!$1:$1016,COLUMN($E$1),FALSE),0),"")</f>
        <v/>
      </c>
      <c r="K342" t="str">
        <f>IFERROR(ROUNDDOWN((VLOOKUP($C342,武器!$1:$998,COLUMN(I$1),FALSE)+IFERROR(VLOOKUP($CJ342,装強!$1:$999,COLUMN(K$1),FALSE),0))*VLOOKUP($D342,素材!$1:$1016,COLUMN($E$1),FALSE),0),"")</f>
        <v/>
      </c>
      <c r="L342" t="str">
        <f>IFERROR(VLOOKUP($D342,素材!$1:$1016,COLUMN($F$1),FALSE),"")</f>
        <v/>
      </c>
      <c r="M342" t="str">
        <f>IFERROR(VLOOKUP($C342,武器!$1:$998,COLUMN(AA$1),FALSE)*VLOOKUP($D342,素材!$1:$1016,COLUMN($G$1),FALSE),"")</f>
        <v/>
      </c>
      <c r="N342" t="str">
        <f>IFERROR(VLOOKUP($C342,武器!$1:$998,COLUMN(I$1),FALSE),"")</f>
        <v/>
      </c>
      <c r="O342" s="23" t="str">
        <f>IFERROR((VLOOKUP($C342,武器!$1:$998,COLUMN(K$1),FALSE)+VLOOKUP($D342,素材!$1:$1016,COLUMN(H$1),FALSE))*100+IFERROR(VLOOKUP($CJ342,装強!$1:$999,COLUMN(O$1),FALSE),0),"")</f>
        <v/>
      </c>
      <c r="P342" s="23" t="str">
        <f>IFERROR((VLOOKUP($C342,武器!$1:$998,COLUMN(L$1),FALSE)+VLOOKUP($D342,素材!$1:$1016,COLUMN(I$1),FALSE))*100+IFERROR(VLOOKUP($CJ342,装強!$1:$999,COLUMN(P$1),FALSE),0),"")</f>
        <v/>
      </c>
      <c r="Q342" t="str">
        <f>IFERROR(ROUNDUP(VLOOKUP($C342,武器!$1:$998,COLUMN(M$1),FALSE)*(VLOOKUP($D342,素材!$1:$1002,COLUMN(D$1),FALSE)/100),1),"")</f>
        <v/>
      </c>
      <c r="R342" t="str">
        <f>IFERROR(ROUNDUP(VLOOKUP($C342,武器!$1:$998,COLUMN(N$1),FALSE)*(VLOOKUP($D342,素材!$1:$1002,COLUMN(D$1),FALSE)/100),1),"")</f>
        <v/>
      </c>
      <c r="S342" t="str">
        <f>IFERROR(VLOOKUP($C342,武器!$1:$998,COLUMN(P$1),FALSE),"")</f>
        <v/>
      </c>
      <c r="T342" t="str">
        <f>IFERROR(VLOOKUP($C342,武器!$1:$998,COLUMN(Q$1),FALSE),"")</f>
        <v/>
      </c>
      <c r="U342" t="str">
        <f>IFERROR(VLOOKUP($C342,武器!$1:$998,COLUMN(R$1),FALSE),"")</f>
        <v/>
      </c>
      <c r="V342" t="str">
        <f>IFERROR(VLOOKUP($C342,武器!$1:$998,COLUMN(Q$1),FALSE),"")</f>
        <v/>
      </c>
      <c r="W342" t="str">
        <f>IFERROR(VLOOKUP($C342,武器!$1:$998,COLUMN(T$1),FALSE),"")</f>
        <v/>
      </c>
      <c r="Y342" t="str">
        <f>IFERROR(VLOOKUP($C342,武器!$1:$998,COLUMN(U$1),FALSE),"")</f>
        <v/>
      </c>
      <c r="Z342" t="str">
        <f>IFERROR(ROUNDUP(VLOOKUP($C342,武器!$1:$998,COLUMN(O$1),FALSE)*VLOOKUP($D342,素材!$1:$1016,COLUMN(E$1),FALSE),1),"")</f>
        <v/>
      </c>
      <c r="AA342">
        <f>IF(ISNUMBER(SEARCH(SUBSTITUTE(AA$1,RIGHT(AA$1,2),""),VLOOKUP($D342,素材!$1:$1016,COLUMN($F$1),FALSE))),VLOOKUP($C342,武器!$1:$998,COLUMN($O$1),FALSE)*VLOOKUP($D342,素材!$1:$1016,COLUMN($E$1),FALSE)/(LEN(VLOOKUP($D342,素材!$1:$1016,COLUMN($F$1),FALSE))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B342">
        <f>IF(ISNUMBER(SEARCH(SUBSTITUTE(AB$1,RIGHT(AB$1,2),""),VLOOKUP($D342,素材!$1:$1016,COLUMN($F$1),FALSE))),VLOOKUP($C342,武器!$1:$998,COLUMN($O$1),FALSE)*VLOOKUP($D342,素材!$1:$1016,COLUMN($E$1),FALSE)/(LEN(VLOOKUP($D342,素材!$1:$1016,COLUMN($F$1),FALSE))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C342">
        <f>IF(ISNUMBER(SEARCH(SUBSTITUTE(AC$1,RIGHT(AC$1,2),""),VLOOKUP($D342,素材!$1:$1016,COLUMN($F$1),FALSE))),VLOOKUP($C342,武器!$1:$998,COLUMN($O$1),FALSE)*VLOOKUP($D342,素材!$1:$1016,COLUMN($E$1),FALSE)/(LEN(VLOOKUP($D342,素材!$1:$1016,COLUMN($F$1),FALSE))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D342">
        <f>IF(ISNUMBER(SEARCH(SUBSTITUTE(AD$1,RIGHT(AD$1,2),""),VLOOKUP($D342,素材!$1:$1016,COLUMN($F$1),FALSE))),VLOOKUP($C342,武器!$1:$998,COLUMN($O$1),FALSE)*VLOOKUP($D342,素材!$1:$1016,COLUMN($E$1),FALSE)/(LEN(VLOOKUP($D342,素材!$1:$1016,COLUMN($F$1),FALSE))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E342">
        <f>IF(ISNUMBER(SEARCH(SUBSTITUTE(AE$1,RIGHT(AE$1,2),""),VLOOKUP($D342,素材!$1:$1016,COLUMN($F$1),FALSE))),VLOOKUP($C342,武器!$1:$998,COLUMN($O$1),FALSE)*VLOOKUP($D342,素材!$1:$1016,COLUMN($E$1),FALSE)/(LEN(VLOOKUP($D342,素材!$1:$1016,COLUMN($F$1),FALSE))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F342">
        <f>IF(ISNUMBER(SEARCH(SUBSTITUTE(AF$1,RIGHT(AF$1,2),""),VLOOKUP($D342,素材!$1:$1016,COLUMN($F$1),FALSE))),VLOOKUP($C342,武器!$1:$998,COLUMN($O$1),FALSE)*VLOOKUP($D342,素材!$1:$1016,COLUMN($E$1),FALSE)/(LEN(VLOOKUP($D342,素材!$1:$1016,COLUMN($F$1),FALSE))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G342">
        <f>IF(ISNUMBER(SEARCH(SUBSTITUTE(AG$1,RIGHT(AG$1,2),""),VLOOKUP($D342,素材!$1:$1016,COLUMN($F$1),FALSE))),VLOOKUP($C342,武器!$1:$998,COLUMN($O$1),FALSE)*VLOOKUP($D342,素材!$1:$1016,COLUMN($E$1),FALSE)/(LEN(VLOOKUP($D342,素材!$1:$1016,COLUMN($F$1),FALSE))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H342">
        <f>IF(ISNUMBER(SEARCH(SUBSTITUTE(AH$1,RIGHT(AH$1,2),""),VLOOKUP($D342,素材!$1:$1016,COLUMN($F$1),FALSE))),VLOOKUP($C342,武器!$1:$998,COLUMN($O$1),FALSE)*VLOOKUP($D342,素材!$1:$1016,COLUMN($E$1),FALSE)/(LEN(VLOOKUP($D342,素材!$1:$1016,COLUMN($F$1),FALSE))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I342">
        <f>IF(ISNUMBER(SEARCH(SUBSTITUTE(AI$1,RIGHT(AI$1,2),""),VLOOKUP($D342,素材!$1:$1016,COLUMN($F$1),FALSE))),VLOOKUP($C342,武器!$1:$998,COLUMN($O$1),FALSE)*VLOOKUP($D342,素材!$1:$1016,COLUMN($E$1),FALSE)/(LEN(VLOOKUP($D342,素材!$1:$1016,COLUMN($F$1),FALSE))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J342">
        <f>IF(ISNUMBER(SEARCH(SUBSTITUTE(AJ$1,RIGHT(AJ$1,2),""),VLOOKUP($D342,素材!$1:$1016,COLUMN($F$1),FALSE))),VLOOKUP($C342,武器!$1:$998,COLUMN($O$1),FALSE)*VLOOKUP($D342,素材!$1:$1016,COLUMN($E$1),FALSE)/(LEN(VLOOKUP($D342,素材!$1:$1016,COLUMN($F$1),FALSE))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K342">
        <f>IF(ISNUMBER(SEARCH(SUBSTITUTE(AK$1,RIGHT(AK$1,2),""),VLOOKUP($D342,素材!$1:$1016,COLUMN($F$1),FALSE))),VLOOKUP($C342,武器!$1:$998,COLUMN($O$1),FALSE)*VLOOKUP($D342,素材!$1:$1016,COLUMN($E$1),FALSE)/(LEN(VLOOKUP($D342,素材!$1:$1016,COLUMN($F$1),FALSE))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L342">
        <f>IF(ISNUMBER(SEARCH(SUBSTITUTE(AL$1,RIGHT(AL$1,2),""),VLOOKUP($D342,素材!$1:$1016,COLUMN($F$1),FALSE))),VLOOKUP($C342,武器!$1:$998,COLUMN($O$1),FALSE)*VLOOKUP($D342,素材!$1:$1016,COLUMN($E$1),FALSE)/(LEN(VLOOKUP($D342,素材!$1:$1016,COLUMN($F$1),FALSE))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M342">
        <f>IF(ISNUMBER(SEARCH(SUBSTITUTE(AM$1,RIGHT(AM$1,2),""),VLOOKUP($D342,素材!$1:$1016,COLUMN($F$1),FALSE))),VLOOKUP($C342,武器!$1:$998,COLUMN($O$1),FALSE)*VLOOKUP($D342,素材!$1:$1016,COLUMN($E$1),FALSE)/(LEN(VLOOKUP($D342,素材!$1:$1016,COLUMN($F$1),FALSE))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N342">
        <f>IF(ISNUMBER(SEARCH(SUBSTITUTE(AN$1,RIGHT(AN$1,2),""),VLOOKUP($D342,素材!$1:$1016,COLUMN($F$1),FALSE))),VLOOKUP($C342,武器!$1:$998,COLUMN($O$1),FALSE)*VLOOKUP($D342,素材!$1:$1016,COLUMN($E$1),FALSE)/(LEN(VLOOKUP($D342,素材!$1:$1016,COLUMN($F$1),FALSE))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O342">
        <f>IF(ISNUMBER(SEARCH(SUBSTITUTE(AO$1,RIGHT(AO$1,2),""),VLOOKUP($D342,素材!$1:$1016,COLUMN($F$1),FALSE))),VLOOKUP($C342,武器!$1:$998,COLUMN($O$1),FALSE)*VLOOKUP($D342,素材!$1:$1016,COLUMN($E$1),FALSE)/(LEN(VLOOKUP($D342,素材!$1:$1016,COLUMN($F$1),FALSE))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P342">
        <f>IF(ISNUMBER(SEARCH(SUBSTITUTE(AP$1,RIGHT(AP$1,2),""),VLOOKUP($D342,素材!$1:$1016,COLUMN($F$1),FALSE))),VLOOKUP($C342,武器!$1:$998,COLUMN($O$1),FALSE)*VLOOKUP($D342,素材!$1:$1016,COLUMN($E$1),FALSE)/(LEN(VLOOKUP($D342,素材!$1:$1016,COLUMN($F$1),FALSE))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Q342">
        <f>IF(ISNUMBER(SEARCH(SUBSTITUTE(AQ$1,RIGHT(AQ$1,2),""),VLOOKUP($D342,素材!$1:$1016,COLUMN($F$1),FALSE))),VLOOKUP($C342,武器!$1:$998,COLUMN($O$1),FALSE)*VLOOKUP($D342,素材!$1:$1016,COLUMN($E$1),FALSE)/(LEN(VLOOKUP($D342,素材!$1:$1016,COLUMN($F$1),FALSE))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R342">
        <f>IF(ISNUMBER(SEARCH(SUBSTITUTE(AR$1,RIGHT(AR$1,2),""),VLOOKUP($D342,素材!$1:$1016,COLUMN($F$1),FALSE))),VLOOKUP($C342,武器!$1:$998,COLUMN($O$1),FALSE)*VLOOKUP($D342,素材!$1:$1016,COLUMN($E$1),FALSE)/(LEN(VLOOKUP($D342,素材!$1:$1016,COLUMN($F$1),FALSE))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S342">
        <f>IF(ISNUMBER(SEARCH(SUBSTITUTE(AS$1,RIGHT(AS$1,2),""),VLOOKUP($D342,素材!$1:$1016,COLUMN($F$1),FALSE))),VLOOKUP($C342,武器!$1:$998,COLUMN($O$1),FALSE)*VLOOKUP($D342,素材!$1:$1016,COLUMN($E$1),FALSE)/(LEN(VLOOKUP($D342,素材!$1:$1016,COLUMN($F$1),FALSE))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T342">
        <f>IF(ISNUMBER(SEARCH(SUBSTITUTE(AT$1,RIGHT(AT$1,2),""),VLOOKUP($D342,素材!$1:$1016,COLUMN($F$1),FALSE))),VLOOKUP($C342,武器!$1:$998,COLUMN($O$1),FALSE)*VLOOKUP($D342,素材!$1:$1016,COLUMN($E$1),FALSE)/(LEN(VLOOKUP($D342,素材!$1:$1016,COLUMN($F$1),FALSE))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U342">
        <f>IF(ISNUMBER(SEARCH(SUBSTITUTE(AU$1,RIGHT(AU$1,2),""),VLOOKUP($D342,素材!$1:$1016,COLUMN($F$1),FALSE))),VLOOKUP($C342,武器!$1:$998,COLUMN($O$1),FALSE)*VLOOKUP($D342,素材!$1:$1016,COLUMN($E$1),FALSE)/(LEN(VLOOKUP($D342,素材!$1:$1016,COLUMN($F$1),FALSE))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V342">
        <f>IF(ISNUMBER(SEARCH(SUBSTITUTE(AV$1,RIGHT(AV$1,2),""),VLOOKUP($D342,素材!$1:$1016,COLUMN($F$1),FALSE))),VLOOKUP($C342,武器!$1:$998,COLUMN($O$1),FALSE)*VLOOKUP($D342,素材!$1:$1016,COLUMN($E$1),FALSE)/(LEN(VLOOKUP($D342,素材!$1:$1016,COLUMN($F$1),FALSE))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W342">
        <f>IF(ISNUMBER(SEARCH(SUBSTITUTE(AW$1,RIGHT(AW$1,2),""),VLOOKUP($D342,素材!$1:$1016,COLUMN($F$1),FALSE))),VLOOKUP($C342,武器!$1:$998,COLUMN($O$1),FALSE)*VLOOKUP($D342,素材!$1:$1016,COLUMN($E$1),FALSE)/(LEN(VLOOKUP($D342,素材!$1:$1016,COLUMN($F$1),FALSE))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X342">
        <f>IF(ISNUMBER(SEARCH(SUBSTITUTE(AX$1,RIGHT(AX$1,2),""),VLOOKUP($D342,素材!$1:$1016,COLUMN($F$1),FALSE))),VLOOKUP($C342,武器!$1:$998,COLUMN($O$1),FALSE)*VLOOKUP($D342,素材!$1:$1016,COLUMN($E$1),FALSE)/(LEN(VLOOKUP($D342,素材!$1:$1016,COLUMN($F$1),FALSE))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Y342">
        <f>IF(ISNUMBER(SEARCH(SUBSTITUTE(AY$1,RIGHT(AY$1,2),""),VLOOKUP($D342,素材!$1:$1016,COLUMN($F$1),FALSE))),VLOOKUP($C342,武器!$1:$998,COLUMN($O$1),FALSE)*VLOOKUP($D342,素材!$1:$1016,COLUMN($E$1),FALSE)/(LEN(VLOOKUP($D342,素材!$1:$1016,COLUMN($F$1),FALSE))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AZ342">
        <f>IF(ISNUMBER(SEARCH(SUBSTITUTE(AZ$1,RIGHT(AZ$1,2),""),VLOOKUP($D342,素材!$1:$1016,COLUMN($F$1),FALSE))),VLOOKUP($C342,武器!$1:$998,COLUMN($O$1),FALSE)*VLOOKUP($D342,素材!$1:$1016,COLUMN($E$1),FALSE)/(LEN(VLOOKUP($D342,素材!$1:$1016,COLUMN($F$1),FALSE))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BA342">
        <f>IF(ISNUMBER(SEARCH(SUBSTITUTE(BA$1,RIGHT(BA$1,2),""),VLOOKUP($D342,素材!$1:$1016,COLUMN($F$1),FALSE))),VLOOKUP($C342,武器!$1:$998,COLUMN($O$1),FALSE)*VLOOKUP($D342,素材!$1:$1016,COLUMN($E$1),FALSE)/(LEN(VLOOKUP($D342,素材!$1:$1016,COLUMN($F$1),FALSE))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BB342">
        <f>IF(ISNUMBER(SEARCH(SUBSTITUTE(BB$1,RIGHT(BB$1,2),""),VLOOKUP($D342,素材!$1:$1016,COLUMN($F$1),FALSE))),VLOOKUP($C342,武器!$1:$998,COLUMN($O$1),FALSE)*VLOOKUP($D342,素材!$1:$1016,COLUMN($E$1),FALSE)/(LEN(VLOOKUP($D342,素材!$1:$1016,COLUMN($F$1),FALSE))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BC342">
        <f>IF(ISNUMBER(SEARCH(SUBSTITUTE(BC$1,RIGHT(BC$1,2),""),VLOOKUP($D342,素材!$1:$1016,COLUMN($F$1),FALSE))),VLOOKUP($C342,武器!$1:$998,COLUMN($O$1),FALSE)*VLOOKUP($D342,素材!$1:$1016,COLUMN($E$1),FALSE)/(LEN(VLOOKUP($D342,素材!$1:$1016,COLUMN($F$1),FALSE))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BD342">
        <f>IF(ISNUMBER(SEARCH(SUBSTITUTE(BD$1,RIGHT(BD$1,2),""),VLOOKUP($D342,素材!$1:$1016,COLUMN($F$1),FALSE))),VLOOKUP($C342,武器!$1:$998,COLUMN($O$1),FALSE)*VLOOKUP($D342,素材!$1:$1016,COLUMN($E$1),FALSE)/(LEN(VLOOKUP($D342,素材!$1:$1016,COLUMN($F$1),FALSE))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BE342">
        <f>IF(ISNUMBER(SEARCH(SUBSTITUTE(BE$1,RIGHT(BE$1,2),""),VLOOKUP($D342,素材!$1:$1016,COLUMN($F$1),FALSE))),VLOOKUP($C342,武器!$1:$998,COLUMN($O$1),FALSE)*VLOOKUP($D342,素材!$1:$1016,COLUMN($E$1),FALSE)/(LEN(VLOOKUP($D342,素材!$1:$1016,COLUMN($F$1),FALSE))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BF342">
        <f>IF(ISNUMBER(SEARCH(SUBSTITUTE(BF$1,RIGHT(BF$1,2),""),VLOOKUP($D342,素材!$1:$1016,COLUMN($F$1),FALSE))),VLOOKUP($C342,武器!$1:$998,COLUMN($O$1),FALSE)*VLOOKUP($D342,素材!$1:$1016,COLUMN($E$1),FALSE)/(LEN(VLOOKUP($D342,素材!$1:$1016,COLUMN($F$1),FALSE)) - LEN(SUBSTITUTE(VLOOKUP($D342,素材!$1:$1016,COLUMN($F$1),FALSE), "・", 0)) + 1), 0)</f>
        <v>0</v>
      </c>
      <c r="CM342">
        <f t="shared" si="39"/>
        <v>0</v>
      </c>
      <c r="CN342" s="22" t="str">
        <f>IF(E342="武器",IF(J342-1&gt;SUM(G342:I342),"盾",IF(MAX(G342:I342)=G342,"切断",IF(MAX(G342:I342)=H342,"貫通",IF(MAX(G342:I342)=I342,"打撃","射撃")))),E342)&amp;".webp"</f>
        <v>.webp</v>
      </c>
      <c r="CO342" t="str">
        <f>IFERROR(VLOOKUP($C342,武器!$1:$998,COLUMN(V$1),FALSE)*VLOOKUP($D342,素材!$1:$1016,COLUMN(N$1),FALSE)+IF(CJ342="",0,VLOOKUP($CJ342,装強!$1:$1008,COLUMN($CL$1),FALSE)),"")</f>
        <v/>
      </c>
      <c r="CP342" t="e">
        <f>VLOOKUP(D342,素材!$A:$O,COLUMN(素材!O$1),FALSE)</f>
        <v>#N/A</v>
      </c>
      <c r="CQ342" t="e">
        <f>VLOOKUP(C342,武器!$A:$W,COLUMN(武器!W$1),FALSE)</f>
        <v>#N/A</v>
      </c>
      <c r="CS342" t="str">
        <f>"e_"&amp;ROW(CS342)</f>
        <v>e_342</v>
      </c>
      <c r="CT342" t="e">
        <f>CO342*100</f>
        <v>#VALUE!</v>
      </c>
    </row>
    <row r="343" spans="1:98" hidden="1" outlineLevel="1" x14ac:dyDescent="0.4">
      <c r="A343" t="str">
        <f>IF(CJ343="",D343&amp;"の"&amp;C343,CJ343&amp;"の"&amp;C343)</f>
        <v>の</v>
      </c>
      <c r="B343" t="str">
        <f>IFERROR(IF(CJ343="",VLOOKUP($D343,素材!$1:$1016,COLUMN($B$1),FALSE)&amp;"・"&amp;VLOOKUP($C343,武器!$1:$998,COLUMN(B$1),FALSE),VLOOKUP($CJ343,装強!$1:$1008,COLUMN($B$1),FALSE)&amp;"・"&amp;VLOOKUP($C343,武器!$1:$998,COLUMN(B$1),FALSE)),"")</f>
        <v/>
      </c>
      <c r="C343" s="24"/>
      <c r="D343" s="24"/>
      <c r="E343" t="str">
        <f>IFERROR(VLOOKUP(C343,武器!$1:$998,COLUMN(C$1),FALSE),"")</f>
        <v/>
      </c>
      <c r="F343" t="str">
        <f>IFERROR(ROUNDDOWN((VLOOKUP($C343,武器!$1:$998,COLUMN(D$1),FALSE)+IFERROR(VLOOKUP($CJ343,装強!$1:$999,COLUMN(F$1),FALSE),0))*VLOOKUP($D343,素材!$1:$1016,COLUMN(D$1),FALSE),0),"")</f>
        <v/>
      </c>
      <c r="G343" t="str">
        <f>IFERROR(ROUNDDOWN((VLOOKUP($C343,武器!$1:$998,COLUMN(E$1),FALSE)+IFERROR(VLOOKUP($CJ343,装強!$1:$999,COLUMN(G$1),FALSE),0))*VLOOKUP($D343,素材!$1:$1016,COLUMN($E$1),FALSE),0),"")</f>
        <v/>
      </c>
      <c r="H343" t="str">
        <f>IFERROR(ROUNDDOWN((VLOOKUP($C343,武器!$1:$998,COLUMN(F$1),FALSE)+IFERROR(VLOOKUP($CJ343,装強!$1:$999,COLUMN(H$1),FALSE),0))*VLOOKUP($D343,素材!$1:$1016,COLUMN($E$1),FALSE),0),"")</f>
        <v/>
      </c>
      <c r="I343" t="str">
        <f>IFERROR(ROUNDDOWN((VLOOKUP($C343,武器!$1:$998,COLUMN(G$1),FALSE)+IFERROR(VLOOKUP($CJ343,装強!$1:$999,COLUMN(I$1),FALSE),0))*VLOOKUP($D343,素材!$1:$1016,COLUMN($E$1),FALSE),0),"")</f>
        <v/>
      </c>
      <c r="J343" t="str">
        <f>IFERROR(ROUNDDOWN((VLOOKUP($C343,武器!$1:$998,COLUMN(H$1),FALSE)+IFERROR(VLOOKUP($CJ343,装強!$1:$999,COLUMN(J$1),FALSE),0))*VLOOKUP($D343,素材!$1:$1016,COLUMN($E$1),FALSE),0),"")</f>
        <v/>
      </c>
      <c r="K343" t="str">
        <f>IFERROR(ROUNDDOWN((VLOOKUP($C343,武器!$1:$998,COLUMN(I$1),FALSE)+IFERROR(VLOOKUP($CJ343,装強!$1:$999,COLUMN(K$1),FALSE),0))*VLOOKUP($D343,素材!$1:$1016,COLUMN($E$1),FALSE),0),"")</f>
        <v/>
      </c>
      <c r="L343" t="str">
        <f>IFERROR(VLOOKUP($D343,素材!$1:$1016,COLUMN($F$1),FALSE),"")</f>
        <v/>
      </c>
      <c r="M343" t="str">
        <f>IFERROR(VLOOKUP($C343,武器!$1:$998,COLUMN(AA$1),FALSE)*VLOOKUP($D343,素材!$1:$1016,COLUMN($G$1),FALSE),"")</f>
        <v/>
      </c>
      <c r="N343" t="str">
        <f>IFERROR(VLOOKUP($C343,武器!$1:$998,COLUMN(I$1),FALSE),"")</f>
        <v/>
      </c>
      <c r="O343" s="23" t="str">
        <f>IFERROR((VLOOKUP($C343,武器!$1:$998,COLUMN(K$1),FALSE)+VLOOKUP($D343,素材!$1:$1016,COLUMN(H$1),FALSE))*100+IFERROR(VLOOKUP($CJ343,装強!$1:$999,COLUMN(O$1),FALSE),0),"")</f>
        <v/>
      </c>
      <c r="P343" s="23" t="str">
        <f>IFERROR((VLOOKUP($C343,武器!$1:$998,COLUMN(L$1),FALSE)+VLOOKUP($D343,素材!$1:$1016,COLUMN(I$1),FALSE))*100+IFERROR(VLOOKUP($CJ343,装強!$1:$999,COLUMN(P$1),FALSE),0),"")</f>
        <v/>
      </c>
      <c r="Q343" t="str">
        <f>IFERROR(ROUNDUP(VLOOKUP($C343,武器!$1:$998,COLUMN(M$1),FALSE)*(VLOOKUP($D343,素材!$1:$1002,COLUMN(D$1),FALSE)/100),1),"")</f>
        <v/>
      </c>
      <c r="R343" t="str">
        <f>IFERROR(ROUNDUP(VLOOKUP($C343,武器!$1:$998,COLUMN(N$1),FALSE)*(VLOOKUP($D343,素材!$1:$1002,COLUMN(D$1),FALSE)/100),1),"")</f>
        <v/>
      </c>
      <c r="S343" t="str">
        <f>IFERROR(VLOOKUP($C343,武器!$1:$998,COLUMN(P$1),FALSE),"")</f>
        <v/>
      </c>
      <c r="T343" t="str">
        <f>IFERROR(VLOOKUP($C343,武器!$1:$998,COLUMN(Q$1),FALSE),"")</f>
        <v/>
      </c>
      <c r="U343" t="str">
        <f>IFERROR(VLOOKUP($C343,武器!$1:$998,COLUMN(R$1),FALSE),"")</f>
        <v/>
      </c>
      <c r="V343" t="str">
        <f>IFERROR(VLOOKUP($C343,武器!$1:$998,COLUMN(Q$1),FALSE),"")</f>
        <v/>
      </c>
      <c r="W343" t="str">
        <f>IFERROR(VLOOKUP($C343,武器!$1:$998,COLUMN(T$1),FALSE),"")</f>
        <v/>
      </c>
      <c r="Y343" t="str">
        <f>IFERROR(VLOOKUP($C343,武器!$1:$998,COLUMN(U$1),FALSE),"")</f>
        <v/>
      </c>
      <c r="Z343" t="str">
        <f>IFERROR(ROUNDUP(VLOOKUP($C343,武器!$1:$998,COLUMN(O$1),FALSE)*VLOOKUP($D343,素材!$1:$1016,COLUMN(E$1),FALSE),1),"")</f>
        <v/>
      </c>
      <c r="AA343">
        <f>IF(ISNUMBER(SEARCH(SUBSTITUTE(AA$1,RIGHT(AA$1,2),""),VLOOKUP($D343,素材!$1:$1016,COLUMN($F$1),FALSE))),VLOOKUP($C343,武器!$1:$998,COLUMN($O$1),FALSE)*VLOOKUP($D343,素材!$1:$1016,COLUMN($E$1),FALSE)/(LEN(VLOOKUP($D343,素材!$1:$1016,COLUMN($F$1),FALSE))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B343">
        <f>IF(ISNUMBER(SEARCH(SUBSTITUTE(AB$1,RIGHT(AB$1,2),""),VLOOKUP($D343,素材!$1:$1016,COLUMN($F$1),FALSE))),VLOOKUP($C343,武器!$1:$998,COLUMN($O$1),FALSE)*VLOOKUP($D343,素材!$1:$1016,COLUMN($E$1),FALSE)/(LEN(VLOOKUP($D343,素材!$1:$1016,COLUMN($F$1),FALSE))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C343">
        <f>IF(ISNUMBER(SEARCH(SUBSTITUTE(AC$1,RIGHT(AC$1,2),""),VLOOKUP($D343,素材!$1:$1016,COLUMN($F$1),FALSE))),VLOOKUP($C343,武器!$1:$998,COLUMN($O$1),FALSE)*VLOOKUP($D343,素材!$1:$1016,COLUMN($E$1),FALSE)/(LEN(VLOOKUP($D343,素材!$1:$1016,COLUMN($F$1),FALSE))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D343">
        <f>IF(ISNUMBER(SEARCH(SUBSTITUTE(AD$1,RIGHT(AD$1,2),""),VLOOKUP($D343,素材!$1:$1016,COLUMN($F$1),FALSE))),VLOOKUP($C343,武器!$1:$998,COLUMN($O$1),FALSE)*VLOOKUP($D343,素材!$1:$1016,COLUMN($E$1),FALSE)/(LEN(VLOOKUP($D343,素材!$1:$1016,COLUMN($F$1),FALSE))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E343">
        <f>IF(ISNUMBER(SEARCH(SUBSTITUTE(AE$1,RIGHT(AE$1,2),""),VLOOKUP($D343,素材!$1:$1016,COLUMN($F$1),FALSE))),VLOOKUP($C343,武器!$1:$998,COLUMN($O$1),FALSE)*VLOOKUP($D343,素材!$1:$1016,COLUMN($E$1),FALSE)/(LEN(VLOOKUP($D343,素材!$1:$1016,COLUMN($F$1),FALSE))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F343">
        <f>IF(ISNUMBER(SEARCH(SUBSTITUTE(AF$1,RIGHT(AF$1,2),""),VLOOKUP($D343,素材!$1:$1016,COLUMN($F$1),FALSE))),VLOOKUP($C343,武器!$1:$998,COLUMN($O$1),FALSE)*VLOOKUP($D343,素材!$1:$1016,COLUMN($E$1),FALSE)/(LEN(VLOOKUP($D343,素材!$1:$1016,COLUMN($F$1),FALSE))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G343">
        <f>IF(ISNUMBER(SEARCH(SUBSTITUTE(AG$1,RIGHT(AG$1,2),""),VLOOKUP($D343,素材!$1:$1016,COLUMN($F$1),FALSE))),VLOOKUP($C343,武器!$1:$998,COLUMN($O$1),FALSE)*VLOOKUP($D343,素材!$1:$1016,COLUMN($E$1),FALSE)/(LEN(VLOOKUP($D343,素材!$1:$1016,COLUMN($F$1),FALSE))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H343">
        <f>IF(ISNUMBER(SEARCH(SUBSTITUTE(AH$1,RIGHT(AH$1,2),""),VLOOKUP($D343,素材!$1:$1016,COLUMN($F$1),FALSE))),VLOOKUP($C343,武器!$1:$998,COLUMN($O$1),FALSE)*VLOOKUP($D343,素材!$1:$1016,COLUMN($E$1),FALSE)/(LEN(VLOOKUP($D343,素材!$1:$1016,COLUMN($F$1),FALSE))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I343">
        <f>IF(ISNUMBER(SEARCH(SUBSTITUTE(AI$1,RIGHT(AI$1,2),""),VLOOKUP($D343,素材!$1:$1016,COLUMN($F$1),FALSE))),VLOOKUP($C343,武器!$1:$998,COLUMN($O$1),FALSE)*VLOOKUP($D343,素材!$1:$1016,COLUMN($E$1),FALSE)/(LEN(VLOOKUP($D343,素材!$1:$1016,COLUMN($F$1),FALSE))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J343">
        <f>IF(ISNUMBER(SEARCH(SUBSTITUTE(AJ$1,RIGHT(AJ$1,2),""),VLOOKUP($D343,素材!$1:$1016,COLUMN($F$1),FALSE))),VLOOKUP($C343,武器!$1:$998,COLUMN($O$1),FALSE)*VLOOKUP($D343,素材!$1:$1016,COLUMN($E$1),FALSE)/(LEN(VLOOKUP($D343,素材!$1:$1016,COLUMN($F$1),FALSE))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K343">
        <f>IF(ISNUMBER(SEARCH(SUBSTITUTE(AK$1,RIGHT(AK$1,2),""),VLOOKUP($D343,素材!$1:$1016,COLUMN($F$1),FALSE))),VLOOKUP($C343,武器!$1:$998,COLUMN($O$1),FALSE)*VLOOKUP($D343,素材!$1:$1016,COLUMN($E$1),FALSE)/(LEN(VLOOKUP($D343,素材!$1:$1016,COLUMN($F$1),FALSE))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L343">
        <f>IF(ISNUMBER(SEARCH(SUBSTITUTE(AL$1,RIGHT(AL$1,2),""),VLOOKUP($D343,素材!$1:$1016,COLUMN($F$1),FALSE))),VLOOKUP($C343,武器!$1:$998,COLUMN($O$1),FALSE)*VLOOKUP($D343,素材!$1:$1016,COLUMN($E$1),FALSE)/(LEN(VLOOKUP($D343,素材!$1:$1016,COLUMN($F$1),FALSE))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M343">
        <f>IF(ISNUMBER(SEARCH(SUBSTITUTE(AM$1,RIGHT(AM$1,2),""),VLOOKUP($D343,素材!$1:$1016,COLUMN($F$1),FALSE))),VLOOKUP($C343,武器!$1:$998,COLUMN($O$1),FALSE)*VLOOKUP($D343,素材!$1:$1016,COLUMN($E$1),FALSE)/(LEN(VLOOKUP($D343,素材!$1:$1016,COLUMN($F$1),FALSE))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N343">
        <f>IF(ISNUMBER(SEARCH(SUBSTITUTE(AN$1,RIGHT(AN$1,2),""),VLOOKUP($D343,素材!$1:$1016,COLUMN($F$1),FALSE))),VLOOKUP($C343,武器!$1:$998,COLUMN($O$1),FALSE)*VLOOKUP($D343,素材!$1:$1016,COLUMN($E$1),FALSE)/(LEN(VLOOKUP($D343,素材!$1:$1016,COLUMN($F$1),FALSE))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O343">
        <f>IF(ISNUMBER(SEARCH(SUBSTITUTE(AO$1,RIGHT(AO$1,2),""),VLOOKUP($D343,素材!$1:$1016,COLUMN($F$1),FALSE))),VLOOKUP($C343,武器!$1:$998,COLUMN($O$1),FALSE)*VLOOKUP($D343,素材!$1:$1016,COLUMN($E$1),FALSE)/(LEN(VLOOKUP($D343,素材!$1:$1016,COLUMN($F$1),FALSE))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P343">
        <f>IF(ISNUMBER(SEARCH(SUBSTITUTE(AP$1,RIGHT(AP$1,2),""),VLOOKUP($D343,素材!$1:$1016,COLUMN($F$1),FALSE))),VLOOKUP($C343,武器!$1:$998,COLUMN($O$1),FALSE)*VLOOKUP($D343,素材!$1:$1016,COLUMN($E$1),FALSE)/(LEN(VLOOKUP($D343,素材!$1:$1016,COLUMN($F$1),FALSE))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Q343">
        <f>IF(ISNUMBER(SEARCH(SUBSTITUTE(AQ$1,RIGHT(AQ$1,2),""),VLOOKUP($D343,素材!$1:$1016,COLUMN($F$1),FALSE))),VLOOKUP($C343,武器!$1:$998,COLUMN($O$1),FALSE)*VLOOKUP($D343,素材!$1:$1016,COLUMN($E$1),FALSE)/(LEN(VLOOKUP($D343,素材!$1:$1016,COLUMN($F$1),FALSE))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R343">
        <f>IF(ISNUMBER(SEARCH(SUBSTITUTE(AR$1,RIGHT(AR$1,2),""),VLOOKUP($D343,素材!$1:$1016,COLUMN($F$1),FALSE))),VLOOKUP($C343,武器!$1:$998,COLUMN($O$1),FALSE)*VLOOKUP($D343,素材!$1:$1016,COLUMN($E$1),FALSE)/(LEN(VLOOKUP($D343,素材!$1:$1016,COLUMN($F$1),FALSE))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S343">
        <f>IF(ISNUMBER(SEARCH(SUBSTITUTE(AS$1,RIGHT(AS$1,2),""),VLOOKUP($D343,素材!$1:$1016,COLUMN($F$1),FALSE))),VLOOKUP($C343,武器!$1:$998,COLUMN($O$1),FALSE)*VLOOKUP($D343,素材!$1:$1016,COLUMN($E$1),FALSE)/(LEN(VLOOKUP($D343,素材!$1:$1016,COLUMN($F$1),FALSE))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T343">
        <f>IF(ISNUMBER(SEARCH(SUBSTITUTE(AT$1,RIGHT(AT$1,2),""),VLOOKUP($D343,素材!$1:$1016,COLUMN($F$1),FALSE))),VLOOKUP($C343,武器!$1:$998,COLUMN($O$1),FALSE)*VLOOKUP($D343,素材!$1:$1016,COLUMN($E$1),FALSE)/(LEN(VLOOKUP($D343,素材!$1:$1016,COLUMN($F$1),FALSE))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U343">
        <f>IF(ISNUMBER(SEARCH(SUBSTITUTE(AU$1,RIGHT(AU$1,2),""),VLOOKUP($D343,素材!$1:$1016,COLUMN($F$1),FALSE))),VLOOKUP($C343,武器!$1:$998,COLUMN($O$1),FALSE)*VLOOKUP($D343,素材!$1:$1016,COLUMN($E$1),FALSE)/(LEN(VLOOKUP($D343,素材!$1:$1016,COLUMN($F$1),FALSE))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V343">
        <f>IF(ISNUMBER(SEARCH(SUBSTITUTE(AV$1,RIGHT(AV$1,2),""),VLOOKUP($D343,素材!$1:$1016,COLUMN($F$1),FALSE))),VLOOKUP($C343,武器!$1:$998,COLUMN($O$1),FALSE)*VLOOKUP($D343,素材!$1:$1016,COLUMN($E$1),FALSE)/(LEN(VLOOKUP($D343,素材!$1:$1016,COLUMN($F$1),FALSE))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W343">
        <f>IF(ISNUMBER(SEARCH(SUBSTITUTE(AW$1,RIGHT(AW$1,2),""),VLOOKUP($D343,素材!$1:$1016,COLUMN($F$1),FALSE))),VLOOKUP($C343,武器!$1:$998,COLUMN($O$1),FALSE)*VLOOKUP($D343,素材!$1:$1016,COLUMN($E$1),FALSE)/(LEN(VLOOKUP($D343,素材!$1:$1016,COLUMN($F$1),FALSE))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X343">
        <f>IF(ISNUMBER(SEARCH(SUBSTITUTE(AX$1,RIGHT(AX$1,2),""),VLOOKUP($D343,素材!$1:$1016,COLUMN($F$1),FALSE))),VLOOKUP($C343,武器!$1:$998,COLUMN($O$1),FALSE)*VLOOKUP($D343,素材!$1:$1016,COLUMN($E$1),FALSE)/(LEN(VLOOKUP($D343,素材!$1:$1016,COLUMN($F$1),FALSE))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Y343">
        <f>IF(ISNUMBER(SEARCH(SUBSTITUTE(AY$1,RIGHT(AY$1,2),""),VLOOKUP($D343,素材!$1:$1016,COLUMN($F$1),FALSE))),VLOOKUP($C343,武器!$1:$998,COLUMN($O$1),FALSE)*VLOOKUP($D343,素材!$1:$1016,COLUMN($E$1),FALSE)/(LEN(VLOOKUP($D343,素材!$1:$1016,COLUMN($F$1),FALSE))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AZ343">
        <f>IF(ISNUMBER(SEARCH(SUBSTITUTE(AZ$1,RIGHT(AZ$1,2),""),VLOOKUP($D343,素材!$1:$1016,COLUMN($F$1),FALSE))),VLOOKUP($C343,武器!$1:$998,COLUMN($O$1),FALSE)*VLOOKUP($D343,素材!$1:$1016,COLUMN($E$1),FALSE)/(LEN(VLOOKUP($D343,素材!$1:$1016,COLUMN($F$1),FALSE))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BA343">
        <f>IF(ISNUMBER(SEARCH(SUBSTITUTE(BA$1,RIGHT(BA$1,2),""),VLOOKUP($D343,素材!$1:$1016,COLUMN($F$1),FALSE))),VLOOKUP($C343,武器!$1:$998,COLUMN($O$1),FALSE)*VLOOKUP($D343,素材!$1:$1016,COLUMN($E$1),FALSE)/(LEN(VLOOKUP($D343,素材!$1:$1016,COLUMN($F$1),FALSE))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BB343">
        <f>IF(ISNUMBER(SEARCH(SUBSTITUTE(BB$1,RIGHT(BB$1,2),""),VLOOKUP($D343,素材!$1:$1016,COLUMN($F$1),FALSE))),VLOOKUP($C343,武器!$1:$998,COLUMN($O$1),FALSE)*VLOOKUP($D343,素材!$1:$1016,COLUMN($E$1),FALSE)/(LEN(VLOOKUP($D343,素材!$1:$1016,COLUMN($F$1),FALSE))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BC343">
        <f>IF(ISNUMBER(SEARCH(SUBSTITUTE(BC$1,RIGHT(BC$1,2),""),VLOOKUP($D343,素材!$1:$1016,COLUMN($F$1),FALSE))),VLOOKUP($C343,武器!$1:$998,COLUMN($O$1),FALSE)*VLOOKUP($D343,素材!$1:$1016,COLUMN($E$1),FALSE)/(LEN(VLOOKUP($D343,素材!$1:$1016,COLUMN($F$1),FALSE))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BD343">
        <f>IF(ISNUMBER(SEARCH(SUBSTITUTE(BD$1,RIGHT(BD$1,2),""),VLOOKUP($D343,素材!$1:$1016,COLUMN($F$1),FALSE))),VLOOKUP($C343,武器!$1:$998,COLUMN($O$1),FALSE)*VLOOKUP($D343,素材!$1:$1016,COLUMN($E$1),FALSE)/(LEN(VLOOKUP($D343,素材!$1:$1016,COLUMN($F$1),FALSE))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BE343">
        <f>IF(ISNUMBER(SEARCH(SUBSTITUTE(BE$1,RIGHT(BE$1,2),""),VLOOKUP($D343,素材!$1:$1016,COLUMN($F$1),FALSE))),VLOOKUP($C343,武器!$1:$998,COLUMN($O$1),FALSE)*VLOOKUP($D343,素材!$1:$1016,COLUMN($E$1),FALSE)/(LEN(VLOOKUP($D343,素材!$1:$1016,COLUMN($F$1),FALSE))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BF343">
        <f>IF(ISNUMBER(SEARCH(SUBSTITUTE(BF$1,RIGHT(BF$1,2),""),VLOOKUP($D343,素材!$1:$1016,COLUMN($F$1),FALSE))),VLOOKUP($C343,武器!$1:$998,COLUMN($O$1),FALSE)*VLOOKUP($D343,素材!$1:$1016,COLUMN($E$1),FALSE)/(LEN(VLOOKUP($D343,素材!$1:$1016,COLUMN($F$1),FALSE)) - LEN(SUBSTITUTE(VLOOKUP($D343,素材!$1:$1016,COLUMN($F$1),FALSE), "・", 0)) + 1), 0)</f>
        <v>0</v>
      </c>
      <c r="CM343">
        <f t="shared" si="39"/>
        <v>0</v>
      </c>
      <c r="CN343" s="22" t="str">
        <f>IF(E343="武器",IF(J343-1&gt;SUM(G343:I343),"盾",IF(MAX(G343:I343)=G343,"切断",IF(MAX(G343:I343)=H343,"貫通",IF(MAX(G343:I343)=I343,"打撃","射撃")))),E343)&amp;".webp"</f>
        <v>.webp</v>
      </c>
      <c r="CO343" t="str">
        <f>IFERROR(VLOOKUP($C343,武器!$1:$998,COLUMN(V$1),FALSE)*VLOOKUP($D343,素材!$1:$1016,COLUMN(N$1),FALSE)+IF(CJ343="",0,VLOOKUP($CJ343,装強!$1:$1008,COLUMN($CL$1),FALSE)),"")</f>
        <v/>
      </c>
      <c r="CP343" t="e">
        <f>VLOOKUP(D343,素材!$A:$O,COLUMN(素材!O$1),FALSE)</f>
        <v>#N/A</v>
      </c>
      <c r="CQ343" t="e">
        <f>VLOOKUP(C343,武器!$A:$W,COLUMN(武器!W$1),FALSE)</f>
        <v>#N/A</v>
      </c>
      <c r="CS343" t="str">
        <f>"e_"&amp;ROW(CS343)</f>
        <v>e_343</v>
      </c>
      <c r="CT343" t="e">
        <f>CO343*100</f>
        <v>#VALUE!</v>
      </c>
    </row>
    <row r="344" spans="1:98" hidden="1" outlineLevel="1" x14ac:dyDescent="0.4">
      <c r="A344" t="str">
        <f>IF(CJ344="",D344&amp;"の"&amp;C344,CJ344&amp;"の"&amp;C344)</f>
        <v>の</v>
      </c>
      <c r="B344" t="str">
        <f>IFERROR(IF(CJ344="",VLOOKUP($D344,素材!$1:$1016,COLUMN($B$1),FALSE)&amp;"・"&amp;VLOOKUP($C344,武器!$1:$998,COLUMN(B$1),FALSE),VLOOKUP($CJ344,装強!$1:$1008,COLUMN($B$1),FALSE)&amp;"・"&amp;VLOOKUP($C344,武器!$1:$998,COLUMN(B$1),FALSE)),"")</f>
        <v/>
      </c>
      <c r="C344" s="24"/>
      <c r="D344" s="24"/>
      <c r="E344" t="str">
        <f>IFERROR(VLOOKUP(C344,武器!$1:$998,COLUMN(C$1),FALSE),"")</f>
        <v/>
      </c>
      <c r="F344" t="str">
        <f>IFERROR(ROUNDDOWN((VLOOKUP($C344,武器!$1:$998,COLUMN(D$1),FALSE)+IFERROR(VLOOKUP($CJ344,装強!$1:$999,COLUMN(F$1),FALSE),0))*VLOOKUP($D344,素材!$1:$1016,COLUMN(D$1),FALSE),0),"")</f>
        <v/>
      </c>
      <c r="G344" t="str">
        <f>IFERROR(ROUNDDOWN((VLOOKUP($C344,武器!$1:$998,COLUMN(E$1),FALSE)+IFERROR(VLOOKUP($CJ344,装強!$1:$999,COLUMN(G$1),FALSE),0))*VLOOKUP($D344,素材!$1:$1016,COLUMN($E$1),FALSE),0),"")</f>
        <v/>
      </c>
      <c r="H344" t="str">
        <f>IFERROR(ROUNDDOWN((VLOOKUP($C344,武器!$1:$998,COLUMN(F$1),FALSE)+IFERROR(VLOOKUP($CJ344,装強!$1:$999,COLUMN(H$1),FALSE),0))*VLOOKUP($D344,素材!$1:$1016,COLUMN($E$1),FALSE),0),"")</f>
        <v/>
      </c>
      <c r="I344" t="str">
        <f>IFERROR(ROUNDDOWN((VLOOKUP($C344,武器!$1:$998,COLUMN(G$1),FALSE)+IFERROR(VLOOKUP($CJ344,装強!$1:$999,COLUMN(I$1),FALSE),0))*VLOOKUP($D344,素材!$1:$1016,COLUMN($E$1),FALSE),0),"")</f>
        <v/>
      </c>
      <c r="J344" t="str">
        <f>IFERROR(ROUNDDOWN((VLOOKUP($C344,武器!$1:$998,COLUMN(H$1),FALSE)+IFERROR(VLOOKUP($CJ344,装強!$1:$999,COLUMN(J$1),FALSE),0))*VLOOKUP($D344,素材!$1:$1016,COLUMN($E$1),FALSE),0),"")</f>
        <v/>
      </c>
      <c r="K344" t="str">
        <f>IFERROR(ROUNDDOWN((VLOOKUP($C344,武器!$1:$998,COLUMN(I$1),FALSE)+IFERROR(VLOOKUP($CJ344,装強!$1:$999,COLUMN(K$1),FALSE),0))*VLOOKUP($D344,素材!$1:$1016,COLUMN($E$1),FALSE),0),"")</f>
        <v/>
      </c>
      <c r="L344" t="str">
        <f>IFERROR(VLOOKUP($D344,素材!$1:$1016,COLUMN($F$1),FALSE),"")</f>
        <v/>
      </c>
      <c r="M344" t="str">
        <f>IFERROR(VLOOKUP($C344,武器!$1:$998,COLUMN(AA$1),FALSE)*VLOOKUP($D344,素材!$1:$1016,COLUMN($G$1),FALSE),"")</f>
        <v/>
      </c>
      <c r="N344" t="str">
        <f>IFERROR(VLOOKUP($C344,武器!$1:$998,COLUMN(I$1),FALSE),"")</f>
        <v/>
      </c>
      <c r="O344" s="23" t="str">
        <f>IFERROR((VLOOKUP($C344,武器!$1:$998,COLUMN(K$1),FALSE)+VLOOKUP($D344,素材!$1:$1016,COLUMN(H$1),FALSE))*100+IFERROR(VLOOKUP($CJ344,装強!$1:$999,COLUMN(O$1),FALSE),0),"")</f>
        <v/>
      </c>
      <c r="P344" s="23" t="str">
        <f>IFERROR((VLOOKUP($C344,武器!$1:$998,COLUMN(L$1),FALSE)+VLOOKUP($D344,素材!$1:$1016,COLUMN(I$1),FALSE))*100+IFERROR(VLOOKUP($CJ344,装強!$1:$999,COLUMN(P$1),FALSE),0),"")</f>
        <v/>
      </c>
      <c r="Q344" t="str">
        <f>IFERROR(ROUNDUP(VLOOKUP($C344,武器!$1:$998,COLUMN(M$1),FALSE)*(VLOOKUP($D344,素材!$1:$1002,COLUMN(D$1),FALSE)/100),1),"")</f>
        <v/>
      </c>
      <c r="R344" t="str">
        <f>IFERROR(ROUNDUP(VLOOKUP($C344,武器!$1:$998,COLUMN(N$1),FALSE)*(VLOOKUP($D344,素材!$1:$1002,COLUMN(D$1),FALSE)/100),1),"")</f>
        <v/>
      </c>
      <c r="S344" t="str">
        <f>IFERROR(VLOOKUP($C344,武器!$1:$998,COLUMN(P$1),FALSE),"")</f>
        <v/>
      </c>
      <c r="T344" t="str">
        <f>IFERROR(VLOOKUP($C344,武器!$1:$998,COLUMN(Q$1),FALSE),"")</f>
        <v/>
      </c>
      <c r="U344" t="str">
        <f>IFERROR(VLOOKUP($C344,武器!$1:$998,COLUMN(R$1),FALSE),"")</f>
        <v/>
      </c>
      <c r="V344" t="str">
        <f>IFERROR(VLOOKUP($C344,武器!$1:$998,COLUMN(Q$1),FALSE),"")</f>
        <v/>
      </c>
      <c r="W344" t="str">
        <f>IFERROR(VLOOKUP($C344,武器!$1:$998,COLUMN(T$1),FALSE),"")</f>
        <v/>
      </c>
      <c r="Y344" t="str">
        <f>IFERROR(VLOOKUP($C344,武器!$1:$998,COLUMN(U$1),FALSE),"")</f>
        <v/>
      </c>
      <c r="Z344" t="str">
        <f>IFERROR(ROUNDUP(VLOOKUP($C344,武器!$1:$998,COLUMN(O$1),FALSE)*VLOOKUP($D344,素材!$1:$1016,COLUMN(E$1),FALSE),1),"")</f>
        <v/>
      </c>
      <c r="AA344">
        <f>IF(ISNUMBER(SEARCH(SUBSTITUTE(AA$1,RIGHT(AA$1,2),""),VLOOKUP($D344,素材!$1:$1016,COLUMN($F$1),FALSE))),VLOOKUP($C344,武器!$1:$998,COLUMN($O$1),FALSE)*VLOOKUP($D344,素材!$1:$1016,COLUMN($E$1),FALSE)/(LEN(VLOOKUP($D344,素材!$1:$1016,COLUMN($F$1),FALSE))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B344">
        <f>IF(ISNUMBER(SEARCH(SUBSTITUTE(AB$1,RIGHT(AB$1,2),""),VLOOKUP($D344,素材!$1:$1016,COLUMN($F$1),FALSE))),VLOOKUP($C344,武器!$1:$998,COLUMN($O$1),FALSE)*VLOOKUP($D344,素材!$1:$1016,COLUMN($E$1),FALSE)/(LEN(VLOOKUP($D344,素材!$1:$1016,COLUMN($F$1),FALSE))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C344">
        <f>IF(ISNUMBER(SEARCH(SUBSTITUTE(AC$1,RIGHT(AC$1,2),""),VLOOKUP($D344,素材!$1:$1016,COLUMN($F$1),FALSE))),VLOOKUP($C344,武器!$1:$998,COLUMN($O$1),FALSE)*VLOOKUP($D344,素材!$1:$1016,COLUMN($E$1),FALSE)/(LEN(VLOOKUP($D344,素材!$1:$1016,COLUMN($F$1),FALSE))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D344">
        <f>IF(ISNUMBER(SEARCH(SUBSTITUTE(AD$1,RIGHT(AD$1,2),""),VLOOKUP($D344,素材!$1:$1016,COLUMN($F$1),FALSE))),VLOOKUP($C344,武器!$1:$998,COLUMN($O$1),FALSE)*VLOOKUP($D344,素材!$1:$1016,COLUMN($E$1),FALSE)/(LEN(VLOOKUP($D344,素材!$1:$1016,COLUMN($F$1),FALSE))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E344">
        <f>IF(ISNUMBER(SEARCH(SUBSTITUTE(AE$1,RIGHT(AE$1,2),""),VLOOKUP($D344,素材!$1:$1016,COLUMN($F$1),FALSE))),VLOOKUP($C344,武器!$1:$998,COLUMN($O$1),FALSE)*VLOOKUP($D344,素材!$1:$1016,COLUMN($E$1),FALSE)/(LEN(VLOOKUP($D344,素材!$1:$1016,COLUMN($F$1),FALSE))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F344">
        <f>IF(ISNUMBER(SEARCH(SUBSTITUTE(AF$1,RIGHT(AF$1,2),""),VLOOKUP($D344,素材!$1:$1016,COLUMN($F$1),FALSE))),VLOOKUP($C344,武器!$1:$998,COLUMN($O$1),FALSE)*VLOOKUP($D344,素材!$1:$1016,COLUMN($E$1),FALSE)/(LEN(VLOOKUP($D344,素材!$1:$1016,COLUMN($F$1),FALSE))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G344">
        <f>IF(ISNUMBER(SEARCH(SUBSTITUTE(AG$1,RIGHT(AG$1,2),""),VLOOKUP($D344,素材!$1:$1016,COLUMN($F$1),FALSE))),VLOOKUP($C344,武器!$1:$998,COLUMN($O$1),FALSE)*VLOOKUP($D344,素材!$1:$1016,COLUMN($E$1),FALSE)/(LEN(VLOOKUP($D344,素材!$1:$1016,COLUMN($F$1),FALSE))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H344">
        <f>IF(ISNUMBER(SEARCH(SUBSTITUTE(AH$1,RIGHT(AH$1,2),""),VLOOKUP($D344,素材!$1:$1016,COLUMN($F$1),FALSE))),VLOOKUP($C344,武器!$1:$998,COLUMN($O$1),FALSE)*VLOOKUP($D344,素材!$1:$1016,COLUMN($E$1),FALSE)/(LEN(VLOOKUP($D344,素材!$1:$1016,COLUMN($F$1),FALSE))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I344">
        <f>IF(ISNUMBER(SEARCH(SUBSTITUTE(AI$1,RIGHT(AI$1,2),""),VLOOKUP($D344,素材!$1:$1016,COLUMN($F$1),FALSE))),VLOOKUP($C344,武器!$1:$998,COLUMN($O$1),FALSE)*VLOOKUP($D344,素材!$1:$1016,COLUMN($E$1),FALSE)/(LEN(VLOOKUP($D344,素材!$1:$1016,COLUMN($F$1),FALSE))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J344">
        <f>IF(ISNUMBER(SEARCH(SUBSTITUTE(AJ$1,RIGHT(AJ$1,2),""),VLOOKUP($D344,素材!$1:$1016,COLUMN($F$1),FALSE))),VLOOKUP($C344,武器!$1:$998,COLUMN($O$1),FALSE)*VLOOKUP($D344,素材!$1:$1016,COLUMN($E$1),FALSE)/(LEN(VLOOKUP($D344,素材!$1:$1016,COLUMN($F$1),FALSE))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K344">
        <f>IF(ISNUMBER(SEARCH(SUBSTITUTE(AK$1,RIGHT(AK$1,2),""),VLOOKUP($D344,素材!$1:$1016,COLUMN($F$1),FALSE))),VLOOKUP($C344,武器!$1:$998,COLUMN($O$1),FALSE)*VLOOKUP($D344,素材!$1:$1016,COLUMN($E$1),FALSE)/(LEN(VLOOKUP($D344,素材!$1:$1016,COLUMN($F$1),FALSE))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L344">
        <f>IF(ISNUMBER(SEARCH(SUBSTITUTE(AL$1,RIGHT(AL$1,2),""),VLOOKUP($D344,素材!$1:$1016,COLUMN($F$1),FALSE))),VLOOKUP($C344,武器!$1:$998,COLUMN($O$1),FALSE)*VLOOKUP($D344,素材!$1:$1016,COLUMN($E$1),FALSE)/(LEN(VLOOKUP($D344,素材!$1:$1016,COLUMN($F$1),FALSE))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M344">
        <f>IF(ISNUMBER(SEARCH(SUBSTITUTE(AM$1,RIGHT(AM$1,2),""),VLOOKUP($D344,素材!$1:$1016,COLUMN($F$1),FALSE))),VLOOKUP($C344,武器!$1:$998,COLUMN($O$1),FALSE)*VLOOKUP($D344,素材!$1:$1016,COLUMN($E$1),FALSE)/(LEN(VLOOKUP($D344,素材!$1:$1016,COLUMN($F$1),FALSE))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N344">
        <f>IF(ISNUMBER(SEARCH(SUBSTITUTE(AN$1,RIGHT(AN$1,2),""),VLOOKUP($D344,素材!$1:$1016,COLUMN($F$1),FALSE))),VLOOKUP($C344,武器!$1:$998,COLUMN($O$1),FALSE)*VLOOKUP($D344,素材!$1:$1016,COLUMN($E$1),FALSE)/(LEN(VLOOKUP($D344,素材!$1:$1016,COLUMN($F$1),FALSE))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O344">
        <f>IF(ISNUMBER(SEARCH(SUBSTITUTE(AO$1,RIGHT(AO$1,2),""),VLOOKUP($D344,素材!$1:$1016,COLUMN($F$1),FALSE))),VLOOKUP($C344,武器!$1:$998,COLUMN($O$1),FALSE)*VLOOKUP($D344,素材!$1:$1016,COLUMN($E$1),FALSE)/(LEN(VLOOKUP($D344,素材!$1:$1016,COLUMN($F$1),FALSE))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P344">
        <f>IF(ISNUMBER(SEARCH(SUBSTITUTE(AP$1,RIGHT(AP$1,2),""),VLOOKUP($D344,素材!$1:$1016,COLUMN($F$1),FALSE))),VLOOKUP($C344,武器!$1:$998,COLUMN($O$1),FALSE)*VLOOKUP($D344,素材!$1:$1016,COLUMN($E$1),FALSE)/(LEN(VLOOKUP($D344,素材!$1:$1016,COLUMN($F$1),FALSE))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Q344">
        <f>IF(ISNUMBER(SEARCH(SUBSTITUTE(AQ$1,RIGHT(AQ$1,2),""),VLOOKUP($D344,素材!$1:$1016,COLUMN($F$1),FALSE))),VLOOKUP($C344,武器!$1:$998,COLUMN($O$1),FALSE)*VLOOKUP($D344,素材!$1:$1016,COLUMN($E$1),FALSE)/(LEN(VLOOKUP($D344,素材!$1:$1016,COLUMN($F$1),FALSE))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R344">
        <f>IF(ISNUMBER(SEARCH(SUBSTITUTE(AR$1,RIGHT(AR$1,2),""),VLOOKUP($D344,素材!$1:$1016,COLUMN($F$1),FALSE))),VLOOKUP($C344,武器!$1:$998,COLUMN($O$1),FALSE)*VLOOKUP($D344,素材!$1:$1016,COLUMN($E$1),FALSE)/(LEN(VLOOKUP($D344,素材!$1:$1016,COLUMN($F$1),FALSE))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S344">
        <f>IF(ISNUMBER(SEARCH(SUBSTITUTE(AS$1,RIGHT(AS$1,2),""),VLOOKUP($D344,素材!$1:$1016,COLUMN($F$1),FALSE))),VLOOKUP($C344,武器!$1:$998,COLUMN($O$1),FALSE)*VLOOKUP($D344,素材!$1:$1016,COLUMN($E$1),FALSE)/(LEN(VLOOKUP($D344,素材!$1:$1016,COLUMN($F$1),FALSE))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T344">
        <f>IF(ISNUMBER(SEARCH(SUBSTITUTE(AT$1,RIGHT(AT$1,2),""),VLOOKUP($D344,素材!$1:$1016,COLUMN($F$1),FALSE))),VLOOKUP($C344,武器!$1:$998,COLUMN($O$1),FALSE)*VLOOKUP($D344,素材!$1:$1016,COLUMN($E$1),FALSE)/(LEN(VLOOKUP($D344,素材!$1:$1016,COLUMN($F$1),FALSE))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U344">
        <f>IF(ISNUMBER(SEARCH(SUBSTITUTE(AU$1,RIGHT(AU$1,2),""),VLOOKUP($D344,素材!$1:$1016,COLUMN($F$1),FALSE))),VLOOKUP($C344,武器!$1:$998,COLUMN($O$1),FALSE)*VLOOKUP($D344,素材!$1:$1016,COLUMN($E$1),FALSE)/(LEN(VLOOKUP($D344,素材!$1:$1016,COLUMN($F$1),FALSE))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V344">
        <f>IF(ISNUMBER(SEARCH(SUBSTITUTE(AV$1,RIGHT(AV$1,2),""),VLOOKUP($D344,素材!$1:$1016,COLUMN($F$1),FALSE))),VLOOKUP($C344,武器!$1:$998,COLUMN($O$1),FALSE)*VLOOKUP($D344,素材!$1:$1016,COLUMN($E$1),FALSE)/(LEN(VLOOKUP($D344,素材!$1:$1016,COLUMN($F$1),FALSE))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W344">
        <f>IF(ISNUMBER(SEARCH(SUBSTITUTE(AW$1,RIGHT(AW$1,2),""),VLOOKUP($D344,素材!$1:$1016,COLUMN($F$1),FALSE))),VLOOKUP($C344,武器!$1:$998,COLUMN($O$1),FALSE)*VLOOKUP($D344,素材!$1:$1016,COLUMN($E$1),FALSE)/(LEN(VLOOKUP($D344,素材!$1:$1016,COLUMN($F$1),FALSE))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X344">
        <f>IF(ISNUMBER(SEARCH(SUBSTITUTE(AX$1,RIGHT(AX$1,2),""),VLOOKUP($D344,素材!$1:$1016,COLUMN($F$1),FALSE))),VLOOKUP($C344,武器!$1:$998,COLUMN($O$1),FALSE)*VLOOKUP($D344,素材!$1:$1016,COLUMN($E$1),FALSE)/(LEN(VLOOKUP($D344,素材!$1:$1016,COLUMN($F$1),FALSE))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Y344">
        <f>IF(ISNUMBER(SEARCH(SUBSTITUTE(AY$1,RIGHT(AY$1,2),""),VLOOKUP($D344,素材!$1:$1016,COLUMN($F$1),FALSE))),VLOOKUP($C344,武器!$1:$998,COLUMN($O$1),FALSE)*VLOOKUP($D344,素材!$1:$1016,COLUMN($E$1),FALSE)/(LEN(VLOOKUP($D344,素材!$1:$1016,COLUMN($F$1),FALSE))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AZ344">
        <f>IF(ISNUMBER(SEARCH(SUBSTITUTE(AZ$1,RIGHT(AZ$1,2),""),VLOOKUP($D344,素材!$1:$1016,COLUMN($F$1),FALSE))),VLOOKUP($C344,武器!$1:$998,COLUMN($O$1),FALSE)*VLOOKUP($D344,素材!$1:$1016,COLUMN($E$1),FALSE)/(LEN(VLOOKUP($D344,素材!$1:$1016,COLUMN($F$1),FALSE))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BA344">
        <f>IF(ISNUMBER(SEARCH(SUBSTITUTE(BA$1,RIGHT(BA$1,2),""),VLOOKUP($D344,素材!$1:$1016,COLUMN($F$1),FALSE))),VLOOKUP($C344,武器!$1:$998,COLUMN($O$1),FALSE)*VLOOKUP($D344,素材!$1:$1016,COLUMN($E$1),FALSE)/(LEN(VLOOKUP($D344,素材!$1:$1016,COLUMN($F$1),FALSE))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BB344">
        <f>IF(ISNUMBER(SEARCH(SUBSTITUTE(BB$1,RIGHT(BB$1,2),""),VLOOKUP($D344,素材!$1:$1016,COLUMN($F$1),FALSE))),VLOOKUP($C344,武器!$1:$998,COLUMN($O$1),FALSE)*VLOOKUP($D344,素材!$1:$1016,COLUMN($E$1),FALSE)/(LEN(VLOOKUP($D344,素材!$1:$1016,COLUMN($F$1),FALSE))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BC344">
        <f>IF(ISNUMBER(SEARCH(SUBSTITUTE(BC$1,RIGHT(BC$1,2),""),VLOOKUP($D344,素材!$1:$1016,COLUMN($F$1),FALSE))),VLOOKUP($C344,武器!$1:$998,COLUMN($O$1),FALSE)*VLOOKUP($D344,素材!$1:$1016,COLUMN($E$1),FALSE)/(LEN(VLOOKUP($D344,素材!$1:$1016,COLUMN($F$1),FALSE))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BD344">
        <f>IF(ISNUMBER(SEARCH(SUBSTITUTE(BD$1,RIGHT(BD$1,2),""),VLOOKUP($D344,素材!$1:$1016,COLUMN($F$1),FALSE))),VLOOKUP($C344,武器!$1:$998,COLUMN($O$1),FALSE)*VLOOKUP($D344,素材!$1:$1016,COLUMN($E$1),FALSE)/(LEN(VLOOKUP($D344,素材!$1:$1016,COLUMN($F$1),FALSE))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BE344">
        <f>IF(ISNUMBER(SEARCH(SUBSTITUTE(BE$1,RIGHT(BE$1,2),""),VLOOKUP($D344,素材!$1:$1016,COLUMN($F$1),FALSE))),VLOOKUP($C344,武器!$1:$998,COLUMN($O$1),FALSE)*VLOOKUP($D344,素材!$1:$1016,COLUMN($E$1),FALSE)/(LEN(VLOOKUP($D344,素材!$1:$1016,COLUMN($F$1),FALSE))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BF344">
        <f>IF(ISNUMBER(SEARCH(SUBSTITUTE(BF$1,RIGHT(BF$1,2),""),VLOOKUP($D344,素材!$1:$1016,COLUMN($F$1),FALSE))),VLOOKUP($C344,武器!$1:$998,COLUMN($O$1),FALSE)*VLOOKUP($D344,素材!$1:$1016,COLUMN($E$1),FALSE)/(LEN(VLOOKUP($D344,素材!$1:$1016,COLUMN($F$1),FALSE)) - LEN(SUBSTITUTE(VLOOKUP($D344,素材!$1:$1016,COLUMN($F$1),FALSE), "・", 0)) + 1), 0)</f>
        <v>0</v>
      </c>
      <c r="CM344">
        <f t="shared" si="39"/>
        <v>0</v>
      </c>
      <c r="CN344" s="22" t="str">
        <f>IF(E344="武器",IF(J344-1&gt;SUM(G344:I344),"盾",IF(MAX(G344:I344)=G344,"切断",IF(MAX(G344:I344)=H344,"貫通",IF(MAX(G344:I344)=I344,"打撃","射撃")))),E344)&amp;".webp"</f>
        <v>.webp</v>
      </c>
      <c r="CO344" t="str">
        <f>IFERROR(VLOOKUP($C344,武器!$1:$998,COLUMN(V$1),FALSE)*VLOOKUP($D344,素材!$1:$1016,COLUMN(N$1),FALSE)+IF(CJ344="",0,VLOOKUP($CJ344,装強!$1:$1008,COLUMN($CL$1),FALSE)),"")</f>
        <v/>
      </c>
      <c r="CP344" t="e">
        <f>VLOOKUP(D344,素材!$A:$O,COLUMN(素材!O$1),FALSE)</f>
        <v>#N/A</v>
      </c>
      <c r="CQ344" t="e">
        <f>VLOOKUP(C344,武器!$A:$W,COLUMN(武器!W$1),FALSE)</f>
        <v>#N/A</v>
      </c>
      <c r="CS344" t="str">
        <f>"e_"&amp;ROW(CS344)</f>
        <v>e_344</v>
      </c>
      <c r="CT344" t="e">
        <f>CO344*100</f>
        <v>#VALUE!</v>
      </c>
    </row>
    <row r="345" spans="1:98" collapsed="1" x14ac:dyDescent="0.4">
      <c r="D345" s="24"/>
      <c r="E345" t="str">
        <f>IFERROR(VLOOKUP(C345,武器!$1:$998,COLUMN(C$1),FALSE),"")</f>
        <v/>
      </c>
      <c r="F345" t="str">
        <f>IFERROR(ROUNDDOWN((VLOOKUP($C345,武器!$1:$998,COLUMN(D$1),FALSE)+IFERROR(VLOOKUP($CJ345,装強!$1:$999,COLUMN(F$1),FALSE),0))*VLOOKUP($D345,素材!$1:$1016,COLUMN(D$1),FALSE),0),"")</f>
        <v/>
      </c>
      <c r="G345" t="str">
        <f>IFERROR(ROUNDDOWN((VLOOKUP($C345,武器!$1:$998,COLUMN(E$1),FALSE)+IFERROR(VLOOKUP($CJ345,装強!$1:$999,COLUMN(G$1),FALSE),0))*VLOOKUP($D345,素材!$1:$1016,COLUMN($E$1),FALSE),0),"")</f>
        <v/>
      </c>
      <c r="H345" t="str">
        <f>IFERROR(ROUNDDOWN((VLOOKUP($C345,武器!$1:$998,COLUMN(F$1),FALSE)+IFERROR(VLOOKUP($CJ345,装強!$1:$999,COLUMN(H$1),FALSE),0))*VLOOKUP($D345,素材!$1:$1016,COLUMN($E$1),FALSE),0),"")</f>
        <v/>
      </c>
      <c r="I345" t="str">
        <f>IFERROR(ROUNDDOWN((VLOOKUP($C345,武器!$1:$998,COLUMN(G$1),FALSE)+IFERROR(VLOOKUP($CJ345,装強!$1:$999,COLUMN(I$1),FALSE),0))*VLOOKUP($D345,素材!$1:$1016,COLUMN($E$1),FALSE),0),"")</f>
        <v/>
      </c>
      <c r="J345" t="str">
        <f>IFERROR(ROUNDDOWN((VLOOKUP($C345,武器!$1:$998,COLUMN(H$1),FALSE)+IFERROR(VLOOKUP($CJ345,装強!$1:$999,COLUMN(J$1),FALSE),0))*VLOOKUP($D345,素材!$1:$1016,COLUMN($E$1),FALSE),0),"")</f>
        <v/>
      </c>
      <c r="K345" t="str">
        <f>IFERROR(ROUNDDOWN((VLOOKUP($C345,武器!$1:$998,COLUMN(I$1),FALSE)+IFERROR(VLOOKUP($CJ345,装強!$1:$999,COLUMN(K$1),FALSE),0))*VLOOKUP($D345,素材!$1:$1016,COLUMN($E$1),FALSE),0),"")</f>
        <v/>
      </c>
      <c r="L345" t="str">
        <f>IFERROR(VLOOKUP($D345,素材!$1:$1016,COLUMN($F$1),FALSE),"")</f>
        <v/>
      </c>
      <c r="M345" t="str">
        <f>IFERROR(VLOOKUP($C345,武器!$1:$998,COLUMN(AA$1),FALSE)*VLOOKUP($D345,素材!$1:$1016,COLUMN($G$1),FALSE),"")</f>
        <v/>
      </c>
      <c r="N345" t="str">
        <f>IFERROR(VLOOKUP($C345,武器!$1:$998,COLUMN(I$1),FALSE),"")</f>
        <v/>
      </c>
      <c r="O345" s="23" t="str">
        <f>IFERROR((VLOOKUP($C345,武器!$1:$998,COLUMN(K$1),FALSE)+VLOOKUP($D345,素材!$1:$1016,COLUMN(H$1),FALSE))*100+IFERROR(VLOOKUP($CJ345,装強!$1:$999,COLUMN(O$1),FALSE),0),"")</f>
        <v/>
      </c>
      <c r="P345" s="23" t="str">
        <f>IFERROR((VLOOKUP($C345,武器!$1:$998,COLUMN(L$1),FALSE)+VLOOKUP($D345,素材!$1:$1016,COLUMN(I$1),FALSE))*100+IFERROR(VLOOKUP($CJ345,装強!$1:$999,COLUMN(P$1),FALSE),0),"")</f>
        <v/>
      </c>
      <c r="Q345" t="str">
        <f>IFERROR(ROUNDUP(VLOOKUP($C345,武器!$1:$998,COLUMN(M$1),FALSE)*(VLOOKUP($D345,素材!$1:$1002,COLUMN(D$1),FALSE)/100),1),"")</f>
        <v/>
      </c>
      <c r="R345" t="str">
        <f>IFERROR(ROUNDUP(VLOOKUP($C345,武器!$1:$998,COLUMN(N$1),FALSE)*(VLOOKUP($D345,素材!$1:$1002,COLUMN(D$1),FALSE)/100),1),"")</f>
        <v/>
      </c>
      <c r="S345" t="str">
        <f>IFERROR(VLOOKUP($C345,武器!$1:$998,COLUMN(P$1),FALSE),"")</f>
        <v/>
      </c>
      <c r="T345" t="str">
        <f>IFERROR(VLOOKUP($C345,武器!$1:$998,COLUMN(Q$1),FALSE),"")</f>
        <v/>
      </c>
      <c r="U345" t="str">
        <f>IFERROR(VLOOKUP($C345,武器!$1:$998,COLUMN(R$1),FALSE),"")</f>
        <v/>
      </c>
      <c r="V345" t="str">
        <f>IFERROR(VLOOKUP($C345,武器!$1:$998,COLUMN(Q$1),FALSE),"")</f>
        <v/>
      </c>
      <c r="W345" t="str">
        <f>IFERROR(VLOOKUP($C345,武器!$1:$998,COLUMN(T$1),FALSE),"")</f>
        <v/>
      </c>
      <c r="Y345" t="str">
        <f>IFERROR(VLOOKUP($C345,武器!$1:$998,COLUMN(U$1),FALSE),"")</f>
        <v/>
      </c>
      <c r="Z345" t="str">
        <f>IFERROR(ROUNDUP(VLOOKUP($C345,武器!$1:$998,COLUMN(O$1),FALSE)*VLOOKUP($D345,素材!$1:$1016,COLUMN(E$1),FALSE),1),"")</f>
        <v/>
      </c>
      <c r="AA345">
        <f>IF(ISNUMBER(SEARCH(SUBSTITUTE(AA$1,RIGHT(AA$1,2),""),VLOOKUP($D345,素材!$1:$1016,COLUMN($F$1),FALSE))),VLOOKUP($C345,武器!$1:$998,COLUMN($O$1),FALSE)*VLOOKUP($D345,素材!$1:$1016,COLUMN($E$1),FALSE)/(LEN(VLOOKUP($D345,素材!$1:$1016,COLUMN($F$1),FALSE))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B345">
        <f>IF(ISNUMBER(SEARCH(SUBSTITUTE(AB$1,RIGHT(AB$1,2),""),VLOOKUP($D345,素材!$1:$1016,COLUMN($F$1),FALSE))),VLOOKUP($C345,武器!$1:$998,COLUMN($O$1),FALSE)*VLOOKUP($D345,素材!$1:$1016,COLUMN($E$1),FALSE)/(LEN(VLOOKUP($D345,素材!$1:$1016,COLUMN($F$1),FALSE))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C345">
        <f>IF(ISNUMBER(SEARCH(SUBSTITUTE(AC$1,RIGHT(AC$1,2),""),VLOOKUP($D345,素材!$1:$1016,COLUMN($F$1),FALSE))),VLOOKUP($C345,武器!$1:$998,COLUMN($O$1),FALSE)*VLOOKUP($D345,素材!$1:$1016,COLUMN($E$1),FALSE)/(LEN(VLOOKUP($D345,素材!$1:$1016,COLUMN($F$1),FALSE))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D345">
        <f>IF(ISNUMBER(SEARCH(SUBSTITUTE(AD$1,RIGHT(AD$1,2),""),VLOOKUP($D345,素材!$1:$1016,COLUMN($F$1),FALSE))),VLOOKUP($C345,武器!$1:$998,COLUMN($O$1),FALSE)*VLOOKUP($D345,素材!$1:$1016,COLUMN($E$1),FALSE)/(LEN(VLOOKUP($D345,素材!$1:$1016,COLUMN($F$1),FALSE))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E345">
        <f>IF(ISNUMBER(SEARCH(SUBSTITUTE(AE$1,RIGHT(AE$1,2),""),VLOOKUP($D345,素材!$1:$1016,COLUMN($F$1),FALSE))),VLOOKUP($C345,武器!$1:$998,COLUMN($O$1),FALSE)*VLOOKUP($D345,素材!$1:$1016,COLUMN($E$1),FALSE)/(LEN(VLOOKUP($D345,素材!$1:$1016,COLUMN($F$1),FALSE))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F345">
        <f>IF(ISNUMBER(SEARCH(SUBSTITUTE(AF$1,RIGHT(AF$1,2),""),VLOOKUP($D345,素材!$1:$1016,COLUMN($F$1),FALSE))),VLOOKUP($C345,武器!$1:$998,COLUMN($O$1),FALSE)*VLOOKUP($D345,素材!$1:$1016,COLUMN($E$1),FALSE)/(LEN(VLOOKUP($D345,素材!$1:$1016,COLUMN($F$1),FALSE))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G345">
        <f>IF(ISNUMBER(SEARCH(SUBSTITUTE(AG$1,RIGHT(AG$1,2),""),VLOOKUP($D345,素材!$1:$1016,COLUMN($F$1),FALSE))),VLOOKUP($C345,武器!$1:$998,COLUMN($O$1),FALSE)*VLOOKUP($D345,素材!$1:$1016,COLUMN($E$1),FALSE)/(LEN(VLOOKUP($D345,素材!$1:$1016,COLUMN($F$1),FALSE))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H345">
        <f>IF(ISNUMBER(SEARCH(SUBSTITUTE(AH$1,RIGHT(AH$1,2),""),VLOOKUP($D345,素材!$1:$1016,COLUMN($F$1),FALSE))),VLOOKUP($C345,武器!$1:$998,COLUMN($O$1),FALSE)*VLOOKUP($D345,素材!$1:$1016,COLUMN($E$1),FALSE)/(LEN(VLOOKUP($D345,素材!$1:$1016,COLUMN($F$1),FALSE))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I345">
        <f>IF(ISNUMBER(SEARCH(SUBSTITUTE(AI$1,RIGHT(AI$1,2),""),VLOOKUP($D345,素材!$1:$1016,COLUMN($F$1),FALSE))),VLOOKUP($C345,武器!$1:$998,COLUMN($O$1),FALSE)*VLOOKUP($D345,素材!$1:$1016,COLUMN($E$1),FALSE)/(LEN(VLOOKUP($D345,素材!$1:$1016,COLUMN($F$1),FALSE))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J345">
        <f>IF(ISNUMBER(SEARCH(SUBSTITUTE(AJ$1,RIGHT(AJ$1,2),""),VLOOKUP($D345,素材!$1:$1016,COLUMN($F$1),FALSE))),VLOOKUP($C345,武器!$1:$998,COLUMN($O$1),FALSE)*VLOOKUP($D345,素材!$1:$1016,COLUMN($E$1),FALSE)/(LEN(VLOOKUP($D345,素材!$1:$1016,COLUMN($F$1),FALSE))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K345">
        <f>IF(ISNUMBER(SEARCH(SUBSTITUTE(AK$1,RIGHT(AK$1,2),""),VLOOKUP($D345,素材!$1:$1016,COLUMN($F$1),FALSE))),VLOOKUP($C345,武器!$1:$998,COLUMN($O$1),FALSE)*VLOOKUP($D345,素材!$1:$1016,COLUMN($E$1),FALSE)/(LEN(VLOOKUP($D345,素材!$1:$1016,COLUMN($F$1),FALSE))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L345">
        <f>IF(ISNUMBER(SEARCH(SUBSTITUTE(AL$1,RIGHT(AL$1,2),""),VLOOKUP($D345,素材!$1:$1016,COLUMN($F$1),FALSE))),VLOOKUP($C345,武器!$1:$998,COLUMN($O$1),FALSE)*VLOOKUP($D345,素材!$1:$1016,COLUMN($E$1),FALSE)/(LEN(VLOOKUP($D345,素材!$1:$1016,COLUMN($F$1),FALSE))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M345">
        <f>IF(ISNUMBER(SEARCH(SUBSTITUTE(AM$1,RIGHT(AM$1,2),""),VLOOKUP($D345,素材!$1:$1016,COLUMN($F$1),FALSE))),VLOOKUP($C345,武器!$1:$998,COLUMN($O$1),FALSE)*VLOOKUP($D345,素材!$1:$1016,COLUMN($E$1),FALSE)/(LEN(VLOOKUP($D345,素材!$1:$1016,COLUMN($F$1),FALSE))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N345">
        <f>IF(ISNUMBER(SEARCH(SUBSTITUTE(AN$1,RIGHT(AN$1,2),""),VLOOKUP($D345,素材!$1:$1016,COLUMN($F$1),FALSE))),VLOOKUP($C345,武器!$1:$998,COLUMN($O$1),FALSE)*VLOOKUP($D345,素材!$1:$1016,COLUMN($E$1),FALSE)/(LEN(VLOOKUP($D345,素材!$1:$1016,COLUMN($F$1),FALSE))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O345">
        <f>IF(ISNUMBER(SEARCH(SUBSTITUTE(AO$1,RIGHT(AO$1,2),""),VLOOKUP($D345,素材!$1:$1016,COLUMN($F$1),FALSE))),VLOOKUP($C345,武器!$1:$998,COLUMN($O$1),FALSE)*VLOOKUP($D345,素材!$1:$1016,COLUMN($E$1),FALSE)/(LEN(VLOOKUP($D345,素材!$1:$1016,COLUMN($F$1),FALSE))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P345">
        <f>IF(ISNUMBER(SEARCH(SUBSTITUTE(AP$1,RIGHT(AP$1,2),""),VLOOKUP($D345,素材!$1:$1016,COLUMN($F$1),FALSE))),VLOOKUP($C345,武器!$1:$998,COLUMN($O$1),FALSE)*VLOOKUP($D345,素材!$1:$1016,COLUMN($E$1),FALSE)/(LEN(VLOOKUP($D345,素材!$1:$1016,COLUMN($F$1),FALSE))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Q345">
        <f>IF(ISNUMBER(SEARCH(SUBSTITUTE(AQ$1,RIGHT(AQ$1,2),""),VLOOKUP($D345,素材!$1:$1016,COLUMN($F$1),FALSE))),VLOOKUP($C345,武器!$1:$998,COLUMN($O$1),FALSE)*VLOOKUP($D345,素材!$1:$1016,COLUMN($E$1),FALSE)/(LEN(VLOOKUP($D345,素材!$1:$1016,COLUMN($F$1),FALSE))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R345">
        <f>IF(ISNUMBER(SEARCH(SUBSTITUTE(AR$1,RIGHT(AR$1,2),""),VLOOKUP($D345,素材!$1:$1016,COLUMN($F$1),FALSE))),VLOOKUP($C345,武器!$1:$998,COLUMN($O$1),FALSE)*VLOOKUP($D345,素材!$1:$1016,COLUMN($E$1),FALSE)/(LEN(VLOOKUP($D345,素材!$1:$1016,COLUMN($F$1),FALSE))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S345">
        <f>IF(ISNUMBER(SEARCH(SUBSTITUTE(AS$1,RIGHT(AS$1,2),""),VLOOKUP($D345,素材!$1:$1016,COLUMN($F$1),FALSE))),VLOOKUP($C345,武器!$1:$998,COLUMN($O$1),FALSE)*VLOOKUP($D345,素材!$1:$1016,COLUMN($E$1),FALSE)/(LEN(VLOOKUP($D345,素材!$1:$1016,COLUMN($F$1),FALSE))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T345">
        <f>IF(ISNUMBER(SEARCH(SUBSTITUTE(AT$1,RIGHT(AT$1,2),""),VLOOKUP($D345,素材!$1:$1016,COLUMN($F$1),FALSE))),VLOOKUP($C345,武器!$1:$998,COLUMN($O$1),FALSE)*VLOOKUP($D345,素材!$1:$1016,COLUMN($E$1),FALSE)/(LEN(VLOOKUP($D345,素材!$1:$1016,COLUMN($F$1),FALSE))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U345">
        <f>IF(ISNUMBER(SEARCH(SUBSTITUTE(AU$1,RIGHT(AU$1,2),""),VLOOKUP($D345,素材!$1:$1016,COLUMN($F$1),FALSE))),VLOOKUP($C345,武器!$1:$998,COLUMN($O$1),FALSE)*VLOOKUP($D345,素材!$1:$1016,COLUMN($E$1),FALSE)/(LEN(VLOOKUP($D345,素材!$1:$1016,COLUMN($F$1),FALSE))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V345">
        <f>IF(ISNUMBER(SEARCH(SUBSTITUTE(AV$1,RIGHT(AV$1,2),""),VLOOKUP($D345,素材!$1:$1016,COLUMN($F$1),FALSE))),VLOOKUP($C345,武器!$1:$998,COLUMN($O$1),FALSE)*VLOOKUP($D345,素材!$1:$1016,COLUMN($E$1),FALSE)/(LEN(VLOOKUP($D345,素材!$1:$1016,COLUMN($F$1),FALSE))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W345">
        <f>IF(ISNUMBER(SEARCH(SUBSTITUTE(AW$1,RIGHT(AW$1,2),""),VLOOKUP($D345,素材!$1:$1016,COLUMN($F$1),FALSE))),VLOOKUP($C345,武器!$1:$998,COLUMN($O$1),FALSE)*VLOOKUP($D345,素材!$1:$1016,COLUMN($E$1),FALSE)/(LEN(VLOOKUP($D345,素材!$1:$1016,COLUMN($F$1),FALSE))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X345">
        <f>IF(ISNUMBER(SEARCH(SUBSTITUTE(AX$1,RIGHT(AX$1,2),""),VLOOKUP($D345,素材!$1:$1016,COLUMN($F$1),FALSE))),VLOOKUP($C345,武器!$1:$998,COLUMN($O$1),FALSE)*VLOOKUP($D345,素材!$1:$1016,COLUMN($E$1),FALSE)/(LEN(VLOOKUP($D345,素材!$1:$1016,COLUMN($F$1),FALSE))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Y345">
        <f>IF(ISNUMBER(SEARCH(SUBSTITUTE(AY$1,RIGHT(AY$1,2),""),VLOOKUP($D345,素材!$1:$1016,COLUMN($F$1),FALSE))),VLOOKUP($C345,武器!$1:$998,COLUMN($O$1),FALSE)*VLOOKUP($D345,素材!$1:$1016,COLUMN($E$1),FALSE)/(LEN(VLOOKUP($D345,素材!$1:$1016,COLUMN($F$1),FALSE))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AZ345">
        <f>IF(ISNUMBER(SEARCH(SUBSTITUTE(AZ$1,RIGHT(AZ$1,2),""),VLOOKUP($D345,素材!$1:$1016,COLUMN($F$1),FALSE))),VLOOKUP($C345,武器!$1:$998,COLUMN($O$1),FALSE)*VLOOKUP($D345,素材!$1:$1016,COLUMN($E$1),FALSE)/(LEN(VLOOKUP($D345,素材!$1:$1016,COLUMN($F$1),FALSE))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BA345">
        <f>IF(ISNUMBER(SEARCH(SUBSTITUTE(BA$1,RIGHT(BA$1,2),""),VLOOKUP($D345,素材!$1:$1016,COLUMN($F$1),FALSE))),VLOOKUP($C345,武器!$1:$998,COLUMN($O$1),FALSE)*VLOOKUP($D345,素材!$1:$1016,COLUMN($E$1),FALSE)/(LEN(VLOOKUP($D345,素材!$1:$1016,COLUMN($F$1),FALSE))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BB345">
        <f>IF(ISNUMBER(SEARCH(SUBSTITUTE(BB$1,RIGHT(BB$1,2),""),VLOOKUP($D345,素材!$1:$1016,COLUMN($F$1),FALSE))),VLOOKUP($C345,武器!$1:$998,COLUMN($O$1),FALSE)*VLOOKUP($D345,素材!$1:$1016,COLUMN($E$1),FALSE)/(LEN(VLOOKUP($D345,素材!$1:$1016,COLUMN($F$1),FALSE))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BC345">
        <f>IF(ISNUMBER(SEARCH(SUBSTITUTE(BC$1,RIGHT(BC$1,2),""),VLOOKUP($D345,素材!$1:$1016,COLUMN($F$1),FALSE))),VLOOKUP($C345,武器!$1:$998,COLUMN($O$1),FALSE)*VLOOKUP($D345,素材!$1:$1016,COLUMN($E$1),FALSE)/(LEN(VLOOKUP($D345,素材!$1:$1016,COLUMN($F$1),FALSE))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BD345">
        <f>IF(ISNUMBER(SEARCH(SUBSTITUTE(BD$1,RIGHT(BD$1,2),""),VLOOKUP($D345,素材!$1:$1016,COLUMN($F$1),FALSE))),VLOOKUP($C345,武器!$1:$998,COLUMN($O$1),FALSE)*VLOOKUP($D345,素材!$1:$1016,COLUMN($E$1),FALSE)/(LEN(VLOOKUP($D345,素材!$1:$1016,COLUMN($F$1),FALSE))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BE345">
        <f>IF(ISNUMBER(SEARCH(SUBSTITUTE(BE$1,RIGHT(BE$1,2),""),VLOOKUP($D345,素材!$1:$1016,COLUMN($F$1),FALSE))),VLOOKUP($C345,武器!$1:$998,COLUMN($O$1),FALSE)*VLOOKUP($D345,素材!$1:$1016,COLUMN($E$1),FALSE)/(LEN(VLOOKUP($D345,素材!$1:$1016,COLUMN($F$1),FALSE))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BF345">
        <f>IF(ISNUMBER(SEARCH(SUBSTITUTE(BF$1,RIGHT(BF$1,2),""),VLOOKUP($D345,素材!$1:$1016,COLUMN($F$1),FALSE))),VLOOKUP($C345,武器!$1:$998,COLUMN($O$1),FALSE)*VLOOKUP($D345,素材!$1:$1016,COLUMN($E$1),FALSE)/(LEN(VLOOKUP($D345,素材!$1:$1016,COLUMN($F$1),FALSE)) - LEN(SUBSTITUTE(VLOOKUP($D345,素材!$1:$1016,COLUMN($F$1),FALSE), "・", 0)) + 1), 0)</f>
        <v>0</v>
      </c>
      <c r="CM345">
        <f t="shared" si="39"/>
        <v>0</v>
      </c>
      <c r="CN345" s="22" t="str">
        <f>IF(E345="武器",IF(J345-1&gt;SUM(G345:I345),"盾",IF(MAX(G345:I345)=G345,"切断",IF(MAX(G345:I345)=H345,"貫通",IF(MAX(G345:I345)=I345,"打撃","射撃")))),E345)&amp;".webp"</f>
        <v>.webp</v>
      </c>
      <c r="CO345" t="str">
        <f>IFERROR(VLOOKUP($C345,武器!$1:$998,COLUMN(V$1),FALSE)*VLOOKUP($D345,素材!$1:$1016,COLUMN(N$1),FALSE)+IF(CJ345="",0,VLOOKUP($CJ345,装強!$1:$1008,COLUMN($CL$1),FALSE)),"")</f>
        <v/>
      </c>
      <c r="CP345" t="e">
        <f>VLOOKUP(D345,素材!$A:$O,COLUMN(素材!O$1),FALSE)</f>
        <v>#N/A</v>
      </c>
      <c r="CS345" t="str">
        <f>"e_"&amp;ROW(CS345)</f>
        <v>e_345</v>
      </c>
      <c r="CT345" t="e">
        <f>CO345*100</f>
        <v>#VALUE!</v>
      </c>
    </row>
    <row r="346" spans="1:98" x14ac:dyDescent="0.4">
      <c r="D346" s="24"/>
      <c r="E346" t="str">
        <f>IFERROR(VLOOKUP(C346,武器!$1:$998,COLUMN(C$1),FALSE),"")</f>
        <v/>
      </c>
      <c r="F346" t="str">
        <f>IFERROR(ROUNDDOWN((VLOOKUP($C346,武器!$1:$998,COLUMN(D$1),FALSE)+IFERROR(VLOOKUP($CJ346,装強!$1:$999,COLUMN(F$1),FALSE),0))*VLOOKUP($D346,素材!$1:$1016,COLUMN(D$1),FALSE),0),"")</f>
        <v/>
      </c>
      <c r="G346" t="str">
        <f>IFERROR(ROUNDDOWN((VLOOKUP($C346,武器!$1:$998,COLUMN(E$1),FALSE)+IFERROR(VLOOKUP($CJ346,装強!$1:$999,COLUMN(G$1),FALSE),0))*VLOOKUP($D346,素材!$1:$1016,COLUMN($E$1),FALSE),0),"")</f>
        <v/>
      </c>
      <c r="H346" t="str">
        <f>IFERROR(ROUNDDOWN((VLOOKUP($C346,武器!$1:$998,COLUMN(F$1),FALSE)+IFERROR(VLOOKUP($CJ346,装強!$1:$999,COLUMN(H$1),FALSE),0))*VLOOKUP($D346,素材!$1:$1016,COLUMN($E$1),FALSE),0),"")</f>
        <v/>
      </c>
      <c r="I346" t="str">
        <f>IFERROR(ROUNDDOWN((VLOOKUP($C346,武器!$1:$998,COLUMN(G$1),FALSE)+IFERROR(VLOOKUP($CJ346,装強!$1:$999,COLUMN(I$1),FALSE),0))*VLOOKUP($D346,素材!$1:$1016,COLUMN($E$1),FALSE),0),"")</f>
        <v/>
      </c>
      <c r="J346" t="str">
        <f>IFERROR(ROUNDDOWN((VLOOKUP($C346,武器!$1:$998,COLUMN(H$1),FALSE)+IFERROR(VLOOKUP($CJ346,装強!$1:$999,COLUMN(J$1),FALSE),0))*VLOOKUP($D346,素材!$1:$1016,COLUMN($E$1),FALSE),0),"")</f>
        <v/>
      </c>
      <c r="K346" t="str">
        <f>IFERROR(ROUNDDOWN((VLOOKUP($C346,武器!$1:$998,COLUMN(I$1),FALSE)+IFERROR(VLOOKUP($CJ346,装強!$1:$999,COLUMN(K$1),FALSE),0))*VLOOKUP($D346,素材!$1:$1016,COLUMN($E$1),FALSE),0),"")</f>
        <v/>
      </c>
      <c r="L346" t="str">
        <f>IFERROR(VLOOKUP($D346,素材!$1:$1016,COLUMN($F$1),FALSE),"")</f>
        <v/>
      </c>
      <c r="M346" t="str">
        <f>IFERROR(VLOOKUP($C346,武器!$1:$998,COLUMN(AA$1),FALSE)*VLOOKUP($D346,素材!$1:$1016,COLUMN($G$1),FALSE),"")</f>
        <v/>
      </c>
      <c r="N346" t="str">
        <f>IFERROR(VLOOKUP($C346,武器!$1:$998,COLUMN(I$1),FALSE),"")</f>
        <v/>
      </c>
      <c r="O346" s="23" t="str">
        <f>IFERROR((VLOOKUP($C346,武器!$1:$998,COLUMN(K$1),FALSE)+VLOOKUP($D346,素材!$1:$1016,COLUMN(H$1),FALSE))*100+IFERROR(VLOOKUP($CJ346,装強!$1:$999,COLUMN(O$1),FALSE),0),"")</f>
        <v/>
      </c>
      <c r="P346" s="23" t="str">
        <f>IFERROR((VLOOKUP($C346,武器!$1:$998,COLUMN(L$1),FALSE)+VLOOKUP($D346,素材!$1:$1016,COLUMN(I$1),FALSE))*100+IFERROR(VLOOKUP($CJ346,装強!$1:$999,COLUMN(P$1),FALSE),0),"")</f>
        <v/>
      </c>
      <c r="Q346" t="str">
        <f>IFERROR(ROUNDUP(VLOOKUP($C346,武器!$1:$998,COLUMN(M$1),FALSE)*(VLOOKUP($D346,素材!$1:$1002,COLUMN(D$1),FALSE)/100),1),"")</f>
        <v/>
      </c>
      <c r="R346" t="str">
        <f>IFERROR(ROUNDUP(VLOOKUP($C346,武器!$1:$998,COLUMN(N$1),FALSE)*(VLOOKUP($D346,素材!$1:$1002,COLUMN(D$1),FALSE)/100),1),"")</f>
        <v/>
      </c>
      <c r="S346" t="str">
        <f>IFERROR(VLOOKUP($C346,武器!$1:$998,COLUMN(P$1),FALSE),"")</f>
        <v/>
      </c>
      <c r="T346" t="str">
        <f>IFERROR(VLOOKUP($C346,武器!$1:$998,COLUMN(Q$1),FALSE),"")</f>
        <v/>
      </c>
      <c r="U346" t="str">
        <f>IFERROR(VLOOKUP($C346,武器!$1:$998,COLUMN(R$1),FALSE),"")</f>
        <v/>
      </c>
      <c r="V346" t="str">
        <f>IFERROR(VLOOKUP($C346,武器!$1:$998,COLUMN(Q$1),FALSE),"")</f>
        <v/>
      </c>
      <c r="W346" t="str">
        <f>IFERROR(VLOOKUP($C346,武器!$1:$998,COLUMN(T$1),FALSE),"")</f>
        <v/>
      </c>
      <c r="Y346" t="str">
        <f>IFERROR(VLOOKUP($C346,武器!$1:$998,COLUMN(U$1),FALSE),"")</f>
        <v/>
      </c>
      <c r="Z346" t="str">
        <f>IFERROR(ROUNDUP(VLOOKUP($C346,武器!$1:$998,COLUMN(O$1),FALSE)*VLOOKUP($D346,素材!$1:$1016,COLUMN(E$1),FALSE),1),"")</f>
        <v/>
      </c>
      <c r="AA346">
        <f>IF(ISNUMBER(SEARCH(SUBSTITUTE(AA$1,RIGHT(AA$1,2),""),VLOOKUP($D346,素材!$1:$1016,COLUMN($F$1),FALSE))),VLOOKUP($C346,武器!$1:$998,COLUMN($O$1),FALSE)*VLOOKUP($D346,素材!$1:$1016,COLUMN($E$1),FALSE)/(LEN(VLOOKUP($D346,素材!$1:$1016,COLUMN($F$1),FALSE))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B346">
        <f>IF(ISNUMBER(SEARCH(SUBSTITUTE(AB$1,RIGHT(AB$1,2),""),VLOOKUP($D346,素材!$1:$1016,COLUMN($F$1),FALSE))),VLOOKUP($C346,武器!$1:$998,COLUMN($O$1),FALSE)*VLOOKUP($D346,素材!$1:$1016,COLUMN($E$1),FALSE)/(LEN(VLOOKUP($D346,素材!$1:$1016,COLUMN($F$1),FALSE))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C346">
        <f>IF(ISNUMBER(SEARCH(SUBSTITUTE(AC$1,RIGHT(AC$1,2),""),VLOOKUP($D346,素材!$1:$1016,COLUMN($F$1),FALSE))),VLOOKUP($C346,武器!$1:$998,COLUMN($O$1),FALSE)*VLOOKUP($D346,素材!$1:$1016,COLUMN($E$1),FALSE)/(LEN(VLOOKUP($D346,素材!$1:$1016,COLUMN($F$1),FALSE))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D346">
        <f>IF(ISNUMBER(SEARCH(SUBSTITUTE(AD$1,RIGHT(AD$1,2),""),VLOOKUP($D346,素材!$1:$1016,COLUMN($F$1),FALSE))),VLOOKUP($C346,武器!$1:$998,COLUMN($O$1),FALSE)*VLOOKUP($D346,素材!$1:$1016,COLUMN($E$1),FALSE)/(LEN(VLOOKUP($D346,素材!$1:$1016,COLUMN($F$1),FALSE))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E346">
        <f>IF(ISNUMBER(SEARCH(SUBSTITUTE(AE$1,RIGHT(AE$1,2),""),VLOOKUP($D346,素材!$1:$1016,COLUMN($F$1),FALSE))),VLOOKUP($C346,武器!$1:$998,COLUMN($O$1),FALSE)*VLOOKUP($D346,素材!$1:$1016,COLUMN($E$1),FALSE)/(LEN(VLOOKUP($D346,素材!$1:$1016,COLUMN($F$1),FALSE))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F346">
        <f>IF(ISNUMBER(SEARCH(SUBSTITUTE(AF$1,RIGHT(AF$1,2),""),VLOOKUP($D346,素材!$1:$1016,COLUMN($F$1),FALSE))),VLOOKUP($C346,武器!$1:$998,COLUMN($O$1),FALSE)*VLOOKUP($D346,素材!$1:$1016,COLUMN($E$1),FALSE)/(LEN(VLOOKUP($D346,素材!$1:$1016,COLUMN($F$1),FALSE))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G346">
        <f>IF(ISNUMBER(SEARCH(SUBSTITUTE(AG$1,RIGHT(AG$1,2),""),VLOOKUP($D346,素材!$1:$1016,COLUMN($F$1),FALSE))),VLOOKUP($C346,武器!$1:$998,COLUMN($O$1),FALSE)*VLOOKUP($D346,素材!$1:$1016,COLUMN($E$1),FALSE)/(LEN(VLOOKUP($D346,素材!$1:$1016,COLUMN($F$1),FALSE))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H346">
        <f>IF(ISNUMBER(SEARCH(SUBSTITUTE(AH$1,RIGHT(AH$1,2),""),VLOOKUP($D346,素材!$1:$1016,COLUMN($F$1),FALSE))),VLOOKUP($C346,武器!$1:$998,COLUMN($O$1),FALSE)*VLOOKUP($D346,素材!$1:$1016,COLUMN($E$1),FALSE)/(LEN(VLOOKUP($D346,素材!$1:$1016,COLUMN($F$1),FALSE))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I346">
        <f>IF(ISNUMBER(SEARCH(SUBSTITUTE(AI$1,RIGHT(AI$1,2),""),VLOOKUP($D346,素材!$1:$1016,COLUMN($F$1),FALSE))),VLOOKUP($C346,武器!$1:$998,COLUMN($O$1),FALSE)*VLOOKUP($D346,素材!$1:$1016,COLUMN($E$1),FALSE)/(LEN(VLOOKUP($D346,素材!$1:$1016,COLUMN($F$1),FALSE))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J346">
        <f>IF(ISNUMBER(SEARCH(SUBSTITUTE(AJ$1,RIGHT(AJ$1,2),""),VLOOKUP($D346,素材!$1:$1016,COLUMN($F$1),FALSE))),VLOOKUP($C346,武器!$1:$998,COLUMN($O$1),FALSE)*VLOOKUP($D346,素材!$1:$1016,COLUMN($E$1),FALSE)/(LEN(VLOOKUP($D346,素材!$1:$1016,COLUMN($F$1),FALSE))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K346">
        <f>IF(ISNUMBER(SEARCH(SUBSTITUTE(AK$1,RIGHT(AK$1,2),""),VLOOKUP($D346,素材!$1:$1016,COLUMN($F$1),FALSE))),VLOOKUP($C346,武器!$1:$998,COLUMN($O$1),FALSE)*VLOOKUP($D346,素材!$1:$1016,COLUMN($E$1),FALSE)/(LEN(VLOOKUP($D346,素材!$1:$1016,COLUMN($F$1),FALSE))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L346">
        <f>IF(ISNUMBER(SEARCH(SUBSTITUTE(AL$1,RIGHT(AL$1,2),""),VLOOKUP($D346,素材!$1:$1016,COLUMN($F$1),FALSE))),VLOOKUP($C346,武器!$1:$998,COLUMN($O$1),FALSE)*VLOOKUP($D346,素材!$1:$1016,COLUMN($E$1),FALSE)/(LEN(VLOOKUP($D346,素材!$1:$1016,COLUMN($F$1),FALSE))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M346">
        <f>IF(ISNUMBER(SEARCH(SUBSTITUTE(AM$1,RIGHT(AM$1,2),""),VLOOKUP($D346,素材!$1:$1016,COLUMN($F$1),FALSE))),VLOOKUP($C346,武器!$1:$998,COLUMN($O$1),FALSE)*VLOOKUP($D346,素材!$1:$1016,COLUMN($E$1),FALSE)/(LEN(VLOOKUP($D346,素材!$1:$1016,COLUMN($F$1),FALSE))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N346">
        <f>IF(ISNUMBER(SEARCH(SUBSTITUTE(AN$1,RIGHT(AN$1,2),""),VLOOKUP($D346,素材!$1:$1016,COLUMN($F$1),FALSE))),VLOOKUP($C346,武器!$1:$998,COLUMN($O$1),FALSE)*VLOOKUP($D346,素材!$1:$1016,COLUMN($E$1),FALSE)/(LEN(VLOOKUP($D346,素材!$1:$1016,COLUMN($F$1),FALSE))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O346">
        <f>IF(ISNUMBER(SEARCH(SUBSTITUTE(AO$1,RIGHT(AO$1,2),""),VLOOKUP($D346,素材!$1:$1016,COLUMN($F$1),FALSE))),VLOOKUP($C346,武器!$1:$998,COLUMN($O$1),FALSE)*VLOOKUP($D346,素材!$1:$1016,COLUMN($E$1),FALSE)/(LEN(VLOOKUP($D346,素材!$1:$1016,COLUMN($F$1),FALSE))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P346">
        <f>IF(ISNUMBER(SEARCH(SUBSTITUTE(AP$1,RIGHT(AP$1,2),""),VLOOKUP($D346,素材!$1:$1016,COLUMN($F$1),FALSE))),VLOOKUP($C346,武器!$1:$998,COLUMN($O$1),FALSE)*VLOOKUP($D346,素材!$1:$1016,COLUMN($E$1),FALSE)/(LEN(VLOOKUP($D346,素材!$1:$1016,COLUMN($F$1),FALSE))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Q346">
        <f>IF(ISNUMBER(SEARCH(SUBSTITUTE(AQ$1,RIGHT(AQ$1,2),""),VLOOKUP($D346,素材!$1:$1016,COLUMN($F$1),FALSE))),VLOOKUP($C346,武器!$1:$998,COLUMN($O$1),FALSE)*VLOOKUP($D346,素材!$1:$1016,COLUMN($E$1),FALSE)/(LEN(VLOOKUP($D346,素材!$1:$1016,COLUMN($F$1),FALSE))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R346">
        <f>IF(ISNUMBER(SEARCH(SUBSTITUTE(AR$1,RIGHT(AR$1,2),""),VLOOKUP($D346,素材!$1:$1016,COLUMN($F$1),FALSE))),VLOOKUP($C346,武器!$1:$998,COLUMN($O$1),FALSE)*VLOOKUP($D346,素材!$1:$1016,COLUMN($E$1),FALSE)/(LEN(VLOOKUP($D346,素材!$1:$1016,COLUMN($F$1),FALSE))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S346">
        <f>IF(ISNUMBER(SEARCH(SUBSTITUTE(AS$1,RIGHT(AS$1,2),""),VLOOKUP($D346,素材!$1:$1016,COLUMN($F$1),FALSE))),VLOOKUP($C346,武器!$1:$998,COLUMN($O$1),FALSE)*VLOOKUP($D346,素材!$1:$1016,COLUMN($E$1),FALSE)/(LEN(VLOOKUP($D346,素材!$1:$1016,COLUMN($F$1),FALSE))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T346">
        <f>IF(ISNUMBER(SEARCH(SUBSTITUTE(AT$1,RIGHT(AT$1,2),""),VLOOKUP($D346,素材!$1:$1016,COLUMN($F$1),FALSE))),VLOOKUP($C346,武器!$1:$998,COLUMN($O$1),FALSE)*VLOOKUP($D346,素材!$1:$1016,COLUMN($E$1),FALSE)/(LEN(VLOOKUP($D346,素材!$1:$1016,COLUMN($F$1),FALSE))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U346">
        <f>IF(ISNUMBER(SEARCH(SUBSTITUTE(AU$1,RIGHT(AU$1,2),""),VLOOKUP($D346,素材!$1:$1016,COLUMN($F$1),FALSE))),VLOOKUP($C346,武器!$1:$998,COLUMN($O$1),FALSE)*VLOOKUP($D346,素材!$1:$1016,COLUMN($E$1),FALSE)/(LEN(VLOOKUP($D346,素材!$1:$1016,COLUMN($F$1),FALSE))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V346">
        <f>IF(ISNUMBER(SEARCH(SUBSTITUTE(AV$1,RIGHT(AV$1,2),""),VLOOKUP($D346,素材!$1:$1016,COLUMN($F$1),FALSE))),VLOOKUP($C346,武器!$1:$998,COLUMN($O$1),FALSE)*VLOOKUP($D346,素材!$1:$1016,COLUMN($E$1),FALSE)/(LEN(VLOOKUP($D346,素材!$1:$1016,COLUMN($F$1),FALSE))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W346">
        <f>IF(ISNUMBER(SEARCH(SUBSTITUTE(AW$1,RIGHT(AW$1,2),""),VLOOKUP($D346,素材!$1:$1016,COLUMN($F$1),FALSE))),VLOOKUP($C346,武器!$1:$998,COLUMN($O$1),FALSE)*VLOOKUP($D346,素材!$1:$1016,COLUMN($E$1),FALSE)/(LEN(VLOOKUP($D346,素材!$1:$1016,COLUMN($F$1),FALSE))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X346">
        <f>IF(ISNUMBER(SEARCH(SUBSTITUTE(AX$1,RIGHT(AX$1,2),""),VLOOKUP($D346,素材!$1:$1016,COLUMN($F$1),FALSE))),VLOOKUP($C346,武器!$1:$998,COLUMN($O$1),FALSE)*VLOOKUP($D346,素材!$1:$1016,COLUMN($E$1),FALSE)/(LEN(VLOOKUP($D346,素材!$1:$1016,COLUMN($F$1),FALSE))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Y346">
        <f>IF(ISNUMBER(SEARCH(SUBSTITUTE(AY$1,RIGHT(AY$1,2),""),VLOOKUP($D346,素材!$1:$1016,COLUMN($F$1),FALSE))),VLOOKUP($C346,武器!$1:$998,COLUMN($O$1),FALSE)*VLOOKUP($D346,素材!$1:$1016,COLUMN($E$1),FALSE)/(LEN(VLOOKUP($D346,素材!$1:$1016,COLUMN($F$1),FALSE))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AZ346">
        <f>IF(ISNUMBER(SEARCH(SUBSTITUTE(AZ$1,RIGHT(AZ$1,2),""),VLOOKUP($D346,素材!$1:$1016,COLUMN($F$1),FALSE))),VLOOKUP($C346,武器!$1:$998,COLUMN($O$1),FALSE)*VLOOKUP($D346,素材!$1:$1016,COLUMN($E$1),FALSE)/(LEN(VLOOKUP($D346,素材!$1:$1016,COLUMN($F$1),FALSE))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BA346">
        <f>IF(ISNUMBER(SEARCH(SUBSTITUTE(BA$1,RIGHT(BA$1,2),""),VLOOKUP($D346,素材!$1:$1016,COLUMN($F$1),FALSE))),VLOOKUP($C346,武器!$1:$998,COLUMN($O$1),FALSE)*VLOOKUP($D346,素材!$1:$1016,COLUMN($E$1),FALSE)/(LEN(VLOOKUP($D346,素材!$1:$1016,COLUMN($F$1),FALSE))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BB346">
        <f>IF(ISNUMBER(SEARCH(SUBSTITUTE(BB$1,RIGHT(BB$1,2),""),VLOOKUP($D346,素材!$1:$1016,COLUMN($F$1),FALSE))),VLOOKUP($C346,武器!$1:$998,COLUMN($O$1),FALSE)*VLOOKUP($D346,素材!$1:$1016,COLUMN($E$1),FALSE)/(LEN(VLOOKUP($D346,素材!$1:$1016,COLUMN($F$1),FALSE))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BC346">
        <f>IF(ISNUMBER(SEARCH(SUBSTITUTE(BC$1,RIGHT(BC$1,2),""),VLOOKUP($D346,素材!$1:$1016,COLUMN($F$1),FALSE))),VLOOKUP($C346,武器!$1:$998,COLUMN($O$1),FALSE)*VLOOKUP($D346,素材!$1:$1016,COLUMN($E$1),FALSE)/(LEN(VLOOKUP($D346,素材!$1:$1016,COLUMN($F$1),FALSE))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BD346">
        <f>IF(ISNUMBER(SEARCH(SUBSTITUTE(BD$1,RIGHT(BD$1,2),""),VLOOKUP($D346,素材!$1:$1016,COLUMN($F$1),FALSE))),VLOOKUP($C346,武器!$1:$998,COLUMN($O$1),FALSE)*VLOOKUP($D346,素材!$1:$1016,COLUMN($E$1),FALSE)/(LEN(VLOOKUP($D346,素材!$1:$1016,COLUMN($F$1),FALSE))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BE346">
        <f>IF(ISNUMBER(SEARCH(SUBSTITUTE(BE$1,RIGHT(BE$1,2),""),VLOOKUP($D346,素材!$1:$1016,COLUMN($F$1),FALSE))),VLOOKUP($C346,武器!$1:$998,COLUMN($O$1),FALSE)*VLOOKUP($D346,素材!$1:$1016,COLUMN($E$1),FALSE)/(LEN(VLOOKUP($D346,素材!$1:$1016,COLUMN($F$1),FALSE))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BF346">
        <f>IF(ISNUMBER(SEARCH(SUBSTITUTE(BF$1,RIGHT(BF$1,2),""),VLOOKUP($D346,素材!$1:$1016,COLUMN($F$1),FALSE))),VLOOKUP($C346,武器!$1:$998,COLUMN($O$1),FALSE)*VLOOKUP($D346,素材!$1:$1016,COLUMN($E$1),FALSE)/(LEN(VLOOKUP($D346,素材!$1:$1016,COLUMN($F$1),FALSE)) - LEN(SUBSTITUTE(VLOOKUP($D346,素材!$1:$1016,COLUMN($F$1),FALSE), "・", 0)) + 1), 0)</f>
        <v>0</v>
      </c>
      <c r="CM346">
        <f t="shared" si="39"/>
        <v>0</v>
      </c>
      <c r="CN346" s="22" t="str">
        <f>IF(E346="武器",IF(J346-1&gt;SUM(G346:I346),"盾",IF(MAX(G346:I346)=G346,"切断",IF(MAX(G346:I346)=H346,"貫通",IF(MAX(G346:I346)=I346,"打撃","射撃")))),E346)&amp;".webp"</f>
        <v>.webp</v>
      </c>
      <c r="CO346" t="str">
        <f>IFERROR(VLOOKUP($C346,武器!$1:$998,COLUMN(V$1),FALSE)*VLOOKUP($D346,素材!$1:$1016,COLUMN(N$1),FALSE)+IF(CJ346="",0,VLOOKUP($CJ346,装強!$1:$1008,COLUMN($CL$1),FALSE)),"")</f>
        <v/>
      </c>
      <c r="CP346" t="e">
        <f>VLOOKUP(D346,素材!$A:$O,COLUMN(素材!O$1),FALSE)</f>
        <v>#N/A</v>
      </c>
      <c r="CS346" t="str">
        <f>"e_"&amp;ROW(CS346)</f>
        <v>e_346</v>
      </c>
      <c r="CT346" t="e">
        <f>CO346*100</f>
        <v>#VALUE!</v>
      </c>
    </row>
    <row r="347" spans="1:98" x14ac:dyDescent="0.4">
      <c r="A347" t="str">
        <f t="shared" ref="A347:A358" si="40">D347&amp;"の"&amp;C347</f>
        <v>銀鉄の鎧</v>
      </c>
      <c r="B347" t="str">
        <f>IFERROR(VLOOKUP($D347,素材!$1:$1016,COLUMN($B$1),FALSE)&amp;"・"&amp;VLOOKUP($C347,武器!$1:$998,COLUMN(B$1),FALSE),"")</f>
        <v>ミスリル・アーマー</v>
      </c>
      <c r="C347" t="s">
        <v>198</v>
      </c>
      <c r="D347" s="24" t="s">
        <v>201</v>
      </c>
      <c r="E347" t="str">
        <f>IFERROR(VLOOKUP(C347,武器!$1:$998,COLUMN(C$1),FALSE),"")</f>
        <v>体</v>
      </c>
      <c r="F347">
        <f>IFERROR(ROUNDDOWN((VLOOKUP($C347,武器!$1:$998,COLUMN(D$1),FALSE)+IFERROR(VLOOKUP($CJ347,装強!$1:$999,COLUMN(F$1),FALSE),0))*VLOOKUP($D347,素材!$1:$1016,COLUMN(D$1),FALSE),0),"")</f>
        <v>0</v>
      </c>
      <c r="G347">
        <f>IFERROR(ROUNDDOWN((VLOOKUP($C347,武器!$1:$998,COLUMN(E$1),FALSE)+IFERROR(VLOOKUP($CJ347,装強!$1:$999,COLUMN(G$1),FALSE),0))*VLOOKUP($D347,素材!$1:$1016,COLUMN($E$1),FALSE),0),"")</f>
        <v>0</v>
      </c>
      <c r="H347">
        <f>IFERROR(ROUNDDOWN((VLOOKUP($C347,武器!$1:$998,COLUMN(F$1),FALSE)+IFERROR(VLOOKUP($CJ347,装強!$1:$999,COLUMN(H$1),FALSE),0))*VLOOKUP($D347,素材!$1:$1016,COLUMN($E$1),FALSE),0),"")</f>
        <v>0</v>
      </c>
      <c r="I347">
        <f>IFERROR(ROUNDDOWN((VLOOKUP($C347,武器!$1:$998,COLUMN(G$1),FALSE)+IFERROR(VLOOKUP($CJ347,装強!$1:$999,COLUMN(I$1),FALSE),0))*VLOOKUP($D347,素材!$1:$1016,COLUMN($E$1),FALSE),0),"")</f>
        <v>0</v>
      </c>
      <c r="J347">
        <f>IFERROR(ROUNDDOWN((VLOOKUP($C347,武器!$1:$998,COLUMN(H$1),FALSE)+IFERROR(VLOOKUP($CJ347,装強!$1:$999,COLUMN(J$1),FALSE),0))*VLOOKUP($D347,素材!$1:$1016,COLUMN($E$1),FALSE),0),"")</f>
        <v>0</v>
      </c>
      <c r="K347">
        <f>IFERROR(ROUNDDOWN((VLOOKUP($C347,武器!$1:$998,COLUMN(I$1),FALSE)+IFERROR(VLOOKUP($CJ347,装強!$1:$999,COLUMN(K$1),FALSE),0))*VLOOKUP($D347,素材!$1:$1016,COLUMN($E$1),FALSE),0),"")</f>
        <v>0</v>
      </c>
      <c r="L347">
        <f>IFERROR(VLOOKUP($D347,素材!$1:$1016,COLUMN($F$1),FALSE),"")</f>
        <v>0</v>
      </c>
      <c r="M347">
        <f>IFERROR(VLOOKUP($C347,武器!$1:$998,COLUMN(AA$1),FALSE)*VLOOKUP($D347,素材!$1:$1016,COLUMN($G$1),FALSE),"")</f>
        <v>0</v>
      </c>
      <c r="N347">
        <f>IFERROR(VLOOKUP($C347,武器!$1:$998,COLUMN(I$1),FALSE),"")</f>
        <v>0</v>
      </c>
      <c r="O347" s="23">
        <f>IFERROR((VLOOKUP($C347,武器!$1:$998,COLUMN(K$1),FALSE)+VLOOKUP($D347,素材!$1:$1016,COLUMN(H$1),FALSE))*100+IFERROR(VLOOKUP($CJ347,装強!$1:$999,COLUMN(O$1),FALSE),0),"")</f>
        <v>2</v>
      </c>
      <c r="P347" s="23">
        <f>IFERROR((VLOOKUP($C347,武器!$1:$998,COLUMN(L$1),FALSE)+VLOOKUP($D347,素材!$1:$1016,COLUMN(I$1),FALSE))*100+IFERROR(VLOOKUP($CJ347,装強!$1:$999,COLUMN(P$1),FALSE),0),"")</f>
        <v>5</v>
      </c>
      <c r="Q347">
        <f>IFERROR(ROUNDUP(VLOOKUP($C347,武器!$1:$998,COLUMN(M$1),FALSE)*(VLOOKUP($D347,素材!$1:$1002,COLUMN(D$1),FALSE)/100),1),"")</f>
        <v>-9.7999999999999989</v>
      </c>
      <c r="R347">
        <f>IFERROR(ROUNDUP(VLOOKUP($C347,武器!$1:$998,COLUMN(N$1),FALSE)*(VLOOKUP($D347,素材!$1:$1002,COLUMN(D$1),FALSE)/100),1),"")</f>
        <v>0</v>
      </c>
      <c r="S347">
        <f>IFERROR(VLOOKUP($C347,武器!$1:$998,COLUMN(P$1),FALSE),"")</f>
        <v>0</v>
      </c>
      <c r="T347">
        <f>IFERROR(VLOOKUP($C347,武器!$1:$998,COLUMN(Q$1),FALSE),"")</f>
        <v>0</v>
      </c>
      <c r="U347">
        <f>IFERROR(VLOOKUP($C347,武器!$1:$998,COLUMN(R$1),FALSE),"")</f>
        <v>0</v>
      </c>
      <c r="V347">
        <f>IFERROR(VLOOKUP($C347,武器!$1:$998,COLUMN(Q$1),FALSE),"")</f>
        <v>0</v>
      </c>
      <c r="W347">
        <f>IFERROR(VLOOKUP($C347,武器!$1:$998,COLUMN(T$1),FALSE),"")</f>
        <v>0</v>
      </c>
      <c r="Y347">
        <f>IFERROR(VLOOKUP($C347,武器!$1:$998,COLUMN(U$1),FALSE),"")</f>
        <v>0</v>
      </c>
      <c r="Z347">
        <f>IFERROR(ROUNDUP(VLOOKUP($C347,武器!$1:$998,COLUMN(O$1),FALSE)*VLOOKUP($D347,素材!$1:$1016,COLUMN(E$1),FALSE),1),"")</f>
        <v>17.5</v>
      </c>
      <c r="AA347">
        <f>IF(ISNUMBER(SEARCH(SUBSTITUTE(AA$1,RIGHT(AA$1,2),""),VLOOKUP($D347,素材!$1:$1016,COLUMN($F$1),FALSE))),VLOOKUP($C347,武器!$1:$998,COLUMN($O$1),FALSE)*VLOOKUP($D347,素材!$1:$1016,COLUMN($E$1),FALSE)/(LEN(VLOOKUP($D347,素材!$1:$1016,COLUMN($F$1),FALSE))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B347">
        <f>IF(ISNUMBER(SEARCH(SUBSTITUTE(AB$1,RIGHT(AB$1,2),""),VLOOKUP($D347,素材!$1:$1016,COLUMN($F$1),FALSE))),VLOOKUP($C347,武器!$1:$998,COLUMN($O$1),FALSE)*VLOOKUP($D347,素材!$1:$1016,COLUMN($E$1),FALSE)/(LEN(VLOOKUP($D347,素材!$1:$1016,COLUMN($F$1),FALSE))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C347">
        <f>IF(ISNUMBER(SEARCH(SUBSTITUTE(AC$1,RIGHT(AC$1,2),""),VLOOKUP($D347,素材!$1:$1016,COLUMN($F$1),FALSE))),VLOOKUP($C347,武器!$1:$998,COLUMN($O$1),FALSE)*VLOOKUP($D347,素材!$1:$1016,COLUMN($E$1),FALSE)/(LEN(VLOOKUP($D347,素材!$1:$1016,COLUMN($F$1),FALSE))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D347">
        <f>IF(ISNUMBER(SEARCH(SUBSTITUTE(AD$1,RIGHT(AD$1,2),""),VLOOKUP($D347,素材!$1:$1016,COLUMN($F$1),FALSE))),VLOOKUP($C347,武器!$1:$998,COLUMN($O$1),FALSE)*VLOOKUP($D347,素材!$1:$1016,COLUMN($E$1),FALSE)/(LEN(VLOOKUP($D347,素材!$1:$1016,COLUMN($F$1),FALSE))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E347">
        <f>IF(ISNUMBER(SEARCH(SUBSTITUTE(AE$1,RIGHT(AE$1,2),""),VLOOKUP($D347,素材!$1:$1016,COLUMN($F$1),FALSE))),VLOOKUP($C347,武器!$1:$998,COLUMN($O$1),FALSE)*VLOOKUP($D347,素材!$1:$1016,COLUMN($E$1),FALSE)/(LEN(VLOOKUP($D347,素材!$1:$1016,COLUMN($F$1),FALSE))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F347">
        <f>IF(ISNUMBER(SEARCH(SUBSTITUTE(AF$1,RIGHT(AF$1,2),""),VLOOKUP($D347,素材!$1:$1016,COLUMN($F$1),FALSE))),VLOOKUP($C347,武器!$1:$998,COLUMN($O$1),FALSE)*VLOOKUP($D347,素材!$1:$1016,COLUMN($E$1),FALSE)/(LEN(VLOOKUP($D347,素材!$1:$1016,COLUMN($F$1),FALSE))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G347">
        <f>IF(ISNUMBER(SEARCH(SUBSTITUTE(AG$1,RIGHT(AG$1,2),""),VLOOKUP($D347,素材!$1:$1016,COLUMN($F$1),FALSE))),VLOOKUP($C347,武器!$1:$998,COLUMN($O$1),FALSE)*VLOOKUP($D347,素材!$1:$1016,COLUMN($E$1),FALSE)/(LEN(VLOOKUP($D347,素材!$1:$1016,COLUMN($F$1),FALSE))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H347">
        <f>IF(ISNUMBER(SEARCH(SUBSTITUTE(AH$1,RIGHT(AH$1,2),""),VLOOKUP($D347,素材!$1:$1016,COLUMN($F$1),FALSE))),VLOOKUP($C347,武器!$1:$998,COLUMN($O$1),FALSE)*VLOOKUP($D347,素材!$1:$1016,COLUMN($E$1),FALSE)/(LEN(VLOOKUP($D347,素材!$1:$1016,COLUMN($F$1),FALSE))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I347">
        <f>IF(ISNUMBER(SEARCH(SUBSTITUTE(AI$1,RIGHT(AI$1,2),""),VLOOKUP($D347,素材!$1:$1016,COLUMN($F$1),FALSE))),VLOOKUP($C347,武器!$1:$998,COLUMN($O$1),FALSE)*VLOOKUP($D347,素材!$1:$1016,COLUMN($E$1),FALSE)/(LEN(VLOOKUP($D347,素材!$1:$1016,COLUMN($F$1),FALSE))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J347">
        <f>IF(ISNUMBER(SEARCH(SUBSTITUTE(AJ$1,RIGHT(AJ$1,2),""),VLOOKUP($D347,素材!$1:$1016,COLUMN($F$1),FALSE))),VLOOKUP($C347,武器!$1:$998,COLUMN($O$1),FALSE)*VLOOKUP($D347,素材!$1:$1016,COLUMN($E$1),FALSE)/(LEN(VLOOKUP($D347,素材!$1:$1016,COLUMN($F$1),FALSE))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K347">
        <f>IF(ISNUMBER(SEARCH(SUBSTITUTE(AK$1,RIGHT(AK$1,2),""),VLOOKUP($D347,素材!$1:$1016,COLUMN($F$1),FALSE))),VLOOKUP($C347,武器!$1:$998,COLUMN($O$1),FALSE)*VLOOKUP($D347,素材!$1:$1016,COLUMN($E$1),FALSE)/(LEN(VLOOKUP($D347,素材!$1:$1016,COLUMN($F$1),FALSE))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L347">
        <f>IF(ISNUMBER(SEARCH(SUBSTITUTE(AL$1,RIGHT(AL$1,2),""),VLOOKUP($D347,素材!$1:$1016,COLUMN($F$1),FALSE))),VLOOKUP($C347,武器!$1:$998,COLUMN($O$1),FALSE)*VLOOKUP($D347,素材!$1:$1016,COLUMN($E$1),FALSE)/(LEN(VLOOKUP($D347,素材!$1:$1016,COLUMN($F$1),FALSE))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M347">
        <f>IF(ISNUMBER(SEARCH(SUBSTITUTE(AM$1,RIGHT(AM$1,2),""),VLOOKUP($D347,素材!$1:$1016,COLUMN($F$1),FALSE))),VLOOKUP($C347,武器!$1:$998,COLUMN($O$1),FALSE)*VLOOKUP($D347,素材!$1:$1016,COLUMN($E$1),FALSE)/(LEN(VLOOKUP($D347,素材!$1:$1016,COLUMN($F$1),FALSE))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N347">
        <f>IF(ISNUMBER(SEARCH(SUBSTITUTE(AN$1,RIGHT(AN$1,2),""),VLOOKUP($D347,素材!$1:$1016,COLUMN($F$1),FALSE))),VLOOKUP($C347,武器!$1:$998,COLUMN($O$1),FALSE)*VLOOKUP($D347,素材!$1:$1016,COLUMN($E$1),FALSE)/(LEN(VLOOKUP($D347,素材!$1:$1016,COLUMN($F$1),FALSE))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O347">
        <f>IF(ISNUMBER(SEARCH(SUBSTITUTE(AO$1,RIGHT(AO$1,2),""),VLOOKUP($D347,素材!$1:$1016,COLUMN($F$1),FALSE))),VLOOKUP($C347,武器!$1:$998,COLUMN($O$1),FALSE)*VLOOKUP($D347,素材!$1:$1016,COLUMN($E$1),FALSE)/(LEN(VLOOKUP($D347,素材!$1:$1016,COLUMN($F$1),FALSE))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P347">
        <f>IF(ISNUMBER(SEARCH(SUBSTITUTE(AP$1,RIGHT(AP$1,2),""),VLOOKUP($D347,素材!$1:$1016,COLUMN($F$1),FALSE))),VLOOKUP($C347,武器!$1:$998,COLUMN($O$1),FALSE)*VLOOKUP($D347,素材!$1:$1016,COLUMN($E$1),FALSE)/(LEN(VLOOKUP($D347,素材!$1:$1016,COLUMN($F$1),FALSE))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Q347">
        <f>IF(ISNUMBER(SEARCH(SUBSTITUTE(AQ$1,RIGHT(AQ$1,2),""),VLOOKUP($D347,素材!$1:$1016,COLUMN($F$1),FALSE))),VLOOKUP($C347,武器!$1:$998,COLUMN($O$1),FALSE)*VLOOKUP($D347,素材!$1:$1016,COLUMN($E$1),FALSE)/(LEN(VLOOKUP($D347,素材!$1:$1016,COLUMN($F$1),FALSE))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R347">
        <f>IF(ISNUMBER(SEARCH(SUBSTITUTE(AR$1,RIGHT(AR$1,2),""),VLOOKUP($D347,素材!$1:$1016,COLUMN($F$1),FALSE))),VLOOKUP($C347,武器!$1:$998,COLUMN($O$1),FALSE)*VLOOKUP($D347,素材!$1:$1016,COLUMN($E$1),FALSE)/(LEN(VLOOKUP($D347,素材!$1:$1016,COLUMN($F$1),FALSE))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S347">
        <f>IF(ISNUMBER(SEARCH(SUBSTITUTE(AS$1,RIGHT(AS$1,2),""),VLOOKUP($D347,素材!$1:$1016,COLUMN($F$1),FALSE))),VLOOKUP($C347,武器!$1:$998,COLUMN($O$1),FALSE)*VLOOKUP($D347,素材!$1:$1016,COLUMN($E$1),FALSE)/(LEN(VLOOKUP($D347,素材!$1:$1016,COLUMN($F$1),FALSE))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T347">
        <f>IF(ISNUMBER(SEARCH(SUBSTITUTE(AT$1,RIGHT(AT$1,2),""),VLOOKUP($D347,素材!$1:$1016,COLUMN($F$1),FALSE))),VLOOKUP($C347,武器!$1:$998,COLUMN($O$1),FALSE)*VLOOKUP($D347,素材!$1:$1016,COLUMN($E$1),FALSE)/(LEN(VLOOKUP($D347,素材!$1:$1016,COLUMN($F$1),FALSE))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U347">
        <f>IF(ISNUMBER(SEARCH(SUBSTITUTE(AU$1,RIGHT(AU$1,2),""),VLOOKUP($D347,素材!$1:$1016,COLUMN($F$1),FALSE))),VLOOKUP($C347,武器!$1:$998,COLUMN($O$1),FALSE)*VLOOKUP($D347,素材!$1:$1016,COLUMN($E$1),FALSE)/(LEN(VLOOKUP($D347,素材!$1:$1016,COLUMN($F$1),FALSE))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V347">
        <f>IF(ISNUMBER(SEARCH(SUBSTITUTE(AV$1,RIGHT(AV$1,2),""),VLOOKUP($D347,素材!$1:$1016,COLUMN($F$1),FALSE))),VLOOKUP($C347,武器!$1:$998,COLUMN($O$1),FALSE)*VLOOKUP($D347,素材!$1:$1016,COLUMN($E$1),FALSE)/(LEN(VLOOKUP($D347,素材!$1:$1016,COLUMN($F$1),FALSE))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W347">
        <f>IF(ISNUMBER(SEARCH(SUBSTITUTE(AW$1,RIGHT(AW$1,2),""),VLOOKUP($D347,素材!$1:$1016,COLUMN($F$1),FALSE))),VLOOKUP($C347,武器!$1:$998,COLUMN($O$1),FALSE)*VLOOKUP($D347,素材!$1:$1016,COLUMN($E$1),FALSE)/(LEN(VLOOKUP($D347,素材!$1:$1016,COLUMN($F$1),FALSE))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X347">
        <f>IF(ISNUMBER(SEARCH(SUBSTITUTE(AX$1,RIGHT(AX$1,2),""),VLOOKUP($D347,素材!$1:$1016,COLUMN($F$1),FALSE))),VLOOKUP($C347,武器!$1:$998,COLUMN($O$1),FALSE)*VLOOKUP($D347,素材!$1:$1016,COLUMN($E$1),FALSE)/(LEN(VLOOKUP($D347,素材!$1:$1016,COLUMN($F$1),FALSE))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Y347">
        <f>IF(ISNUMBER(SEARCH(SUBSTITUTE(AY$1,RIGHT(AY$1,2),""),VLOOKUP($D347,素材!$1:$1016,COLUMN($F$1),FALSE))),VLOOKUP($C347,武器!$1:$998,COLUMN($O$1),FALSE)*VLOOKUP($D347,素材!$1:$1016,COLUMN($E$1),FALSE)/(LEN(VLOOKUP($D347,素材!$1:$1016,COLUMN($F$1),FALSE))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AZ347">
        <f>IF(ISNUMBER(SEARCH(SUBSTITUTE(AZ$1,RIGHT(AZ$1,2),""),VLOOKUP($D347,素材!$1:$1016,COLUMN($F$1),FALSE))),VLOOKUP($C347,武器!$1:$998,COLUMN($O$1),FALSE)*VLOOKUP($D347,素材!$1:$1016,COLUMN($E$1),FALSE)/(LEN(VLOOKUP($D347,素材!$1:$1016,COLUMN($F$1),FALSE))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BA347">
        <f>IF(ISNUMBER(SEARCH(SUBSTITUTE(BA$1,RIGHT(BA$1,2),""),VLOOKUP($D347,素材!$1:$1016,COLUMN($F$1),FALSE))),VLOOKUP($C347,武器!$1:$998,COLUMN($O$1),FALSE)*VLOOKUP($D347,素材!$1:$1016,COLUMN($E$1),FALSE)/(LEN(VLOOKUP($D347,素材!$1:$1016,COLUMN($F$1),FALSE))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BB347">
        <f>IF(ISNUMBER(SEARCH(SUBSTITUTE(BB$1,RIGHT(BB$1,2),""),VLOOKUP($D347,素材!$1:$1016,COLUMN($F$1),FALSE))),VLOOKUP($C347,武器!$1:$998,COLUMN($O$1),FALSE)*VLOOKUP($D347,素材!$1:$1016,COLUMN($E$1),FALSE)/(LEN(VLOOKUP($D347,素材!$1:$1016,COLUMN($F$1),FALSE))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BC347">
        <f>IF(ISNUMBER(SEARCH(SUBSTITUTE(BC$1,RIGHT(BC$1,2),""),VLOOKUP($D347,素材!$1:$1016,COLUMN($F$1),FALSE))),VLOOKUP($C347,武器!$1:$998,COLUMN($O$1),FALSE)*VLOOKUP($D347,素材!$1:$1016,COLUMN($E$1),FALSE)/(LEN(VLOOKUP($D347,素材!$1:$1016,COLUMN($F$1),FALSE))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BD347">
        <f>IF(ISNUMBER(SEARCH(SUBSTITUTE(BD$1,RIGHT(BD$1,2),""),VLOOKUP($D347,素材!$1:$1016,COLUMN($F$1),FALSE))),VLOOKUP($C347,武器!$1:$998,COLUMN($O$1),FALSE)*VLOOKUP($D347,素材!$1:$1016,COLUMN($E$1),FALSE)/(LEN(VLOOKUP($D347,素材!$1:$1016,COLUMN($F$1),FALSE))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BE347">
        <f>IF(ISNUMBER(SEARCH(SUBSTITUTE(BE$1,RIGHT(BE$1,2),""),VLOOKUP($D347,素材!$1:$1016,COLUMN($F$1),FALSE))),VLOOKUP($C347,武器!$1:$998,COLUMN($O$1),FALSE)*VLOOKUP($D347,素材!$1:$1016,COLUMN($E$1),FALSE)/(LEN(VLOOKUP($D347,素材!$1:$1016,COLUMN($F$1),FALSE))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BF347">
        <f>IF(ISNUMBER(SEARCH(SUBSTITUTE(BF$1,RIGHT(BF$1,2),""),VLOOKUP($D347,素材!$1:$1016,COLUMN($F$1),FALSE))),VLOOKUP($C347,武器!$1:$998,COLUMN($O$1),FALSE)*VLOOKUP($D347,素材!$1:$1016,COLUMN($E$1),FALSE)/(LEN(VLOOKUP($D347,素材!$1:$1016,COLUMN($F$1),FALSE)) - LEN(SUBSTITUTE(VLOOKUP($D347,素材!$1:$1016,COLUMN($F$1),FALSE), "・", 0)) + 1), 0)</f>
        <v>0</v>
      </c>
      <c r="CM347">
        <f t="shared" si="39"/>
        <v>0</v>
      </c>
      <c r="CN347" s="22" t="str">
        <f>IF(E347="武器",IF(J347-1&gt;SUM(G347:I347),"盾",IF(MAX(G347:I347)=G347,"切断",IF(MAX(G347:I347)=H347,"貫通",IF(MAX(G347:I347)=I347,"打撃","射撃")))),E347)&amp;".webp"</f>
        <v>体.webp</v>
      </c>
      <c r="CO347">
        <f>IFERROR(VLOOKUP($C347,武器!$1:$998,COLUMN(V$1),FALSE)*VLOOKUP($D347,素材!$1:$1016,COLUMN(N$1),FALSE)+IF(CJ347="",0,VLOOKUP($CJ347,装強!$1:$1008,COLUMN($CL$1),FALSE)),"")</f>
        <v>12000</v>
      </c>
      <c r="CP347">
        <f>VLOOKUP(D347,素材!$A:$O,COLUMN(素材!O$1),FALSE)</f>
        <v>0</v>
      </c>
      <c r="CQ347" t="str">
        <f>VLOOKUP(C347,武器!$A:$W,COLUMN(武器!W$1),FALSE)</f>
        <v>HP 物理 魔法 体幹 出血 疲労 Cr</v>
      </c>
      <c r="CS347" t="str">
        <f>"e_"&amp;ROW(CS347)</f>
        <v>e_347</v>
      </c>
      <c r="CT347">
        <f>CO347*100</f>
        <v>1200000</v>
      </c>
    </row>
    <row r="348" spans="1:98" outlineLevel="1" x14ac:dyDescent="0.4">
      <c r="A348" t="str">
        <f t="shared" si="40"/>
        <v>金鉄の鎧</v>
      </c>
      <c r="B348" t="str">
        <f>IFERROR(VLOOKUP($D348,素材!$1:$1016,COLUMN($B$1),FALSE)&amp;"・"&amp;VLOOKUP($C348,武器!$1:$998,COLUMN(B$1),FALSE),"")</f>
        <v>オリハルコン・アーマー</v>
      </c>
      <c r="C348" t="s">
        <v>198</v>
      </c>
      <c r="D348" s="24" t="s">
        <v>200</v>
      </c>
      <c r="E348" t="str">
        <f>IFERROR(VLOOKUP(C348,武器!$1:$998,COLUMN(C$1),FALSE),"")</f>
        <v>体</v>
      </c>
      <c r="F348">
        <f>IFERROR(ROUNDDOWN((VLOOKUP($C348,武器!$1:$998,COLUMN(D$1),FALSE)+IFERROR(VLOOKUP($CJ348,装強!$1:$999,COLUMN(F$1),FALSE),0))*VLOOKUP($D348,素材!$1:$1016,COLUMN(D$1),FALSE),0),"")</f>
        <v>0</v>
      </c>
      <c r="G348">
        <f>IFERROR(ROUNDDOWN((VLOOKUP($C348,武器!$1:$998,COLUMN(E$1),FALSE)+IFERROR(VLOOKUP($CJ348,装強!$1:$999,COLUMN(G$1),FALSE),0))*VLOOKUP($D348,素材!$1:$1016,COLUMN($E$1),FALSE),0),"")</f>
        <v>0</v>
      </c>
      <c r="H348">
        <f>IFERROR(ROUNDDOWN((VLOOKUP($C348,武器!$1:$998,COLUMN(F$1),FALSE)+IFERROR(VLOOKUP($CJ348,装強!$1:$999,COLUMN(H$1),FALSE),0))*VLOOKUP($D348,素材!$1:$1016,COLUMN($E$1),FALSE),0),"")</f>
        <v>0</v>
      </c>
      <c r="I348">
        <f>IFERROR(ROUNDDOWN((VLOOKUP($C348,武器!$1:$998,COLUMN(G$1),FALSE)+IFERROR(VLOOKUP($CJ348,装強!$1:$999,COLUMN(I$1),FALSE),0))*VLOOKUP($D348,素材!$1:$1016,COLUMN($E$1),FALSE),0),"")</f>
        <v>0</v>
      </c>
      <c r="J348">
        <f>IFERROR(ROUNDDOWN((VLOOKUP($C348,武器!$1:$998,COLUMN(H$1),FALSE)+IFERROR(VLOOKUP($CJ348,装強!$1:$999,COLUMN(J$1),FALSE),0))*VLOOKUP($D348,素材!$1:$1016,COLUMN($E$1),FALSE),0),"")</f>
        <v>0</v>
      </c>
      <c r="K348">
        <f>IFERROR(ROUNDDOWN((VLOOKUP($C348,武器!$1:$998,COLUMN(I$1),FALSE)+IFERROR(VLOOKUP($CJ348,装強!$1:$999,COLUMN(K$1),FALSE),0))*VLOOKUP($D348,素材!$1:$1016,COLUMN($E$1),FALSE),0),"")</f>
        <v>0</v>
      </c>
      <c r="L348" t="str">
        <f>IFERROR(VLOOKUP($D348,素材!$1:$1016,COLUMN($F$1),FALSE),"")</f>
        <v>魔法</v>
      </c>
      <c r="M348">
        <f>IFERROR(VLOOKUP($C348,武器!$1:$998,COLUMN(AA$1),FALSE)*VLOOKUP($D348,素材!$1:$1016,COLUMN($G$1),FALSE),"")</f>
        <v>0</v>
      </c>
      <c r="N348">
        <f>IFERROR(VLOOKUP($C348,武器!$1:$998,COLUMN(I$1),FALSE),"")</f>
        <v>0</v>
      </c>
      <c r="O348" s="23">
        <f>IFERROR((VLOOKUP($C348,武器!$1:$998,COLUMN(K$1),FALSE)+VLOOKUP($D348,素材!$1:$1016,COLUMN(H$1),FALSE))*100+IFERROR(VLOOKUP($CJ348,装強!$1:$999,COLUMN(O$1),FALSE),0),"")</f>
        <v>2</v>
      </c>
      <c r="P348" s="23">
        <f>IFERROR((VLOOKUP($C348,武器!$1:$998,COLUMN(L$1),FALSE)+VLOOKUP($D348,素材!$1:$1016,COLUMN(I$1),FALSE))*100+IFERROR(VLOOKUP($CJ348,装強!$1:$999,COLUMN(P$1),FALSE),0),"")</f>
        <v>5</v>
      </c>
      <c r="Q348">
        <f>IFERROR(ROUNDUP(VLOOKUP($C348,武器!$1:$998,COLUMN(M$1),FALSE)*(VLOOKUP($D348,素材!$1:$1002,COLUMN(D$1),FALSE)/100),1),"")</f>
        <v>-15</v>
      </c>
      <c r="R348">
        <f>IFERROR(ROUNDUP(VLOOKUP($C348,武器!$1:$998,COLUMN(N$1),FALSE)*(VLOOKUP($D348,素材!$1:$1002,COLUMN(D$1),FALSE)/100),1),"")</f>
        <v>0</v>
      </c>
      <c r="S348">
        <f>IFERROR(VLOOKUP($C348,武器!$1:$998,COLUMN(P$1),FALSE),"")</f>
        <v>0</v>
      </c>
      <c r="T348">
        <f>IFERROR(VLOOKUP($C348,武器!$1:$998,COLUMN(Q$1),FALSE),"")</f>
        <v>0</v>
      </c>
      <c r="U348">
        <f>IFERROR(VLOOKUP($C348,武器!$1:$998,COLUMN(R$1),FALSE),"")</f>
        <v>0</v>
      </c>
      <c r="V348">
        <f>IFERROR(VLOOKUP($C348,武器!$1:$998,COLUMN(Q$1),FALSE),"")</f>
        <v>0</v>
      </c>
      <c r="W348">
        <f>IFERROR(VLOOKUP($C348,武器!$1:$998,COLUMN(T$1),FALSE),"")</f>
        <v>0</v>
      </c>
      <c r="Y348">
        <f>IFERROR(VLOOKUP($C348,武器!$1:$998,COLUMN(U$1),FALSE),"")</f>
        <v>0</v>
      </c>
      <c r="Z348">
        <f>IFERROR(ROUNDUP(VLOOKUP($C348,武器!$1:$998,COLUMN(O$1),FALSE)*VLOOKUP($D348,素材!$1:$1016,COLUMN(E$1),FALSE),1),"")</f>
        <v>24.5</v>
      </c>
      <c r="AA348">
        <f>IF(ISNUMBER(SEARCH(SUBSTITUTE(AA$1,RIGHT(AA$1,2),""),VLOOKUP($D348,素材!$1:$1016,COLUMN($F$1),FALSE))),VLOOKUP($C348,武器!$1:$998,COLUMN($O$1),FALSE)*VLOOKUP($D348,素材!$1:$1016,COLUMN($E$1),FALSE)/(LEN(VLOOKUP($D348,素材!$1:$1016,COLUMN($F$1),FALSE))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24.5</v>
      </c>
      <c r="AB348">
        <f>IF(ISNUMBER(SEARCH(SUBSTITUTE(AB$1,RIGHT(AB$1,2),""),VLOOKUP($D348,素材!$1:$1016,COLUMN($F$1),FALSE))),VLOOKUP($C348,武器!$1:$998,COLUMN($O$1),FALSE)*VLOOKUP($D348,素材!$1:$1016,COLUMN($E$1),FALSE)/(LEN(VLOOKUP($D348,素材!$1:$1016,COLUMN($F$1),FALSE))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C348">
        <f>IF(ISNUMBER(SEARCH(SUBSTITUTE(AC$1,RIGHT(AC$1,2),""),VLOOKUP($D348,素材!$1:$1016,COLUMN($F$1),FALSE))),VLOOKUP($C348,武器!$1:$998,COLUMN($O$1),FALSE)*VLOOKUP($D348,素材!$1:$1016,COLUMN($E$1),FALSE)/(LEN(VLOOKUP($D348,素材!$1:$1016,COLUMN($F$1),FALSE))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D348">
        <f>IF(ISNUMBER(SEARCH(SUBSTITUTE(AD$1,RIGHT(AD$1,2),""),VLOOKUP($D348,素材!$1:$1016,COLUMN($F$1),FALSE))),VLOOKUP($C348,武器!$1:$998,COLUMN($O$1),FALSE)*VLOOKUP($D348,素材!$1:$1016,COLUMN($E$1),FALSE)/(LEN(VLOOKUP($D348,素材!$1:$1016,COLUMN($F$1),FALSE))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E348">
        <f>IF(ISNUMBER(SEARCH(SUBSTITUTE(AE$1,RIGHT(AE$1,2),""),VLOOKUP($D348,素材!$1:$1016,COLUMN($F$1),FALSE))),VLOOKUP($C348,武器!$1:$998,COLUMN($O$1),FALSE)*VLOOKUP($D348,素材!$1:$1016,COLUMN($E$1),FALSE)/(LEN(VLOOKUP($D348,素材!$1:$1016,COLUMN($F$1),FALSE))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F348">
        <f>IF(ISNUMBER(SEARCH(SUBSTITUTE(AF$1,RIGHT(AF$1,2),""),VLOOKUP($D348,素材!$1:$1016,COLUMN($F$1),FALSE))),VLOOKUP($C348,武器!$1:$998,COLUMN($O$1),FALSE)*VLOOKUP($D348,素材!$1:$1016,COLUMN($E$1),FALSE)/(LEN(VLOOKUP($D348,素材!$1:$1016,COLUMN($F$1),FALSE))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G348">
        <f>IF(ISNUMBER(SEARCH(SUBSTITUTE(AG$1,RIGHT(AG$1,2),""),VLOOKUP($D348,素材!$1:$1016,COLUMN($F$1),FALSE))),VLOOKUP($C348,武器!$1:$998,COLUMN($O$1),FALSE)*VLOOKUP($D348,素材!$1:$1016,COLUMN($E$1),FALSE)/(LEN(VLOOKUP($D348,素材!$1:$1016,COLUMN($F$1),FALSE))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H348">
        <f>IF(ISNUMBER(SEARCH(SUBSTITUTE(AH$1,RIGHT(AH$1,2),""),VLOOKUP($D348,素材!$1:$1016,COLUMN($F$1),FALSE))),VLOOKUP($C348,武器!$1:$998,COLUMN($O$1),FALSE)*VLOOKUP($D348,素材!$1:$1016,COLUMN($E$1),FALSE)/(LEN(VLOOKUP($D348,素材!$1:$1016,COLUMN($F$1),FALSE))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I348">
        <f>IF(ISNUMBER(SEARCH(SUBSTITUTE(AI$1,RIGHT(AI$1,2),""),VLOOKUP($D348,素材!$1:$1016,COLUMN($F$1),FALSE))),VLOOKUP($C348,武器!$1:$998,COLUMN($O$1),FALSE)*VLOOKUP($D348,素材!$1:$1016,COLUMN($E$1),FALSE)/(LEN(VLOOKUP($D348,素材!$1:$1016,COLUMN($F$1),FALSE))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J348">
        <f>IF(ISNUMBER(SEARCH(SUBSTITUTE(AJ$1,RIGHT(AJ$1,2),""),VLOOKUP($D348,素材!$1:$1016,COLUMN($F$1),FALSE))),VLOOKUP($C348,武器!$1:$998,COLUMN($O$1),FALSE)*VLOOKUP($D348,素材!$1:$1016,COLUMN($E$1),FALSE)/(LEN(VLOOKUP($D348,素材!$1:$1016,COLUMN($F$1),FALSE))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K348">
        <f>IF(ISNUMBER(SEARCH(SUBSTITUTE(AK$1,RIGHT(AK$1,2),""),VLOOKUP($D348,素材!$1:$1016,COLUMN($F$1),FALSE))),VLOOKUP($C348,武器!$1:$998,COLUMN($O$1),FALSE)*VLOOKUP($D348,素材!$1:$1016,COLUMN($E$1),FALSE)/(LEN(VLOOKUP($D348,素材!$1:$1016,COLUMN($F$1),FALSE))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L348">
        <f>IF(ISNUMBER(SEARCH(SUBSTITUTE(AL$1,RIGHT(AL$1,2),""),VLOOKUP($D348,素材!$1:$1016,COLUMN($F$1),FALSE))),VLOOKUP($C348,武器!$1:$998,COLUMN($O$1),FALSE)*VLOOKUP($D348,素材!$1:$1016,COLUMN($E$1),FALSE)/(LEN(VLOOKUP($D348,素材!$1:$1016,COLUMN($F$1),FALSE))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M348">
        <f>IF(ISNUMBER(SEARCH(SUBSTITUTE(AM$1,RIGHT(AM$1,2),""),VLOOKUP($D348,素材!$1:$1016,COLUMN($F$1),FALSE))),VLOOKUP($C348,武器!$1:$998,COLUMN($O$1),FALSE)*VLOOKUP($D348,素材!$1:$1016,COLUMN($E$1),FALSE)/(LEN(VLOOKUP($D348,素材!$1:$1016,COLUMN($F$1),FALSE))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N348">
        <f>IF(ISNUMBER(SEARCH(SUBSTITUTE(AN$1,RIGHT(AN$1,2),""),VLOOKUP($D348,素材!$1:$1016,COLUMN($F$1),FALSE))),VLOOKUP($C348,武器!$1:$998,COLUMN($O$1),FALSE)*VLOOKUP($D348,素材!$1:$1016,COLUMN($E$1),FALSE)/(LEN(VLOOKUP($D348,素材!$1:$1016,COLUMN($F$1),FALSE))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O348">
        <f>IF(ISNUMBER(SEARCH(SUBSTITUTE(AO$1,RIGHT(AO$1,2),""),VLOOKUP($D348,素材!$1:$1016,COLUMN($F$1),FALSE))),VLOOKUP($C348,武器!$1:$998,COLUMN($O$1),FALSE)*VLOOKUP($D348,素材!$1:$1016,COLUMN($E$1),FALSE)/(LEN(VLOOKUP($D348,素材!$1:$1016,COLUMN($F$1),FALSE))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P348">
        <f>IF(ISNUMBER(SEARCH(SUBSTITUTE(AP$1,RIGHT(AP$1,2),""),VLOOKUP($D348,素材!$1:$1016,COLUMN($F$1),FALSE))),VLOOKUP($C348,武器!$1:$998,COLUMN($O$1),FALSE)*VLOOKUP($D348,素材!$1:$1016,COLUMN($E$1),FALSE)/(LEN(VLOOKUP($D348,素材!$1:$1016,COLUMN($F$1),FALSE))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Q348">
        <f>IF(ISNUMBER(SEARCH(SUBSTITUTE(AQ$1,RIGHT(AQ$1,2),""),VLOOKUP($D348,素材!$1:$1016,COLUMN($F$1),FALSE))),VLOOKUP($C348,武器!$1:$998,COLUMN($O$1),FALSE)*VLOOKUP($D348,素材!$1:$1016,COLUMN($E$1),FALSE)/(LEN(VLOOKUP($D348,素材!$1:$1016,COLUMN($F$1),FALSE))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R348">
        <f>IF(ISNUMBER(SEARCH(SUBSTITUTE(AR$1,RIGHT(AR$1,2),""),VLOOKUP($D348,素材!$1:$1016,COLUMN($F$1),FALSE))),VLOOKUP($C348,武器!$1:$998,COLUMN($O$1),FALSE)*VLOOKUP($D348,素材!$1:$1016,COLUMN($E$1),FALSE)/(LEN(VLOOKUP($D348,素材!$1:$1016,COLUMN($F$1),FALSE))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S348">
        <f>IF(ISNUMBER(SEARCH(SUBSTITUTE(AS$1,RIGHT(AS$1,2),""),VLOOKUP($D348,素材!$1:$1016,COLUMN($F$1),FALSE))),VLOOKUP($C348,武器!$1:$998,COLUMN($O$1),FALSE)*VLOOKUP($D348,素材!$1:$1016,COLUMN($E$1),FALSE)/(LEN(VLOOKUP($D348,素材!$1:$1016,COLUMN($F$1),FALSE))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T348">
        <f>IF(ISNUMBER(SEARCH(SUBSTITUTE(AT$1,RIGHT(AT$1,2),""),VLOOKUP($D348,素材!$1:$1016,COLUMN($F$1),FALSE))),VLOOKUP($C348,武器!$1:$998,COLUMN($O$1),FALSE)*VLOOKUP($D348,素材!$1:$1016,COLUMN($E$1),FALSE)/(LEN(VLOOKUP($D348,素材!$1:$1016,COLUMN($F$1),FALSE))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U348">
        <f>IF(ISNUMBER(SEARCH(SUBSTITUTE(AU$1,RIGHT(AU$1,2),""),VLOOKUP($D348,素材!$1:$1016,COLUMN($F$1),FALSE))),VLOOKUP($C348,武器!$1:$998,COLUMN($O$1),FALSE)*VLOOKUP($D348,素材!$1:$1016,COLUMN($E$1),FALSE)/(LEN(VLOOKUP($D348,素材!$1:$1016,COLUMN($F$1),FALSE))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V348">
        <f>IF(ISNUMBER(SEARCH(SUBSTITUTE(AV$1,RIGHT(AV$1,2),""),VLOOKUP($D348,素材!$1:$1016,COLUMN($F$1),FALSE))),VLOOKUP($C348,武器!$1:$998,COLUMN($O$1),FALSE)*VLOOKUP($D348,素材!$1:$1016,COLUMN($E$1),FALSE)/(LEN(VLOOKUP($D348,素材!$1:$1016,COLUMN($F$1),FALSE))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W348">
        <f>IF(ISNUMBER(SEARCH(SUBSTITUTE(AW$1,RIGHT(AW$1,2),""),VLOOKUP($D348,素材!$1:$1016,COLUMN($F$1),FALSE))),VLOOKUP($C348,武器!$1:$998,COLUMN($O$1),FALSE)*VLOOKUP($D348,素材!$1:$1016,COLUMN($E$1),FALSE)/(LEN(VLOOKUP($D348,素材!$1:$1016,COLUMN($F$1),FALSE))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X348">
        <f>IF(ISNUMBER(SEARCH(SUBSTITUTE(AX$1,RIGHT(AX$1,2),""),VLOOKUP($D348,素材!$1:$1016,COLUMN($F$1),FALSE))),VLOOKUP($C348,武器!$1:$998,COLUMN($O$1),FALSE)*VLOOKUP($D348,素材!$1:$1016,COLUMN($E$1),FALSE)/(LEN(VLOOKUP($D348,素材!$1:$1016,COLUMN($F$1),FALSE))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Y348">
        <f>IF(ISNUMBER(SEARCH(SUBSTITUTE(AY$1,RIGHT(AY$1,2),""),VLOOKUP($D348,素材!$1:$1016,COLUMN($F$1),FALSE))),VLOOKUP($C348,武器!$1:$998,COLUMN($O$1),FALSE)*VLOOKUP($D348,素材!$1:$1016,COLUMN($E$1),FALSE)/(LEN(VLOOKUP($D348,素材!$1:$1016,COLUMN($F$1),FALSE))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AZ348">
        <f>IF(ISNUMBER(SEARCH(SUBSTITUTE(AZ$1,RIGHT(AZ$1,2),""),VLOOKUP($D348,素材!$1:$1016,COLUMN($F$1),FALSE))),VLOOKUP($C348,武器!$1:$998,COLUMN($O$1),FALSE)*VLOOKUP($D348,素材!$1:$1016,COLUMN($E$1),FALSE)/(LEN(VLOOKUP($D348,素材!$1:$1016,COLUMN($F$1),FALSE))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BA348">
        <f>IF(ISNUMBER(SEARCH(SUBSTITUTE(BA$1,RIGHT(BA$1,2),""),VLOOKUP($D348,素材!$1:$1016,COLUMN($F$1),FALSE))),VLOOKUP($C348,武器!$1:$998,COLUMN($O$1),FALSE)*VLOOKUP($D348,素材!$1:$1016,COLUMN($E$1),FALSE)/(LEN(VLOOKUP($D348,素材!$1:$1016,COLUMN($F$1),FALSE))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BB348">
        <f>IF(ISNUMBER(SEARCH(SUBSTITUTE(BB$1,RIGHT(BB$1,2),""),VLOOKUP($D348,素材!$1:$1016,COLUMN($F$1),FALSE))),VLOOKUP($C348,武器!$1:$998,COLUMN($O$1),FALSE)*VLOOKUP($D348,素材!$1:$1016,COLUMN($E$1),FALSE)/(LEN(VLOOKUP($D348,素材!$1:$1016,COLUMN($F$1),FALSE))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BC348">
        <f>IF(ISNUMBER(SEARCH(SUBSTITUTE(BC$1,RIGHT(BC$1,2),""),VLOOKUP($D348,素材!$1:$1016,COLUMN($F$1),FALSE))),VLOOKUP($C348,武器!$1:$998,COLUMN($O$1),FALSE)*VLOOKUP($D348,素材!$1:$1016,COLUMN($E$1),FALSE)/(LEN(VLOOKUP($D348,素材!$1:$1016,COLUMN($F$1),FALSE))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BD348">
        <f>IF(ISNUMBER(SEARCH(SUBSTITUTE(BD$1,RIGHT(BD$1,2),""),VLOOKUP($D348,素材!$1:$1016,COLUMN($F$1),FALSE))),VLOOKUP($C348,武器!$1:$998,COLUMN($O$1),FALSE)*VLOOKUP($D348,素材!$1:$1016,COLUMN($E$1),FALSE)/(LEN(VLOOKUP($D348,素材!$1:$1016,COLUMN($F$1),FALSE))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24.5</v>
      </c>
      <c r="BE348">
        <f>IF(ISNUMBER(SEARCH(SUBSTITUTE(BE$1,RIGHT(BE$1,2),""),VLOOKUP($D348,素材!$1:$1016,COLUMN($F$1),FALSE))),VLOOKUP($C348,武器!$1:$998,COLUMN($O$1),FALSE)*VLOOKUP($D348,素材!$1:$1016,COLUMN($E$1),FALSE)/(LEN(VLOOKUP($D348,素材!$1:$1016,COLUMN($F$1),FALSE))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BF348">
        <f>IF(ISNUMBER(SEARCH(SUBSTITUTE(BF$1,RIGHT(BF$1,2),""),VLOOKUP($D348,素材!$1:$1016,COLUMN($F$1),FALSE))),VLOOKUP($C348,武器!$1:$998,COLUMN($O$1),FALSE)*VLOOKUP($D348,素材!$1:$1016,COLUMN($E$1),FALSE)/(LEN(VLOOKUP($D348,素材!$1:$1016,COLUMN($F$1),FALSE)) - LEN(SUBSTITUTE(VLOOKUP($D348,素材!$1:$1016,COLUMN($F$1),FALSE), "・", 0)) + 1), 0)</f>
        <v>0</v>
      </c>
      <c r="CM348">
        <f t="shared" si="39"/>
        <v>0</v>
      </c>
      <c r="CN348" s="22" t="str">
        <f>IF(E348="武器",IF(J348-1&gt;SUM(G348:I348),"盾",IF(MAX(G348:I348)=G348,"切断",IF(MAX(G348:I348)=H348,"貫通",IF(MAX(G348:I348)=I348,"打撃","射撃")))),E348)&amp;".webp"</f>
        <v>体.webp</v>
      </c>
      <c r="CO348">
        <f>IFERROR(VLOOKUP($C348,武器!$1:$998,COLUMN(V$1),FALSE)*VLOOKUP($D348,素材!$1:$1016,COLUMN(N$1),FALSE)+IF(CJ348="",0,VLOOKUP($CJ348,装強!$1:$1008,COLUMN($CL$1),FALSE)),"")</f>
        <v>13500</v>
      </c>
      <c r="CP348">
        <f>VLOOKUP(D348,素材!$A:$O,COLUMN(素材!O$1),FALSE)</f>
        <v>0</v>
      </c>
      <c r="CQ348" t="str">
        <f>VLOOKUP(C348,武器!$A:$W,COLUMN(武器!W$1),FALSE)</f>
        <v>HP 物理 魔法 体幹 出血 疲労 Cr</v>
      </c>
      <c r="CS348" t="str">
        <f>"e_"&amp;ROW(CS348)</f>
        <v>e_348</v>
      </c>
      <c r="CT348">
        <f>CO348*100</f>
        <v>1350000</v>
      </c>
    </row>
    <row r="349" spans="1:98" outlineLevel="1" x14ac:dyDescent="0.4">
      <c r="A349" t="str">
        <f t="shared" si="40"/>
        <v>黒鉄の鎧</v>
      </c>
      <c r="B349" t="str">
        <f>IFERROR(VLOOKUP($D349,素材!$1:$1016,COLUMN($B$1),FALSE)&amp;"・"&amp;VLOOKUP($C349,武器!$1:$998,COLUMN(B$1),FALSE),"")</f>
        <v>アダマンタイト・アーマー</v>
      </c>
      <c r="C349" t="s">
        <v>198</v>
      </c>
      <c r="D349" s="24" t="s">
        <v>199</v>
      </c>
      <c r="E349" t="str">
        <f>IFERROR(VLOOKUP(C349,武器!$1:$998,COLUMN(C$1),FALSE),"")</f>
        <v>体</v>
      </c>
      <c r="F349">
        <f>IFERROR(ROUNDDOWN((VLOOKUP($C349,武器!$1:$998,COLUMN(D$1),FALSE)+IFERROR(VLOOKUP($CJ349,装強!$1:$999,COLUMN(F$1),FALSE),0))*VLOOKUP($D349,素材!$1:$1016,COLUMN(D$1),FALSE),0),"")</f>
        <v>0</v>
      </c>
      <c r="G349">
        <f>IFERROR(ROUNDDOWN((VLOOKUP($C349,武器!$1:$998,COLUMN(E$1),FALSE)+IFERROR(VLOOKUP($CJ349,装強!$1:$999,COLUMN(G$1),FALSE),0))*VLOOKUP($D349,素材!$1:$1016,COLUMN($E$1),FALSE),0),"")</f>
        <v>0</v>
      </c>
      <c r="H349">
        <f>IFERROR(ROUNDDOWN((VLOOKUP($C349,武器!$1:$998,COLUMN(F$1),FALSE)+IFERROR(VLOOKUP($CJ349,装強!$1:$999,COLUMN(H$1),FALSE),0))*VLOOKUP($D349,素材!$1:$1016,COLUMN($E$1),FALSE),0),"")</f>
        <v>0</v>
      </c>
      <c r="I349">
        <f>IFERROR(ROUNDDOWN((VLOOKUP($C349,武器!$1:$998,COLUMN(G$1),FALSE)+IFERROR(VLOOKUP($CJ349,装強!$1:$999,COLUMN(I$1),FALSE),0))*VLOOKUP($D349,素材!$1:$1016,COLUMN($E$1),FALSE),0),"")</f>
        <v>0</v>
      </c>
      <c r="J349">
        <f>IFERROR(ROUNDDOWN((VLOOKUP($C349,武器!$1:$998,COLUMN(H$1),FALSE)+IFERROR(VLOOKUP($CJ349,装強!$1:$999,COLUMN(J$1),FALSE),0))*VLOOKUP($D349,素材!$1:$1016,COLUMN($E$1),FALSE),0),"")</f>
        <v>0</v>
      </c>
      <c r="K349">
        <f>IFERROR(ROUNDDOWN((VLOOKUP($C349,武器!$1:$998,COLUMN(I$1),FALSE)+IFERROR(VLOOKUP($CJ349,装強!$1:$999,COLUMN(K$1),FALSE),0))*VLOOKUP($D349,素材!$1:$1016,COLUMN($E$1),FALSE),0),"")</f>
        <v>0</v>
      </c>
      <c r="L349">
        <f>IFERROR(VLOOKUP($D349,素材!$1:$1016,COLUMN($F$1),FALSE),"")</f>
        <v>0</v>
      </c>
      <c r="M349">
        <f>IFERROR(VLOOKUP($C349,武器!$1:$998,COLUMN(AA$1),FALSE)*VLOOKUP($D349,素材!$1:$1016,COLUMN($G$1),FALSE),"")</f>
        <v>0</v>
      </c>
      <c r="N349">
        <f>IFERROR(VLOOKUP($C349,武器!$1:$998,COLUMN(I$1),FALSE),"")</f>
        <v>0</v>
      </c>
      <c r="O349" s="23">
        <f>IFERROR((VLOOKUP($C349,武器!$1:$998,COLUMN(K$1),FALSE)+VLOOKUP($D349,素材!$1:$1016,COLUMN(H$1),FALSE))*100+IFERROR(VLOOKUP($CJ349,装強!$1:$999,COLUMN(O$1),FALSE),0),"")</f>
        <v>2</v>
      </c>
      <c r="P349" s="23">
        <f>IFERROR((VLOOKUP($C349,武器!$1:$998,COLUMN(L$1),FALSE)+VLOOKUP($D349,素材!$1:$1016,COLUMN(I$1),FALSE))*100+IFERROR(VLOOKUP($CJ349,装強!$1:$999,COLUMN(P$1),FALSE),0),"")</f>
        <v>5</v>
      </c>
      <c r="Q349">
        <f>IFERROR(ROUNDUP(VLOOKUP($C349,武器!$1:$998,COLUMN(M$1),FALSE)*(VLOOKUP($D349,素材!$1:$1002,COLUMN(D$1),FALSE)/100),1),"")</f>
        <v>-17.3</v>
      </c>
      <c r="R349">
        <f>IFERROR(ROUNDUP(VLOOKUP($C349,武器!$1:$998,COLUMN(N$1),FALSE)*(VLOOKUP($D349,素材!$1:$1002,COLUMN(D$1),FALSE)/100),1),"")</f>
        <v>0</v>
      </c>
      <c r="S349">
        <f>IFERROR(VLOOKUP($C349,武器!$1:$998,COLUMN(P$1),FALSE),"")</f>
        <v>0</v>
      </c>
      <c r="T349">
        <f>IFERROR(VLOOKUP($C349,武器!$1:$998,COLUMN(Q$1),FALSE),"")</f>
        <v>0</v>
      </c>
      <c r="U349">
        <f>IFERROR(VLOOKUP($C349,武器!$1:$998,COLUMN(R$1),FALSE),"")</f>
        <v>0</v>
      </c>
      <c r="V349">
        <f>IFERROR(VLOOKUP($C349,武器!$1:$998,COLUMN(Q$1),FALSE),"")</f>
        <v>0</v>
      </c>
      <c r="W349">
        <f>IFERROR(VLOOKUP($C349,武器!$1:$998,COLUMN(T$1),FALSE),"")</f>
        <v>0</v>
      </c>
      <c r="Y349">
        <f>IFERROR(VLOOKUP($C349,武器!$1:$998,COLUMN(U$1),FALSE),"")</f>
        <v>0</v>
      </c>
      <c r="Z349">
        <f>IFERROR(ROUNDUP(VLOOKUP($C349,武器!$1:$998,COLUMN(O$1),FALSE)*VLOOKUP($D349,素材!$1:$1016,COLUMN(E$1),FALSE),1),"")</f>
        <v>28</v>
      </c>
      <c r="AA349">
        <f>IF(ISNUMBER(SEARCH(SUBSTITUTE(AA$1,RIGHT(AA$1,2),""),VLOOKUP($D349,素材!$1:$1016,COLUMN($F$1),FALSE))),VLOOKUP($C349,武器!$1:$998,COLUMN($O$1),FALSE)*VLOOKUP($D349,素材!$1:$1016,COLUMN($E$1),FALSE)/(LEN(VLOOKUP($D349,素材!$1:$1016,COLUMN($F$1),FALSE))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B349">
        <f>IF(ISNUMBER(SEARCH(SUBSTITUTE(AB$1,RIGHT(AB$1,2),""),VLOOKUP($D349,素材!$1:$1016,COLUMN($F$1),FALSE))),VLOOKUP($C349,武器!$1:$998,COLUMN($O$1),FALSE)*VLOOKUP($D349,素材!$1:$1016,COLUMN($E$1),FALSE)/(LEN(VLOOKUP($D349,素材!$1:$1016,COLUMN($F$1),FALSE))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C349">
        <f>IF(ISNUMBER(SEARCH(SUBSTITUTE(AC$1,RIGHT(AC$1,2),""),VLOOKUP($D349,素材!$1:$1016,COLUMN($F$1),FALSE))),VLOOKUP($C349,武器!$1:$998,COLUMN($O$1),FALSE)*VLOOKUP($D349,素材!$1:$1016,COLUMN($E$1),FALSE)/(LEN(VLOOKUP($D349,素材!$1:$1016,COLUMN($F$1),FALSE))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D349">
        <f>IF(ISNUMBER(SEARCH(SUBSTITUTE(AD$1,RIGHT(AD$1,2),""),VLOOKUP($D349,素材!$1:$1016,COLUMN($F$1),FALSE))),VLOOKUP($C349,武器!$1:$998,COLUMN($O$1),FALSE)*VLOOKUP($D349,素材!$1:$1016,COLUMN($E$1),FALSE)/(LEN(VLOOKUP($D349,素材!$1:$1016,COLUMN($F$1),FALSE))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E349">
        <f>IF(ISNUMBER(SEARCH(SUBSTITUTE(AE$1,RIGHT(AE$1,2),""),VLOOKUP($D349,素材!$1:$1016,COLUMN($F$1),FALSE))),VLOOKUP($C349,武器!$1:$998,COLUMN($O$1),FALSE)*VLOOKUP($D349,素材!$1:$1016,COLUMN($E$1),FALSE)/(LEN(VLOOKUP($D349,素材!$1:$1016,COLUMN($F$1),FALSE))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F349">
        <f>IF(ISNUMBER(SEARCH(SUBSTITUTE(AF$1,RIGHT(AF$1,2),""),VLOOKUP($D349,素材!$1:$1016,COLUMN($F$1),FALSE))),VLOOKUP($C349,武器!$1:$998,COLUMN($O$1),FALSE)*VLOOKUP($D349,素材!$1:$1016,COLUMN($E$1),FALSE)/(LEN(VLOOKUP($D349,素材!$1:$1016,COLUMN($F$1),FALSE))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G349">
        <f>IF(ISNUMBER(SEARCH(SUBSTITUTE(AG$1,RIGHT(AG$1,2),""),VLOOKUP($D349,素材!$1:$1016,COLUMN($F$1),FALSE))),VLOOKUP($C349,武器!$1:$998,COLUMN($O$1),FALSE)*VLOOKUP($D349,素材!$1:$1016,COLUMN($E$1),FALSE)/(LEN(VLOOKUP($D349,素材!$1:$1016,COLUMN($F$1),FALSE))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H349">
        <f>IF(ISNUMBER(SEARCH(SUBSTITUTE(AH$1,RIGHT(AH$1,2),""),VLOOKUP($D349,素材!$1:$1016,COLUMN($F$1),FALSE))),VLOOKUP($C349,武器!$1:$998,COLUMN($O$1),FALSE)*VLOOKUP($D349,素材!$1:$1016,COLUMN($E$1),FALSE)/(LEN(VLOOKUP($D349,素材!$1:$1016,COLUMN($F$1),FALSE))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I349">
        <f>IF(ISNUMBER(SEARCH(SUBSTITUTE(AI$1,RIGHT(AI$1,2),""),VLOOKUP($D349,素材!$1:$1016,COLUMN($F$1),FALSE))),VLOOKUP($C349,武器!$1:$998,COLUMN($O$1),FALSE)*VLOOKUP($D349,素材!$1:$1016,COLUMN($E$1),FALSE)/(LEN(VLOOKUP($D349,素材!$1:$1016,COLUMN($F$1),FALSE))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J349">
        <f>IF(ISNUMBER(SEARCH(SUBSTITUTE(AJ$1,RIGHT(AJ$1,2),""),VLOOKUP($D349,素材!$1:$1016,COLUMN($F$1),FALSE))),VLOOKUP($C349,武器!$1:$998,COLUMN($O$1),FALSE)*VLOOKUP($D349,素材!$1:$1016,COLUMN($E$1),FALSE)/(LEN(VLOOKUP($D349,素材!$1:$1016,COLUMN($F$1),FALSE))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K349">
        <f>IF(ISNUMBER(SEARCH(SUBSTITUTE(AK$1,RIGHT(AK$1,2),""),VLOOKUP($D349,素材!$1:$1016,COLUMN($F$1),FALSE))),VLOOKUP($C349,武器!$1:$998,COLUMN($O$1),FALSE)*VLOOKUP($D349,素材!$1:$1016,COLUMN($E$1),FALSE)/(LEN(VLOOKUP($D349,素材!$1:$1016,COLUMN($F$1),FALSE))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L349">
        <f>IF(ISNUMBER(SEARCH(SUBSTITUTE(AL$1,RIGHT(AL$1,2),""),VLOOKUP($D349,素材!$1:$1016,COLUMN($F$1),FALSE))),VLOOKUP($C349,武器!$1:$998,COLUMN($O$1),FALSE)*VLOOKUP($D349,素材!$1:$1016,COLUMN($E$1),FALSE)/(LEN(VLOOKUP($D349,素材!$1:$1016,COLUMN($F$1),FALSE))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M349">
        <f>IF(ISNUMBER(SEARCH(SUBSTITUTE(AM$1,RIGHT(AM$1,2),""),VLOOKUP($D349,素材!$1:$1016,COLUMN($F$1),FALSE))),VLOOKUP($C349,武器!$1:$998,COLUMN($O$1),FALSE)*VLOOKUP($D349,素材!$1:$1016,COLUMN($E$1),FALSE)/(LEN(VLOOKUP($D349,素材!$1:$1016,COLUMN($F$1),FALSE))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N349">
        <f>IF(ISNUMBER(SEARCH(SUBSTITUTE(AN$1,RIGHT(AN$1,2),""),VLOOKUP($D349,素材!$1:$1016,COLUMN($F$1),FALSE))),VLOOKUP($C349,武器!$1:$998,COLUMN($O$1),FALSE)*VLOOKUP($D349,素材!$1:$1016,COLUMN($E$1),FALSE)/(LEN(VLOOKUP($D349,素材!$1:$1016,COLUMN($F$1),FALSE))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O349">
        <f>IF(ISNUMBER(SEARCH(SUBSTITUTE(AO$1,RIGHT(AO$1,2),""),VLOOKUP($D349,素材!$1:$1016,COLUMN($F$1),FALSE))),VLOOKUP($C349,武器!$1:$998,COLUMN($O$1),FALSE)*VLOOKUP($D349,素材!$1:$1016,COLUMN($E$1),FALSE)/(LEN(VLOOKUP($D349,素材!$1:$1016,COLUMN($F$1),FALSE))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P349">
        <f>IF(ISNUMBER(SEARCH(SUBSTITUTE(AP$1,RIGHT(AP$1,2),""),VLOOKUP($D349,素材!$1:$1016,COLUMN($F$1),FALSE))),VLOOKUP($C349,武器!$1:$998,COLUMN($O$1),FALSE)*VLOOKUP($D349,素材!$1:$1016,COLUMN($E$1),FALSE)/(LEN(VLOOKUP($D349,素材!$1:$1016,COLUMN($F$1),FALSE))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Q349">
        <f>IF(ISNUMBER(SEARCH(SUBSTITUTE(AQ$1,RIGHT(AQ$1,2),""),VLOOKUP($D349,素材!$1:$1016,COLUMN($F$1),FALSE))),VLOOKUP($C349,武器!$1:$998,COLUMN($O$1),FALSE)*VLOOKUP($D349,素材!$1:$1016,COLUMN($E$1),FALSE)/(LEN(VLOOKUP($D349,素材!$1:$1016,COLUMN($F$1),FALSE))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R349">
        <f>IF(ISNUMBER(SEARCH(SUBSTITUTE(AR$1,RIGHT(AR$1,2),""),VLOOKUP($D349,素材!$1:$1016,COLUMN($F$1),FALSE))),VLOOKUP($C349,武器!$1:$998,COLUMN($O$1),FALSE)*VLOOKUP($D349,素材!$1:$1016,COLUMN($E$1),FALSE)/(LEN(VLOOKUP($D349,素材!$1:$1016,COLUMN($F$1),FALSE))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S349">
        <f>IF(ISNUMBER(SEARCH(SUBSTITUTE(AS$1,RIGHT(AS$1,2),""),VLOOKUP($D349,素材!$1:$1016,COLUMN($F$1),FALSE))),VLOOKUP($C349,武器!$1:$998,COLUMN($O$1),FALSE)*VLOOKUP($D349,素材!$1:$1016,COLUMN($E$1),FALSE)/(LEN(VLOOKUP($D349,素材!$1:$1016,COLUMN($F$1),FALSE))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T349">
        <f>IF(ISNUMBER(SEARCH(SUBSTITUTE(AT$1,RIGHT(AT$1,2),""),VLOOKUP($D349,素材!$1:$1016,COLUMN($F$1),FALSE))),VLOOKUP($C349,武器!$1:$998,COLUMN($O$1),FALSE)*VLOOKUP($D349,素材!$1:$1016,COLUMN($E$1),FALSE)/(LEN(VLOOKUP($D349,素材!$1:$1016,COLUMN($F$1),FALSE))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U349">
        <f>IF(ISNUMBER(SEARCH(SUBSTITUTE(AU$1,RIGHT(AU$1,2),""),VLOOKUP($D349,素材!$1:$1016,COLUMN($F$1),FALSE))),VLOOKUP($C349,武器!$1:$998,COLUMN($O$1),FALSE)*VLOOKUP($D349,素材!$1:$1016,COLUMN($E$1),FALSE)/(LEN(VLOOKUP($D349,素材!$1:$1016,COLUMN($F$1),FALSE))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V349">
        <f>IF(ISNUMBER(SEARCH(SUBSTITUTE(AV$1,RIGHT(AV$1,2),""),VLOOKUP($D349,素材!$1:$1016,COLUMN($F$1),FALSE))),VLOOKUP($C349,武器!$1:$998,COLUMN($O$1),FALSE)*VLOOKUP($D349,素材!$1:$1016,COLUMN($E$1),FALSE)/(LEN(VLOOKUP($D349,素材!$1:$1016,COLUMN($F$1),FALSE))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W349">
        <f>IF(ISNUMBER(SEARCH(SUBSTITUTE(AW$1,RIGHT(AW$1,2),""),VLOOKUP($D349,素材!$1:$1016,COLUMN($F$1),FALSE))),VLOOKUP($C349,武器!$1:$998,COLUMN($O$1),FALSE)*VLOOKUP($D349,素材!$1:$1016,COLUMN($E$1),FALSE)/(LEN(VLOOKUP($D349,素材!$1:$1016,COLUMN($F$1),FALSE))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X349">
        <f>IF(ISNUMBER(SEARCH(SUBSTITUTE(AX$1,RIGHT(AX$1,2),""),VLOOKUP($D349,素材!$1:$1016,COLUMN($F$1),FALSE))),VLOOKUP($C349,武器!$1:$998,COLUMN($O$1),FALSE)*VLOOKUP($D349,素材!$1:$1016,COLUMN($E$1),FALSE)/(LEN(VLOOKUP($D349,素材!$1:$1016,COLUMN($F$1),FALSE))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Y349">
        <f>IF(ISNUMBER(SEARCH(SUBSTITUTE(AY$1,RIGHT(AY$1,2),""),VLOOKUP($D349,素材!$1:$1016,COLUMN($F$1),FALSE))),VLOOKUP($C349,武器!$1:$998,COLUMN($O$1),FALSE)*VLOOKUP($D349,素材!$1:$1016,COLUMN($E$1),FALSE)/(LEN(VLOOKUP($D349,素材!$1:$1016,COLUMN($F$1),FALSE))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AZ349">
        <f>IF(ISNUMBER(SEARCH(SUBSTITUTE(AZ$1,RIGHT(AZ$1,2),""),VLOOKUP($D349,素材!$1:$1016,COLUMN($F$1),FALSE))),VLOOKUP($C349,武器!$1:$998,COLUMN($O$1),FALSE)*VLOOKUP($D349,素材!$1:$1016,COLUMN($E$1),FALSE)/(LEN(VLOOKUP($D349,素材!$1:$1016,COLUMN($F$1),FALSE))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BA349">
        <f>IF(ISNUMBER(SEARCH(SUBSTITUTE(BA$1,RIGHT(BA$1,2),""),VLOOKUP($D349,素材!$1:$1016,COLUMN($F$1),FALSE))),VLOOKUP($C349,武器!$1:$998,COLUMN($O$1),FALSE)*VLOOKUP($D349,素材!$1:$1016,COLUMN($E$1),FALSE)/(LEN(VLOOKUP($D349,素材!$1:$1016,COLUMN($F$1),FALSE))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BB349">
        <f>IF(ISNUMBER(SEARCH(SUBSTITUTE(BB$1,RIGHT(BB$1,2),""),VLOOKUP($D349,素材!$1:$1016,COLUMN($F$1),FALSE))),VLOOKUP($C349,武器!$1:$998,COLUMN($O$1),FALSE)*VLOOKUP($D349,素材!$1:$1016,COLUMN($E$1),FALSE)/(LEN(VLOOKUP($D349,素材!$1:$1016,COLUMN($F$1),FALSE))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BC349">
        <f>IF(ISNUMBER(SEARCH(SUBSTITUTE(BC$1,RIGHT(BC$1,2),""),VLOOKUP($D349,素材!$1:$1016,COLUMN($F$1),FALSE))),VLOOKUP($C349,武器!$1:$998,COLUMN($O$1),FALSE)*VLOOKUP($D349,素材!$1:$1016,COLUMN($E$1),FALSE)/(LEN(VLOOKUP($D349,素材!$1:$1016,COLUMN($F$1),FALSE))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BD349">
        <f>IF(ISNUMBER(SEARCH(SUBSTITUTE(BD$1,RIGHT(BD$1,2),""),VLOOKUP($D349,素材!$1:$1016,COLUMN($F$1),FALSE))),VLOOKUP($C349,武器!$1:$998,COLUMN($O$1),FALSE)*VLOOKUP($D349,素材!$1:$1016,COLUMN($E$1),FALSE)/(LEN(VLOOKUP($D349,素材!$1:$1016,COLUMN($F$1),FALSE))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BE349">
        <f>IF(ISNUMBER(SEARCH(SUBSTITUTE(BE$1,RIGHT(BE$1,2),""),VLOOKUP($D349,素材!$1:$1016,COLUMN($F$1),FALSE))),VLOOKUP($C349,武器!$1:$998,COLUMN($O$1),FALSE)*VLOOKUP($D349,素材!$1:$1016,COLUMN($E$1),FALSE)/(LEN(VLOOKUP($D349,素材!$1:$1016,COLUMN($F$1),FALSE))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BF349">
        <f>IF(ISNUMBER(SEARCH(SUBSTITUTE(BF$1,RIGHT(BF$1,2),""),VLOOKUP($D349,素材!$1:$1016,COLUMN($F$1),FALSE))),VLOOKUP($C349,武器!$1:$998,COLUMN($O$1),FALSE)*VLOOKUP($D349,素材!$1:$1016,COLUMN($E$1),FALSE)/(LEN(VLOOKUP($D349,素材!$1:$1016,COLUMN($F$1),FALSE)) - LEN(SUBSTITUTE(VLOOKUP($D349,素材!$1:$1016,COLUMN($F$1),FALSE), "・", 0)) + 1), 0)</f>
        <v>0</v>
      </c>
      <c r="CM349">
        <f t="shared" si="39"/>
        <v>0</v>
      </c>
      <c r="CN349" s="22" t="str">
        <f>IF(E349="武器",IF(J349-1&gt;SUM(G349:I349),"盾",IF(MAX(G349:I349)=G349,"切断",IF(MAX(G349:I349)=H349,"貫通",IF(MAX(G349:I349)=I349,"打撃","射撃")))),E349)&amp;".webp"</f>
        <v>体.webp</v>
      </c>
      <c r="CO349">
        <f>IFERROR(VLOOKUP($C349,武器!$1:$998,COLUMN(V$1),FALSE)*VLOOKUP($D349,素材!$1:$1016,COLUMN(N$1),FALSE)+IF(CJ349="",0,VLOOKUP($CJ349,装強!$1:$1008,COLUMN($CL$1),FALSE)),"")</f>
        <v>15000</v>
      </c>
      <c r="CP349">
        <f>VLOOKUP(D349,素材!$A:$O,COLUMN(素材!O$1),FALSE)</f>
        <v>0</v>
      </c>
      <c r="CQ349" t="str">
        <f>VLOOKUP(C349,武器!$A:$W,COLUMN(武器!W$1),FALSE)</f>
        <v>HP 物理 魔法 体幹 出血 疲労 Cr</v>
      </c>
      <c r="CS349" t="str">
        <f>"e_"&amp;ROW(CS349)</f>
        <v>e_349</v>
      </c>
      <c r="CT349">
        <f>CO349*100</f>
        <v>1500000</v>
      </c>
    </row>
    <row r="350" spans="1:98" outlineLevel="1" x14ac:dyDescent="0.4">
      <c r="A350" t="str">
        <f t="shared" si="40"/>
        <v>銀鉄の長剣</v>
      </c>
      <c r="B350" t="str">
        <f>IFERROR(VLOOKUP($D350,素材!$1:$1016,COLUMN($B$1),FALSE)&amp;"・"&amp;VLOOKUP($C350,武器!$1:$998,COLUMN(B$1),FALSE),"")</f>
        <v>ミスリル・ロングソード</v>
      </c>
      <c r="C350" t="s">
        <v>195</v>
      </c>
      <c r="D350" s="24" t="s">
        <v>201</v>
      </c>
      <c r="E350" t="str">
        <f>IFERROR(VLOOKUP(C350,武器!$1:$998,COLUMN(C$1),FALSE),"")</f>
        <v>武器</v>
      </c>
      <c r="F350">
        <f>IFERROR(ROUNDDOWN((VLOOKUP($C350,武器!$1:$998,COLUMN(D$1),FALSE)+IFERROR(VLOOKUP($CJ350,装強!$1:$999,COLUMN(F$1),FALSE),0))*VLOOKUP($D350,素材!$1:$1016,COLUMN(D$1),FALSE),0),"")</f>
        <v>74</v>
      </c>
      <c r="G350">
        <f>IFERROR(ROUNDDOWN((VLOOKUP($C350,武器!$1:$998,COLUMN(E$1),FALSE)+IFERROR(VLOOKUP($CJ350,装強!$1:$999,COLUMN(G$1),FALSE),0))*VLOOKUP($D350,素材!$1:$1016,COLUMN($E$1),FALSE),0),"")</f>
        <v>18</v>
      </c>
      <c r="H350">
        <f>IFERROR(ROUNDDOWN((VLOOKUP($C350,武器!$1:$998,COLUMN(F$1),FALSE)+IFERROR(VLOOKUP($CJ350,装強!$1:$999,COLUMN(H$1),FALSE),0))*VLOOKUP($D350,素材!$1:$1016,COLUMN($E$1),FALSE),0),"")</f>
        <v>11</v>
      </c>
      <c r="I350">
        <f>IFERROR(ROUNDDOWN((VLOOKUP($C350,武器!$1:$998,COLUMN(G$1),FALSE)+IFERROR(VLOOKUP($CJ350,装強!$1:$999,COLUMN(I$1),FALSE),0))*VLOOKUP($D350,素材!$1:$1016,COLUMN($E$1),FALSE),0),"")</f>
        <v>3</v>
      </c>
      <c r="J350">
        <f>IFERROR(ROUNDDOWN((VLOOKUP($C350,武器!$1:$998,COLUMN(H$1),FALSE)+IFERROR(VLOOKUP($CJ350,装強!$1:$999,COLUMN(J$1),FALSE),0))*VLOOKUP($D350,素材!$1:$1016,COLUMN($E$1),FALSE),0),"")</f>
        <v>25</v>
      </c>
      <c r="K350">
        <f>IFERROR(ROUNDDOWN((VLOOKUP($C350,武器!$1:$998,COLUMN(I$1),FALSE)+IFERROR(VLOOKUP($CJ350,装強!$1:$999,COLUMN(K$1),FALSE),0))*VLOOKUP($D350,素材!$1:$1016,COLUMN($E$1),FALSE),0),"")</f>
        <v>0</v>
      </c>
      <c r="L350">
        <f>IFERROR(VLOOKUP($D350,素材!$1:$1016,COLUMN($F$1),FALSE),"")</f>
        <v>0</v>
      </c>
      <c r="M350">
        <f>IFERROR(VLOOKUP($C350,武器!$1:$998,COLUMN(AA$1),FALSE)*VLOOKUP($D350,素材!$1:$1016,COLUMN($G$1),FALSE),"")</f>
        <v>0</v>
      </c>
      <c r="N350">
        <f>IFERROR(VLOOKUP($C350,武器!$1:$998,COLUMN(I$1),FALSE),"")</f>
        <v>0</v>
      </c>
      <c r="O350" s="23">
        <f>IFERROR((VLOOKUP($C350,武器!$1:$998,COLUMN(K$1),FALSE)+VLOOKUP($D350,素材!$1:$1016,COLUMN(H$1),FALSE))*100+IFERROR(VLOOKUP($CJ350,装強!$1:$999,COLUMN(O$1),FALSE),0),"")</f>
        <v>12.000000000000002</v>
      </c>
      <c r="P350" s="23">
        <f>IFERROR((VLOOKUP($C350,武器!$1:$998,COLUMN(L$1),FALSE)+VLOOKUP($D350,素材!$1:$1016,COLUMN(I$1),FALSE))*100+IFERROR(VLOOKUP($CJ350,装強!$1:$999,COLUMN(P$1),FALSE),0),"")</f>
        <v>155</v>
      </c>
      <c r="Q350">
        <f>IFERROR(ROUNDUP(VLOOKUP($C350,武器!$1:$998,COLUMN(M$1),FALSE)*(VLOOKUP($D350,素材!$1:$1002,COLUMN(D$1),FALSE)/100),1),"")</f>
        <v>-1.7000000000000002</v>
      </c>
      <c r="R350">
        <f>IFERROR(ROUNDUP(VLOOKUP($C350,武器!$1:$998,COLUMN(N$1),FALSE)*(VLOOKUP($D350,素材!$1:$1002,COLUMN(D$1),FALSE)/100),1),"")</f>
        <v>-1.7000000000000002</v>
      </c>
      <c r="S350">
        <f>IFERROR(VLOOKUP($C350,武器!$1:$998,COLUMN(P$1),FALSE),"")</f>
        <v>0</v>
      </c>
      <c r="T350">
        <f>IFERROR(VLOOKUP($C350,武器!$1:$998,COLUMN(Q$1),FALSE),"")</f>
        <v>0</v>
      </c>
      <c r="U350">
        <f>IFERROR(VLOOKUP($C350,武器!$1:$998,COLUMN(R$1),FALSE),"")</f>
        <v>0</v>
      </c>
      <c r="V350">
        <f>IFERROR(VLOOKUP($C350,武器!$1:$998,COLUMN(Q$1),FALSE),"")</f>
        <v>0</v>
      </c>
      <c r="W350" t="str">
        <f>IFERROR(VLOOKUP($C350,武器!$1:$998,COLUMN(T$1),FALSE),"")</f>
        <v>A</v>
      </c>
      <c r="Y350">
        <f>IFERROR(VLOOKUP($C350,武器!$1:$998,COLUMN(U$1),FALSE),"")</f>
        <v>0</v>
      </c>
      <c r="Z350">
        <f>IFERROR(ROUNDUP(VLOOKUP($C350,武器!$1:$998,COLUMN(O$1),FALSE)*VLOOKUP($D350,素材!$1:$1016,COLUMN(E$1),FALSE),1),"")</f>
        <v>0</v>
      </c>
      <c r="AA350">
        <f>IF(ISNUMBER(SEARCH(SUBSTITUTE(AA$1,RIGHT(AA$1,2),""),VLOOKUP($D350,素材!$1:$1016,COLUMN($F$1),FALSE))),VLOOKUP($C350,武器!$1:$998,COLUMN($O$1),FALSE)*VLOOKUP($D350,素材!$1:$1016,COLUMN($E$1),FALSE)/(LEN(VLOOKUP($D350,素材!$1:$1016,COLUMN($F$1),FALSE))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B350">
        <f>IF(ISNUMBER(SEARCH(SUBSTITUTE(AB$1,RIGHT(AB$1,2),""),VLOOKUP($D350,素材!$1:$1016,COLUMN($F$1),FALSE))),VLOOKUP($C350,武器!$1:$998,COLUMN($O$1),FALSE)*VLOOKUP($D350,素材!$1:$1016,COLUMN($E$1),FALSE)/(LEN(VLOOKUP($D350,素材!$1:$1016,COLUMN($F$1),FALSE))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C350">
        <f>IF(ISNUMBER(SEARCH(SUBSTITUTE(AC$1,RIGHT(AC$1,2),""),VLOOKUP($D350,素材!$1:$1016,COLUMN($F$1),FALSE))),VLOOKUP($C350,武器!$1:$998,COLUMN($O$1),FALSE)*VLOOKUP($D350,素材!$1:$1016,COLUMN($E$1),FALSE)/(LEN(VLOOKUP($D350,素材!$1:$1016,COLUMN($F$1),FALSE))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D350">
        <f>IF(ISNUMBER(SEARCH(SUBSTITUTE(AD$1,RIGHT(AD$1,2),""),VLOOKUP($D350,素材!$1:$1016,COLUMN($F$1),FALSE))),VLOOKUP($C350,武器!$1:$998,COLUMN($O$1),FALSE)*VLOOKUP($D350,素材!$1:$1016,COLUMN($E$1),FALSE)/(LEN(VLOOKUP($D350,素材!$1:$1016,COLUMN($F$1),FALSE))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E350">
        <f>IF(ISNUMBER(SEARCH(SUBSTITUTE(AE$1,RIGHT(AE$1,2),""),VLOOKUP($D350,素材!$1:$1016,COLUMN($F$1),FALSE))),VLOOKUP($C350,武器!$1:$998,COLUMN($O$1),FALSE)*VLOOKUP($D350,素材!$1:$1016,COLUMN($E$1),FALSE)/(LEN(VLOOKUP($D350,素材!$1:$1016,COLUMN($F$1),FALSE))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F350">
        <f>IF(ISNUMBER(SEARCH(SUBSTITUTE(AF$1,RIGHT(AF$1,2),""),VLOOKUP($D350,素材!$1:$1016,COLUMN($F$1),FALSE))),VLOOKUP($C350,武器!$1:$998,COLUMN($O$1),FALSE)*VLOOKUP($D350,素材!$1:$1016,COLUMN($E$1),FALSE)/(LEN(VLOOKUP($D350,素材!$1:$1016,COLUMN($F$1),FALSE))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G350">
        <f>IF(ISNUMBER(SEARCH(SUBSTITUTE(AG$1,RIGHT(AG$1,2),""),VLOOKUP($D350,素材!$1:$1016,COLUMN($F$1),FALSE))),VLOOKUP($C350,武器!$1:$998,COLUMN($O$1),FALSE)*VLOOKUP($D350,素材!$1:$1016,COLUMN($E$1),FALSE)/(LEN(VLOOKUP($D350,素材!$1:$1016,COLUMN($F$1),FALSE))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H350">
        <f>IF(ISNUMBER(SEARCH(SUBSTITUTE(AH$1,RIGHT(AH$1,2),""),VLOOKUP($D350,素材!$1:$1016,COLUMN($F$1),FALSE))),VLOOKUP($C350,武器!$1:$998,COLUMN($O$1),FALSE)*VLOOKUP($D350,素材!$1:$1016,COLUMN($E$1),FALSE)/(LEN(VLOOKUP($D350,素材!$1:$1016,COLUMN($F$1),FALSE))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I350">
        <f>IF(ISNUMBER(SEARCH(SUBSTITUTE(AI$1,RIGHT(AI$1,2),""),VLOOKUP($D350,素材!$1:$1016,COLUMN($F$1),FALSE))),VLOOKUP($C350,武器!$1:$998,COLUMN($O$1),FALSE)*VLOOKUP($D350,素材!$1:$1016,COLUMN($E$1),FALSE)/(LEN(VLOOKUP($D350,素材!$1:$1016,COLUMN($F$1),FALSE))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J350">
        <f>IF(ISNUMBER(SEARCH(SUBSTITUTE(AJ$1,RIGHT(AJ$1,2),""),VLOOKUP($D350,素材!$1:$1016,COLUMN($F$1),FALSE))),VLOOKUP($C350,武器!$1:$998,COLUMN($O$1),FALSE)*VLOOKUP($D350,素材!$1:$1016,COLUMN($E$1),FALSE)/(LEN(VLOOKUP($D350,素材!$1:$1016,COLUMN($F$1),FALSE))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K350">
        <f>IF(ISNUMBER(SEARCH(SUBSTITUTE(AK$1,RIGHT(AK$1,2),""),VLOOKUP($D350,素材!$1:$1016,COLUMN($F$1),FALSE))),VLOOKUP($C350,武器!$1:$998,COLUMN($O$1),FALSE)*VLOOKUP($D350,素材!$1:$1016,COLUMN($E$1),FALSE)/(LEN(VLOOKUP($D350,素材!$1:$1016,COLUMN($F$1),FALSE))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L350">
        <f>IF(ISNUMBER(SEARCH(SUBSTITUTE(AL$1,RIGHT(AL$1,2),""),VLOOKUP($D350,素材!$1:$1016,COLUMN($F$1),FALSE))),VLOOKUP($C350,武器!$1:$998,COLUMN($O$1),FALSE)*VLOOKUP($D350,素材!$1:$1016,COLUMN($E$1),FALSE)/(LEN(VLOOKUP($D350,素材!$1:$1016,COLUMN($F$1),FALSE))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M350">
        <f>IF(ISNUMBER(SEARCH(SUBSTITUTE(AM$1,RIGHT(AM$1,2),""),VLOOKUP($D350,素材!$1:$1016,COLUMN($F$1),FALSE))),VLOOKUP($C350,武器!$1:$998,COLUMN($O$1),FALSE)*VLOOKUP($D350,素材!$1:$1016,COLUMN($E$1),FALSE)/(LEN(VLOOKUP($D350,素材!$1:$1016,COLUMN($F$1),FALSE))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N350">
        <f>IF(ISNUMBER(SEARCH(SUBSTITUTE(AN$1,RIGHT(AN$1,2),""),VLOOKUP($D350,素材!$1:$1016,COLUMN($F$1),FALSE))),VLOOKUP($C350,武器!$1:$998,COLUMN($O$1),FALSE)*VLOOKUP($D350,素材!$1:$1016,COLUMN($E$1),FALSE)/(LEN(VLOOKUP($D350,素材!$1:$1016,COLUMN($F$1),FALSE))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O350">
        <f>IF(ISNUMBER(SEARCH(SUBSTITUTE(AO$1,RIGHT(AO$1,2),""),VLOOKUP($D350,素材!$1:$1016,COLUMN($F$1),FALSE))),VLOOKUP($C350,武器!$1:$998,COLUMN($O$1),FALSE)*VLOOKUP($D350,素材!$1:$1016,COLUMN($E$1),FALSE)/(LEN(VLOOKUP($D350,素材!$1:$1016,COLUMN($F$1),FALSE))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P350">
        <f>IF(ISNUMBER(SEARCH(SUBSTITUTE(AP$1,RIGHT(AP$1,2),""),VLOOKUP($D350,素材!$1:$1016,COLUMN($F$1),FALSE))),VLOOKUP($C350,武器!$1:$998,COLUMN($O$1),FALSE)*VLOOKUP($D350,素材!$1:$1016,COLUMN($E$1),FALSE)/(LEN(VLOOKUP($D350,素材!$1:$1016,COLUMN($F$1),FALSE))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Q350">
        <f>IF(ISNUMBER(SEARCH(SUBSTITUTE(AQ$1,RIGHT(AQ$1,2),""),VLOOKUP($D350,素材!$1:$1016,COLUMN($F$1),FALSE))),VLOOKUP($C350,武器!$1:$998,COLUMN($O$1),FALSE)*VLOOKUP($D350,素材!$1:$1016,COLUMN($E$1),FALSE)/(LEN(VLOOKUP($D350,素材!$1:$1016,COLUMN($F$1),FALSE))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R350">
        <f>IF(ISNUMBER(SEARCH(SUBSTITUTE(AR$1,RIGHT(AR$1,2),""),VLOOKUP($D350,素材!$1:$1016,COLUMN($F$1),FALSE))),VLOOKUP($C350,武器!$1:$998,COLUMN($O$1),FALSE)*VLOOKUP($D350,素材!$1:$1016,COLUMN($E$1),FALSE)/(LEN(VLOOKUP($D350,素材!$1:$1016,COLUMN($F$1),FALSE))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S350">
        <f>IF(ISNUMBER(SEARCH(SUBSTITUTE(AS$1,RIGHT(AS$1,2),""),VLOOKUP($D350,素材!$1:$1016,COLUMN($F$1),FALSE))),VLOOKUP($C350,武器!$1:$998,COLUMN($O$1),FALSE)*VLOOKUP($D350,素材!$1:$1016,COLUMN($E$1),FALSE)/(LEN(VLOOKUP($D350,素材!$1:$1016,COLUMN($F$1),FALSE))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T350">
        <f>IF(ISNUMBER(SEARCH(SUBSTITUTE(AT$1,RIGHT(AT$1,2),""),VLOOKUP($D350,素材!$1:$1016,COLUMN($F$1),FALSE))),VLOOKUP($C350,武器!$1:$998,COLUMN($O$1),FALSE)*VLOOKUP($D350,素材!$1:$1016,COLUMN($E$1),FALSE)/(LEN(VLOOKUP($D350,素材!$1:$1016,COLUMN($F$1),FALSE))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U350">
        <f>IF(ISNUMBER(SEARCH(SUBSTITUTE(AU$1,RIGHT(AU$1,2),""),VLOOKUP($D350,素材!$1:$1016,COLUMN($F$1),FALSE))),VLOOKUP($C350,武器!$1:$998,COLUMN($O$1),FALSE)*VLOOKUP($D350,素材!$1:$1016,COLUMN($E$1),FALSE)/(LEN(VLOOKUP($D350,素材!$1:$1016,COLUMN($F$1),FALSE))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V350">
        <f>IF(ISNUMBER(SEARCH(SUBSTITUTE(AV$1,RIGHT(AV$1,2),""),VLOOKUP($D350,素材!$1:$1016,COLUMN($F$1),FALSE))),VLOOKUP($C350,武器!$1:$998,COLUMN($O$1),FALSE)*VLOOKUP($D350,素材!$1:$1016,COLUMN($E$1),FALSE)/(LEN(VLOOKUP($D350,素材!$1:$1016,COLUMN($F$1),FALSE))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W350">
        <f>IF(ISNUMBER(SEARCH(SUBSTITUTE(AW$1,RIGHT(AW$1,2),""),VLOOKUP($D350,素材!$1:$1016,COLUMN($F$1),FALSE))),VLOOKUP($C350,武器!$1:$998,COLUMN($O$1),FALSE)*VLOOKUP($D350,素材!$1:$1016,COLUMN($E$1),FALSE)/(LEN(VLOOKUP($D350,素材!$1:$1016,COLUMN($F$1),FALSE))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X350">
        <f>IF(ISNUMBER(SEARCH(SUBSTITUTE(AX$1,RIGHT(AX$1,2),""),VLOOKUP($D350,素材!$1:$1016,COLUMN($F$1),FALSE))),VLOOKUP($C350,武器!$1:$998,COLUMN($O$1),FALSE)*VLOOKUP($D350,素材!$1:$1016,COLUMN($E$1),FALSE)/(LEN(VLOOKUP($D350,素材!$1:$1016,COLUMN($F$1),FALSE))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Y350">
        <f>IF(ISNUMBER(SEARCH(SUBSTITUTE(AY$1,RIGHT(AY$1,2),""),VLOOKUP($D350,素材!$1:$1016,COLUMN($F$1),FALSE))),VLOOKUP($C350,武器!$1:$998,COLUMN($O$1),FALSE)*VLOOKUP($D350,素材!$1:$1016,COLUMN($E$1),FALSE)/(LEN(VLOOKUP($D350,素材!$1:$1016,COLUMN($F$1),FALSE))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AZ350">
        <f>IF(ISNUMBER(SEARCH(SUBSTITUTE(AZ$1,RIGHT(AZ$1,2),""),VLOOKUP($D350,素材!$1:$1016,COLUMN($F$1),FALSE))),VLOOKUP($C350,武器!$1:$998,COLUMN($O$1),FALSE)*VLOOKUP($D350,素材!$1:$1016,COLUMN($E$1),FALSE)/(LEN(VLOOKUP($D350,素材!$1:$1016,COLUMN($F$1),FALSE))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BA350">
        <f>IF(ISNUMBER(SEARCH(SUBSTITUTE(BA$1,RIGHT(BA$1,2),""),VLOOKUP($D350,素材!$1:$1016,COLUMN($F$1),FALSE))),VLOOKUP($C350,武器!$1:$998,COLUMN($O$1),FALSE)*VLOOKUP($D350,素材!$1:$1016,COLUMN($E$1),FALSE)/(LEN(VLOOKUP($D350,素材!$1:$1016,COLUMN($F$1),FALSE))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BB350">
        <f>IF(ISNUMBER(SEARCH(SUBSTITUTE(BB$1,RIGHT(BB$1,2),""),VLOOKUP($D350,素材!$1:$1016,COLUMN($F$1),FALSE))),VLOOKUP($C350,武器!$1:$998,COLUMN($O$1),FALSE)*VLOOKUP($D350,素材!$1:$1016,COLUMN($E$1),FALSE)/(LEN(VLOOKUP($D350,素材!$1:$1016,COLUMN($F$1),FALSE))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BC350">
        <f>IF(ISNUMBER(SEARCH(SUBSTITUTE(BC$1,RIGHT(BC$1,2),""),VLOOKUP($D350,素材!$1:$1016,COLUMN($F$1),FALSE))),VLOOKUP($C350,武器!$1:$998,COLUMN($O$1),FALSE)*VLOOKUP($D350,素材!$1:$1016,COLUMN($E$1),FALSE)/(LEN(VLOOKUP($D350,素材!$1:$1016,COLUMN($F$1),FALSE))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BD350">
        <f>IF(ISNUMBER(SEARCH(SUBSTITUTE(BD$1,RIGHT(BD$1,2),""),VLOOKUP($D350,素材!$1:$1016,COLUMN($F$1),FALSE))),VLOOKUP($C350,武器!$1:$998,COLUMN($O$1),FALSE)*VLOOKUP($D350,素材!$1:$1016,COLUMN($E$1),FALSE)/(LEN(VLOOKUP($D350,素材!$1:$1016,COLUMN($F$1),FALSE))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BE350">
        <f>IF(ISNUMBER(SEARCH(SUBSTITUTE(BE$1,RIGHT(BE$1,2),""),VLOOKUP($D350,素材!$1:$1016,COLUMN($F$1),FALSE))),VLOOKUP($C350,武器!$1:$998,COLUMN($O$1),FALSE)*VLOOKUP($D350,素材!$1:$1016,COLUMN($E$1),FALSE)/(LEN(VLOOKUP($D350,素材!$1:$1016,COLUMN($F$1),FALSE))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BF350">
        <f>IF(ISNUMBER(SEARCH(SUBSTITUTE(BF$1,RIGHT(BF$1,2),""),VLOOKUP($D350,素材!$1:$1016,COLUMN($F$1),FALSE))),VLOOKUP($C350,武器!$1:$998,COLUMN($O$1),FALSE)*VLOOKUP($D350,素材!$1:$1016,COLUMN($E$1),FALSE)/(LEN(VLOOKUP($D350,素材!$1:$1016,COLUMN($F$1),FALSE)) - LEN(SUBSTITUTE(VLOOKUP($D350,素材!$1:$1016,COLUMN($F$1),FALSE), "・", 0)) + 1), 0)</f>
        <v>0</v>
      </c>
      <c r="CM350">
        <f t="shared" si="39"/>
        <v>32</v>
      </c>
      <c r="CN350" s="22" t="str">
        <f>IF(E350="武器",IF(J350-1&gt;SUM(G350:I350),"盾",IF(MAX(G350:I350)=G350,"切断",IF(MAX(G350:I350)=H350,"貫通",IF(MAX(G350:I350)=I350,"打撃","射撃")))),E350)&amp;".webp"</f>
        <v>切断.webp</v>
      </c>
      <c r="CO350">
        <f>IFERROR(VLOOKUP($C350,武器!$1:$998,COLUMN(V$1),FALSE)*VLOOKUP($D350,素材!$1:$1016,COLUMN(N$1),FALSE)+IF(CJ350="",0,VLOOKUP($CJ350,装強!$1:$1008,COLUMN($CL$1),FALSE)),"")</f>
        <v>8000</v>
      </c>
      <c r="CP350">
        <f>VLOOKUP(D350,素材!$A:$O,COLUMN(素材!O$1),FALSE)</f>
        <v>0</v>
      </c>
      <c r="CQ350" t="str">
        <f>VLOOKUP(C350,武器!$A:$W,COLUMN(武器!W$1),FALSE)</f>
        <v>長剣。長く重い分扱いにくいが威力が高い。</v>
      </c>
      <c r="CS350" t="str">
        <f>"e_"&amp;ROW(CS350)</f>
        <v>e_350</v>
      </c>
      <c r="CT350">
        <f>CO350*100</f>
        <v>800000</v>
      </c>
    </row>
    <row r="351" spans="1:98" outlineLevel="1" x14ac:dyDescent="0.4">
      <c r="A351" t="str">
        <f t="shared" si="40"/>
        <v>金鉄の長剣</v>
      </c>
      <c r="B351" t="str">
        <f>IFERROR(VLOOKUP($D351,素材!$1:$1016,COLUMN($B$1),FALSE)&amp;"・"&amp;VLOOKUP($C351,武器!$1:$998,COLUMN(B$1),FALSE),"")</f>
        <v>オリハルコン・ロングソード</v>
      </c>
      <c r="C351" t="s">
        <v>195</v>
      </c>
      <c r="D351" s="24" t="s">
        <v>200</v>
      </c>
      <c r="E351" t="str">
        <f>IFERROR(VLOOKUP(C351,武器!$1:$998,COLUMN(C$1),FALSE),"")</f>
        <v>武器</v>
      </c>
      <c r="F351">
        <f>IFERROR(ROUNDDOWN((VLOOKUP($C351,武器!$1:$998,COLUMN(D$1),FALSE)+IFERROR(VLOOKUP($CJ351,装強!$1:$999,COLUMN(F$1),FALSE),0))*VLOOKUP($D351,素材!$1:$1016,COLUMN(D$1),FALSE),0),"")</f>
        <v>115</v>
      </c>
      <c r="G351">
        <f>IFERROR(ROUNDDOWN((VLOOKUP($C351,武器!$1:$998,COLUMN(E$1),FALSE)+IFERROR(VLOOKUP($CJ351,装強!$1:$999,COLUMN(G$1),FALSE),0))*VLOOKUP($D351,素材!$1:$1016,COLUMN($E$1),FALSE),0),"")</f>
        <v>26</v>
      </c>
      <c r="H351">
        <f>IFERROR(ROUNDDOWN((VLOOKUP($C351,武器!$1:$998,COLUMN(F$1),FALSE)+IFERROR(VLOOKUP($CJ351,装強!$1:$999,COLUMN(H$1),FALSE),0))*VLOOKUP($D351,素材!$1:$1016,COLUMN($E$1),FALSE),0),"")</f>
        <v>15</v>
      </c>
      <c r="I351">
        <f>IFERROR(ROUNDDOWN((VLOOKUP($C351,武器!$1:$998,COLUMN(G$1),FALSE)+IFERROR(VLOOKUP($CJ351,装強!$1:$999,COLUMN(I$1),FALSE),0))*VLOOKUP($D351,素材!$1:$1016,COLUMN($E$1),FALSE),0),"")</f>
        <v>5</v>
      </c>
      <c r="J351">
        <f>IFERROR(ROUNDDOWN((VLOOKUP($C351,武器!$1:$998,COLUMN(H$1),FALSE)+IFERROR(VLOOKUP($CJ351,装強!$1:$999,COLUMN(J$1),FALSE),0))*VLOOKUP($D351,素材!$1:$1016,COLUMN($E$1),FALSE),0),"")</f>
        <v>35</v>
      </c>
      <c r="K351">
        <f>IFERROR(ROUNDDOWN((VLOOKUP($C351,武器!$1:$998,COLUMN(I$1),FALSE)+IFERROR(VLOOKUP($CJ351,装強!$1:$999,COLUMN(K$1),FALSE),0))*VLOOKUP($D351,素材!$1:$1016,COLUMN($E$1),FALSE),0),"")</f>
        <v>0</v>
      </c>
      <c r="L351" t="str">
        <f>IFERROR(VLOOKUP($D351,素材!$1:$1016,COLUMN($F$1),FALSE),"")</f>
        <v>魔法</v>
      </c>
      <c r="M351">
        <f>IFERROR(VLOOKUP($C351,武器!$1:$998,COLUMN(AA$1),FALSE)*VLOOKUP($D351,素材!$1:$1016,COLUMN($G$1),FALSE),"")</f>
        <v>0</v>
      </c>
      <c r="N351">
        <f>IFERROR(VLOOKUP($C351,武器!$1:$998,COLUMN(I$1),FALSE),"")</f>
        <v>0</v>
      </c>
      <c r="O351" s="23">
        <f>IFERROR((VLOOKUP($C351,武器!$1:$998,COLUMN(K$1),FALSE)+VLOOKUP($D351,素材!$1:$1016,COLUMN(H$1),FALSE))*100+IFERROR(VLOOKUP($CJ351,装強!$1:$999,COLUMN(O$1),FALSE),0),"")</f>
        <v>12.000000000000002</v>
      </c>
      <c r="P351" s="23">
        <f>IFERROR((VLOOKUP($C351,武器!$1:$998,COLUMN(L$1),FALSE)+VLOOKUP($D351,素材!$1:$1016,COLUMN(I$1),FALSE))*100+IFERROR(VLOOKUP($CJ351,装強!$1:$999,COLUMN(P$1),FALSE),0),"")</f>
        <v>155</v>
      </c>
      <c r="Q351">
        <f>IFERROR(ROUNDUP(VLOOKUP($C351,武器!$1:$998,COLUMN(M$1),FALSE)*(VLOOKUP($D351,素材!$1:$1002,COLUMN(D$1),FALSE)/100),1),"")</f>
        <v>-2.5</v>
      </c>
      <c r="R351">
        <f>IFERROR(ROUNDUP(VLOOKUP($C351,武器!$1:$998,COLUMN(N$1),FALSE)*(VLOOKUP($D351,素材!$1:$1002,COLUMN(D$1),FALSE)/100),1),"")</f>
        <v>-2.5</v>
      </c>
      <c r="S351">
        <f>IFERROR(VLOOKUP($C351,武器!$1:$998,COLUMN(P$1),FALSE),"")</f>
        <v>0</v>
      </c>
      <c r="T351">
        <f>IFERROR(VLOOKUP($C351,武器!$1:$998,COLUMN(Q$1),FALSE),"")</f>
        <v>0</v>
      </c>
      <c r="U351">
        <f>IFERROR(VLOOKUP($C351,武器!$1:$998,COLUMN(R$1),FALSE),"")</f>
        <v>0</v>
      </c>
      <c r="V351">
        <f>IFERROR(VLOOKUP($C351,武器!$1:$998,COLUMN(Q$1),FALSE),"")</f>
        <v>0</v>
      </c>
      <c r="W351" t="str">
        <f>IFERROR(VLOOKUP($C351,武器!$1:$998,COLUMN(T$1),FALSE),"")</f>
        <v>A</v>
      </c>
      <c r="Y351">
        <f>IFERROR(VLOOKUP($C351,武器!$1:$998,COLUMN(U$1),FALSE),"")</f>
        <v>0</v>
      </c>
      <c r="Z351">
        <f>IFERROR(ROUNDUP(VLOOKUP($C351,武器!$1:$998,COLUMN(O$1),FALSE)*VLOOKUP($D351,素材!$1:$1016,COLUMN(E$1),FALSE),1),"")</f>
        <v>0</v>
      </c>
      <c r="AA351">
        <f>IF(ISNUMBER(SEARCH(SUBSTITUTE(AA$1,RIGHT(AA$1,2),""),VLOOKUP($D351,素材!$1:$1016,COLUMN($F$1),FALSE))),VLOOKUP($C351,武器!$1:$998,COLUMN($O$1),FALSE)*VLOOKUP($D351,素材!$1:$1016,COLUMN($E$1),FALSE)/(LEN(VLOOKUP($D351,素材!$1:$1016,COLUMN($F$1),FALSE))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B351">
        <f>IF(ISNUMBER(SEARCH(SUBSTITUTE(AB$1,RIGHT(AB$1,2),""),VLOOKUP($D351,素材!$1:$1016,COLUMN($F$1),FALSE))),VLOOKUP($C351,武器!$1:$998,COLUMN($O$1),FALSE)*VLOOKUP($D351,素材!$1:$1016,COLUMN($E$1),FALSE)/(LEN(VLOOKUP($D351,素材!$1:$1016,COLUMN($F$1),FALSE))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C351">
        <f>IF(ISNUMBER(SEARCH(SUBSTITUTE(AC$1,RIGHT(AC$1,2),""),VLOOKUP($D351,素材!$1:$1016,COLUMN($F$1),FALSE))),VLOOKUP($C351,武器!$1:$998,COLUMN($O$1),FALSE)*VLOOKUP($D351,素材!$1:$1016,COLUMN($E$1),FALSE)/(LEN(VLOOKUP($D351,素材!$1:$1016,COLUMN($F$1),FALSE))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D351">
        <f>IF(ISNUMBER(SEARCH(SUBSTITUTE(AD$1,RIGHT(AD$1,2),""),VLOOKUP($D351,素材!$1:$1016,COLUMN($F$1),FALSE))),VLOOKUP($C351,武器!$1:$998,COLUMN($O$1),FALSE)*VLOOKUP($D351,素材!$1:$1016,COLUMN($E$1),FALSE)/(LEN(VLOOKUP($D351,素材!$1:$1016,COLUMN($F$1),FALSE))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E351">
        <f>IF(ISNUMBER(SEARCH(SUBSTITUTE(AE$1,RIGHT(AE$1,2),""),VLOOKUP($D351,素材!$1:$1016,COLUMN($F$1),FALSE))),VLOOKUP($C351,武器!$1:$998,COLUMN($O$1),FALSE)*VLOOKUP($D351,素材!$1:$1016,COLUMN($E$1),FALSE)/(LEN(VLOOKUP($D351,素材!$1:$1016,COLUMN($F$1),FALSE))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F351">
        <f>IF(ISNUMBER(SEARCH(SUBSTITUTE(AF$1,RIGHT(AF$1,2),""),VLOOKUP($D351,素材!$1:$1016,COLUMN($F$1),FALSE))),VLOOKUP($C351,武器!$1:$998,COLUMN($O$1),FALSE)*VLOOKUP($D351,素材!$1:$1016,COLUMN($E$1),FALSE)/(LEN(VLOOKUP($D351,素材!$1:$1016,COLUMN($F$1),FALSE))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G351">
        <f>IF(ISNUMBER(SEARCH(SUBSTITUTE(AG$1,RIGHT(AG$1,2),""),VLOOKUP($D351,素材!$1:$1016,COLUMN($F$1),FALSE))),VLOOKUP($C351,武器!$1:$998,COLUMN($O$1),FALSE)*VLOOKUP($D351,素材!$1:$1016,COLUMN($E$1),FALSE)/(LEN(VLOOKUP($D351,素材!$1:$1016,COLUMN($F$1),FALSE))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H351">
        <f>IF(ISNUMBER(SEARCH(SUBSTITUTE(AH$1,RIGHT(AH$1,2),""),VLOOKUP($D351,素材!$1:$1016,COLUMN($F$1),FALSE))),VLOOKUP($C351,武器!$1:$998,COLUMN($O$1),FALSE)*VLOOKUP($D351,素材!$1:$1016,COLUMN($E$1),FALSE)/(LEN(VLOOKUP($D351,素材!$1:$1016,COLUMN($F$1),FALSE))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I351">
        <f>IF(ISNUMBER(SEARCH(SUBSTITUTE(AI$1,RIGHT(AI$1,2),""),VLOOKUP($D351,素材!$1:$1016,COLUMN($F$1),FALSE))),VLOOKUP($C351,武器!$1:$998,COLUMN($O$1),FALSE)*VLOOKUP($D351,素材!$1:$1016,COLUMN($E$1),FALSE)/(LEN(VLOOKUP($D351,素材!$1:$1016,COLUMN($F$1),FALSE))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J351">
        <f>IF(ISNUMBER(SEARCH(SUBSTITUTE(AJ$1,RIGHT(AJ$1,2),""),VLOOKUP($D351,素材!$1:$1016,COLUMN($F$1),FALSE))),VLOOKUP($C351,武器!$1:$998,COLUMN($O$1),FALSE)*VLOOKUP($D351,素材!$1:$1016,COLUMN($E$1),FALSE)/(LEN(VLOOKUP($D351,素材!$1:$1016,COLUMN($F$1),FALSE))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K351">
        <f>IF(ISNUMBER(SEARCH(SUBSTITUTE(AK$1,RIGHT(AK$1,2),""),VLOOKUP($D351,素材!$1:$1016,COLUMN($F$1),FALSE))),VLOOKUP($C351,武器!$1:$998,COLUMN($O$1),FALSE)*VLOOKUP($D351,素材!$1:$1016,COLUMN($E$1),FALSE)/(LEN(VLOOKUP($D351,素材!$1:$1016,COLUMN($F$1),FALSE))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L351">
        <f>IF(ISNUMBER(SEARCH(SUBSTITUTE(AL$1,RIGHT(AL$1,2),""),VLOOKUP($D351,素材!$1:$1016,COLUMN($F$1),FALSE))),VLOOKUP($C351,武器!$1:$998,COLUMN($O$1),FALSE)*VLOOKUP($D351,素材!$1:$1016,COLUMN($E$1),FALSE)/(LEN(VLOOKUP($D351,素材!$1:$1016,COLUMN($F$1),FALSE))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M351">
        <f>IF(ISNUMBER(SEARCH(SUBSTITUTE(AM$1,RIGHT(AM$1,2),""),VLOOKUP($D351,素材!$1:$1016,COLUMN($F$1),FALSE))),VLOOKUP($C351,武器!$1:$998,COLUMN($O$1),FALSE)*VLOOKUP($D351,素材!$1:$1016,COLUMN($E$1),FALSE)/(LEN(VLOOKUP($D351,素材!$1:$1016,COLUMN($F$1),FALSE))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N351">
        <f>IF(ISNUMBER(SEARCH(SUBSTITUTE(AN$1,RIGHT(AN$1,2),""),VLOOKUP($D351,素材!$1:$1016,COLUMN($F$1),FALSE))),VLOOKUP($C351,武器!$1:$998,COLUMN($O$1),FALSE)*VLOOKUP($D351,素材!$1:$1016,COLUMN($E$1),FALSE)/(LEN(VLOOKUP($D351,素材!$1:$1016,COLUMN($F$1),FALSE))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O351">
        <f>IF(ISNUMBER(SEARCH(SUBSTITUTE(AO$1,RIGHT(AO$1,2),""),VLOOKUP($D351,素材!$1:$1016,COLUMN($F$1),FALSE))),VLOOKUP($C351,武器!$1:$998,COLUMN($O$1),FALSE)*VLOOKUP($D351,素材!$1:$1016,COLUMN($E$1),FALSE)/(LEN(VLOOKUP($D351,素材!$1:$1016,COLUMN($F$1),FALSE))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P351">
        <f>IF(ISNUMBER(SEARCH(SUBSTITUTE(AP$1,RIGHT(AP$1,2),""),VLOOKUP($D351,素材!$1:$1016,COLUMN($F$1),FALSE))),VLOOKUP($C351,武器!$1:$998,COLUMN($O$1),FALSE)*VLOOKUP($D351,素材!$1:$1016,COLUMN($E$1),FALSE)/(LEN(VLOOKUP($D351,素材!$1:$1016,COLUMN($F$1),FALSE))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Q351">
        <f>IF(ISNUMBER(SEARCH(SUBSTITUTE(AQ$1,RIGHT(AQ$1,2),""),VLOOKUP($D351,素材!$1:$1016,COLUMN($F$1),FALSE))),VLOOKUP($C351,武器!$1:$998,COLUMN($O$1),FALSE)*VLOOKUP($D351,素材!$1:$1016,COLUMN($E$1),FALSE)/(LEN(VLOOKUP($D351,素材!$1:$1016,COLUMN($F$1),FALSE))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R351">
        <f>IF(ISNUMBER(SEARCH(SUBSTITUTE(AR$1,RIGHT(AR$1,2),""),VLOOKUP($D351,素材!$1:$1016,COLUMN($F$1),FALSE))),VLOOKUP($C351,武器!$1:$998,COLUMN($O$1),FALSE)*VLOOKUP($D351,素材!$1:$1016,COLUMN($E$1),FALSE)/(LEN(VLOOKUP($D351,素材!$1:$1016,COLUMN($F$1),FALSE))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S351">
        <f>IF(ISNUMBER(SEARCH(SUBSTITUTE(AS$1,RIGHT(AS$1,2),""),VLOOKUP($D351,素材!$1:$1016,COLUMN($F$1),FALSE))),VLOOKUP($C351,武器!$1:$998,COLUMN($O$1),FALSE)*VLOOKUP($D351,素材!$1:$1016,COLUMN($E$1),FALSE)/(LEN(VLOOKUP($D351,素材!$1:$1016,COLUMN($F$1),FALSE))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T351">
        <f>IF(ISNUMBER(SEARCH(SUBSTITUTE(AT$1,RIGHT(AT$1,2),""),VLOOKUP($D351,素材!$1:$1016,COLUMN($F$1),FALSE))),VLOOKUP($C351,武器!$1:$998,COLUMN($O$1),FALSE)*VLOOKUP($D351,素材!$1:$1016,COLUMN($E$1),FALSE)/(LEN(VLOOKUP($D351,素材!$1:$1016,COLUMN($F$1),FALSE))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U351">
        <f>IF(ISNUMBER(SEARCH(SUBSTITUTE(AU$1,RIGHT(AU$1,2),""),VLOOKUP($D351,素材!$1:$1016,COLUMN($F$1),FALSE))),VLOOKUP($C351,武器!$1:$998,COLUMN($O$1),FALSE)*VLOOKUP($D351,素材!$1:$1016,COLUMN($E$1),FALSE)/(LEN(VLOOKUP($D351,素材!$1:$1016,COLUMN($F$1),FALSE))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V351">
        <f>IF(ISNUMBER(SEARCH(SUBSTITUTE(AV$1,RIGHT(AV$1,2),""),VLOOKUP($D351,素材!$1:$1016,COLUMN($F$1),FALSE))),VLOOKUP($C351,武器!$1:$998,COLUMN($O$1),FALSE)*VLOOKUP($D351,素材!$1:$1016,COLUMN($E$1),FALSE)/(LEN(VLOOKUP($D351,素材!$1:$1016,COLUMN($F$1),FALSE))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W351">
        <f>IF(ISNUMBER(SEARCH(SUBSTITUTE(AW$1,RIGHT(AW$1,2),""),VLOOKUP($D351,素材!$1:$1016,COLUMN($F$1),FALSE))),VLOOKUP($C351,武器!$1:$998,COLUMN($O$1),FALSE)*VLOOKUP($D351,素材!$1:$1016,COLUMN($E$1),FALSE)/(LEN(VLOOKUP($D351,素材!$1:$1016,COLUMN($F$1),FALSE))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X351">
        <f>IF(ISNUMBER(SEARCH(SUBSTITUTE(AX$1,RIGHT(AX$1,2),""),VLOOKUP($D351,素材!$1:$1016,COLUMN($F$1),FALSE))),VLOOKUP($C351,武器!$1:$998,COLUMN($O$1),FALSE)*VLOOKUP($D351,素材!$1:$1016,COLUMN($E$1),FALSE)/(LEN(VLOOKUP($D351,素材!$1:$1016,COLUMN($F$1),FALSE))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Y351">
        <f>IF(ISNUMBER(SEARCH(SUBSTITUTE(AY$1,RIGHT(AY$1,2),""),VLOOKUP($D351,素材!$1:$1016,COLUMN($F$1),FALSE))),VLOOKUP($C351,武器!$1:$998,COLUMN($O$1),FALSE)*VLOOKUP($D351,素材!$1:$1016,COLUMN($E$1),FALSE)/(LEN(VLOOKUP($D351,素材!$1:$1016,COLUMN($F$1),FALSE))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AZ351">
        <f>IF(ISNUMBER(SEARCH(SUBSTITUTE(AZ$1,RIGHT(AZ$1,2),""),VLOOKUP($D351,素材!$1:$1016,COLUMN($F$1),FALSE))),VLOOKUP($C351,武器!$1:$998,COLUMN($O$1),FALSE)*VLOOKUP($D351,素材!$1:$1016,COLUMN($E$1),FALSE)/(LEN(VLOOKUP($D351,素材!$1:$1016,COLUMN($F$1),FALSE))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BA351">
        <f>IF(ISNUMBER(SEARCH(SUBSTITUTE(BA$1,RIGHT(BA$1,2),""),VLOOKUP($D351,素材!$1:$1016,COLUMN($F$1),FALSE))),VLOOKUP($C351,武器!$1:$998,COLUMN($O$1),FALSE)*VLOOKUP($D351,素材!$1:$1016,COLUMN($E$1),FALSE)/(LEN(VLOOKUP($D351,素材!$1:$1016,COLUMN($F$1),FALSE))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BB351">
        <f>IF(ISNUMBER(SEARCH(SUBSTITUTE(BB$1,RIGHT(BB$1,2),""),VLOOKUP($D351,素材!$1:$1016,COLUMN($F$1),FALSE))),VLOOKUP($C351,武器!$1:$998,COLUMN($O$1),FALSE)*VLOOKUP($D351,素材!$1:$1016,COLUMN($E$1),FALSE)/(LEN(VLOOKUP($D351,素材!$1:$1016,COLUMN($F$1),FALSE))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BC351">
        <f>IF(ISNUMBER(SEARCH(SUBSTITUTE(BC$1,RIGHT(BC$1,2),""),VLOOKUP($D351,素材!$1:$1016,COLUMN($F$1),FALSE))),VLOOKUP($C351,武器!$1:$998,COLUMN($O$1),FALSE)*VLOOKUP($D351,素材!$1:$1016,COLUMN($E$1),FALSE)/(LEN(VLOOKUP($D351,素材!$1:$1016,COLUMN($F$1),FALSE))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BD351">
        <f>IF(ISNUMBER(SEARCH(SUBSTITUTE(BD$1,RIGHT(BD$1,2),""),VLOOKUP($D351,素材!$1:$1016,COLUMN($F$1),FALSE))),VLOOKUP($C351,武器!$1:$998,COLUMN($O$1),FALSE)*VLOOKUP($D351,素材!$1:$1016,COLUMN($E$1),FALSE)/(LEN(VLOOKUP($D351,素材!$1:$1016,COLUMN($F$1),FALSE))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BE351">
        <f>IF(ISNUMBER(SEARCH(SUBSTITUTE(BE$1,RIGHT(BE$1,2),""),VLOOKUP($D351,素材!$1:$1016,COLUMN($F$1),FALSE))),VLOOKUP($C351,武器!$1:$998,COLUMN($O$1),FALSE)*VLOOKUP($D351,素材!$1:$1016,COLUMN($E$1),FALSE)/(LEN(VLOOKUP($D351,素材!$1:$1016,COLUMN($F$1),FALSE))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BF351">
        <f>IF(ISNUMBER(SEARCH(SUBSTITUTE(BF$1,RIGHT(BF$1,2),""),VLOOKUP($D351,素材!$1:$1016,COLUMN($F$1),FALSE))),VLOOKUP($C351,武器!$1:$998,COLUMN($O$1),FALSE)*VLOOKUP($D351,素材!$1:$1016,COLUMN($E$1),FALSE)/(LEN(VLOOKUP($D351,素材!$1:$1016,COLUMN($F$1),FALSE)) - LEN(SUBSTITUTE(VLOOKUP($D351,素材!$1:$1016,COLUMN($F$1),FALSE), "・", 0)) + 1), 0)</f>
        <v>0</v>
      </c>
      <c r="CM351">
        <f t="shared" si="39"/>
        <v>46</v>
      </c>
      <c r="CN351" s="22" t="str">
        <f>IF(E351="武器",IF(J351-1&gt;SUM(G351:I351),"盾",IF(MAX(G351:I351)=G351,"切断",IF(MAX(G351:I351)=H351,"貫通",IF(MAX(G351:I351)=I351,"打撃","射撃")))),E351)&amp;".webp"</f>
        <v>切断.webp</v>
      </c>
      <c r="CO351">
        <f>IFERROR(VLOOKUP($C351,武器!$1:$998,COLUMN(V$1),FALSE)*VLOOKUP($D351,素材!$1:$1016,COLUMN(N$1),FALSE)+IF(CJ351="",0,VLOOKUP($CJ351,装強!$1:$1008,COLUMN($CL$1),FALSE)),"")</f>
        <v>9000</v>
      </c>
      <c r="CP351">
        <f>VLOOKUP(D351,素材!$A:$O,COLUMN(素材!O$1),FALSE)</f>
        <v>0</v>
      </c>
      <c r="CQ351" t="str">
        <f>VLOOKUP(C351,武器!$A:$W,COLUMN(武器!W$1),FALSE)</f>
        <v>長剣。長く重い分扱いにくいが威力が高い。</v>
      </c>
      <c r="CS351" t="str">
        <f>"e_"&amp;ROW(CS351)</f>
        <v>e_351</v>
      </c>
      <c r="CT351">
        <f>CO351*100</f>
        <v>900000</v>
      </c>
    </row>
    <row r="352" spans="1:98" outlineLevel="1" x14ac:dyDescent="0.4">
      <c r="A352" t="str">
        <f t="shared" si="40"/>
        <v>黒鉄の長剣</v>
      </c>
      <c r="B352" t="str">
        <f>IFERROR(VLOOKUP($D352,素材!$1:$1016,COLUMN($B$1),FALSE)&amp;"・"&amp;VLOOKUP($C352,武器!$1:$998,COLUMN(B$1),FALSE),"")</f>
        <v>アダマンタイト・ロングソード</v>
      </c>
      <c r="C352" t="s">
        <v>195</v>
      </c>
      <c r="D352" s="24" t="s">
        <v>199</v>
      </c>
      <c r="E352" t="str">
        <f>IFERROR(VLOOKUP(C352,武器!$1:$998,COLUMN(C$1),FALSE),"")</f>
        <v>武器</v>
      </c>
      <c r="F352">
        <f>IFERROR(ROUNDDOWN((VLOOKUP($C352,武器!$1:$998,COLUMN(D$1),FALSE)+IFERROR(VLOOKUP($CJ352,装強!$1:$999,COLUMN(F$1),FALSE),0))*VLOOKUP($D352,素材!$1:$1016,COLUMN(D$1),FALSE),0),"")</f>
        <v>132</v>
      </c>
      <c r="G352">
        <f>IFERROR(ROUNDDOWN((VLOOKUP($C352,武器!$1:$998,COLUMN(E$1),FALSE)+IFERROR(VLOOKUP($CJ352,装強!$1:$999,COLUMN(G$1),FALSE),0))*VLOOKUP($D352,素材!$1:$1016,COLUMN($E$1),FALSE),0),"")</f>
        <v>30</v>
      </c>
      <c r="H352">
        <f>IFERROR(ROUNDDOWN((VLOOKUP($C352,武器!$1:$998,COLUMN(F$1),FALSE)+IFERROR(VLOOKUP($CJ352,装強!$1:$999,COLUMN(H$1),FALSE),0))*VLOOKUP($D352,素材!$1:$1016,COLUMN($E$1),FALSE),0),"")</f>
        <v>18</v>
      </c>
      <c r="I352">
        <f>IFERROR(ROUNDDOWN((VLOOKUP($C352,武器!$1:$998,COLUMN(G$1),FALSE)+IFERROR(VLOOKUP($CJ352,装強!$1:$999,COLUMN(I$1),FALSE),0))*VLOOKUP($D352,素材!$1:$1016,COLUMN($E$1),FALSE),0),"")</f>
        <v>6</v>
      </c>
      <c r="J352">
        <f>IFERROR(ROUNDDOWN((VLOOKUP($C352,武器!$1:$998,COLUMN(H$1),FALSE)+IFERROR(VLOOKUP($CJ352,装強!$1:$999,COLUMN(J$1),FALSE),0))*VLOOKUP($D352,素材!$1:$1016,COLUMN($E$1),FALSE),0),"")</f>
        <v>40</v>
      </c>
      <c r="K352">
        <f>IFERROR(ROUNDDOWN((VLOOKUP($C352,武器!$1:$998,COLUMN(I$1),FALSE)+IFERROR(VLOOKUP($CJ352,装強!$1:$999,COLUMN(K$1),FALSE),0))*VLOOKUP($D352,素材!$1:$1016,COLUMN($E$1),FALSE),0),"")</f>
        <v>0</v>
      </c>
      <c r="L352">
        <f>IFERROR(VLOOKUP($D352,素材!$1:$1016,COLUMN($F$1),FALSE),"")</f>
        <v>0</v>
      </c>
      <c r="M352">
        <f>IFERROR(VLOOKUP($C352,武器!$1:$998,COLUMN(AA$1),FALSE)*VLOOKUP($D352,素材!$1:$1016,COLUMN($G$1),FALSE),"")</f>
        <v>0</v>
      </c>
      <c r="N352">
        <f>IFERROR(VLOOKUP($C352,武器!$1:$998,COLUMN(I$1),FALSE),"")</f>
        <v>0</v>
      </c>
      <c r="O352" s="23">
        <f>IFERROR((VLOOKUP($C352,武器!$1:$998,COLUMN(K$1),FALSE)+VLOOKUP($D352,素材!$1:$1016,COLUMN(H$1),FALSE))*100+IFERROR(VLOOKUP($CJ352,装強!$1:$999,COLUMN(O$1),FALSE),0),"")</f>
        <v>12.000000000000002</v>
      </c>
      <c r="P352" s="23">
        <f>IFERROR((VLOOKUP($C352,武器!$1:$998,COLUMN(L$1),FALSE)+VLOOKUP($D352,素材!$1:$1016,COLUMN(I$1),FALSE))*100+IFERROR(VLOOKUP($CJ352,装強!$1:$999,COLUMN(P$1),FALSE),0),"")</f>
        <v>155</v>
      </c>
      <c r="Q352">
        <f>IFERROR(ROUNDUP(VLOOKUP($C352,武器!$1:$998,COLUMN(M$1),FALSE)*(VLOOKUP($D352,素材!$1:$1002,COLUMN(D$1),FALSE)/100),1),"")</f>
        <v>-2.9</v>
      </c>
      <c r="R352">
        <f>IFERROR(ROUNDUP(VLOOKUP($C352,武器!$1:$998,COLUMN(N$1),FALSE)*(VLOOKUP($D352,素材!$1:$1002,COLUMN(D$1),FALSE)/100),1),"")</f>
        <v>-2.9</v>
      </c>
      <c r="S352">
        <f>IFERROR(VLOOKUP($C352,武器!$1:$998,COLUMN(P$1),FALSE),"")</f>
        <v>0</v>
      </c>
      <c r="T352">
        <f>IFERROR(VLOOKUP($C352,武器!$1:$998,COLUMN(Q$1),FALSE),"")</f>
        <v>0</v>
      </c>
      <c r="U352">
        <f>IFERROR(VLOOKUP($C352,武器!$1:$998,COLUMN(R$1),FALSE),"")</f>
        <v>0</v>
      </c>
      <c r="V352">
        <f>IFERROR(VLOOKUP($C352,武器!$1:$998,COLUMN(Q$1),FALSE),"")</f>
        <v>0</v>
      </c>
      <c r="W352" t="str">
        <f>IFERROR(VLOOKUP($C352,武器!$1:$998,COLUMN(T$1),FALSE),"")</f>
        <v>A</v>
      </c>
      <c r="Y352">
        <f>IFERROR(VLOOKUP($C352,武器!$1:$998,COLUMN(U$1),FALSE),"")</f>
        <v>0</v>
      </c>
      <c r="Z352">
        <f>IFERROR(ROUNDUP(VLOOKUP($C352,武器!$1:$998,COLUMN(O$1),FALSE)*VLOOKUP($D352,素材!$1:$1016,COLUMN(E$1),FALSE),1),"")</f>
        <v>0</v>
      </c>
      <c r="AA352">
        <f>IF(ISNUMBER(SEARCH(SUBSTITUTE(AA$1,RIGHT(AA$1,2),""),VLOOKUP($D352,素材!$1:$1016,COLUMN($F$1),FALSE))),VLOOKUP($C352,武器!$1:$998,COLUMN($O$1),FALSE)*VLOOKUP($D352,素材!$1:$1016,COLUMN($E$1),FALSE)/(LEN(VLOOKUP($D352,素材!$1:$1016,COLUMN($F$1),FALSE))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B352">
        <f>IF(ISNUMBER(SEARCH(SUBSTITUTE(AB$1,RIGHT(AB$1,2),""),VLOOKUP($D352,素材!$1:$1016,COLUMN($F$1),FALSE))),VLOOKUP($C352,武器!$1:$998,COLUMN($O$1),FALSE)*VLOOKUP($D352,素材!$1:$1016,COLUMN($E$1),FALSE)/(LEN(VLOOKUP($D352,素材!$1:$1016,COLUMN($F$1),FALSE))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C352">
        <f>IF(ISNUMBER(SEARCH(SUBSTITUTE(AC$1,RIGHT(AC$1,2),""),VLOOKUP($D352,素材!$1:$1016,COLUMN($F$1),FALSE))),VLOOKUP($C352,武器!$1:$998,COLUMN($O$1),FALSE)*VLOOKUP($D352,素材!$1:$1016,COLUMN($E$1),FALSE)/(LEN(VLOOKUP($D352,素材!$1:$1016,COLUMN($F$1),FALSE))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D352">
        <f>IF(ISNUMBER(SEARCH(SUBSTITUTE(AD$1,RIGHT(AD$1,2),""),VLOOKUP($D352,素材!$1:$1016,COLUMN($F$1),FALSE))),VLOOKUP($C352,武器!$1:$998,COLUMN($O$1),FALSE)*VLOOKUP($D352,素材!$1:$1016,COLUMN($E$1),FALSE)/(LEN(VLOOKUP($D352,素材!$1:$1016,COLUMN($F$1),FALSE))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E352">
        <f>IF(ISNUMBER(SEARCH(SUBSTITUTE(AE$1,RIGHT(AE$1,2),""),VLOOKUP($D352,素材!$1:$1016,COLUMN($F$1),FALSE))),VLOOKUP($C352,武器!$1:$998,COLUMN($O$1),FALSE)*VLOOKUP($D352,素材!$1:$1016,COLUMN($E$1),FALSE)/(LEN(VLOOKUP($D352,素材!$1:$1016,COLUMN($F$1),FALSE))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F352">
        <f>IF(ISNUMBER(SEARCH(SUBSTITUTE(AF$1,RIGHT(AF$1,2),""),VLOOKUP($D352,素材!$1:$1016,COLUMN($F$1),FALSE))),VLOOKUP($C352,武器!$1:$998,COLUMN($O$1),FALSE)*VLOOKUP($D352,素材!$1:$1016,COLUMN($E$1),FALSE)/(LEN(VLOOKUP($D352,素材!$1:$1016,COLUMN($F$1),FALSE))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G352">
        <f>IF(ISNUMBER(SEARCH(SUBSTITUTE(AG$1,RIGHT(AG$1,2),""),VLOOKUP($D352,素材!$1:$1016,COLUMN($F$1),FALSE))),VLOOKUP($C352,武器!$1:$998,COLUMN($O$1),FALSE)*VLOOKUP($D352,素材!$1:$1016,COLUMN($E$1),FALSE)/(LEN(VLOOKUP($D352,素材!$1:$1016,COLUMN($F$1),FALSE))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H352">
        <f>IF(ISNUMBER(SEARCH(SUBSTITUTE(AH$1,RIGHT(AH$1,2),""),VLOOKUP($D352,素材!$1:$1016,COLUMN($F$1),FALSE))),VLOOKUP($C352,武器!$1:$998,COLUMN($O$1),FALSE)*VLOOKUP($D352,素材!$1:$1016,COLUMN($E$1),FALSE)/(LEN(VLOOKUP($D352,素材!$1:$1016,COLUMN($F$1),FALSE))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I352">
        <f>IF(ISNUMBER(SEARCH(SUBSTITUTE(AI$1,RIGHT(AI$1,2),""),VLOOKUP($D352,素材!$1:$1016,COLUMN($F$1),FALSE))),VLOOKUP($C352,武器!$1:$998,COLUMN($O$1),FALSE)*VLOOKUP($D352,素材!$1:$1016,COLUMN($E$1),FALSE)/(LEN(VLOOKUP($D352,素材!$1:$1016,COLUMN($F$1),FALSE))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J352">
        <f>IF(ISNUMBER(SEARCH(SUBSTITUTE(AJ$1,RIGHT(AJ$1,2),""),VLOOKUP($D352,素材!$1:$1016,COLUMN($F$1),FALSE))),VLOOKUP($C352,武器!$1:$998,COLUMN($O$1),FALSE)*VLOOKUP($D352,素材!$1:$1016,COLUMN($E$1),FALSE)/(LEN(VLOOKUP($D352,素材!$1:$1016,COLUMN($F$1),FALSE))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K352">
        <f>IF(ISNUMBER(SEARCH(SUBSTITUTE(AK$1,RIGHT(AK$1,2),""),VLOOKUP($D352,素材!$1:$1016,COLUMN($F$1),FALSE))),VLOOKUP($C352,武器!$1:$998,COLUMN($O$1),FALSE)*VLOOKUP($D352,素材!$1:$1016,COLUMN($E$1),FALSE)/(LEN(VLOOKUP($D352,素材!$1:$1016,COLUMN($F$1),FALSE))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L352">
        <f>IF(ISNUMBER(SEARCH(SUBSTITUTE(AL$1,RIGHT(AL$1,2),""),VLOOKUP($D352,素材!$1:$1016,COLUMN($F$1),FALSE))),VLOOKUP($C352,武器!$1:$998,COLUMN($O$1),FALSE)*VLOOKUP($D352,素材!$1:$1016,COLUMN($E$1),FALSE)/(LEN(VLOOKUP($D352,素材!$1:$1016,COLUMN($F$1),FALSE))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M352">
        <f>IF(ISNUMBER(SEARCH(SUBSTITUTE(AM$1,RIGHT(AM$1,2),""),VLOOKUP($D352,素材!$1:$1016,COLUMN($F$1),FALSE))),VLOOKUP($C352,武器!$1:$998,COLUMN($O$1),FALSE)*VLOOKUP($D352,素材!$1:$1016,COLUMN($E$1),FALSE)/(LEN(VLOOKUP($D352,素材!$1:$1016,COLUMN($F$1),FALSE))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N352">
        <f>IF(ISNUMBER(SEARCH(SUBSTITUTE(AN$1,RIGHT(AN$1,2),""),VLOOKUP($D352,素材!$1:$1016,COLUMN($F$1),FALSE))),VLOOKUP($C352,武器!$1:$998,COLUMN($O$1),FALSE)*VLOOKUP($D352,素材!$1:$1016,COLUMN($E$1),FALSE)/(LEN(VLOOKUP($D352,素材!$1:$1016,COLUMN($F$1),FALSE))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O352">
        <f>IF(ISNUMBER(SEARCH(SUBSTITUTE(AO$1,RIGHT(AO$1,2),""),VLOOKUP($D352,素材!$1:$1016,COLUMN($F$1),FALSE))),VLOOKUP($C352,武器!$1:$998,COLUMN($O$1),FALSE)*VLOOKUP($D352,素材!$1:$1016,COLUMN($E$1),FALSE)/(LEN(VLOOKUP($D352,素材!$1:$1016,COLUMN($F$1),FALSE))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P352">
        <f>IF(ISNUMBER(SEARCH(SUBSTITUTE(AP$1,RIGHT(AP$1,2),""),VLOOKUP($D352,素材!$1:$1016,COLUMN($F$1),FALSE))),VLOOKUP($C352,武器!$1:$998,COLUMN($O$1),FALSE)*VLOOKUP($D352,素材!$1:$1016,COLUMN($E$1),FALSE)/(LEN(VLOOKUP($D352,素材!$1:$1016,COLUMN($F$1),FALSE))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Q352">
        <f>IF(ISNUMBER(SEARCH(SUBSTITUTE(AQ$1,RIGHT(AQ$1,2),""),VLOOKUP($D352,素材!$1:$1016,COLUMN($F$1),FALSE))),VLOOKUP($C352,武器!$1:$998,COLUMN($O$1),FALSE)*VLOOKUP($D352,素材!$1:$1016,COLUMN($E$1),FALSE)/(LEN(VLOOKUP($D352,素材!$1:$1016,COLUMN($F$1),FALSE))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R352">
        <f>IF(ISNUMBER(SEARCH(SUBSTITUTE(AR$1,RIGHT(AR$1,2),""),VLOOKUP($D352,素材!$1:$1016,COLUMN($F$1),FALSE))),VLOOKUP($C352,武器!$1:$998,COLUMN($O$1),FALSE)*VLOOKUP($D352,素材!$1:$1016,COLUMN($E$1),FALSE)/(LEN(VLOOKUP($D352,素材!$1:$1016,COLUMN($F$1),FALSE))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S352">
        <f>IF(ISNUMBER(SEARCH(SUBSTITUTE(AS$1,RIGHT(AS$1,2),""),VLOOKUP($D352,素材!$1:$1016,COLUMN($F$1),FALSE))),VLOOKUP($C352,武器!$1:$998,COLUMN($O$1),FALSE)*VLOOKUP($D352,素材!$1:$1016,COLUMN($E$1),FALSE)/(LEN(VLOOKUP($D352,素材!$1:$1016,COLUMN($F$1),FALSE))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T352">
        <f>IF(ISNUMBER(SEARCH(SUBSTITUTE(AT$1,RIGHT(AT$1,2),""),VLOOKUP($D352,素材!$1:$1016,COLUMN($F$1),FALSE))),VLOOKUP($C352,武器!$1:$998,COLUMN($O$1),FALSE)*VLOOKUP($D352,素材!$1:$1016,COLUMN($E$1),FALSE)/(LEN(VLOOKUP($D352,素材!$1:$1016,COLUMN($F$1),FALSE))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U352">
        <f>IF(ISNUMBER(SEARCH(SUBSTITUTE(AU$1,RIGHT(AU$1,2),""),VLOOKUP($D352,素材!$1:$1016,COLUMN($F$1),FALSE))),VLOOKUP($C352,武器!$1:$998,COLUMN($O$1),FALSE)*VLOOKUP($D352,素材!$1:$1016,COLUMN($E$1),FALSE)/(LEN(VLOOKUP($D352,素材!$1:$1016,COLUMN($F$1),FALSE))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V352">
        <f>IF(ISNUMBER(SEARCH(SUBSTITUTE(AV$1,RIGHT(AV$1,2),""),VLOOKUP($D352,素材!$1:$1016,COLUMN($F$1),FALSE))),VLOOKUP($C352,武器!$1:$998,COLUMN($O$1),FALSE)*VLOOKUP($D352,素材!$1:$1016,COLUMN($E$1),FALSE)/(LEN(VLOOKUP($D352,素材!$1:$1016,COLUMN($F$1),FALSE))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W352">
        <f>IF(ISNUMBER(SEARCH(SUBSTITUTE(AW$1,RIGHT(AW$1,2),""),VLOOKUP($D352,素材!$1:$1016,COLUMN($F$1),FALSE))),VLOOKUP($C352,武器!$1:$998,COLUMN($O$1),FALSE)*VLOOKUP($D352,素材!$1:$1016,COLUMN($E$1),FALSE)/(LEN(VLOOKUP($D352,素材!$1:$1016,COLUMN($F$1),FALSE))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X352">
        <f>IF(ISNUMBER(SEARCH(SUBSTITUTE(AX$1,RIGHT(AX$1,2),""),VLOOKUP($D352,素材!$1:$1016,COLUMN($F$1),FALSE))),VLOOKUP($C352,武器!$1:$998,COLUMN($O$1),FALSE)*VLOOKUP($D352,素材!$1:$1016,COLUMN($E$1),FALSE)/(LEN(VLOOKUP($D352,素材!$1:$1016,COLUMN($F$1),FALSE))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Y352">
        <f>IF(ISNUMBER(SEARCH(SUBSTITUTE(AY$1,RIGHT(AY$1,2),""),VLOOKUP($D352,素材!$1:$1016,COLUMN($F$1),FALSE))),VLOOKUP($C352,武器!$1:$998,COLUMN($O$1),FALSE)*VLOOKUP($D352,素材!$1:$1016,COLUMN($E$1),FALSE)/(LEN(VLOOKUP($D352,素材!$1:$1016,COLUMN($F$1),FALSE))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AZ352">
        <f>IF(ISNUMBER(SEARCH(SUBSTITUTE(AZ$1,RIGHT(AZ$1,2),""),VLOOKUP($D352,素材!$1:$1016,COLUMN($F$1),FALSE))),VLOOKUP($C352,武器!$1:$998,COLUMN($O$1),FALSE)*VLOOKUP($D352,素材!$1:$1016,COLUMN($E$1),FALSE)/(LEN(VLOOKUP($D352,素材!$1:$1016,COLUMN($F$1),FALSE))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BA352">
        <f>IF(ISNUMBER(SEARCH(SUBSTITUTE(BA$1,RIGHT(BA$1,2),""),VLOOKUP($D352,素材!$1:$1016,COLUMN($F$1),FALSE))),VLOOKUP($C352,武器!$1:$998,COLUMN($O$1),FALSE)*VLOOKUP($D352,素材!$1:$1016,COLUMN($E$1),FALSE)/(LEN(VLOOKUP($D352,素材!$1:$1016,COLUMN($F$1),FALSE))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BB352">
        <f>IF(ISNUMBER(SEARCH(SUBSTITUTE(BB$1,RIGHT(BB$1,2),""),VLOOKUP($D352,素材!$1:$1016,COLUMN($F$1),FALSE))),VLOOKUP($C352,武器!$1:$998,COLUMN($O$1),FALSE)*VLOOKUP($D352,素材!$1:$1016,COLUMN($E$1),FALSE)/(LEN(VLOOKUP($D352,素材!$1:$1016,COLUMN($F$1),FALSE))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BC352">
        <f>IF(ISNUMBER(SEARCH(SUBSTITUTE(BC$1,RIGHT(BC$1,2),""),VLOOKUP($D352,素材!$1:$1016,COLUMN($F$1),FALSE))),VLOOKUP($C352,武器!$1:$998,COLUMN($O$1),FALSE)*VLOOKUP($D352,素材!$1:$1016,COLUMN($E$1),FALSE)/(LEN(VLOOKUP($D352,素材!$1:$1016,COLUMN($F$1),FALSE))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BD352">
        <f>IF(ISNUMBER(SEARCH(SUBSTITUTE(BD$1,RIGHT(BD$1,2),""),VLOOKUP($D352,素材!$1:$1016,COLUMN($F$1),FALSE))),VLOOKUP($C352,武器!$1:$998,COLUMN($O$1),FALSE)*VLOOKUP($D352,素材!$1:$1016,COLUMN($E$1),FALSE)/(LEN(VLOOKUP($D352,素材!$1:$1016,COLUMN($F$1),FALSE))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BE352">
        <f>IF(ISNUMBER(SEARCH(SUBSTITUTE(BE$1,RIGHT(BE$1,2),""),VLOOKUP($D352,素材!$1:$1016,COLUMN($F$1),FALSE))),VLOOKUP($C352,武器!$1:$998,COLUMN($O$1),FALSE)*VLOOKUP($D352,素材!$1:$1016,COLUMN($E$1),FALSE)/(LEN(VLOOKUP($D352,素材!$1:$1016,COLUMN($F$1),FALSE))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BF352">
        <f>IF(ISNUMBER(SEARCH(SUBSTITUTE(BF$1,RIGHT(BF$1,2),""),VLOOKUP($D352,素材!$1:$1016,COLUMN($F$1),FALSE))),VLOOKUP($C352,武器!$1:$998,COLUMN($O$1),FALSE)*VLOOKUP($D352,素材!$1:$1016,COLUMN($E$1),FALSE)/(LEN(VLOOKUP($D352,素材!$1:$1016,COLUMN($F$1),FALSE)) - LEN(SUBSTITUTE(VLOOKUP($D352,素材!$1:$1016,COLUMN($F$1),FALSE), "・", 0)) + 1), 0)</f>
        <v>0</v>
      </c>
      <c r="CM352">
        <f t="shared" si="39"/>
        <v>54</v>
      </c>
      <c r="CN352" s="22" t="str">
        <f>IF(E352="武器",IF(J352-1&gt;SUM(G352:I352),"盾",IF(MAX(G352:I352)=G352,"切断",IF(MAX(G352:I352)=H352,"貫通",IF(MAX(G352:I352)=I352,"打撃","射撃")))),E352)&amp;".webp"</f>
        <v>切断.webp</v>
      </c>
      <c r="CO352">
        <f>IFERROR(VLOOKUP($C352,武器!$1:$998,COLUMN(V$1),FALSE)*VLOOKUP($D352,素材!$1:$1016,COLUMN(N$1),FALSE)+IF(CJ352="",0,VLOOKUP($CJ352,装強!$1:$1008,COLUMN($CL$1),FALSE)),"")</f>
        <v>10000</v>
      </c>
      <c r="CP352">
        <f>VLOOKUP(D352,素材!$A:$O,COLUMN(素材!O$1),FALSE)</f>
        <v>0</v>
      </c>
      <c r="CQ352" t="str">
        <f>VLOOKUP(C352,武器!$A:$W,COLUMN(武器!W$1),FALSE)</f>
        <v>長剣。長く重い分扱いにくいが威力が高い。</v>
      </c>
      <c r="CS352" t="str">
        <f>"e_"&amp;ROW(CS352)</f>
        <v>e_352</v>
      </c>
      <c r="CT352">
        <f>CO352*100</f>
        <v>1000000</v>
      </c>
    </row>
    <row r="353" spans="1:98" outlineLevel="1" x14ac:dyDescent="0.4">
      <c r="A353" t="str">
        <f t="shared" si="40"/>
        <v>銀鋼の鎧</v>
      </c>
      <c r="B353" t="str">
        <f>IFERROR(VLOOKUP($D353,素材!$1:$1016,COLUMN($B$1),FALSE)&amp;"・"&amp;VLOOKUP($C353,武器!$1:$998,COLUMN(B$1),FALSE),"")</f>
        <v>シルバーメタル・アーマー</v>
      </c>
      <c r="C353" t="s">
        <v>198</v>
      </c>
      <c r="D353" s="24" t="s">
        <v>197</v>
      </c>
      <c r="E353" t="str">
        <f>IFERROR(VLOOKUP(C353,武器!$1:$998,COLUMN(C$1),FALSE),"")</f>
        <v>体</v>
      </c>
      <c r="F353">
        <f>IFERROR(ROUNDDOWN((VLOOKUP($C353,武器!$1:$998,COLUMN(D$1),FALSE)+IFERROR(VLOOKUP($CJ353,装強!$1:$999,COLUMN(F$1),FALSE),0))*VLOOKUP($D353,素材!$1:$1016,COLUMN(D$1),FALSE),0),"")</f>
        <v>0</v>
      </c>
      <c r="G353">
        <f>IFERROR(ROUNDDOWN((VLOOKUP($C353,武器!$1:$998,COLUMN(E$1),FALSE)+IFERROR(VLOOKUP($CJ353,装強!$1:$999,COLUMN(G$1),FALSE),0))*VLOOKUP($D353,素材!$1:$1016,COLUMN($E$1),FALSE),0),"")</f>
        <v>0</v>
      </c>
      <c r="H353">
        <f>IFERROR(ROUNDDOWN((VLOOKUP($C353,武器!$1:$998,COLUMN(F$1),FALSE)+IFERROR(VLOOKUP($CJ353,装強!$1:$999,COLUMN(H$1),FALSE),0))*VLOOKUP($D353,素材!$1:$1016,COLUMN($E$1),FALSE),0),"")</f>
        <v>0</v>
      </c>
      <c r="I353">
        <f>IFERROR(ROUNDDOWN((VLOOKUP($C353,武器!$1:$998,COLUMN(G$1),FALSE)+IFERROR(VLOOKUP($CJ353,装強!$1:$999,COLUMN(I$1),FALSE),0))*VLOOKUP($D353,素材!$1:$1016,COLUMN($E$1),FALSE),0),"")</f>
        <v>0</v>
      </c>
      <c r="J353">
        <f>IFERROR(ROUNDDOWN((VLOOKUP($C353,武器!$1:$998,COLUMN(H$1),FALSE)+IFERROR(VLOOKUP($CJ353,装強!$1:$999,COLUMN(J$1),FALSE),0))*VLOOKUP($D353,素材!$1:$1016,COLUMN($E$1),FALSE),0),"")</f>
        <v>0</v>
      </c>
      <c r="K353">
        <f>IFERROR(ROUNDDOWN((VLOOKUP($C353,武器!$1:$998,COLUMN(I$1),FALSE)+IFERROR(VLOOKUP($CJ353,装強!$1:$999,COLUMN(K$1),FALSE),0))*VLOOKUP($D353,素材!$1:$1016,COLUMN($E$1),FALSE),0),"")</f>
        <v>0</v>
      </c>
      <c r="L353">
        <f>IFERROR(VLOOKUP($D353,素材!$1:$1016,COLUMN($F$1),FALSE),"")</f>
        <v>0</v>
      </c>
      <c r="M353">
        <f>IFERROR(VLOOKUP($C353,武器!$1:$998,COLUMN(AA$1),FALSE)*VLOOKUP($D353,素材!$1:$1016,COLUMN($G$1),FALSE),"")</f>
        <v>0</v>
      </c>
      <c r="N353">
        <f>IFERROR(VLOOKUP($C353,武器!$1:$998,COLUMN(I$1),FALSE),"")</f>
        <v>0</v>
      </c>
      <c r="O353" s="23">
        <f>IFERROR((VLOOKUP($C353,武器!$1:$998,COLUMN(K$1),FALSE)+VLOOKUP($D353,素材!$1:$1016,COLUMN(H$1),FALSE))*100+IFERROR(VLOOKUP($CJ353,装強!$1:$999,COLUMN(O$1),FALSE),0),"")</f>
        <v>5</v>
      </c>
      <c r="P353" s="23">
        <f>IFERROR((VLOOKUP($C353,武器!$1:$998,COLUMN(L$1),FALSE)+VLOOKUP($D353,素材!$1:$1016,COLUMN(I$1),FALSE))*100+IFERROR(VLOOKUP($CJ353,装強!$1:$999,COLUMN(P$1),FALSE),0),"")</f>
        <v>10</v>
      </c>
      <c r="Q353">
        <f>IFERROR(ROUNDUP(VLOOKUP($C353,武器!$1:$998,COLUMN(M$1),FALSE)*(VLOOKUP($D353,素材!$1:$1002,COLUMN(D$1),FALSE)/100),1),"")</f>
        <v>-7.5</v>
      </c>
      <c r="R353">
        <f>IFERROR(ROUNDUP(VLOOKUP($C353,武器!$1:$998,COLUMN(N$1),FALSE)*(VLOOKUP($D353,素材!$1:$1002,COLUMN(D$1),FALSE)/100),1),"")</f>
        <v>0</v>
      </c>
      <c r="S353">
        <f>IFERROR(VLOOKUP($C353,武器!$1:$998,COLUMN(P$1),FALSE),"")</f>
        <v>0</v>
      </c>
      <c r="T353">
        <f>IFERROR(VLOOKUP($C353,武器!$1:$998,COLUMN(Q$1),FALSE),"")</f>
        <v>0</v>
      </c>
      <c r="U353">
        <f>IFERROR(VLOOKUP($C353,武器!$1:$998,COLUMN(R$1),FALSE),"")</f>
        <v>0</v>
      </c>
      <c r="V353">
        <f>IFERROR(VLOOKUP($C353,武器!$1:$998,COLUMN(Q$1),FALSE),"")</f>
        <v>0</v>
      </c>
      <c r="W353">
        <f>IFERROR(VLOOKUP($C353,武器!$1:$998,COLUMN(T$1),FALSE),"")</f>
        <v>0</v>
      </c>
      <c r="Y353">
        <f>IFERROR(VLOOKUP($C353,武器!$1:$998,COLUMN(U$1),FALSE),"")</f>
        <v>0</v>
      </c>
      <c r="Z353">
        <f>IFERROR(ROUNDUP(VLOOKUP($C353,武器!$1:$998,COLUMN(O$1),FALSE)*VLOOKUP($D353,素材!$1:$1016,COLUMN(E$1),FALSE),1),"")</f>
        <v>24.5</v>
      </c>
      <c r="AA353">
        <f>IF(ISNUMBER(SEARCH(SUBSTITUTE(AA$1,RIGHT(AA$1,2),""),VLOOKUP($D353,素材!$1:$1016,COLUMN($F$1),FALSE))),VLOOKUP($C353,武器!$1:$998,COLUMN($O$1),FALSE)*VLOOKUP($D353,素材!$1:$1016,COLUMN($E$1),FALSE)/(LEN(VLOOKUP($D353,素材!$1:$1016,COLUMN($F$1),FALSE))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B353">
        <f>IF(ISNUMBER(SEARCH(SUBSTITUTE(AB$1,RIGHT(AB$1,2),""),VLOOKUP($D353,素材!$1:$1016,COLUMN($F$1),FALSE))),VLOOKUP($C353,武器!$1:$998,COLUMN($O$1),FALSE)*VLOOKUP($D353,素材!$1:$1016,COLUMN($E$1),FALSE)/(LEN(VLOOKUP($D353,素材!$1:$1016,COLUMN($F$1),FALSE))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C353">
        <f>IF(ISNUMBER(SEARCH(SUBSTITUTE(AC$1,RIGHT(AC$1,2),""),VLOOKUP($D353,素材!$1:$1016,COLUMN($F$1),FALSE))),VLOOKUP($C353,武器!$1:$998,COLUMN($O$1),FALSE)*VLOOKUP($D353,素材!$1:$1016,COLUMN($E$1),FALSE)/(LEN(VLOOKUP($D353,素材!$1:$1016,COLUMN($F$1),FALSE))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D353">
        <f>IF(ISNUMBER(SEARCH(SUBSTITUTE(AD$1,RIGHT(AD$1,2),""),VLOOKUP($D353,素材!$1:$1016,COLUMN($F$1),FALSE))),VLOOKUP($C353,武器!$1:$998,COLUMN($O$1),FALSE)*VLOOKUP($D353,素材!$1:$1016,COLUMN($E$1),FALSE)/(LEN(VLOOKUP($D353,素材!$1:$1016,COLUMN($F$1),FALSE))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E353">
        <f>IF(ISNUMBER(SEARCH(SUBSTITUTE(AE$1,RIGHT(AE$1,2),""),VLOOKUP($D353,素材!$1:$1016,COLUMN($F$1),FALSE))),VLOOKUP($C353,武器!$1:$998,COLUMN($O$1),FALSE)*VLOOKUP($D353,素材!$1:$1016,COLUMN($E$1),FALSE)/(LEN(VLOOKUP($D353,素材!$1:$1016,COLUMN($F$1),FALSE))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F353">
        <f>IF(ISNUMBER(SEARCH(SUBSTITUTE(AF$1,RIGHT(AF$1,2),""),VLOOKUP($D353,素材!$1:$1016,COLUMN($F$1),FALSE))),VLOOKUP($C353,武器!$1:$998,COLUMN($O$1),FALSE)*VLOOKUP($D353,素材!$1:$1016,COLUMN($E$1),FALSE)/(LEN(VLOOKUP($D353,素材!$1:$1016,COLUMN($F$1),FALSE))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G353">
        <f>IF(ISNUMBER(SEARCH(SUBSTITUTE(AG$1,RIGHT(AG$1,2),""),VLOOKUP($D353,素材!$1:$1016,COLUMN($F$1),FALSE))),VLOOKUP($C353,武器!$1:$998,COLUMN($O$1),FALSE)*VLOOKUP($D353,素材!$1:$1016,COLUMN($E$1),FALSE)/(LEN(VLOOKUP($D353,素材!$1:$1016,COLUMN($F$1),FALSE))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H353">
        <f>IF(ISNUMBER(SEARCH(SUBSTITUTE(AH$1,RIGHT(AH$1,2),""),VLOOKUP($D353,素材!$1:$1016,COLUMN($F$1),FALSE))),VLOOKUP($C353,武器!$1:$998,COLUMN($O$1),FALSE)*VLOOKUP($D353,素材!$1:$1016,COLUMN($E$1),FALSE)/(LEN(VLOOKUP($D353,素材!$1:$1016,COLUMN($F$1),FALSE))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I353">
        <f>IF(ISNUMBER(SEARCH(SUBSTITUTE(AI$1,RIGHT(AI$1,2),""),VLOOKUP($D353,素材!$1:$1016,COLUMN($F$1),FALSE))),VLOOKUP($C353,武器!$1:$998,COLUMN($O$1),FALSE)*VLOOKUP($D353,素材!$1:$1016,COLUMN($E$1),FALSE)/(LEN(VLOOKUP($D353,素材!$1:$1016,COLUMN($F$1),FALSE))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J353">
        <f>IF(ISNUMBER(SEARCH(SUBSTITUTE(AJ$1,RIGHT(AJ$1,2),""),VLOOKUP($D353,素材!$1:$1016,COLUMN($F$1),FALSE))),VLOOKUP($C353,武器!$1:$998,COLUMN($O$1),FALSE)*VLOOKUP($D353,素材!$1:$1016,COLUMN($E$1),FALSE)/(LEN(VLOOKUP($D353,素材!$1:$1016,COLUMN($F$1),FALSE))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K353">
        <f>IF(ISNUMBER(SEARCH(SUBSTITUTE(AK$1,RIGHT(AK$1,2),""),VLOOKUP($D353,素材!$1:$1016,COLUMN($F$1),FALSE))),VLOOKUP($C353,武器!$1:$998,COLUMN($O$1),FALSE)*VLOOKUP($D353,素材!$1:$1016,COLUMN($E$1),FALSE)/(LEN(VLOOKUP($D353,素材!$1:$1016,COLUMN($F$1),FALSE))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L353">
        <f>IF(ISNUMBER(SEARCH(SUBSTITUTE(AL$1,RIGHT(AL$1,2),""),VLOOKUP($D353,素材!$1:$1016,COLUMN($F$1),FALSE))),VLOOKUP($C353,武器!$1:$998,COLUMN($O$1),FALSE)*VLOOKUP($D353,素材!$1:$1016,COLUMN($E$1),FALSE)/(LEN(VLOOKUP($D353,素材!$1:$1016,COLUMN($F$1),FALSE))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M353">
        <f>IF(ISNUMBER(SEARCH(SUBSTITUTE(AM$1,RIGHT(AM$1,2),""),VLOOKUP($D353,素材!$1:$1016,COLUMN($F$1),FALSE))),VLOOKUP($C353,武器!$1:$998,COLUMN($O$1),FALSE)*VLOOKUP($D353,素材!$1:$1016,COLUMN($E$1),FALSE)/(LEN(VLOOKUP($D353,素材!$1:$1016,COLUMN($F$1),FALSE))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N353">
        <f>IF(ISNUMBER(SEARCH(SUBSTITUTE(AN$1,RIGHT(AN$1,2),""),VLOOKUP($D353,素材!$1:$1016,COLUMN($F$1),FALSE))),VLOOKUP($C353,武器!$1:$998,COLUMN($O$1),FALSE)*VLOOKUP($D353,素材!$1:$1016,COLUMN($E$1),FALSE)/(LEN(VLOOKUP($D353,素材!$1:$1016,COLUMN($F$1),FALSE))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O353">
        <f>IF(ISNUMBER(SEARCH(SUBSTITUTE(AO$1,RIGHT(AO$1,2),""),VLOOKUP($D353,素材!$1:$1016,COLUMN($F$1),FALSE))),VLOOKUP($C353,武器!$1:$998,COLUMN($O$1),FALSE)*VLOOKUP($D353,素材!$1:$1016,COLUMN($E$1),FALSE)/(LEN(VLOOKUP($D353,素材!$1:$1016,COLUMN($F$1),FALSE))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P353">
        <f>IF(ISNUMBER(SEARCH(SUBSTITUTE(AP$1,RIGHT(AP$1,2),""),VLOOKUP($D353,素材!$1:$1016,COLUMN($F$1),FALSE))),VLOOKUP($C353,武器!$1:$998,COLUMN($O$1),FALSE)*VLOOKUP($D353,素材!$1:$1016,COLUMN($E$1),FALSE)/(LEN(VLOOKUP($D353,素材!$1:$1016,COLUMN($F$1),FALSE))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Q353">
        <f>IF(ISNUMBER(SEARCH(SUBSTITUTE(AQ$1,RIGHT(AQ$1,2),""),VLOOKUP($D353,素材!$1:$1016,COLUMN($F$1),FALSE))),VLOOKUP($C353,武器!$1:$998,COLUMN($O$1),FALSE)*VLOOKUP($D353,素材!$1:$1016,COLUMN($E$1),FALSE)/(LEN(VLOOKUP($D353,素材!$1:$1016,COLUMN($F$1),FALSE))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R353">
        <f>IF(ISNUMBER(SEARCH(SUBSTITUTE(AR$1,RIGHT(AR$1,2),""),VLOOKUP($D353,素材!$1:$1016,COLUMN($F$1),FALSE))),VLOOKUP($C353,武器!$1:$998,COLUMN($O$1),FALSE)*VLOOKUP($D353,素材!$1:$1016,COLUMN($E$1),FALSE)/(LEN(VLOOKUP($D353,素材!$1:$1016,COLUMN($F$1),FALSE))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S353">
        <f>IF(ISNUMBER(SEARCH(SUBSTITUTE(AS$1,RIGHT(AS$1,2),""),VLOOKUP($D353,素材!$1:$1016,COLUMN($F$1),FALSE))),VLOOKUP($C353,武器!$1:$998,COLUMN($O$1),FALSE)*VLOOKUP($D353,素材!$1:$1016,COLUMN($E$1),FALSE)/(LEN(VLOOKUP($D353,素材!$1:$1016,COLUMN($F$1),FALSE))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T353">
        <f>IF(ISNUMBER(SEARCH(SUBSTITUTE(AT$1,RIGHT(AT$1,2),""),VLOOKUP($D353,素材!$1:$1016,COLUMN($F$1),FALSE))),VLOOKUP($C353,武器!$1:$998,COLUMN($O$1),FALSE)*VLOOKUP($D353,素材!$1:$1016,COLUMN($E$1),FALSE)/(LEN(VLOOKUP($D353,素材!$1:$1016,COLUMN($F$1),FALSE))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U353">
        <f>IF(ISNUMBER(SEARCH(SUBSTITUTE(AU$1,RIGHT(AU$1,2),""),VLOOKUP($D353,素材!$1:$1016,COLUMN($F$1),FALSE))),VLOOKUP($C353,武器!$1:$998,COLUMN($O$1),FALSE)*VLOOKUP($D353,素材!$1:$1016,COLUMN($E$1),FALSE)/(LEN(VLOOKUP($D353,素材!$1:$1016,COLUMN($F$1),FALSE))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V353">
        <f>IF(ISNUMBER(SEARCH(SUBSTITUTE(AV$1,RIGHT(AV$1,2),""),VLOOKUP($D353,素材!$1:$1016,COLUMN($F$1),FALSE))),VLOOKUP($C353,武器!$1:$998,COLUMN($O$1),FALSE)*VLOOKUP($D353,素材!$1:$1016,COLUMN($E$1),FALSE)/(LEN(VLOOKUP($D353,素材!$1:$1016,COLUMN($F$1),FALSE))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W353">
        <f>IF(ISNUMBER(SEARCH(SUBSTITUTE(AW$1,RIGHT(AW$1,2),""),VLOOKUP($D353,素材!$1:$1016,COLUMN($F$1),FALSE))),VLOOKUP($C353,武器!$1:$998,COLUMN($O$1),FALSE)*VLOOKUP($D353,素材!$1:$1016,COLUMN($E$1),FALSE)/(LEN(VLOOKUP($D353,素材!$1:$1016,COLUMN($F$1),FALSE))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X353">
        <f>IF(ISNUMBER(SEARCH(SUBSTITUTE(AX$1,RIGHT(AX$1,2),""),VLOOKUP($D353,素材!$1:$1016,COLUMN($F$1),FALSE))),VLOOKUP($C353,武器!$1:$998,COLUMN($O$1),FALSE)*VLOOKUP($D353,素材!$1:$1016,COLUMN($E$1),FALSE)/(LEN(VLOOKUP($D353,素材!$1:$1016,COLUMN($F$1),FALSE))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Y353">
        <f>IF(ISNUMBER(SEARCH(SUBSTITUTE(AY$1,RIGHT(AY$1,2),""),VLOOKUP($D353,素材!$1:$1016,COLUMN($F$1),FALSE))),VLOOKUP($C353,武器!$1:$998,COLUMN($O$1),FALSE)*VLOOKUP($D353,素材!$1:$1016,COLUMN($E$1),FALSE)/(LEN(VLOOKUP($D353,素材!$1:$1016,COLUMN($F$1),FALSE))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AZ353">
        <f>IF(ISNUMBER(SEARCH(SUBSTITUTE(AZ$1,RIGHT(AZ$1,2),""),VLOOKUP($D353,素材!$1:$1016,COLUMN($F$1),FALSE))),VLOOKUP($C353,武器!$1:$998,COLUMN($O$1),FALSE)*VLOOKUP($D353,素材!$1:$1016,COLUMN($E$1),FALSE)/(LEN(VLOOKUP($D353,素材!$1:$1016,COLUMN($F$1),FALSE))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BA353">
        <f>IF(ISNUMBER(SEARCH(SUBSTITUTE(BA$1,RIGHT(BA$1,2),""),VLOOKUP($D353,素材!$1:$1016,COLUMN($F$1),FALSE))),VLOOKUP($C353,武器!$1:$998,COLUMN($O$1),FALSE)*VLOOKUP($D353,素材!$1:$1016,COLUMN($E$1),FALSE)/(LEN(VLOOKUP($D353,素材!$1:$1016,COLUMN($F$1),FALSE))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BB353">
        <f>IF(ISNUMBER(SEARCH(SUBSTITUTE(BB$1,RIGHT(BB$1,2),""),VLOOKUP($D353,素材!$1:$1016,COLUMN($F$1),FALSE))),VLOOKUP($C353,武器!$1:$998,COLUMN($O$1),FALSE)*VLOOKUP($D353,素材!$1:$1016,COLUMN($E$1),FALSE)/(LEN(VLOOKUP($D353,素材!$1:$1016,COLUMN($F$1),FALSE))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BC353">
        <f>IF(ISNUMBER(SEARCH(SUBSTITUTE(BC$1,RIGHT(BC$1,2),""),VLOOKUP($D353,素材!$1:$1016,COLUMN($F$1),FALSE))),VLOOKUP($C353,武器!$1:$998,COLUMN($O$1),FALSE)*VLOOKUP($D353,素材!$1:$1016,COLUMN($E$1),FALSE)/(LEN(VLOOKUP($D353,素材!$1:$1016,COLUMN($F$1),FALSE))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BD353">
        <f>IF(ISNUMBER(SEARCH(SUBSTITUTE(BD$1,RIGHT(BD$1,2),""),VLOOKUP($D353,素材!$1:$1016,COLUMN($F$1),FALSE))),VLOOKUP($C353,武器!$1:$998,COLUMN($O$1),FALSE)*VLOOKUP($D353,素材!$1:$1016,COLUMN($E$1),FALSE)/(LEN(VLOOKUP($D353,素材!$1:$1016,COLUMN($F$1),FALSE))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BE353">
        <f>IF(ISNUMBER(SEARCH(SUBSTITUTE(BE$1,RIGHT(BE$1,2),""),VLOOKUP($D353,素材!$1:$1016,COLUMN($F$1),FALSE))),VLOOKUP($C353,武器!$1:$998,COLUMN($O$1),FALSE)*VLOOKUP($D353,素材!$1:$1016,COLUMN($E$1),FALSE)/(LEN(VLOOKUP($D353,素材!$1:$1016,COLUMN($F$1),FALSE))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BF353">
        <f>IF(ISNUMBER(SEARCH(SUBSTITUTE(BF$1,RIGHT(BF$1,2),""),VLOOKUP($D353,素材!$1:$1016,COLUMN($F$1),FALSE))),VLOOKUP($C353,武器!$1:$998,COLUMN($O$1),FALSE)*VLOOKUP($D353,素材!$1:$1016,COLUMN($E$1),FALSE)/(LEN(VLOOKUP($D353,素材!$1:$1016,COLUMN($F$1),FALSE)) - LEN(SUBSTITUTE(VLOOKUP($D353,素材!$1:$1016,COLUMN($F$1),FALSE), "・", 0)) + 1), 0)</f>
        <v>0</v>
      </c>
      <c r="CM353">
        <f t="shared" si="39"/>
        <v>0</v>
      </c>
      <c r="CN353" s="22" t="str">
        <f>IF(E353="武器",IF(J353-1&gt;SUM(G353:I353),"盾",IF(MAX(G353:I353)=G353,"切断",IF(MAX(G353:I353)=H353,"貫通",IF(MAX(G353:I353)=I353,"打撃","射撃")))),E353)&amp;".webp"</f>
        <v>体.webp</v>
      </c>
      <c r="CO353">
        <f>IFERROR(VLOOKUP($C353,武器!$1:$998,COLUMN(V$1),FALSE)*VLOOKUP($D353,素材!$1:$1016,COLUMN(N$1),FALSE)+IF(CJ353="",0,VLOOKUP($CJ353,装強!$1:$1008,COLUMN($CL$1),FALSE)),"")</f>
        <v>24000</v>
      </c>
      <c r="CP353">
        <f>VLOOKUP(D353,素材!$A:$O,COLUMN(素材!O$1),FALSE)</f>
        <v>0</v>
      </c>
      <c r="CQ353" t="str">
        <f>VLOOKUP(C353,武器!$A:$W,COLUMN(武器!W$1),FALSE)</f>
        <v>HP 物理 魔法 体幹 出血 疲労 Cr</v>
      </c>
      <c r="CS353" t="str">
        <f>"e_"&amp;ROW(CS353)</f>
        <v>e_353</v>
      </c>
      <c r="CT353">
        <f>CO353*100</f>
        <v>2400000</v>
      </c>
    </row>
    <row r="354" spans="1:98" outlineLevel="1" x14ac:dyDescent="0.4">
      <c r="A354" t="str">
        <f t="shared" si="40"/>
        <v>金鋼の鎧</v>
      </c>
      <c r="B354" t="str">
        <f>IFERROR(VLOOKUP($D354,素材!$1:$1016,COLUMN($B$1),FALSE)&amp;"・"&amp;VLOOKUP($C354,武器!$1:$998,COLUMN(B$1),FALSE),"")</f>
        <v>ゴールドメタル・アーマー</v>
      </c>
      <c r="C354" t="s">
        <v>198</v>
      </c>
      <c r="D354" s="24" t="s">
        <v>196</v>
      </c>
      <c r="E354" t="str">
        <f>IFERROR(VLOOKUP(C354,武器!$1:$998,COLUMN(C$1),FALSE),"")</f>
        <v>体</v>
      </c>
      <c r="F354">
        <f>IFERROR(ROUNDDOWN((VLOOKUP($C354,武器!$1:$998,COLUMN(D$1),FALSE)+IFERROR(VLOOKUP($CJ354,装強!$1:$999,COLUMN(F$1),FALSE),0))*VLOOKUP($D354,素材!$1:$1016,COLUMN(D$1),FALSE),0),"")</f>
        <v>0</v>
      </c>
      <c r="G354">
        <f>IFERROR(ROUNDDOWN((VLOOKUP($C354,武器!$1:$998,COLUMN(E$1),FALSE)+IFERROR(VLOOKUP($CJ354,装強!$1:$999,COLUMN(G$1),FALSE),0))*VLOOKUP($D354,素材!$1:$1016,COLUMN($E$1),FALSE),0),"")</f>
        <v>0</v>
      </c>
      <c r="H354">
        <f>IFERROR(ROUNDDOWN((VLOOKUP($C354,武器!$1:$998,COLUMN(F$1),FALSE)+IFERROR(VLOOKUP($CJ354,装強!$1:$999,COLUMN(H$1),FALSE),0))*VLOOKUP($D354,素材!$1:$1016,COLUMN($E$1),FALSE),0),"")</f>
        <v>0</v>
      </c>
      <c r="I354">
        <f>IFERROR(ROUNDDOWN((VLOOKUP($C354,武器!$1:$998,COLUMN(G$1),FALSE)+IFERROR(VLOOKUP($CJ354,装強!$1:$999,COLUMN(I$1),FALSE),0))*VLOOKUP($D354,素材!$1:$1016,COLUMN($E$1),FALSE),0),"")</f>
        <v>0</v>
      </c>
      <c r="J354">
        <f>IFERROR(ROUNDDOWN((VLOOKUP($C354,武器!$1:$998,COLUMN(H$1),FALSE)+IFERROR(VLOOKUP($CJ354,装強!$1:$999,COLUMN(J$1),FALSE),0))*VLOOKUP($D354,素材!$1:$1016,COLUMN($E$1),FALSE),0),"")</f>
        <v>0</v>
      </c>
      <c r="K354">
        <f>IFERROR(ROUNDDOWN((VLOOKUP($C354,武器!$1:$998,COLUMN(I$1),FALSE)+IFERROR(VLOOKUP($CJ354,装強!$1:$999,COLUMN(K$1),FALSE),0))*VLOOKUP($D354,素材!$1:$1016,COLUMN($E$1),FALSE),0),"")</f>
        <v>0</v>
      </c>
      <c r="L354" t="str">
        <f>IFERROR(VLOOKUP($D354,素材!$1:$1016,COLUMN($F$1),FALSE),"")</f>
        <v>魔法</v>
      </c>
      <c r="M354">
        <f>IFERROR(VLOOKUP($C354,武器!$1:$998,COLUMN(AA$1),FALSE)*VLOOKUP($D354,素材!$1:$1016,COLUMN($G$1),FALSE),"")</f>
        <v>0</v>
      </c>
      <c r="N354">
        <f>IFERROR(VLOOKUP($C354,武器!$1:$998,COLUMN(I$1),FALSE),"")</f>
        <v>0</v>
      </c>
      <c r="O354" s="23">
        <f>IFERROR((VLOOKUP($C354,武器!$1:$998,COLUMN(K$1),FALSE)+VLOOKUP($D354,素材!$1:$1016,COLUMN(H$1),FALSE))*100+IFERROR(VLOOKUP($CJ354,装強!$1:$999,COLUMN(O$1),FALSE),0),"")</f>
        <v>5</v>
      </c>
      <c r="P354" s="23">
        <f>IFERROR((VLOOKUP($C354,武器!$1:$998,COLUMN(L$1),FALSE)+VLOOKUP($D354,素材!$1:$1016,COLUMN(I$1),FALSE))*100+IFERROR(VLOOKUP($CJ354,装強!$1:$999,COLUMN(P$1),FALSE),0),"")</f>
        <v>10</v>
      </c>
      <c r="Q354">
        <f>IFERROR(ROUNDUP(VLOOKUP($C354,武器!$1:$998,COLUMN(M$1),FALSE)*(VLOOKUP($D354,素材!$1:$1002,COLUMN(D$1),FALSE)/100),1),"")</f>
        <v>-15</v>
      </c>
      <c r="R354">
        <f>IFERROR(ROUNDUP(VLOOKUP($C354,武器!$1:$998,COLUMN(N$1),FALSE)*(VLOOKUP($D354,素材!$1:$1002,COLUMN(D$1),FALSE)/100),1),"")</f>
        <v>0</v>
      </c>
      <c r="S354">
        <f>IFERROR(VLOOKUP($C354,武器!$1:$998,COLUMN(P$1),FALSE),"")</f>
        <v>0</v>
      </c>
      <c r="T354">
        <f>IFERROR(VLOOKUP($C354,武器!$1:$998,COLUMN(Q$1),FALSE),"")</f>
        <v>0</v>
      </c>
      <c r="U354">
        <f>IFERROR(VLOOKUP($C354,武器!$1:$998,COLUMN(R$1),FALSE),"")</f>
        <v>0</v>
      </c>
      <c r="V354">
        <f>IFERROR(VLOOKUP($C354,武器!$1:$998,COLUMN(Q$1),FALSE),"")</f>
        <v>0</v>
      </c>
      <c r="W354">
        <f>IFERROR(VLOOKUP($C354,武器!$1:$998,COLUMN(T$1),FALSE),"")</f>
        <v>0</v>
      </c>
      <c r="Y354">
        <f>IFERROR(VLOOKUP($C354,武器!$1:$998,COLUMN(U$1),FALSE),"")</f>
        <v>0</v>
      </c>
      <c r="Z354">
        <f>IFERROR(ROUNDUP(VLOOKUP($C354,武器!$1:$998,COLUMN(O$1),FALSE)*VLOOKUP($D354,素材!$1:$1016,COLUMN(E$1),FALSE),1),"")</f>
        <v>28</v>
      </c>
      <c r="AA354">
        <f>IF(ISNUMBER(SEARCH(SUBSTITUTE(AA$1,RIGHT(AA$1,2),""),VLOOKUP($D354,素材!$1:$1016,COLUMN($F$1),FALSE))),VLOOKUP($C354,武器!$1:$998,COLUMN($O$1),FALSE)*VLOOKUP($D354,素材!$1:$1016,COLUMN($E$1),FALSE)/(LEN(VLOOKUP($D354,素材!$1:$1016,COLUMN($F$1),FALSE))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28</v>
      </c>
      <c r="AB354">
        <f>IF(ISNUMBER(SEARCH(SUBSTITUTE(AB$1,RIGHT(AB$1,2),""),VLOOKUP($D354,素材!$1:$1016,COLUMN($F$1),FALSE))),VLOOKUP($C354,武器!$1:$998,COLUMN($O$1),FALSE)*VLOOKUP($D354,素材!$1:$1016,COLUMN($E$1),FALSE)/(LEN(VLOOKUP($D354,素材!$1:$1016,COLUMN($F$1),FALSE))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C354">
        <f>IF(ISNUMBER(SEARCH(SUBSTITUTE(AC$1,RIGHT(AC$1,2),""),VLOOKUP($D354,素材!$1:$1016,COLUMN($F$1),FALSE))),VLOOKUP($C354,武器!$1:$998,COLUMN($O$1),FALSE)*VLOOKUP($D354,素材!$1:$1016,COLUMN($E$1),FALSE)/(LEN(VLOOKUP($D354,素材!$1:$1016,COLUMN($F$1),FALSE))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D354">
        <f>IF(ISNUMBER(SEARCH(SUBSTITUTE(AD$1,RIGHT(AD$1,2),""),VLOOKUP($D354,素材!$1:$1016,COLUMN($F$1),FALSE))),VLOOKUP($C354,武器!$1:$998,COLUMN($O$1),FALSE)*VLOOKUP($D354,素材!$1:$1016,COLUMN($E$1),FALSE)/(LEN(VLOOKUP($D354,素材!$1:$1016,COLUMN($F$1),FALSE))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E354">
        <f>IF(ISNUMBER(SEARCH(SUBSTITUTE(AE$1,RIGHT(AE$1,2),""),VLOOKUP($D354,素材!$1:$1016,COLUMN($F$1),FALSE))),VLOOKUP($C354,武器!$1:$998,COLUMN($O$1),FALSE)*VLOOKUP($D354,素材!$1:$1016,COLUMN($E$1),FALSE)/(LEN(VLOOKUP($D354,素材!$1:$1016,COLUMN($F$1),FALSE))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F354">
        <f>IF(ISNUMBER(SEARCH(SUBSTITUTE(AF$1,RIGHT(AF$1,2),""),VLOOKUP($D354,素材!$1:$1016,COLUMN($F$1),FALSE))),VLOOKUP($C354,武器!$1:$998,COLUMN($O$1),FALSE)*VLOOKUP($D354,素材!$1:$1016,COLUMN($E$1),FALSE)/(LEN(VLOOKUP($D354,素材!$1:$1016,COLUMN($F$1),FALSE))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G354">
        <f>IF(ISNUMBER(SEARCH(SUBSTITUTE(AG$1,RIGHT(AG$1,2),""),VLOOKUP($D354,素材!$1:$1016,COLUMN($F$1),FALSE))),VLOOKUP($C354,武器!$1:$998,COLUMN($O$1),FALSE)*VLOOKUP($D354,素材!$1:$1016,COLUMN($E$1),FALSE)/(LEN(VLOOKUP($D354,素材!$1:$1016,COLUMN($F$1),FALSE))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H354">
        <f>IF(ISNUMBER(SEARCH(SUBSTITUTE(AH$1,RIGHT(AH$1,2),""),VLOOKUP($D354,素材!$1:$1016,COLUMN($F$1),FALSE))),VLOOKUP($C354,武器!$1:$998,COLUMN($O$1),FALSE)*VLOOKUP($D354,素材!$1:$1016,COLUMN($E$1),FALSE)/(LEN(VLOOKUP($D354,素材!$1:$1016,COLUMN($F$1),FALSE))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I354">
        <f>IF(ISNUMBER(SEARCH(SUBSTITUTE(AI$1,RIGHT(AI$1,2),""),VLOOKUP($D354,素材!$1:$1016,COLUMN($F$1),FALSE))),VLOOKUP($C354,武器!$1:$998,COLUMN($O$1),FALSE)*VLOOKUP($D354,素材!$1:$1016,COLUMN($E$1),FALSE)/(LEN(VLOOKUP($D354,素材!$1:$1016,COLUMN($F$1),FALSE))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J354">
        <f>IF(ISNUMBER(SEARCH(SUBSTITUTE(AJ$1,RIGHT(AJ$1,2),""),VLOOKUP($D354,素材!$1:$1016,COLUMN($F$1),FALSE))),VLOOKUP($C354,武器!$1:$998,COLUMN($O$1),FALSE)*VLOOKUP($D354,素材!$1:$1016,COLUMN($E$1),FALSE)/(LEN(VLOOKUP($D354,素材!$1:$1016,COLUMN($F$1),FALSE))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K354">
        <f>IF(ISNUMBER(SEARCH(SUBSTITUTE(AK$1,RIGHT(AK$1,2),""),VLOOKUP($D354,素材!$1:$1016,COLUMN($F$1),FALSE))),VLOOKUP($C354,武器!$1:$998,COLUMN($O$1),FALSE)*VLOOKUP($D354,素材!$1:$1016,COLUMN($E$1),FALSE)/(LEN(VLOOKUP($D354,素材!$1:$1016,COLUMN($F$1),FALSE))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L354">
        <f>IF(ISNUMBER(SEARCH(SUBSTITUTE(AL$1,RIGHT(AL$1,2),""),VLOOKUP($D354,素材!$1:$1016,COLUMN($F$1),FALSE))),VLOOKUP($C354,武器!$1:$998,COLUMN($O$1),FALSE)*VLOOKUP($D354,素材!$1:$1016,COLUMN($E$1),FALSE)/(LEN(VLOOKUP($D354,素材!$1:$1016,COLUMN($F$1),FALSE))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M354">
        <f>IF(ISNUMBER(SEARCH(SUBSTITUTE(AM$1,RIGHT(AM$1,2),""),VLOOKUP($D354,素材!$1:$1016,COLUMN($F$1),FALSE))),VLOOKUP($C354,武器!$1:$998,COLUMN($O$1),FALSE)*VLOOKUP($D354,素材!$1:$1016,COLUMN($E$1),FALSE)/(LEN(VLOOKUP($D354,素材!$1:$1016,COLUMN($F$1),FALSE))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N354">
        <f>IF(ISNUMBER(SEARCH(SUBSTITUTE(AN$1,RIGHT(AN$1,2),""),VLOOKUP($D354,素材!$1:$1016,COLUMN($F$1),FALSE))),VLOOKUP($C354,武器!$1:$998,COLUMN($O$1),FALSE)*VLOOKUP($D354,素材!$1:$1016,COLUMN($E$1),FALSE)/(LEN(VLOOKUP($D354,素材!$1:$1016,COLUMN($F$1),FALSE))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O354">
        <f>IF(ISNUMBER(SEARCH(SUBSTITUTE(AO$1,RIGHT(AO$1,2),""),VLOOKUP($D354,素材!$1:$1016,COLUMN($F$1),FALSE))),VLOOKUP($C354,武器!$1:$998,COLUMN($O$1),FALSE)*VLOOKUP($D354,素材!$1:$1016,COLUMN($E$1),FALSE)/(LEN(VLOOKUP($D354,素材!$1:$1016,COLUMN($F$1),FALSE))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P354">
        <f>IF(ISNUMBER(SEARCH(SUBSTITUTE(AP$1,RIGHT(AP$1,2),""),VLOOKUP($D354,素材!$1:$1016,COLUMN($F$1),FALSE))),VLOOKUP($C354,武器!$1:$998,COLUMN($O$1),FALSE)*VLOOKUP($D354,素材!$1:$1016,COLUMN($E$1),FALSE)/(LEN(VLOOKUP($D354,素材!$1:$1016,COLUMN($F$1),FALSE))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Q354">
        <f>IF(ISNUMBER(SEARCH(SUBSTITUTE(AQ$1,RIGHT(AQ$1,2),""),VLOOKUP($D354,素材!$1:$1016,COLUMN($F$1),FALSE))),VLOOKUP($C354,武器!$1:$998,COLUMN($O$1),FALSE)*VLOOKUP($D354,素材!$1:$1016,COLUMN($E$1),FALSE)/(LEN(VLOOKUP($D354,素材!$1:$1016,COLUMN($F$1),FALSE))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R354">
        <f>IF(ISNUMBER(SEARCH(SUBSTITUTE(AR$1,RIGHT(AR$1,2),""),VLOOKUP($D354,素材!$1:$1016,COLUMN($F$1),FALSE))),VLOOKUP($C354,武器!$1:$998,COLUMN($O$1),FALSE)*VLOOKUP($D354,素材!$1:$1016,COLUMN($E$1),FALSE)/(LEN(VLOOKUP($D354,素材!$1:$1016,COLUMN($F$1),FALSE))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S354">
        <f>IF(ISNUMBER(SEARCH(SUBSTITUTE(AS$1,RIGHT(AS$1,2),""),VLOOKUP($D354,素材!$1:$1016,COLUMN($F$1),FALSE))),VLOOKUP($C354,武器!$1:$998,COLUMN($O$1),FALSE)*VLOOKUP($D354,素材!$1:$1016,COLUMN($E$1),FALSE)/(LEN(VLOOKUP($D354,素材!$1:$1016,COLUMN($F$1),FALSE))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T354">
        <f>IF(ISNUMBER(SEARCH(SUBSTITUTE(AT$1,RIGHT(AT$1,2),""),VLOOKUP($D354,素材!$1:$1016,COLUMN($F$1),FALSE))),VLOOKUP($C354,武器!$1:$998,COLUMN($O$1),FALSE)*VLOOKUP($D354,素材!$1:$1016,COLUMN($E$1),FALSE)/(LEN(VLOOKUP($D354,素材!$1:$1016,COLUMN($F$1),FALSE))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U354">
        <f>IF(ISNUMBER(SEARCH(SUBSTITUTE(AU$1,RIGHT(AU$1,2),""),VLOOKUP($D354,素材!$1:$1016,COLUMN($F$1),FALSE))),VLOOKUP($C354,武器!$1:$998,COLUMN($O$1),FALSE)*VLOOKUP($D354,素材!$1:$1016,COLUMN($E$1),FALSE)/(LEN(VLOOKUP($D354,素材!$1:$1016,COLUMN($F$1),FALSE))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V354">
        <f>IF(ISNUMBER(SEARCH(SUBSTITUTE(AV$1,RIGHT(AV$1,2),""),VLOOKUP($D354,素材!$1:$1016,COLUMN($F$1),FALSE))),VLOOKUP($C354,武器!$1:$998,COLUMN($O$1),FALSE)*VLOOKUP($D354,素材!$1:$1016,COLUMN($E$1),FALSE)/(LEN(VLOOKUP($D354,素材!$1:$1016,COLUMN($F$1),FALSE))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W354">
        <f>IF(ISNUMBER(SEARCH(SUBSTITUTE(AW$1,RIGHT(AW$1,2),""),VLOOKUP($D354,素材!$1:$1016,COLUMN($F$1),FALSE))),VLOOKUP($C354,武器!$1:$998,COLUMN($O$1),FALSE)*VLOOKUP($D354,素材!$1:$1016,COLUMN($E$1),FALSE)/(LEN(VLOOKUP($D354,素材!$1:$1016,COLUMN($F$1),FALSE))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X354">
        <f>IF(ISNUMBER(SEARCH(SUBSTITUTE(AX$1,RIGHT(AX$1,2),""),VLOOKUP($D354,素材!$1:$1016,COLUMN($F$1),FALSE))),VLOOKUP($C354,武器!$1:$998,COLUMN($O$1),FALSE)*VLOOKUP($D354,素材!$1:$1016,COLUMN($E$1),FALSE)/(LEN(VLOOKUP($D354,素材!$1:$1016,COLUMN($F$1),FALSE))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Y354">
        <f>IF(ISNUMBER(SEARCH(SUBSTITUTE(AY$1,RIGHT(AY$1,2),""),VLOOKUP($D354,素材!$1:$1016,COLUMN($F$1),FALSE))),VLOOKUP($C354,武器!$1:$998,COLUMN($O$1),FALSE)*VLOOKUP($D354,素材!$1:$1016,COLUMN($E$1),FALSE)/(LEN(VLOOKUP($D354,素材!$1:$1016,COLUMN($F$1),FALSE))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AZ354">
        <f>IF(ISNUMBER(SEARCH(SUBSTITUTE(AZ$1,RIGHT(AZ$1,2),""),VLOOKUP($D354,素材!$1:$1016,COLUMN($F$1),FALSE))),VLOOKUP($C354,武器!$1:$998,COLUMN($O$1),FALSE)*VLOOKUP($D354,素材!$1:$1016,COLUMN($E$1),FALSE)/(LEN(VLOOKUP($D354,素材!$1:$1016,COLUMN($F$1),FALSE))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BA354">
        <f>IF(ISNUMBER(SEARCH(SUBSTITUTE(BA$1,RIGHT(BA$1,2),""),VLOOKUP($D354,素材!$1:$1016,COLUMN($F$1),FALSE))),VLOOKUP($C354,武器!$1:$998,COLUMN($O$1),FALSE)*VLOOKUP($D354,素材!$1:$1016,COLUMN($E$1),FALSE)/(LEN(VLOOKUP($D354,素材!$1:$1016,COLUMN($F$1),FALSE))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BB354">
        <f>IF(ISNUMBER(SEARCH(SUBSTITUTE(BB$1,RIGHT(BB$1,2),""),VLOOKUP($D354,素材!$1:$1016,COLUMN($F$1),FALSE))),VLOOKUP($C354,武器!$1:$998,COLUMN($O$1),FALSE)*VLOOKUP($D354,素材!$1:$1016,COLUMN($E$1),FALSE)/(LEN(VLOOKUP($D354,素材!$1:$1016,COLUMN($F$1),FALSE))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BC354">
        <f>IF(ISNUMBER(SEARCH(SUBSTITUTE(BC$1,RIGHT(BC$1,2),""),VLOOKUP($D354,素材!$1:$1016,COLUMN($F$1),FALSE))),VLOOKUP($C354,武器!$1:$998,COLUMN($O$1),FALSE)*VLOOKUP($D354,素材!$1:$1016,COLUMN($E$1),FALSE)/(LEN(VLOOKUP($D354,素材!$1:$1016,COLUMN($F$1),FALSE))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BD354">
        <f>IF(ISNUMBER(SEARCH(SUBSTITUTE(BD$1,RIGHT(BD$1,2),""),VLOOKUP($D354,素材!$1:$1016,COLUMN($F$1),FALSE))),VLOOKUP($C354,武器!$1:$998,COLUMN($O$1),FALSE)*VLOOKUP($D354,素材!$1:$1016,COLUMN($E$1),FALSE)/(LEN(VLOOKUP($D354,素材!$1:$1016,COLUMN($F$1),FALSE))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28</v>
      </c>
      <c r="BE354">
        <f>IF(ISNUMBER(SEARCH(SUBSTITUTE(BE$1,RIGHT(BE$1,2),""),VLOOKUP($D354,素材!$1:$1016,COLUMN($F$1),FALSE))),VLOOKUP($C354,武器!$1:$998,COLUMN($O$1),FALSE)*VLOOKUP($D354,素材!$1:$1016,COLUMN($E$1),FALSE)/(LEN(VLOOKUP($D354,素材!$1:$1016,COLUMN($F$1),FALSE))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BF354">
        <f>IF(ISNUMBER(SEARCH(SUBSTITUTE(BF$1,RIGHT(BF$1,2),""),VLOOKUP($D354,素材!$1:$1016,COLUMN($F$1),FALSE))),VLOOKUP($C354,武器!$1:$998,COLUMN($O$1),FALSE)*VLOOKUP($D354,素材!$1:$1016,COLUMN($E$1),FALSE)/(LEN(VLOOKUP($D354,素材!$1:$1016,COLUMN($F$1),FALSE)) - LEN(SUBSTITUTE(VLOOKUP($D354,素材!$1:$1016,COLUMN($F$1),FALSE), "・", 0)) + 1), 0)</f>
        <v>0</v>
      </c>
      <c r="CM354">
        <f t="shared" si="39"/>
        <v>0</v>
      </c>
      <c r="CN354" s="22" t="str">
        <f>IF(E354="武器",IF(J354-1&gt;SUM(G354:I354),"盾",IF(MAX(G354:I354)=G354,"切断",IF(MAX(G354:I354)=H354,"貫通",IF(MAX(G354:I354)=I354,"打撃","射撃")))),E354)&amp;".webp"</f>
        <v>体.webp</v>
      </c>
      <c r="CO354">
        <f>IFERROR(VLOOKUP($C354,武器!$1:$998,COLUMN(V$1),FALSE)*VLOOKUP($D354,素材!$1:$1016,COLUMN(N$1),FALSE)+IF(CJ354="",0,VLOOKUP($CJ354,装強!$1:$1008,COLUMN($CL$1),FALSE)),"")</f>
        <v>27000</v>
      </c>
      <c r="CP354">
        <f>VLOOKUP(D354,素材!$A:$O,COLUMN(素材!O$1),FALSE)</f>
        <v>0</v>
      </c>
      <c r="CQ354" t="str">
        <f>VLOOKUP(C354,武器!$A:$W,COLUMN(武器!W$1),FALSE)</f>
        <v>HP 物理 魔法 体幹 出血 疲労 Cr</v>
      </c>
      <c r="CS354" t="str">
        <f>"e_"&amp;ROW(CS354)</f>
        <v>e_354</v>
      </c>
      <c r="CT354">
        <f>CO354*100</f>
        <v>2700000</v>
      </c>
    </row>
    <row r="355" spans="1:98" outlineLevel="1" x14ac:dyDescent="0.4">
      <c r="A355" t="str">
        <f t="shared" si="40"/>
        <v>黒鋼の鎧</v>
      </c>
      <c r="B355" t="str">
        <f>IFERROR(VLOOKUP($D355,素材!$1:$1016,COLUMN($B$1),FALSE)&amp;"・"&amp;VLOOKUP($C355,武器!$1:$998,COLUMN(B$1),FALSE),"")</f>
        <v>ブラックメタル・アーマー</v>
      </c>
      <c r="C355" t="s">
        <v>198</v>
      </c>
      <c r="D355" s="24" t="s">
        <v>194</v>
      </c>
      <c r="E355" t="str">
        <f>IFERROR(VLOOKUP(C355,武器!$1:$998,COLUMN(C$1),FALSE),"")</f>
        <v>体</v>
      </c>
      <c r="F355">
        <f>IFERROR(ROUNDDOWN((VLOOKUP($C355,武器!$1:$998,COLUMN(D$1),FALSE)+IFERROR(VLOOKUP($CJ355,装強!$1:$999,COLUMN(F$1),FALSE),0))*VLOOKUP($D355,素材!$1:$1016,COLUMN(D$1),FALSE),0),"")</f>
        <v>0</v>
      </c>
      <c r="G355">
        <f>IFERROR(ROUNDDOWN((VLOOKUP($C355,武器!$1:$998,COLUMN(E$1),FALSE)+IFERROR(VLOOKUP($CJ355,装強!$1:$999,COLUMN(G$1),FALSE),0))*VLOOKUP($D355,素材!$1:$1016,COLUMN($E$1),FALSE),0),"")</f>
        <v>0</v>
      </c>
      <c r="H355">
        <f>IFERROR(ROUNDDOWN((VLOOKUP($C355,武器!$1:$998,COLUMN(F$1),FALSE)+IFERROR(VLOOKUP($CJ355,装強!$1:$999,COLUMN(H$1),FALSE),0))*VLOOKUP($D355,素材!$1:$1016,COLUMN($E$1),FALSE),0),"")</f>
        <v>0</v>
      </c>
      <c r="I355">
        <f>IFERROR(ROUNDDOWN((VLOOKUP($C355,武器!$1:$998,COLUMN(G$1),FALSE)+IFERROR(VLOOKUP($CJ355,装強!$1:$999,COLUMN(I$1),FALSE),0))*VLOOKUP($D355,素材!$1:$1016,COLUMN($E$1),FALSE),0),"")</f>
        <v>0</v>
      </c>
      <c r="J355">
        <f>IFERROR(ROUNDDOWN((VLOOKUP($C355,武器!$1:$998,COLUMN(H$1),FALSE)+IFERROR(VLOOKUP($CJ355,装強!$1:$999,COLUMN(J$1),FALSE),0))*VLOOKUP($D355,素材!$1:$1016,COLUMN($E$1),FALSE),0),"")</f>
        <v>0</v>
      </c>
      <c r="K355">
        <f>IFERROR(ROUNDDOWN((VLOOKUP($C355,武器!$1:$998,COLUMN(I$1),FALSE)+IFERROR(VLOOKUP($CJ355,装強!$1:$999,COLUMN(K$1),FALSE),0))*VLOOKUP($D355,素材!$1:$1016,COLUMN($E$1),FALSE),0),"")</f>
        <v>0</v>
      </c>
      <c r="L355" t="str">
        <f>IFERROR(VLOOKUP($D355,素材!$1:$1016,COLUMN($F$1),FALSE),"")</f>
        <v>物理</v>
      </c>
      <c r="M355">
        <f>IFERROR(VLOOKUP($C355,武器!$1:$998,COLUMN(AA$1),FALSE)*VLOOKUP($D355,素材!$1:$1016,COLUMN($G$1),FALSE),"")</f>
        <v>0</v>
      </c>
      <c r="N355">
        <f>IFERROR(VLOOKUP($C355,武器!$1:$998,COLUMN(I$1),FALSE),"")</f>
        <v>0</v>
      </c>
      <c r="O355" s="23">
        <f>IFERROR((VLOOKUP($C355,武器!$1:$998,COLUMN(K$1),FALSE)+VLOOKUP($D355,素材!$1:$1016,COLUMN(H$1),FALSE))*100+IFERROR(VLOOKUP($CJ355,装強!$1:$999,COLUMN(O$1),FALSE),0),"")</f>
        <v>5</v>
      </c>
      <c r="P355" s="23">
        <f>IFERROR((VLOOKUP($C355,武器!$1:$998,COLUMN(L$1),FALSE)+VLOOKUP($D355,素材!$1:$1016,COLUMN(I$1),FALSE))*100+IFERROR(VLOOKUP($CJ355,装強!$1:$999,COLUMN(P$1),FALSE),0),"")</f>
        <v>10</v>
      </c>
      <c r="Q355">
        <f>IFERROR(ROUNDUP(VLOOKUP($C355,武器!$1:$998,COLUMN(M$1),FALSE)*(VLOOKUP($D355,素材!$1:$1002,COLUMN(D$1),FALSE)/100),1),"")</f>
        <v>-18</v>
      </c>
      <c r="R355">
        <f>IFERROR(ROUNDUP(VLOOKUP($C355,武器!$1:$998,COLUMN(N$1),FALSE)*(VLOOKUP($D355,素材!$1:$1002,COLUMN(D$1),FALSE)/100),1),"")</f>
        <v>0</v>
      </c>
      <c r="S355">
        <f>IFERROR(VLOOKUP($C355,武器!$1:$998,COLUMN(P$1),FALSE),"")</f>
        <v>0</v>
      </c>
      <c r="T355">
        <f>IFERROR(VLOOKUP($C355,武器!$1:$998,COLUMN(Q$1),FALSE),"")</f>
        <v>0</v>
      </c>
      <c r="U355">
        <f>IFERROR(VLOOKUP($C355,武器!$1:$998,COLUMN(R$1),FALSE),"")</f>
        <v>0</v>
      </c>
      <c r="V355">
        <f>IFERROR(VLOOKUP($C355,武器!$1:$998,COLUMN(Q$1),FALSE),"")</f>
        <v>0</v>
      </c>
      <c r="W355">
        <f>IFERROR(VLOOKUP($C355,武器!$1:$998,COLUMN(T$1),FALSE),"")</f>
        <v>0</v>
      </c>
      <c r="Y355">
        <f>IFERROR(VLOOKUP($C355,武器!$1:$998,COLUMN(U$1),FALSE),"")</f>
        <v>0</v>
      </c>
      <c r="Z355">
        <f>IFERROR(ROUNDUP(VLOOKUP($C355,武器!$1:$998,COLUMN(O$1),FALSE)*VLOOKUP($D355,素材!$1:$1016,COLUMN(E$1),FALSE),1),"")</f>
        <v>35</v>
      </c>
      <c r="AA355">
        <f>IF(ISNUMBER(SEARCH(SUBSTITUTE(AA$1,RIGHT(AA$1,2),""),VLOOKUP($D355,素材!$1:$1016,COLUMN($F$1),FALSE))),VLOOKUP($C355,武器!$1:$998,COLUMN($O$1),FALSE)*VLOOKUP($D355,素材!$1:$1016,COLUMN($E$1),FALSE)/(LEN(VLOOKUP($D355,素材!$1:$1016,COLUMN($F$1),FALSE))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B355">
        <f>IF(ISNUMBER(SEARCH(SUBSTITUTE(AB$1,RIGHT(AB$1,2),""),VLOOKUP($D355,素材!$1:$1016,COLUMN($F$1),FALSE))),VLOOKUP($C355,武器!$1:$998,COLUMN($O$1),FALSE)*VLOOKUP($D355,素材!$1:$1016,COLUMN($E$1),FALSE)/(LEN(VLOOKUP($D355,素材!$1:$1016,COLUMN($F$1),FALSE))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C355">
        <f>IF(ISNUMBER(SEARCH(SUBSTITUTE(AC$1,RIGHT(AC$1,2),""),VLOOKUP($D355,素材!$1:$1016,COLUMN($F$1),FALSE))),VLOOKUP($C355,武器!$1:$998,COLUMN($O$1),FALSE)*VLOOKUP($D355,素材!$1:$1016,COLUMN($E$1),FALSE)/(LEN(VLOOKUP($D355,素材!$1:$1016,COLUMN($F$1),FALSE))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D355">
        <f>IF(ISNUMBER(SEARCH(SUBSTITUTE(AD$1,RIGHT(AD$1,2),""),VLOOKUP($D355,素材!$1:$1016,COLUMN($F$1),FALSE))),VLOOKUP($C355,武器!$1:$998,COLUMN($O$1),FALSE)*VLOOKUP($D355,素材!$1:$1016,COLUMN($E$1),FALSE)/(LEN(VLOOKUP($D355,素材!$1:$1016,COLUMN($F$1),FALSE))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E355">
        <f>IF(ISNUMBER(SEARCH(SUBSTITUTE(AE$1,RIGHT(AE$1,2),""),VLOOKUP($D355,素材!$1:$1016,COLUMN($F$1),FALSE))),VLOOKUP($C355,武器!$1:$998,COLUMN($O$1),FALSE)*VLOOKUP($D355,素材!$1:$1016,COLUMN($E$1),FALSE)/(LEN(VLOOKUP($D355,素材!$1:$1016,COLUMN($F$1),FALSE))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F355">
        <f>IF(ISNUMBER(SEARCH(SUBSTITUTE(AF$1,RIGHT(AF$1,2),""),VLOOKUP($D355,素材!$1:$1016,COLUMN($F$1),FALSE))),VLOOKUP($C355,武器!$1:$998,COLUMN($O$1),FALSE)*VLOOKUP($D355,素材!$1:$1016,COLUMN($E$1),FALSE)/(LEN(VLOOKUP($D355,素材!$1:$1016,COLUMN($F$1),FALSE))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G355">
        <f>IF(ISNUMBER(SEARCH(SUBSTITUTE(AG$1,RIGHT(AG$1,2),""),VLOOKUP($D355,素材!$1:$1016,COLUMN($F$1),FALSE))),VLOOKUP($C355,武器!$1:$998,COLUMN($O$1),FALSE)*VLOOKUP($D355,素材!$1:$1016,COLUMN($E$1),FALSE)/(LEN(VLOOKUP($D355,素材!$1:$1016,COLUMN($F$1),FALSE))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H355">
        <f>IF(ISNUMBER(SEARCH(SUBSTITUTE(AH$1,RIGHT(AH$1,2),""),VLOOKUP($D355,素材!$1:$1016,COLUMN($F$1),FALSE))),VLOOKUP($C355,武器!$1:$998,COLUMN($O$1),FALSE)*VLOOKUP($D355,素材!$1:$1016,COLUMN($E$1),FALSE)/(LEN(VLOOKUP($D355,素材!$1:$1016,COLUMN($F$1),FALSE))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I355">
        <f>IF(ISNUMBER(SEARCH(SUBSTITUTE(AI$1,RIGHT(AI$1,2),""),VLOOKUP($D355,素材!$1:$1016,COLUMN($F$1),FALSE))),VLOOKUP($C355,武器!$1:$998,COLUMN($O$1),FALSE)*VLOOKUP($D355,素材!$1:$1016,COLUMN($E$1),FALSE)/(LEN(VLOOKUP($D355,素材!$1:$1016,COLUMN($F$1),FALSE))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J355">
        <f>IF(ISNUMBER(SEARCH(SUBSTITUTE(AJ$1,RIGHT(AJ$1,2),""),VLOOKUP($D355,素材!$1:$1016,COLUMN($F$1),FALSE))),VLOOKUP($C355,武器!$1:$998,COLUMN($O$1),FALSE)*VLOOKUP($D355,素材!$1:$1016,COLUMN($E$1),FALSE)/(LEN(VLOOKUP($D355,素材!$1:$1016,COLUMN($F$1),FALSE))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K355">
        <f>IF(ISNUMBER(SEARCH(SUBSTITUTE(AK$1,RIGHT(AK$1,2),""),VLOOKUP($D355,素材!$1:$1016,COLUMN($F$1),FALSE))),VLOOKUP($C355,武器!$1:$998,COLUMN($O$1),FALSE)*VLOOKUP($D355,素材!$1:$1016,COLUMN($E$1),FALSE)/(LEN(VLOOKUP($D355,素材!$1:$1016,COLUMN($F$1),FALSE))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L355">
        <f>IF(ISNUMBER(SEARCH(SUBSTITUTE(AL$1,RIGHT(AL$1,2),""),VLOOKUP($D355,素材!$1:$1016,COLUMN($F$1),FALSE))),VLOOKUP($C355,武器!$1:$998,COLUMN($O$1),FALSE)*VLOOKUP($D355,素材!$1:$1016,COLUMN($E$1),FALSE)/(LEN(VLOOKUP($D355,素材!$1:$1016,COLUMN($F$1),FALSE))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M355">
        <f>IF(ISNUMBER(SEARCH(SUBSTITUTE(AM$1,RIGHT(AM$1,2),""),VLOOKUP($D355,素材!$1:$1016,COLUMN($F$1),FALSE))),VLOOKUP($C355,武器!$1:$998,COLUMN($O$1),FALSE)*VLOOKUP($D355,素材!$1:$1016,COLUMN($E$1),FALSE)/(LEN(VLOOKUP($D355,素材!$1:$1016,COLUMN($F$1),FALSE))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N355">
        <f>IF(ISNUMBER(SEARCH(SUBSTITUTE(AN$1,RIGHT(AN$1,2),""),VLOOKUP($D355,素材!$1:$1016,COLUMN($F$1),FALSE))),VLOOKUP($C355,武器!$1:$998,COLUMN($O$1),FALSE)*VLOOKUP($D355,素材!$1:$1016,COLUMN($E$1),FALSE)/(LEN(VLOOKUP($D355,素材!$1:$1016,COLUMN($F$1),FALSE))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O355">
        <f>IF(ISNUMBER(SEARCH(SUBSTITUTE(AO$1,RIGHT(AO$1,2),""),VLOOKUP($D355,素材!$1:$1016,COLUMN($F$1),FALSE))),VLOOKUP($C355,武器!$1:$998,COLUMN($O$1),FALSE)*VLOOKUP($D355,素材!$1:$1016,COLUMN($E$1),FALSE)/(LEN(VLOOKUP($D355,素材!$1:$1016,COLUMN($F$1),FALSE))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P355">
        <f>IF(ISNUMBER(SEARCH(SUBSTITUTE(AP$1,RIGHT(AP$1,2),""),VLOOKUP($D355,素材!$1:$1016,COLUMN($F$1),FALSE))),VLOOKUP($C355,武器!$1:$998,COLUMN($O$1),FALSE)*VLOOKUP($D355,素材!$1:$1016,COLUMN($E$1),FALSE)/(LEN(VLOOKUP($D355,素材!$1:$1016,COLUMN($F$1),FALSE))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Q355">
        <f>IF(ISNUMBER(SEARCH(SUBSTITUTE(AQ$1,RIGHT(AQ$1,2),""),VLOOKUP($D355,素材!$1:$1016,COLUMN($F$1),FALSE))),VLOOKUP($C355,武器!$1:$998,COLUMN($O$1),FALSE)*VLOOKUP($D355,素材!$1:$1016,COLUMN($E$1),FALSE)/(LEN(VLOOKUP($D355,素材!$1:$1016,COLUMN($F$1),FALSE))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R355">
        <f>IF(ISNUMBER(SEARCH(SUBSTITUTE(AR$1,RIGHT(AR$1,2),""),VLOOKUP($D355,素材!$1:$1016,COLUMN($F$1),FALSE))),VLOOKUP($C355,武器!$1:$998,COLUMN($O$1),FALSE)*VLOOKUP($D355,素材!$1:$1016,COLUMN($E$1),FALSE)/(LEN(VLOOKUP($D355,素材!$1:$1016,COLUMN($F$1),FALSE))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S355">
        <f>IF(ISNUMBER(SEARCH(SUBSTITUTE(AS$1,RIGHT(AS$1,2),""),VLOOKUP($D355,素材!$1:$1016,COLUMN($F$1),FALSE))),VLOOKUP($C355,武器!$1:$998,COLUMN($O$1),FALSE)*VLOOKUP($D355,素材!$1:$1016,COLUMN($E$1),FALSE)/(LEN(VLOOKUP($D355,素材!$1:$1016,COLUMN($F$1),FALSE))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T355">
        <f>IF(ISNUMBER(SEARCH(SUBSTITUTE(AT$1,RIGHT(AT$1,2),""),VLOOKUP($D355,素材!$1:$1016,COLUMN($F$1),FALSE))),VLOOKUP($C355,武器!$1:$998,COLUMN($O$1),FALSE)*VLOOKUP($D355,素材!$1:$1016,COLUMN($E$1),FALSE)/(LEN(VLOOKUP($D355,素材!$1:$1016,COLUMN($F$1),FALSE))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U355">
        <f>IF(ISNUMBER(SEARCH(SUBSTITUTE(AU$1,RIGHT(AU$1,2),""),VLOOKUP($D355,素材!$1:$1016,COLUMN($F$1),FALSE))),VLOOKUP($C355,武器!$1:$998,COLUMN($O$1),FALSE)*VLOOKUP($D355,素材!$1:$1016,COLUMN($E$1),FALSE)/(LEN(VLOOKUP($D355,素材!$1:$1016,COLUMN($F$1),FALSE))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V355">
        <f>IF(ISNUMBER(SEARCH(SUBSTITUTE(AV$1,RIGHT(AV$1,2),""),VLOOKUP($D355,素材!$1:$1016,COLUMN($F$1),FALSE))),VLOOKUP($C355,武器!$1:$998,COLUMN($O$1),FALSE)*VLOOKUP($D355,素材!$1:$1016,COLUMN($E$1),FALSE)/(LEN(VLOOKUP($D355,素材!$1:$1016,COLUMN($F$1),FALSE))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W355">
        <f>IF(ISNUMBER(SEARCH(SUBSTITUTE(AW$1,RIGHT(AW$1,2),""),VLOOKUP($D355,素材!$1:$1016,COLUMN($F$1),FALSE))),VLOOKUP($C355,武器!$1:$998,COLUMN($O$1),FALSE)*VLOOKUP($D355,素材!$1:$1016,COLUMN($E$1),FALSE)/(LEN(VLOOKUP($D355,素材!$1:$1016,COLUMN($F$1),FALSE))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X355">
        <f>IF(ISNUMBER(SEARCH(SUBSTITUTE(AX$1,RIGHT(AX$1,2),""),VLOOKUP($D355,素材!$1:$1016,COLUMN($F$1),FALSE))),VLOOKUP($C355,武器!$1:$998,COLUMN($O$1),FALSE)*VLOOKUP($D355,素材!$1:$1016,COLUMN($E$1),FALSE)/(LEN(VLOOKUP($D355,素材!$1:$1016,COLUMN($F$1),FALSE))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Y355">
        <f>IF(ISNUMBER(SEARCH(SUBSTITUTE(AY$1,RIGHT(AY$1,2),""),VLOOKUP($D355,素材!$1:$1016,COLUMN($F$1),FALSE))),VLOOKUP($C355,武器!$1:$998,COLUMN($O$1),FALSE)*VLOOKUP($D355,素材!$1:$1016,COLUMN($E$1),FALSE)/(LEN(VLOOKUP($D355,素材!$1:$1016,COLUMN($F$1),FALSE))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AZ355">
        <f>IF(ISNUMBER(SEARCH(SUBSTITUTE(AZ$1,RIGHT(AZ$1,2),""),VLOOKUP($D355,素材!$1:$1016,COLUMN($F$1),FALSE))),VLOOKUP($C355,武器!$1:$998,COLUMN($O$1),FALSE)*VLOOKUP($D355,素材!$1:$1016,COLUMN($E$1),FALSE)/(LEN(VLOOKUP($D355,素材!$1:$1016,COLUMN($F$1),FALSE))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BA355">
        <f>IF(ISNUMBER(SEARCH(SUBSTITUTE(BA$1,RIGHT(BA$1,2),""),VLOOKUP($D355,素材!$1:$1016,COLUMN($F$1),FALSE))),VLOOKUP($C355,武器!$1:$998,COLUMN($O$1),FALSE)*VLOOKUP($D355,素材!$1:$1016,COLUMN($E$1),FALSE)/(LEN(VLOOKUP($D355,素材!$1:$1016,COLUMN($F$1),FALSE))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BB355">
        <f>IF(ISNUMBER(SEARCH(SUBSTITUTE(BB$1,RIGHT(BB$1,2),""),VLOOKUP($D355,素材!$1:$1016,COLUMN($F$1),FALSE))),VLOOKUP($C355,武器!$1:$998,COLUMN($O$1),FALSE)*VLOOKUP($D355,素材!$1:$1016,COLUMN($E$1),FALSE)/(LEN(VLOOKUP($D355,素材!$1:$1016,COLUMN($F$1),FALSE))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BC355">
        <f>IF(ISNUMBER(SEARCH(SUBSTITUTE(BC$1,RIGHT(BC$1,2),""),VLOOKUP($D355,素材!$1:$1016,COLUMN($F$1),FALSE))),VLOOKUP($C355,武器!$1:$998,COLUMN($O$1),FALSE)*VLOOKUP($D355,素材!$1:$1016,COLUMN($E$1),FALSE)/(LEN(VLOOKUP($D355,素材!$1:$1016,COLUMN($F$1),FALSE))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35</v>
      </c>
      <c r="BD355">
        <f>IF(ISNUMBER(SEARCH(SUBSTITUTE(BD$1,RIGHT(BD$1,2),""),VLOOKUP($D355,素材!$1:$1016,COLUMN($F$1),FALSE))),VLOOKUP($C355,武器!$1:$998,COLUMN($O$1),FALSE)*VLOOKUP($D355,素材!$1:$1016,COLUMN($E$1),FALSE)/(LEN(VLOOKUP($D355,素材!$1:$1016,COLUMN($F$1),FALSE))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BE355">
        <f>IF(ISNUMBER(SEARCH(SUBSTITUTE(BE$1,RIGHT(BE$1,2),""),VLOOKUP($D355,素材!$1:$1016,COLUMN($F$1),FALSE))),VLOOKUP($C355,武器!$1:$998,COLUMN($O$1),FALSE)*VLOOKUP($D355,素材!$1:$1016,COLUMN($E$1),FALSE)/(LEN(VLOOKUP($D355,素材!$1:$1016,COLUMN($F$1),FALSE))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BF355">
        <f>IF(ISNUMBER(SEARCH(SUBSTITUTE(BF$1,RIGHT(BF$1,2),""),VLOOKUP($D355,素材!$1:$1016,COLUMN($F$1),FALSE))),VLOOKUP($C355,武器!$1:$998,COLUMN($O$1),FALSE)*VLOOKUP($D355,素材!$1:$1016,COLUMN($E$1),FALSE)/(LEN(VLOOKUP($D355,素材!$1:$1016,COLUMN($F$1),FALSE)) - LEN(SUBSTITUTE(VLOOKUP($D355,素材!$1:$1016,COLUMN($F$1),FALSE), "・", 0)) + 1), 0)</f>
        <v>0</v>
      </c>
      <c r="CM355">
        <f t="shared" si="39"/>
        <v>0</v>
      </c>
      <c r="CN355" s="22" t="str">
        <f>IF(E355="武器",IF(J355-1&gt;SUM(G355:I355),"盾",IF(MAX(G355:I355)=G355,"切断",IF(MAX(G355:I355)=H355,"貫通",IF(MAX(G355:I355)=I355,"打撃","射撃")))),E355)&amp;".webp"</f>
        <v>体.webp</v>
      </c>
      <c r="CO355">
        <f>IFERROR(VLOOKUP($C355,武器!$1:$998,COLUMN(V$1),FALSE)*VLOOKUP($D355,素材!$1:$1016,COLUMN(N$1),FALSE)+IF(CJ355="",0,VLOOKUP($CJ355,装強!$1:$1008,COLUMN($CL$1),FALSE)),"")</f>
        <v>30000</v>
      </c>
      <c r="CP355">
        <f>VLOOKUP(D355,素材!$A:$O,COLUMN(素材!O$1),FALSE)</f>
        <v>0</v>
      </c>
      <c r="CQ355" t="str">
        <f>VLOOKUP(C355,武器!$A:$W,COLUMN(武器!W$1),FALSE)</f>
        <v>HP 物理 魔法 体幹 出血 疲労 Cr</v>
      </c>
      <c r="CS355" t="str">
        <f>"e_"&amp;ROW(CS355)</f>
        <v>e_355</v>
      </c>
      <c r="CT355">
        <f>CO355*100</f>
        <v>3000000</v>
      </c>
    </row>
    <row r="356" spans="1:98" outlineLevel="1" x14ac:dyDescent="0.4">
      <c r="A356" t="str">
        <f t="shared" si="40"/>
        <v>銀鋼の長剣</v>
      </c>
      <c r="B356" t="str">
        <f>IFERROR(VLOOKUP($D356,素材!$1:$1016,COLUMN($B$1),FALSE)&amp;"・"&amp;VLOOKUP($C356,武器!$1:$998,COLUMN(B$1),FALSE),"")</f>
        <v>シルバーメタル・ロングソード</v>
      </c>
      <c r="C356" t="s">
        <v>195</v>
      </c>
      <c r="D356" s="24" t="s">
        <v>197</v>
      </c>
      <c r="E356" t="str">
        <f>IFERROR(VLOOKUP(C356,武器!$1:$998,COLUMN(C$1),FALSE),"")</f>
        <v>武器</v>
      </c>
      <c r="F356">
        <f>IFERROR(ROUNDDOWN((VLOOKUP($C356,武器!$1:$998,COLUMN(D$1),FALSE)+IFERROR(VLOOKUP($CJ356,装強!$1:$999,COLUMN(F$1),FALSE),0))*VLOOKUP($D356,素材!$1:$1016,COLUMN(D$1),FALSE),0),"")</f>
        <v>57</v>
      </c>
      <c r="G356">
        <f>IFERROR(ROUNDDOWN((VLOOKUP($C356,武器!$1:$998,COLUMN(E$1),FALSE)+IFERROR(VLOOKUP($CJ356,装強!$1:$999,COLUMN(G$1),FALSE),0))*VLOOKUP($D356,素材!$1:$1016,COLUMN($E$1),FALSE),0),"")</f>
        <v>26</v>
      </c>
      <c r="H356">
        <f>IFERROR(ROUNDDOWN((VLOOKUP($C356,武器!$1:$998,COLUMN(F$1),FALSE)+IFERROR(VLOOKUP($CJ356,装強!$1:$999,COLUMN(H$1),FALSE),0))*VLOOKUP($D356,素材!$1:$1016,COLUMN($E$1),FALSE),0),"")</f>
        <v>15</v>
      </c>
      <c r="I356">
        <f>IFERROR(ROUNDDOWN((VLOOKUP($C356,武器!$1:$998,COLUMN(G$1),FALSE)+IFERROR(VLOOKUP($CJ356,装強!$1:$999,COLUMN(I$1),FALSE),0))*VLOOKUP($D356,素材!$1:$1016,COLUMN($E$1),FALSE),0),"")</f>
        <v>5</v>
      </c>
      <c r="J356">
        <f>IFERROR(ROUNDDOWN((VLOOKUP($C356,武器!$1:$998,COLUMN(H$1),FALSE)+IFERROR(VLOOKUP($CJ356,装強!$1:$999,COLUMN(J$1),FALSE),0))*VLOOKUP($D356,素材!$1:$1016,COLUMN($E$1),FALSE),0),"")</f>
        <v>35</v>
      </c>
      <c r="K356">
        <f>IFERROR(ROUNDDOWN((VLOOKUP($C356,武器!$1:$998,COLUMN(I$1),FALSE)+IFERROR(VLOOKUP($CJ356,装強!$1:$999,COLUMN(K$1),FALSE),0))*VLOOKUP($D356,素材!$1:$1016,COLUMN($E$1),FALSE),0),"")</f>
        <v>0</v>
      </c>
      <c r="L356">
        <f>IFERROR(VLOOKUP($D356,素材!$1:$1016,COLUMN($F$1),FALSE),"")</f>
        <v>0</v>
      </c>
      <c r="M356">
        <f>IFERROR(VLOOKUP($C356,武器!$1:$998,COLUMN(AA$1),FALSE)*VLOOKUP($D356,素材!$1:$1016,COLUMN($G$1),FALSE),"")</f>
        <v>0</v>
      </c>
      <c r="N356">
        <f>IFERROR(VLOOKUP($C356,武器!$1:$998,COLUMN(I$1),FALSE),"")</f>
        <v>0</v>
      </c>
      <c r="O356" s="23">
        <f>IFERROR((VLOOKUP($C356,武器!$1:$998,COLUMN(K$1),FALSE)+VLOOKUP($D356,素材!$1:$1016,COLUMN(H$1),FALSE))*100+IFERROR(VLOOKUP($CJ356,装強!$1:$999,COLUMN(O$1),FALSE),0),"")</f>
        <v>15.000000000000002</v>
      </c>
      <c r="P356" s="23">
        <f>IFERROR((VLOOKUP($C356,武器!$1:$998,COLUMN(L$1),FALSE)+VLOOKUP($D356,素材!$1:$1016,COLUMN(I$1),FALSE))*100+IFERROR(VLOOKUP($CJ356,装強!$1:$999,COLUMN(P$1),FALSE),0),"")</f>
        <v>160</v>
      </c>
      <c r="Q356">
        <f>IFERROR(ROUNDUP(VLOOKUP($C356,武器!$1:$998,COLUMN(M$1),FALSE)*(VLOOKUP($D356,素材!$1:$1002,COLUMN(D$1),FALSE)/100),1),"")</f>
        <v>-1.3</v>
      </c>
      <c r="R356">
        <f>IFERROR(ROUNDUP(VLOOKUP($C356,武器!$1:$998,COLUMN(N$1),FALSE)*(VLOOKUP($D356,素材!$1:$1002,COLUMN(D$1),FALSE)/100),1),"")</f>
        <v>-1.3</v>
      </c>
      <c r="S356">
        <f>IFERROR(VLOOKUP($C356,武器!$1:$998,COLUMN(P$1),FALSE),"")</f>
        <v>0</v>
      </c>
      <c r="T356">
        <f>IFERROR(VLOOKUP($C356,武器!$1:$998,COLUMN(Q$1),FALSE),"")</f>
        <v>0</v>
      </c>
      <c r="U356">
        <f>IFERROR(VLOOKUP($C356,武器!$1:$998,COLUMN(R$1),FALSE),"")</f>
        <v>0</v>
      </c>
      <c r="V356">
        <f>IFERROR(VLOOKUP($C356,武器!$1:$998,COLUMN(Q$1),FALSE),"")</f>
        <v>0</v>
      </c>
      <c r="W356" t="str">
        <f>IFERROR(VLOOKUP($C356,武器!$1:$998,COLUMN(T$1),FALSE),"")</f>
        <v>A</v>
      </c>
      <c r="Y356">
        <f>IFERROR(VLOOKUP($C356,武器!$1:$998,COLUMN(U$1),FALSE),"")</f>
        <v>0</v>
      </c>
      <c r="Z356">
        <f>IFERROR(ROUNDUP(VLOOKUP($C356,武器!$1:$998,COLUMN(O$1),FALSE)*VLOOKUP($D356,素材!$1:$1016,COLUMN(E$1),FALSE),1),"")</f>
        <v>0</v>
      </c>
      <c r="AA356">
        <f>IF(ISNUMBER(SEARCH(SUBSTITUTE(AA$1,RIGHT(AA$1,2),""),VLOOKUP($D356,素材!$1:$1016,COLUMN($F$1),FALSE))),VLOOKUP($C356,武器!$1:$998,COLUMN($O$1),FALSE)*VLOOKUP($D356,素材!$1:$1016,COLUMN($E$1),FALSE)/(LEN(VLOOKUP($D356,素材!$1:$1016,COLUMN($F$1),FALSE))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B356">
        <f>IF(ISNUMBER(SEARCH(SUBSTITUTE(AB$1,RIGHT(AB$1,2),""),VLOOKUP($D356,素材!$1:$1016,COLUMN($F$1),FALSE))),VLOOKUP($C356,武器!$1:$998,COLUMN($O$1),FALSE)*VLOOKUP($D356,素材!$1:$1016,COLUMN($E$1),FALSE)/(LEN(VLOOKUP($D356,素材!$1:$1016,COLUMN($F$1),FALSE))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C356">
        <f>IF(ISNUMBER(SEARCH(SUBSTITUTE(AC$1,RIGHT(AC$1,2),""),VLOOKUP($D356,素材!$1:$1016,COLUMN($F$1),FALSE))),VLOOKUP($C356,武器!$1:$998,COLUMN($O$1),FALSE)*VLOOKUP($D356,素材!$1:$1016,COLUMN($E$1),FALSE)/(LEN(VLOOKUP($D356,素材!$1:$1016,COLUMN($F$1),FALSE))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D356">
        <f>IF(ISNUMBER(SEARCH(SUBSTITUTE(AD$1,RIGHT(AD$1,2),""),VLOOKUP($D356,素材!$1:$1016,COLUMN($F$1),FALSE))),VLOOKUP($C356,武器!$1:$998,COLUMN($O$1),FALSE)*VLOOKUP($D356,素材!$1:$1016,COLUMN($E$1),FALSE)/(LEN(VLOOKUP($D356,素材!$1:$1016,COLUMN($F$1),FALSE))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E356">
        <f>IF(ISNUMBER(SEARCH(SUBSTITUTE(AE$1,RIGHT(AE$1,2),""),VLOOKUP($D356,素材!$1:$1016,COLUMN($F$1),FALSE))),VLOOKUP($C356,武器!$1:$998,COLUMN($O$1),FALSE)*VLOOKUP($D356,素材!$1:$1016,COLUMN($E$1),FALSE)/(LEN(VLOOKUP($D356,素材!$1:$1016,COLUMN($F$1),FALSE))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F356">
        <f>IF(ISNUMBER(SEARCH(SUBSTITUTE(AF$1,RIGHT(AF$1,2),""),VLOOKUP($D356,素材!$1:$1016,COLUMN($F$1),FALSE))),VLOOKUP($C356,武器!$1:$998,COLUMN($O$1),FALSE)*VLOOKUP($D356,素材!$1:$1016,COLUMN($E$1),FALSE)/(LEN(VLOOKUP($D356,素材!$1:$1016,COLUMN($F$1),FALSE))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G356">
        <f>IF(ISNUMBER(SEARCH(SUBSTITUTE(AG$1,RIGHT(AG$1,2),""),VLOOKUP($D356,素材!$1:$1016,COLUMN($F$1),FALSE))),VLOOKUP($C356,武器!$1:$998,COLUMN($O$1),FALSE)*VLOOKUP($D356,素材!$1:$1016,COLUMN($E$1),FALSE)/(LEN(VLOOKUP($D356,素材!$1:$1016,COLUMN($F$1),FALSE))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H356">
        <f>IF(ISNUMBER(SEARCH(SUBSTITUTE(AH$1,RIGHT(AH$1,2),""),VLOOKUP($D356,素材!$1:$1016,COLUMN($F$1),FALSE))),VLOOKUP($C356,武器!$1:$998,COLUMN($O$1),FALSE)*VLOOKUP($D356,素材!$1:$1016,COLUMN($E$1),FALSE)/(LEN(VLOOKUP($D356,素材!$1:$1016,COLUMN($F$1),FALSE))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I356">
        <f>IF(ISNUMBER(SEARCH(SUBSTITUTE(AI$1,RIGHT(AI$1,2),""),VLOOKUP($D356,素材!$1:$1016,COLUMN($F$1),FALSE))),VLOOKUP($C356,武器!$1:$998,COLUMN($O$1),FALSE)*VLOOKUP($D356,素材!$1:$1016,COLUMN($E$1),FALSE)/(LEN(VLOOKUP($D356,素材!$1:$1016,COLUMN($F$1),FALSE))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J356">
        <f>IF(ISNUMBER(SEARCH(SUBSTITUTE(AJ$1,RIGHT(AJ$1,2),""),VLOOKUP($D356,素材!$1:$1016,COLUMN($F$1),FALSE))),VLOOKUP($C356,武器!$1:$998,COLUMN($O$1),FALSE)*VLOOKUP($D356,素材!$1:$1016,COLUMN($E$1),FALSE)/(LEN(VLOOKUP($D356,素材!$1:$1016,COLUMN($F$1),FALSE))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K356">
        <f>IF(ISNUMBER(SEARCH(SUBSTITUTE(AK$1,RIGHT(AK$1,2),""),VLOOKUP($D356,素材!$1:$1016,COLUMN($F$1),FALSE))),VLOOKUP($C356,武器!$1:$998,COLUMN($O$1),FALSE)*VLOOKUP($D356,素材!$1:$1016,COLUMN($E$1),FALSE)/(LEN(VLOOKUP($D356,素材!$1:$1016,COLUMN($F$1),FALSE))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L356">
        <f>IF(ISNUMBER(SEARCH(SUBSTITUTE(AL$1,RIGHT(AL$1,2),""),VLOOKUP($D356,素材!$1:$1016,COLUMN($F$1),FALSE))),VLOOKUP($C356,武器!$1:$998,COLUMN($O$1),FALSE)*VLOOKUP($D356,素材!$1:$1016,COLUMN($E$1),FALSE)/(LEN(VLOOKUP($D356,素材!$1:$1016,COLUMN($F$1),FALSE))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M356">
        <f>IF(ISNUMBER(SEARCH(SUBSTITUTE(AM$1,RIGHT(AM$1,2),""),VLOOKUP($D356,素材!$1:$1016,COLUMN($F$1),FALSE))),VLOOKUP($C356,武器!$1:$998,COLUMN($O$1),FALSE)*VLOOKUP($D356,素材!$1:$1016,COLUMN($E$1),FALSE)/(LEN(VLOOKUP($D356,素材!$1:$1016,COLUMN($F$1),FALSE))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N356">
        <f>IF(ISNUMBER(SEARCH(SUBSTITUTE(AN$1,RIGHT(AN$1,2),""),VLOOKUP($D356,素材!$1:$1016,COLUMN($F$1),FALSE))),VLOOKUP($C356,武器!$1:$998,COLUMN($O$1),FALSE)*VLOOKUP($D356,素材!$1:$1016,COLUMN($E$1),FALSE)/(LEN(VLOOKUP($D356,素材!$1:$1016,COLUMN($F$1),FALSE))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O356">
        <f>IF(ISNUMBER(SEARCH(SUBSTITUTE(AO$1,RIGHT(AO$1,2),""),VLOOKUP($D356,素材!$1:$1016,COLUMN($F$1),FALSE))),VLOOKUP($C356,武器!$1:$998,COLUMN($O$1),FALSE)*VLOOKUP($D356,素材!$1:$1016,COLUMN($E$1),FALSE)/(LEN(VLOOKUP($D356,素材!$1:$1016,COLUMN($F$1),FALSE))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P356">
        <f>IF(ISNUMBER(SEARCH(SUBSTITUTE(AP$1,RIGHT(AP$1,2),""),VLOOKUP($D356,素材!$1:$1016,COLUMN($F$1),FALSE))),VLOOKUP($C356,武器!$1:$998,COLUMN($O$1),FALSE)*VLOOKUP($D356,素材!$1:$1016,COLUMN($E$1),FALSE)/(LEN(VLOOKUP($D356,素材!$1:$1016,COLUMN($F$1),FALSE))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Q356">
        <f>IF(ISNUMBER(SEARCH(SUBSTITUTE(AQ$1,RIGHT(AQ$1,2),""),VLOOKUP($D356,素材!$1:$1016,COLUMN($F$1),FALSE))),VLOOKUP($C356,武器!$1:$998,COLUMN($O$1),FALSE)*VLOOKUP($D356,素材!$1:$1016,COLUMN($E$1),FALSE)/(LEN(VLOOKUP($D356,素材!$1:$1016,COLUMN($F$1),FALSE))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R356">
        <f>IF(ISNUMBER(SEARCH(SUBSTITUTE(AR$1,RIGHT(AR$1,2),""),VLOOKUP($D356,素材!$1:$1016,COLUMN($F$1),FALSE))),VLOOKUP($C356,武器!$1:$998,COLUMN($O$1),FALSE)*VLOOKUP($D356,素材!$1:$1016,COLUMN($E$1),FALSE)/(LEN(VLOOKUP($D356,素材!$1:$1016,COLUMN($F$1),FALSE))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S356">
        <f>IF(ISNUMBER(SEARCH(SUBSTITUTE(AS$1,RIGHT(AS$1,2),""),VLOOKUP($D356,素材!$1:$1016,COLUMN($F$1),FALSE))),VLOOKUP($C356,武器!$1:$998,COLUMN($O$1),FALSE)*VLOOKUP($D356,素材!$1:$1016,COLUMN($E$1),FALSE)/(LEN(VLOOKUP($D356,素材!$1:$1016,COLUMN($F$1),FALSE))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T356">
        <f>IF(ISNUMBER(SEARCH(SUBSTITUTE(AT$1,RIGHT(AT$1,2),""),VLOOKUP($D356,素材!$1:$1016,COLUMN($F$1),FALSE))),VLOOKUP($C356,武器!$1:$998,COLUMN($O$1),FALSE)*VLOOKUP($D356,素材!$1:$1016,COLUMN($E$1),FALSE)/(LEN(VLOOKUP($D356,素材!$1:$1016,COLUMN($F$1),FALSE))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U356">
        <f>IF(ISNUMBER(SEARCH(SUBSTITUTE(AU$1,RIGHT(AU$1,2),""),VLOOKUP($D356,素材!$1:$1016,COLUMN($F$1),FALSE))),VLOOKUP($C356,武器!$1:$998,COLUMN($O$1),FALSE)*VLOOKUP($D356,素材!$1:$1016,COLUMN($E$1),FALSE)/(LEN(VLOOKUP($D356,素材!$1:$1016,COLUMN($F$1),FALSE))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V356">
        <f>IF(ISNUMBER(SEARCH(SUBSTITUTE(AV$1,RIGHT(AV$1,2),""),VLOOKUP($D356,素材!$1:$1016,COLUMN($F$1),FALSE))),VLOOKUP($C356,武器!$1:$998,COLUMN($O$1),FALSE)*VLOOKUP($D356,素材!$1:$1016,COLUMN($E$1),FALSE)/(LEN(VLOOKUP($D356,素材!$1:$1016,COLUMN($F$1),FALSE))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W356">
        <f>IF(ISNUMBER(SEARCH(SUBSTITUTE(AW$1,RIGHT(AW$1,2),""),VLOOKUP($D356,素材!$1:$1016,COLUMN($F$1),FALSE))),VLOOKUP($C356,武器!$1:$998,COLUMN($O$1),FALSE)*VLOOKUP($D356,素材!$1:$1016,COLUMN($E$1),FALSE)/(LEN(VLOOKUP($D356,素材!$1:$1016,COLUMN($F$1),FALSE))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X356">
        <f>IF(ISNUMBER(SEARCH(SUBSTITUTE(AX$1,RIGHT(AX$1,2),""),VLOOKUP($D356,素材!$1:$1016,COLUMN($F$1),FALSE))),VLOOKUP($C356,武器!$1:$998,COLUMN($O$1),FALSE)*VLOOKUP($D356,素材!$1:$1016,COLUMN($E$1),FALSE)/(LEN(VLOOKUP($D356,素材!$1:$1016,COLUMN($F$1),FALSE))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Y356">
        <f>IF(ISNUMBER(SEARCH(SUBSTITUTE(AY$1,RIGHT(AY$1,2),""),VLOOKUP($D356,素材!$1:$1016,COLUMN($F$1),FALSE))),VLOOKUP($C356,武器!$1:$998,COLUMN($O$1),FALSE)*VLOOKUP($D356,素材!$1:$1016,COLUMN($E$1),FALSE)/(LEN(VLOOKUP($D356,素材!$1:$1016,COLUMN($F$1),FALSE))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AZ356">
        <f>IF(ISNUMBER(SEARCH(SUBSTITUTE(AZ$1,RIGHT(AZ$1,2),""),VLOOKUP($D356,素材!$1:$1016,COLUMN($F$1),FALSE))),VLOOKUP($C356,武器!$1:$998,COLUMN($O$1),FALSE)*VLOOKUP($D356,素材!$1:$1016,COLUMN($E$1),FALSE)/(LEN(VLOOKUP($D356,素材!$1:$1016,COLUMN($F$1),FALSE))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BA356">
        <f>IF(ISNUMBER(SEARCH(SUBSTITUTE(BA$1,RIGHT(BA$1,2),""),VLOOKUP($D356,素材!$1:$1016,COLUMN($F$1),FALSE))),VLOOKUP($C356,武器!$1:$998,COLUMN($O$1),FALSE)*VLOOKUP($D356,素材!$1:$1016,COLUMN($E$1),FALSE)/(LEN(VLOOKUP($D356,素材!$1:$1016,COLUMN($F$1),FALSE))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BB356">
        <f>IF(ISNUMBER(SEARCH(SUBSTITUTE(BB$1,RIGHT(BB$1,2),""),VLOOKUP($D356,素材!$1:$1016,COLUMN($F$1),FALSE))),VLOOKUP($C356,武器!$1:$998,COLUMN($O$1),FALSE)*VLOOKUP($D356,素材!$1:$1016,COLUMN($E$1),FALSE)/(LEN(VLOOKUP($D356,素材!$1:$1016,COLUMN($F$1),FALSE))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BC356">
        <f>IF(ISNUMBER(SEARCH(SUBSTITUTE(BC$1,RIGHT(BC$1,2),""),VLOOKUP($D356,素材!$1:$1016,COLUMN($F$1),FALSE))),VLOOKUP($C356,武器!$1:$998,COLUMN($O$1),FALSE)*VLOOKUP($D356,素材!$1:$1016,COLUMN($E$1),FALSE)/(LEN(VLOOKUP($D356,素材!$1:$1016,COLUMN($F$1),FALSE))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BD356">
        <f>IF(ISNUMBER(SEARCH(SUBSTITUTE(BD$1,RIGHT(BD$1,2),""),VLOOKUP($D356,素材!$1:$1016,COLUMN($F$1),FALSE))),VLOOKUP($C356,武器!$1:$998,COLUMN($O$1),FALSE)*VLOOKUP($D356,素材!$1:$1016,COLUMN($E$1),FALSE)/(LEN(VLOOKUP($D356,素材!$1:$1016,COLUMN($F$1),FALSE))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BE356">
        <f>IF(ISNUMBER(SEARCH(SUBSTITUTE(BE$1,RIGHT(BE$1,2),""),VLOOKUP($D356,素材!$1:$1016,COLUMN($F$1),FALSE))),VLOOKUP($C356,武器!$1:$998,COLUMN($O$1),FALSE)*VLOOKUP($D356,素材!$1:$1016,COLUMN($E$1),FALSE)/(LEN(VLOOKUP($D356,素材!$1:$1016,COLUMN($F$1),FALSE))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BF356">
        <f>IF(ISNUMBER(SEARCH(SUBSTITUTE(BF$1,RIGHT(BF$1,2),""),VLOOKUP($D356,素材!$1:$1016,COLUMN($F$1),FALSE))),VLOOKUP($C356,武器!$1:$998,COLUMN($O$1),FALSE)*VLOOKUP($D356,素材!$1:$1016,COLUMN($E$1),FALSE)/(LEN(VLOOKUP($D356,素材!$1:$1016,COLUMN($F$1),FALSE)) - LEN(SUBSTITUTE(VLOOKUP($D356,素材!$1:$1016,COLUMN($F$1),FALSE), "・", 0)) + 1), 0)</f>
        <v>0</v>
      </c>
      <c r="CM356">
        <f t="shared" si="39"/>
        <v>46</v>
      </c>
      <c r="CN356" s="22" t="str">
        <f>IF(E356="武器",IF(J356-1&gt;SUM(G356:I356),"盾",IF(MAX(G356:I356)=G356,"切断",IF(MAX(G356:I356)=H356,"貫通",IF(MAX(G356:I356)=I356,"打撃","射撃")))),E356)&amp;".webp"</f>
        <v>切断.webp</v>
      </c>
      <c r="CO356">
        <f>IFERROR(VLOOKUP($C356,武器!$1:$998,COLUMN(V$1),FALSE)*VLOOKUP($D356,素材!$1:$1016,COLUMN(N$1),FALSE)+IF(CJ356="",0,VLOOKUP($CJ356,装強!$1:$1008,COLUMN($CL$1),FALSE)),"")</f>
        <v>16000</v>
      </c>
      <c r="CP356">
        <f>VLOOKUP(D356,素材!$A:$O,COLUMN(素材!O$1),FALSE)</f>
        <v>0</v>
      </c>
      <c r="CQ356" t="str">
        <f>VLOOKUP(C356,武器!$A:$W,COLUMN(武器!W$1),FALSE)</f>
        <v>長剣。長く重い分扱いにくいが威力が高い。</v>
      </c>
      <c r="CS356" t="str">
        <f>"e_"&amp;ROW(CS356)</f>
        <v>e_356</v>
      </c>
      <c r="CT356">
        <f>CO356*100</f>
        <v>1600000</v>
      </c>
    </row>
    <row r="357" spans="1:98" outlineLevel="1" x14ac:dyDescent="0.4">
      <c r="A357" t="str">
        <f t="shared" si="40"/>
        <v>金鋼の長剣</v>
      </c>
      <c r="B357" t="str">
        <f>IFERROR(VLOOKUP($D357,素材!$1:$1016,COLUMN($B$1),FALSE)&amp;"・"&amp;VLOOKUP($C357,武器!$1:$998,COLUMN(B$1),FALSE),"")</f>
        <v>ゴールドメタル・ロングソード</v>
      </c>
      <c r="C357" t="s">
        <v>195</v>
      </c>
      <c r="D357" s="24" t="s">
        <v>196</v>
      </c>
      <c r="E357" t="str">
        <f>IFERROR(VLOOKUP(C357,武器!$1:$998,COLUMN(C$1),FALSE),"")</f>
        <v>武器</v>
      </c>
      <c r="F357">
        <f>IFERROR(ROUNDDOWN((VLOOKUP($C357,武器!$1:$998,COLUMN(D$1),FALSE)+IFERROR(VLOOKUP($CJ357,装強!$1:$999,COLUMN(F$1),FALSE),0))*VLOOKUP($D357,素材!$1:$1016,COLUMN(D$1),FALSE),0),"")</f>
        <v>115</v>
      </c>
      <c r="G357">
        <f>IFERROR(ROUNDDOWN((VLOOKUP($C357,武器!$1:$998,COLUMN(E$1),FALSE)+IFERROR(VLOOKUP($CJ357,装強!$1:$999,COLUMN(G$1),FALSE),0))*VLOOKUP($D357,素材!$1:$1016,COLUMN($E$1),FALSE),0),"")</f>
        <v>30</v>
      </c>
      <c r="H357">
        <f>IFERROR(ROUNDDOWN((VLOOKUP($C357,武器!$1:$998,COLUMN(F$1),FALSE)+IFERROR(VLOOKUP($CJ357,装強!$1:$999,COLUMN(H$1),FALSE),0))*VLOOKUP($D357,素材!$1:$1016,COLUMN($E$1),FALSE),0),"")</f>
        <v>18</v>
      </c>
      <c r="I357">
        <f>IFERROR(ROUNDDOWN((VLOOKUP($C357,武器!$1:$998,COLUMN(G$1),FALSE)+IFERROR(VLOOKUP($CJ357,装強!$1:$999,COLUMN(I$1),FALSE),0))*VLOOKUP($D357,素材!$1:$1016,COLUMN($E$1),FALSE),0),"")</f>
        <v>6</v>
      </c>
      <c r="J357">
        <f>IFERROR(ROUNDDOWN((VLOOKUP($C357,武器!$1:$998,COLUMN(H$1),FALSE)+IFERROR(VLOOKUP($CJ357,装強!$1:$999,COLUMN(J$1),FALSE),0))*VLOOKUP($D357,素材!$1:$1016,COLUMN($E$1),FALSE),0),"")</f>
        <v>40</v>
      </c>
      <c r="K357">
        <f>IFERROR(ROUNDDOWN((VLOOKUP($C357,武器!$1:$998,COLUMN(I$1),FALSE)+IFERROR(VLOOKUP($CJ357,装強!$1:$999,COLUMN(K$1),FALSE),0))*VLOOKUP($D357,素材!$1:$1016,COLUMN($E$1),FALSE),0),"")</f>
        <v>0</v>
      </c>
      <c r="L357" t="str">
        <f>IFERROR(VLOOKUP($D357,素材!$1:$1016,COLUMN($F$1),FALSE),"")</f>
        <v>魔法</v>
      </c>
      <c r="M357">
        <f>IFERROR(VLOOKUP($C357,武器!$1:$998,COLUMN(AA$1),FALSE)*VLOOKUP($D357,素材!$1:$1016,COLUMN($G$1),FALSE),"")</f>
        <v>0</v>
      </c>
      <c r="N357">
        <f>IFERROR(VLOOKUP($C357,武器!$1:$998,COLUMN(I$1),FALSE),"")</f>
        <v>0</v>
      </c>
      <c r="O357" s="23">
        <f>IFERROR((VLOOKUP($C357,武器!$1:$998,COLUMN(K$1),FALSE)+VLOOKUP($D357,素材!$1:$1016,COLUMN(H$1),FALSE))*100+IFERROR(VLOOKUP($CJ357,装強!$1:$999,COLUMN(O$1),FALSE),0),"")</f>
        <v>15.000000000000002</v>
      </c>
      <c r="P357" s="23">
        <f>IFERROR((VLOOKUP($C357,武器!$1:$998,COLUMN(L$1),FALSE)+VLOOKUP($D357,素材!$1:$1016,COLUMN(I$1),FALSE))*100+IFERROR(VLOOKUP($CJ357,装強!$1:$999,COLUMN(P$1),FALSE),0),"")</f>
        <v>160</v>
      </c>
      <c r="Q357">
        <f>IFERROR(ROUNDUP(VLOOKUP($C357,武器!$1:$998,COLUMN(M$1),FALSE)*(VLOOKUP($D357,素材!$1:$1002,COLUMN(D$1),FALSE)/100),1),"")</f>
        <v>-2.5</v>
      </c>
      <c r="R357">
        <f>IFERROR(ROUNDUP(VLOOKUP($C357,武器!$1:$998,COLUMN(N$1),FALSE)*(VLOOKUP($D357,素材!$1:$1002,COLUMN(D$1),FALSE)/100),1),"")</f>
        <v>-2.5</v>
      </c>
      <c r="S357">
        <f>IFERROR(VLOOKUP($C357,武器!$1:$998,COLUMN(P$1),FALSE),"")</f>
        <v>0</v>
      </c>
      <c r="T357">
        <f>IFERROR(VLOOKUP($C357,武器!$1:$998,COLUMN(Q$1),FALSE),"")</f>
        <v>0</v>
      </c>
      <c r="U357">
        <f>IFERROR(VLOOKUP($C357,武器!$1:$998,COLUMN(R$1),FALSE),"")</f>
        <v>0</v>
      </c>
      <c r="V357">
        <f>IFERROR(VLOOKUP($C357,武器!$1:$998,COLUMN(Q$1),FALSE),"")</f>
        <v>0</v>
      </c>
      <c r="W357" t="str">
        <f>IFERROR(VLOOKUP($C357,武器!$1:$998,COLUMN(T$1),FALSE),"")</f>
        <v>A</v>
      </c>
      <c r="Y357">
        <f>IFERROR(VLOOKUP($C357,武器!$1:$998,COLUMN(U$1),FALSE),"")</f>
        <v>0</v>
      </c>
      <c r="Z357">
        <f>IFERROR(ROUNDUP(VLOOKUP($C357,武器!$1:$998,COLUMN(O$1),FALSE)*VLOOKUP($D357,素材!$1:$1016,COLUMN(E$1),FALSE),1),"")</f>
        <v>0</v>
      </c>
      <c r="AA357">
        <f>IF(ISNUMBER(SEARCH(SUBSTITUTE(AA$1,RIGHT(AA$1,2),""),VLOOKUP($D357,素材!$1:$1016,COLUMN($F$1),FALSE))),VLOOKUP($C357,武器!$1:$998,COLUMN($O$1),FALSE)*VLOOKUP($D357,素材!$1:$1016,COLUMN($E$1),FALSE)/(LEN(VLOOKUP($D357,素材!$1:$1016,COLUMN($F$1),FALSE))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B357">
        <f>IF(ISNUMBER(SEARCH(SUBSTITUTE(AB$1,RIGHT(AB$1,2),""),VLOOKUP($D357,素材!$1:$1016,COLUMN($F$1),FALSE))),VLOOKUP($C357,武器!$1:$998,COLUMN($O$1),FALSE)*VLOOKUP($D357,素材!$1:$1016,COLUMN($E$1),FALSE)/(LEN(VLOOKUP($D357,素材!$1:$1016,COLUMN($F$1),FALSE))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C357">
        <f>IF(ISNUMBER(SEARCH(SUBSTITUTE(AC$1,RIGHT(AC$1,2),""),VLOOKUP($D357,素材!$1:$1016,COLUMN($F$1),FALSE))),VLOOKUP($C357,武器!$1:$998,COLUMN($O$1),FALSE)*VLOOKUP($D357,素材!$1:$1016,COLUMN($E$1),FALSE)/(LEN(VLOOKUP($D357,素材!$1:$1016,COLUMN($F$1),FALSE))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D357">
        <f>IF(ISNUMBER(SEARCH(SUBSTITUTE(AD$1,RIGHT(AD$1,2),""),VLOOKUP($D357,素材!$1:$1016,COLUMN($F$1),FALSE))),VLOOKUP($C357,武器!$1:$998,COLUMN($O$1),FALSE)*VLOOKUP($D357,素材!$1:$1016,COLUMN($E$1),FALSE)/(LEN(VLOOKUP($D357,素材!$1:$1016,COLUMN($F$1),FALSE))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E357">
        <f>IF(ISNUMBER(SEARCH(SUBSTITUTE(AE$1,RIGHT(AE$1,2),""),VLOOKUP($D357,素材!$1:$1016,COLUMN($F$1),FALSE))),VLOOKUP($C357,武器!$1:$998,COLUMN($O$1),FALSE)*VLOOKUP($D357,素材!$1:$1016,COLUMN($E$1),FALSE)/(LEN(VLOOKUP($D357,素材!$1:$1016,COLUMN($F$1),FALSE))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F357">
        <f>IF(ISNUMBER(SEARCH(SUBSTITUTE(AF$1,RIGHT(AF$1,2),""),VLOOKUP($D357,素材!$1:$1016,COLUMN($F$1),FALSE))),VLOOKUP($C357,武器!$1:$998,COLUMN($O$1),FALSE)*VLOOKUP($D357,素材!$1:$1016,COLUMN($E$1),FALSE)/(LEN(VLOOKUP($D357,素材!$1:$1016,COLUMN($F$1),FALSE))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G357">
        <f>IF(ISNUMBER(SEARCH(SUBSTITUTE(AG$1,RIGHT(AG$1,2),""),VLOOKUP($D357,素材!$1:$1016,COLUMN($F$1),FALSE))),VLOOKUP($C357,武器!$1:$998,COLUMN($O$1),FALSE)*VLOOKUP($D357,素材!$1:$1016,COLUMN($E$1),FALSE)/(LEN(VLOOKUP($D357,素材!$1:$1016,COLUMN($F$1),FALSE))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H357">
        <f>IF(ISNUMBER(SEARCH(SUBSTITUTE(AH$1,RIGHT(AH$1,2),""),VLOOKUP($D357,素材!$1:$1016,COLUMN($F$1),FALSE))),VLOOKUP($C357,武器!$1:$998,COLUMN($O$1),FALSE)*VLOOKUP($D357,素材!$1:$1016,COLUMN($E$1),FALSE)/(LEN(VLOOKUP($D357,素材!$1:$1016,COLUMN($F$1),FALSE))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I357">
        <f>IF(ISNUMBER(SEARCH(SUBSTITUTE(AI$1,RIGHT(AI$1,2),""),VLOOKUP($D357,素材!$1:$1016,COLUMN($F$1),FALSE))),VLOOKUP($C357,武器!$1:$998,COLUMN($O$1),FALSE)*VLOOKUP($D357,素材!$1:$1016,COLUMN($E$1),FALSE)/(LEN(VLOOKUP($D357,素材!$1:$1016,COLUMN($F$1),FALSE))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J357">
        <f>IF(ISNUMBER(SEARCH(SUBSTITUTE(AJ$1,RIGHT(AJ$1,2),""),VLOOKUP($D357,素材!$1:$1016,COLUMN($F$1),FALSE))),VLOOKUP($C357,武器!$1:$998,COLUMN($O$1),FALSE)*VLOOKUP($D357,素材!$1:$1016,COLUMN($E$1),FALSE)/(LEN(VLOOKUP($D357,素材!$1:$1016,COLUMN($F$1),FALSE))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K357">
        <f>IF(ISNUMBER(SEARCH(SUBSTITUTE(AK$1,RIGHT(AK$1,2),""),VLOOKUP($D357,素材!$1:$1016,COLUMN($F$1),FALSE))),VLOOKUP($C357,武器!$1:$998,COLUMN($O$1),FALSE)*VLOOKUP($D357,素材!$1:$1016,COLUMN($E$1),FALSE)/(LEN(VLOOKUP($D357,素材!$1:$1016,COLUMN($F$1),FALSE))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L357">
        <f>IF(ISNUMBER(SEARCH(SUBSTITUTE(AL$1,RIGHT(AL$1,2),""),VLOOKUP($D357,素材!$1:$1016,COLUMN($F$1),FALSE))),VLOOKUP($C357,武器!$1:$998,COLUMN($O$1),FALSE)*VLOOKUP($D357,素材!$1:$1016,COLUMN($E$1),FALSE)/(LEN(VLOOKUP($D357,素材!$1:$1016,COLUMN($F$1),FALSE))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M357">
        <f>IF(ISNUMBER(SEARCH(SUBSTITUTE(AM$1,RIGHT(AM$1,2),""),VLOOKUP($D357,素材!$1:$1016,COLUMN($F$1),FALSE))),VLOOKUP($C357,武器!$1:$998,COLUMN($O$1),FALSE)*VLOOKUP($D357,素材!$1:$1016,COLUMN($E$1),FALSE)/(LEN(VLOOKUP($D357,素材!$1:$1016,COLUMN($F$1),FALSE))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N357">
        <f>IF(ISNUMBER(SEARCH(SUBSTITUTE(AN$1,RIGHT(AN$1,2),""),VLOOKUP($D357,素材!$1:$1016,COLUMN($F$1),FALSE))),VLOOKUP($C357,武器!$1:$998,COLUMN($O$1),FALSE)*VLOOKUP($D357,素材!$1:$1016,COLUMN($E$1),FALSE)/(LEN(VLOOKUP($D357,素材!$1:$1016,COLUMN($F$1),FALSE))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O357">
        <f>IF(ISNUMBER(SEARCH(SUBSTITUTE(AO$1,RIGHT(AO$1,2),""),VLOOKUP($D357,素材!$1:$1016,COLUMN($F$1),FALSE))),VLOOKUP($C357,武器!$1:$998,COLUMN($O$1),FALSE)*VLOOKUP($D357,素材!$1:$1016,COLUMN($E$1),FALSE)/(LEN(VLOOKUP($D357,素材!$1:$1016,COLUMN($F$1),FALSE))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P357">
        <f>IF(ISNUMBER(SEARCH(SUBSTITUTE(AP$1,RIGHT(AP$1,2),""),VLOOKUP($D357,素材!$1:$1016,COLUMN($F$1),FALSE))),VLOOKUP($C357,武器!$1:$998,COLUMN($O$1),FALSE)*VLOOKUP($D357,素材!$1:$1016,COLUMN($E$1),FALSE)/(LEN(VLOOKUP($D357,素材!$1:$1016,COLUMN($F$1),FALSE))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Q357">
        <f>IF(ISNUMBER(SEARCH(SUBSTITUTE(AQ$1,RIGHT(AQ$1,2),""),VLOOKUP($D357,素材!$1:$1016,COLUMN($F$1),FALSE))),VLOOKUP($C357,武器!$1:$998,COLUMN($O$1),FALSE)*VLOOKUP($D357,素材!$1:$1016,COLUMN($E$1),FALSE)/(LEN(VLOOKUP($D357,素材!$1:$1016,COLUMN($F$1),FALSE))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R357">
        <f>IF(ISNUMBER(SEARCH(SUBSTITUTE(AR$1,RIGHT(AR$1,2),""),VLOOKUP($D357,素材!$1:$1016,COLUMN($F$1),FALSE))),VLOOKUP($C357,武器!$1:$998,COLUMN($O$1),FALSE)*VLOOKUP($D357,素材!$1:$1016,COLUMN($E$1),FALSE)/(LEN(VLOOKUP($D357,素材!$1:$1016,COLUMN($F$1),FALSE))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S357">
        <f>IF(ISNUMBER(SEARCH(SUBSTITUTE(AS$1,RIGHT(AS$1,2),""),VLOOKUP($D357,素材!$1:$1016,COLUMN($F$1),FALSE))),VLOOKUP($C357,武器!$1:$998,COLUMN($O$1),FALSE)*VLOOKUP($D357,素材!$1:$1016,COLUMN($E$1),FALSE)/(LEN(VLOOKUP($D357,素材!$1:$1016,COLUMN($F$1),FALSE))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T357">
        <f>IF(ISNUMBER(SEARCH(SUBSTITUTE(AT$1,RIGHT(AT$1,2),""),VLOOKUP($D357,素材!$1:$1016,COLUMN($F$1),FALSE))),VLOOKUP($C357,武器!$1:$998,COLUMN($O$1),FALSE)*VLOOKUP($D357,素材!$1:$1016,COLUMN($E$1),FALSE)/(LEN(VLOOKUP($D357,素材!$1:$1016,COLUMN($F$1),FALSE))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U357">
        <f>IF(ISNUMBER(SEARCH(SUBSTITUTE(AU$1,RIGHT(AU$1,2),""),VLOOKUP($D357,素材!$1:$1016,COLUMN($F$1),FALSE))),VLOOKUP($C357,武器!$1:$998,COLUMN($O$1),FALSE)*VLOOKUP($D357,素材!$1:$1016,COLUMN($E$1),FALSE)/(LEN(VLOOKUP($D357,素材!$1:$1016,COLUMN($F$1),FALSE))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V357">
        <f>IF(ISNUMBER(SEARCH(SUBSTITUTE(AV$1,RIGHT(AV$1,2),""),VLOOKUP($D357,素材!$1:$1016,COLUMN($F$1),FALSE))),VLOOKUP($C357,武器!$1:$998,COLUMN($O$1),FALSE)*VLOOKUP($D357,素材!$1:$1016,COLUMN($E$1),FALSE)/(LEN(VLOOKUP($D357,素材!$1:$1016,COLUMN($F$1),FALSE))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W357">
        <f>IF(ISNUMBER(SEARCH(SUBSTITUTE(AW$1,RIGHT(AW$1,2),""),VLOOKUP($D357,素材!$1:$1016,COLUMN($F$1),FALSE))),VLOOKUP($C357,武器!$1:$998,COLUMN($O$1),FALSE)*VLOOKUP($D357,素材!$1:$1016,COLUMN($E$1),FALSE)/(LEN(VLOOKUP($D357,素材!$1:$1016,COLUMN($F$1),FALSE))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X357">
        <f>IF(ISNUMBER(SEARCH(SUBSTITUTE(AX$1,RIGHT(AX$1,2),""),VLOOKUP($D357,素材!$1:$1016,COLUMN($F$1),FALSE))),VLOOKUP($C357,武器!$1:$998,COLUMN($O$1),FALSE)*VLOOKUP($D357,素材!$1:$1016,COLUMN($E$1),FALSE)/(LEN(VLOOKUP($D357,素材!$1:$1016,COLUMN($F$1),FALSE))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Y357">
        <f>IF(ISNUMBER(SEARCH(SUBSTITUTE(AY$1,RIGHT(AY$1,2),""),VLOOKUP($D357,素材!$1:$1016,COLUMN($F$1),FALSE))),VLOOKUP($C357,武器!$1:$998,COLUMN($O$1),FALSE)*VLOOKUP($D357,素材!$1:$1016,COLUMN($E$1),FALSE)/(LEN(VLOOKUP($D357,素材!$1:$1016,COLUMN($F$1),FALSE))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AZ357">
        <f>IF(ISNUMBER(SEARCH(SUBSTITUTE(AZ$1,RIGHT(AZ$1,2),""),VLOOKUP($D357,素材!$1:$1016,COLUMN($F$1),FALSE))),VLOOKUP($C357,武器!$1:$998,COLUMN($O$1),FALSE)*VLOOKUP($D357,素材!$1:$1016,COLUMN($E$1),FALSE)/(LEN(VLOOKUP($D357,素材!$1:$1016,COLUMN($F$1),FALSE))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BA357">
        <f>IF(ISNUMBER(SEARCH(SUBSTITUTE(BA$1,RIGHT(BA$1,2),""),VLOOKUP($D357,素材!$1:$1016,COLUMN($F$1),FALSE))),VLOOKUP($C357,武器!$1:$998,COLUMN($O$1),FALSE)*VLOOKUP($D357,素材!$1:$1016,COLUMN($E$1),FALSE)/(LEN(VLOOKUP($D357,素材!$1:$1016,COLUMN($F$1),FALSE))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BB357">
        <f>IF(ISNUMBER(SEARCH(SUBSTITUTE(BB$1,RIGHT(BB$1,2),""),VLOOKUP($D357,素材!$1:$1016,COLUMN($F$1),FALSE))),VLOOKUP($C357,武器!$1:$998,COLUMN($O$1),FALSE)*VLOOKUP($D357,素材!$1:$1016,COLUMN($E$1),FALSE)/(LEN(VLOOKUP($D357,素材!$1:$1016,COLUMN($F$1),FALSE))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BC357">
        <f>IF(ISNUMBER(SEARCH(SUBSTITUTE(BC$1,RIGHT(BC$1,2),""),VLOOKUP($D357,素材!$1:$1016,COLUMN($F$1),FALSE))),VLOOKUP($C357,武器!$1:$998,COLUMN($O$1),FALSE)*VLOOKUP($D357,素材!$1:$1016,COLUMN($E$1),FALSE)/(LEN(VLOOKUP($D357,素材!$1:$1016,COLUMN($F$1),FALSE))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BD357">
        <f>IF(ISNUMBER(SEARCH(SUBSTITUTE(BD$1,RIGHT(BD$1,2),""),VLOOKUP($D357,素材!$1:$1016,COLUMN($F$1),FALSE))),VLOOKUP($C357,武器!$1:$998,COLUMN($O$1),FALSE)*VLOOKUP($D357,素材!$1:$1016,COLUMN($E$1),FALSE)/(LEN(VLOOKUP($D357,素材!$1:$1016,COLUMN($F$1),FALSE))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BE357">
        <f>IF(ISNUMBER(SEARCH(SUBSTITUTE(BE$1,RIGHT(BE$1,2),""),VLOOKUP($D357,素材!$1:$1016,COLUMN($F$1),FALSE))),VLOOKUP($C357,武器!$1:$998,COLUMN($O$1),FALSE)*VLOOKUP($D357,素材!$1:$1016,COLUMN($E$1),FALSE)/(LEN(VLOOKUP($D357,素材!$1:$1016,COLUMN($F$1),FALSE))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BF357">
        <f>IF(ISNUMBER(SEARCH(SUBSTITUTE(BF$1,RIGHT(BF$1,2),""),VLOOKUP($D357,素材!$1:$1016,COLUMN($F$1),FALSE))),VLOOKUP($C357,武器!$1:$998,COLUMN($O$1),FALSE)*VLOOKUP($D357,素材!$1:$1016,COLUMN($E$1),FALSE)/(LEN(VLOOKUP($D357,素材!$1:$1016,COLUMN($F$1),FALSE)) - LEN(SUBSTITUTE(VLOOKUP($D357,素材!$1:$1016,COLUMN($F$1),FALSE), "・", 0)) + 1), 0)</f>
        <v>0</v>
      </c>
      <c r="CM357">
        <f t="shared" si="39"/>
        <v>54</v>
      </c>
      <c r="CN357" s="22" t="str">
        <f>IF(E357="武器",IF(J357-1&gt;SUM(G357:I357),"盾",IF(MAX(G357:I357)=G357,"切断",IF(MAX(G357:I357)=H357,"貫通",IF(MAX(G357:I357)=I357,"打撃","射撃")))),E357)&amp;".webp"</f>
        <v>切断.webp</v>
      </c>
      <c r="CO357">
        <f>IFERROR(VLOOKUP($C357,武器!$1:$998,COLUMN(V$1),FALSE)*VLOOKUP($D357,素材!$1:$1016,COLUMN(N$1),FALSE)+IF(CJ357="",0,VLOOKUP($CJ357,装強!$1:$1008,COLUMN($CL$1),FALSE)),"")</f>
        <v>18000</v>
      </c>
      <c r="CP357">
        <f>VLOOKUP(D357,素材!$A:$O,COLUMN(素材!O$1),FALSE)</f>
        <v>0</v>
      </c>
      <c r="CQ357" t="str">
        <f>VLOOKUP(C357,武器!$A:$W,COLUMN(武器!W$1),FALSE)</f>
        <v>長剣。長く重い分扱いにくいが威力が高い。</v>
      </c>
      <c r="CS357" t="str">
        <f>"e_"&amp;ROW(CS357)</f>
        <v>e_357</v>
      </c>
      <c r="CT357">
        <f>CO357*100</f>
        <v>1800000</v>
      </c>
    </row>
    <row r="358" spans="1:98" outlineLevel="1" x14ac:dyDescent="0.4">
      <c r="A358" t="str">
        <f t="shared" si="40"/>
        <v>黒鋼の長剣</v>
      </c>
      <c r="B358" t="str">
        <f>IFERROR(VLOOKUP($D358,素材!$1:$1016,COLUMN($B$1),FALSE)&amp;"・"&amp;VLOOKUP($C358,武器!$1:$998,COLUMN(B$1),FALSE),"")</f>
        <v>ブラックメタル・ロングソード</v>
      </c>
      <c r="C358" t="s">
        <v>195</v>
      </c>
      <c r="D358" s="24" t="s">
        <v>194</v>
      </c>
      <c r="E358" t="str">
        <f>IFERROR(VLOOKUP(C358,武器!$1:$998,COLUMN(C$1),FALSE),"")</f>
        <v>武器</v>
      </c>
      <c r="F358">
        <f>IFERROR(ROUNDDOWN((VLOOKUP($C358,武器!$1:$998,COLUMN(D$1),FALSE)+IFERROR(VLOOKUP($CJ358,装強!$1:$999,COLUMN(F$1),FALSE),0))*VLOOKUP($D358,素材!$1:$1016,COLUMN(D$1),FALSE),0),"")</f>
        <v>138</v>
      </c>
      <c r="G358">
        <f>IFERROR(ROUNDDOWN((VLOOKUP($C358,武器!$1:$998,COLUMN(E$1),FALSE)+IFERROR(VLOOKUP($CJ358,装強!$1:$999,COLUMN(G$1),FALSE),0))*VLOOKUP($D358,素材!$1:$1016,COLUMN($E$1),FALSE),0),"")</f>
        <v>37</v>
      </c>
      <c r="H358">
        <f>IFERROR(ROUNDDOWN((VLOOKUP($C358,武器!$1:$998,COLUMN(F$1),FALSE)+IFERROR(VLOOKUP($CJ358,装強!$1:$999,COLUMN(H$1),FALSE),0))*VLOOKUP($D358,素材!$1:$1016,COLUMN($E$1),FALSE),0),"")</f>
        <v>22</v>
      </c>
      <c r="I358">
        <f>IFERROR(ROUNDDOWN((VLOOKUP($C358,武器!$1:$998,COLUMN(G$1),FALSE)+IFERROR(VLOOKUP($CJ358,装強!$1:$999,COLUMN(I$1),FALSE),0))*VLOOKUP($D358,素材!$1:$1016,COLUMN($E$1),FALSE),0),"")</f>
        <v>7</v>
      </c>
      <c r="J358">
        <f>IFERROR(ROUNDDOWN((VLOOKUP($C358,武器!$1:$998,COLUMN(H$1),FALSE)+IFERROR(VLOOKUP($CJ358,装強!$1:$999,COLUMN(J$1),FALSE),0))*VLOOKUP($D358,素材!$1:$1016,COLUMN($E$1),FALSE),0),"")</f>
        <v>50</v>
      </c>
      <c r="K358">
        <f>IFERROR(ROUNDDOWN((VLOOKUP($C358,武器!$1:$998,COLUMN(I$1),FALSE)+IFERROR(VLOOKUP($CJ358,装強!$1:$999,COLUMN(K$1),FALSE),0))*VLOOKUP($D358,素材!$1:$1016,COLUMN($E$1),FALSE),0),"")</f>
        <v>0</v>
      </c>
      <c r="L358" t="str">
        <f>IFERROR(VLOOKUP($D358,素材!$1:$1016,COLUMN($F$1),FALSE),"")</f>
        <v>物理</v>
      </c>
      <c r="M358">
        <f>IFERROR(VLOOKUP($C358,武器!$1:$998,COLUMN(AA$1),FALSE)*VLOOKUP($D358,素材!$1:$1016,COLUMN($G$1),FALSE),"")</f>
        <v>0</v>
      </c>
      <c r="N358">
        <f>IFERROR(VLOOKUP($C358,武器!$1:$998,COLUMN(I$1),FALSE),"")</f>
        <v>0</v>
      </c>
      <c r="O358" s="23">
        <f>IFERROR((VLOOKUP($C358,武器!$1:$998,COLUMN(K$1),FALSE)+VLOOKUP($D358,素材!$1:$1016,COLUMN(H$1),FALSE))*100+IFERROR(VLOOKUP($CJ358,装強!$1:$999,COLUMN(O$1),FALSE),0),"")</f>
        <v>15.000000000000002</v>
      </c>
      <c r="P358" s="23">
        <f>IFERROR((VLOOKUP($C358,武器!$1:$998,COLUMN(L$1),FALSE)+VLOOKUP($D358,素材!$1:$1016,COLUMN(I$1),FALSE))*100+IFERROR(VLOOKUP($CJ358,装強!$1:$999,COLUMN(P$1),FALSE),0),"")</f>
        <v>160</v>
      </c>
      <c r="Q358">
        <f>IFERROR(ROUNDUP(VLOOKUP($C358,武器!$1:$998,COLUMN(M$1),FALSE)*(VLOOKUP($D358,素材!$1:$1002,COLUMN(D$1),FALSE)/100),1),"")</f>
        <v>-3</v>
      </c>
      <c r="R358">
        <f>IFERROR(ROUNDUP(VLOOKUP($C358,武器!$1:$998,COLUMN(N$1),FALSE)*(VLOOKUP($D358,素材!$1:$1002,COLUMN(D$1),FALSE)/100),1),"")</f>
        <v>-3</v>
      </c>
      <c r="S358">
        <f>IFERROR(VLOOKUP($C358,武器!$1:$998,COLUMN(P$1),FALSE),"")</f>
        <v>0</v>
      </c>
      <c r="T358">
        <f>IFERROR(VLOOKUP($C358,武器!$1:$998,COLUMN(Q$1),FALSE),"")</f>
        <v>0</v>
      </c>
      <c r="U358">
        <f>IFERROR(VLOOKUP($C358,武器!$1:$998,COLUMN(R$1),FALSE),"")</f>
        <v>0</v>
      </c>
      <c r="V358">
        <f>IFERROR(VLOOKUP($C358,武器!$1:$998,COLUMN(Q$1),FALSE),"")</f>
        <v>0</v>
      </c>
      <c r="W358" t="str">
        <f>IFERROR(VLOOKUP($C358,武器!$1:$998,COLUMN(T$1),FALSE),"")</f>
        <v>A</v>
      </c>
      <c r="Y358">
        <f>IFERROR(VLOOKUP($C358,武器!$1:$998,COLUMN(U$1),FALSE),"")</f>
        <v>0</v>
      </c>
      <c r="Z358">
        <f>IFERROR(ROUNDUP(VLOOKUP($C358,武器!$1:$998,COLUMN(O$1),FALSE)*VLOOKUP($D358,素材!$1:$1016,COLUMN(E$1),FALSE),1),"")</f>
        <v>0</v>
      </c>
      <c r="AA358">
        <f>IF(ISNUMBER(SEARCH(SUBSTITUTE(AA$1,RIGHT(AA$1,2),""),VLOOKUP($D358,素材!$1:$1016,COLUMN($F$1),FALSE))),VLOOKUP($C358,武器!$1:$998,COLUMN($O$1),FALSE)*VLOOKUP($D358,素材!$1:$1016,COLUMN($E$1),FALSE)/(LEN(VLOOKUP($D358,素材!$1:$1016,COLUMN($F$1),FALSE))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B358">
        <f>IF(ISNUMBER(SEARCH(SUBSTITUTE(AB$1,RIGHT(AB$1,2),""),VLOOKUP($D358,素材!$1:$1016,COLUMN($F$1),FALSE))),VLOOKUP($C358,武器!$1:$998,COLUMN($O$1),FALSE)*VLOOKUP($D358,素材!$1:$1016,COLUMN($E$1),FALSE)/(LEN(VLOOKUP($D358,素材!$1:$1016,COLUMN($F$1),FALSE))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C358">
        <f>IF(ISNUMBER(SEARCH(SUBSTITUTE(AC$1,RIGHT(AC$1,2),""),VLOOKUP($D358,素材!$1:$1016,COLUMN($F$1),FALSE))),VLOOKUP($C358,武器!$1:$998,COLUMN($O$1),FALSE)*VLOOKUP($D358,素材!$1:$1016,COLUMN($E$1),FALSE)/(LEN(VLOOKUP($D358,素材!$1:$1016,COLUMN($F$1),FALSE))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D358">
        <f>IF(ISNUMBER(SEARCH(SUBSTITUTE(AD$1,RIGHT(AD$1,2),""),VLOOKUP($D358,素材!$1:$1016,COLUMN($F$1),FALSE))),VLOOKUP($C358,武器!$1:$998,COLUMN($O$1),FALSE)*VLOOKUP($D358,素材!$1:$1016,COLUMN($E$1),FALSE)/(LEN(VLOOKUP($D358,素材!$1:$1016,COLUMN($F$1),FALSE))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E358">
        <f>IF(ISNUMBER(SEARCH(SUBSTITUTE(AE$1,RIGHT(AE$1,2),""),VLOOKUP($D358,素材!$1:$1016,COLUMN($F$1),FALSE))),VLOOKUP($C358,武器!$1:$998,COLUMN($O$1),FALSE)*VLOOKUP($D358,素材!$1:$1016,COLUMN($E$1),FALSE)/(LEN(VLOOKUP($D358,素材!$1:$1016,COLUMN($F$1),FALSE))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F358">
        <f>IF(ISNUMBER(SEARCH(SUBSTITUTE(AF$1,RIGHT(AF$1,2),""),VLOOKUP($D358,素材!$1:$1016,COLUMN($F$1),FALSE))),VLOOKUP($C358,武器!$1:$998,COLUMN($O$1),FALSE)*VLOOKUP($D358,素材!$1:$1016,COLUMN($E$1),FALSE)/(LEN(VLOOKUP($D358,素材!$1:$1016,COLUMN($F$1),FALSE))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G358">
        <f>IF(ISNUMBER(SEARCH(SUBSTITUTE(AG$1,RIGHT(AG$1,2),""),VLOOKUP($D358,素材!$1:$1016,COLUMN($F$1),FALSE))),VLOOKUP($C358,武器!$1:$998,COLUMN($O$1),FALSE)*VLOOKUP($D358,素材!$1:$1016,COLUMN($E$1),FALSE)/(LEN(VLOOKUP($D358,素材!$1:$1016,COLUMN($F$1),FALSE))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H358">
        <f>IF(ISNUMBER(SEARCH(SUBSTITUTE(AH$1,RIGHT(AH$1,2),""),VLOOKUP($D358,素材!$1:$1016,COLUMN($F$1),FALSE))),VLOOKUP($C358,武器!$1:$998,COLUMN($O$1),FALSE)*VLOOKUP($D358,素材!$1:$1016,COLUMN($E$1),FALSE)/(LEN(VLOOKUP($D358,素材!$1:$1016,COLUMN($F$1),FALSE))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I358">
        <f>IF(ISNUMBER(SEARCH(SUBSTITUTE(AI$1,RIGHT(AI$1,2),""),VLOOKUP($D358,素材!$1:$1016,COLUMN($F$1),FALSE))),VLOOKUP($C358,武器!$1:$998,COLUMN($O$1),FALSE)*VLOOKUP($D358,素材!$1:$1016,COLUMN($E$1),FALSE)/(LEN(VLOOKUP($D358,素材!$1:$1016,COLUMN($F$1),FALSE))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J358">
        <f>IF(ISNUMBER(SEARCH(SUBSTITUTE(AJ$1,RIGHT(AJ$1,2),""),VLOOKUP($D358,素材!$1:$1016,COLUMN($F$1),FALSE))),VLOOKUP($C358,武器!$1:$998,COLUMN($O$1),FALSE)*VLOOKUP($D358,素材!$1:$1016,COLUMN($E$1),FALSE)/(LEN(VLOOKUP($D358,素材!$1:$1016,COLUMN($F$1),FALSE))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K358">
        <f>IF(ISNUMBER(SEARCH(SUBSTITUTE(AK$1,RIGHT(AK$1,2),""),VLOOKUP($D358,素材!$1:$1016,COLUMN($F$1),FALSE))),VLOOKUP($C358,武器!$1:$998,COLUMN($O$1),FALSE)*VLOOKUP($D358,素材!$1:$1016,COLUMN($E$1),FALSE)/(LEN(VLOOKUP($D358,素材!$1:$1016,COLUMN($F$1),FALSE))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L358">
        <f>IF(ISNUMBER(SEARCH(SUBSTITUTE(AL$1,RIGHT(AL$1,2),""),VLOOKUP($D358,素材!$1:$1016,COLUMN($F$1),FALSE))),VLOOKUP($C358,武器!$1:$998,COLUMN($O$1),FALSE)*VLOOKUP($D358,素材!$1:$1016,COLUMN($E$1),FALSE)/(LEN(VLOOKUP($D358,素材!$1:$1016,COLUMN($F$1),FALSE))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M358">
        <f>IF(ISNUMBER(SEARCH(SUBSTITUTE(AM$1,RIGHT(AM$1,2),""),VLOOKUP($D358,素材!$1:$1016,COLUMN($F$1),FALSE))),VLOOKUP($C358,武器!$1:$998,COLUMN($O$1),FALSE)*VLOOKUP($D358,素材!$1:$1016,COLUMN($E$1),FALSE)/(LEN(VLOOKUP($D358,素材!$1:$1016,COLUMN($F$1),FALSE))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N358">
        <f>IF(ISNUMBER(SEARCH(SUBSTITUTE(AN$1,RIGHT(AN$1,2),""),VLOOKUP($D358,素材!$1:$1016,COLUMN($F$1),FALSE))),VLOOKUP($C358,武器!$1:$998,COLUMN($O$1),FALSE)*VLOOKUP($D358,素材!$1:$1016,COLUMN($E$1),FALSE)/(LEN(VLOOKUP($D358,素材!$1:$1016,COLUMN($F$1),FALSE))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O358">
        <f>IF(ISNUMBER(SEARCH(SUBSTITUTE(AO$1,RIGHT(AO$1,2),""),VLOOKUP($D358,素材!$1:$1016,COLUMN($F$1),FALSE))),VLOOKUP($C358,武器!$1:$998,COLUMN($O$1),FALSE)*VLOOKUP($D358,素材!$1:$1016,COLUMN($E$1),FALSE)/(LEN(VLOOKUP($D358,素材!$1:$1016,COLUMN($F$1),FALSE))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P358">
        <f>IF(ISNUMBER(SEARCH(SUBSTITUTE(AP$1,RIGHT(AP$1,2),""),VLOOKUP($D358,素材!$1:$1016,COLUMN($F$1),FALSE))),VLOOKUP($C358,武器!$1:$998,COLUMN($O$1),FALSE)*VLOOKUP($D358,素材!$1:$1016,COLUMN($E$1),FALSE)/(LEN(VLOOKUP($D358,素材!$1:$1016,COLUMN($F$1),FALSE))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Q358">
        <f>IF(ISNUMBER(SEARCH(SUBSTITUTE(AQ$1,RIGHT(AQ$1,2),""),VLOOKUP($D358,素材!$1:$1016,COLUMN($F$1),FALSE))),VLOOKUP($C358,武器!$1:$998,COLUMN($O$1),FALSE)*VLOOKUP($D358,素材!$1:$1016,COLUMN($E$1),FALSE)/(LEN(VLOOKUP($D358,素材!$1:$1016,COLUMN($F$1),FALSE))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R358">
        <f>IF(ISNUMBER(SEARCH(SUBSTITUTE(AR$1,RIGHT(AR$1,2),""),VLOOKUP($D358,素材!$1:$1016,COLUMN($F$1),FALSE))),VLOOKUP($C358,武器!$1:$998,COLUMN($O$1),FALSE)*VLOOKUP($D358,素材!$1:$1016,COLUMN($E$1),FALSE)/(LEN(VLOOKUP($D358,素材!$1:$1016,COLUMN($F$1),FALSE))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S358">
        <f>IF(ISNUMBER(SEARCH(SUBSTITUTE(AS$1,RIGHT(AS$1,2),""),VLOOKUP($D358,素材!$1:$1016,COLUMN($F$1),FALSE))),VLOOKUP($C358,武器!$1:$998,COLUMN($O$1),FALSE)*VLOOKUP($D358,素材!$1:$1016,COLUMN($E$1),FALSE)/(LEN(VLOOKUP($D358,素材!$1:$1016,COLUMN($F$1),FALSE))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T358">
        <f>IF(ISNUMBER(SEARCH(SUBSTITUTE(AT$1,RIGHT(AT$1,2),""),VLOOKUP($D358,素材!$1:$1016,COLUMN($F$1),FALSE))),VLOOKUP($C358,武器!$1:$998,COLUMN($O$1),FALSE)*VLOOKUP($D358,素材!$1:$1016,COLUMN($E$1),FALSE)/(LEN(VLOOKUP($D358,素材!$1:$1016,COLUMN($F$1),FALSE))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U358">
        <f>IF(ISNUMBER(SEARCH(SUBSTITUTE(AU$1,RIGHT(AU$1,2),""),VLOOKUP($D358,素材!$1:$1016,COLUMN($F$1),FALSE))),VLOOKUP($C358,武器!$1:$998,COLUMN($O$1),FALSE)*VLOOKUP($D358,素材!$1:$1016,COLUMN($E$1),FALSE)/(LEN(VLOOKUP($D358,素材!$1:$1016,COLUMN($F$1),FALSE))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V358">
        <f>IF(ISNUMBER(SEARCH(SUBSTITUTE(AV$1,RIGHT(AV$1,2),""),VLOOKUP($D358,素材!$1:$1016,COLUMN($F$1),FALSE))),VLOOKUP($C358,武器!$1:$998,COLUMN($O$1),FALSE)*VLOOKUP($D358,素材!$1:$1016,COLUMN($E$1),FALSE)/(LEN(VLOOKUP($D358,素材!$1:$1016,COLUMN($F$1),FALSE))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W358">
        <f>IF(ISNUMBER(SEARCH(SUBSTITUTE(AW$1,RIGHT(AW$1,2),""),VLOOKUP($D358,素材!$1:$1016,COLUMN($F$1),FALSE))),VLOOKUP($C358,武器!$1:$998,COLUMN($O$1),FALSE)*VLOOKUP($D358,素材!$1:$1016,COLUMN($E$1),FALSE)/(LEN(VLOOKUP($D358,素材!$1:$1016,COLUMN($F$1),FALSE))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X358">
        <f>IF(ISNUMBER(SEARCH(SUBSTITUTE(AX$1,RIGHT(AX$1,2),""),VLOOKUP($D358,素材!$1:$1016,COLUMN($F$1),FALSE))),VLOOKUP($C358,武器!$1:$998,COLUMN($O$1),FALSE)*VLOOKUP($D358,素材!$1:$1016,COLUMN($E$1),FALSE)/(LEN(VLOOKUP($D358,素材!$1:$1016,COLUMN($F$1),FALSE))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Y358">
        <f>IF(ISNUMBER(SEARCH(SUBSTITUTE(AY$1,RIGHT(AY$1,2),""),VLOOKUP($D358,素材!$1:$1016,COLUMN($F$1),FALSE))),VLOOKUP($C358,武器!$1:$998,COLUMN($O$1),FALSE)*VLOOKUP($D358,素材!$1:$1016,COLUMN($E$1),FALSE)/(LEN(VLOOKUP($D358,素材!$1:$1016,COLUMN($F$1),FALSE))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AZ358">
        <f>IF(ISNUMBER(SEARCH(SUBSTITUTE(AZ$1,RIGHT(AZ$1,2),""),VLOOKUP($D358,素材!$1:$1016,COLUMN($F$1),FALSE))),VLOOKUP($C358,武器!$1:$998,COLUMN($O$1),FALSE)*VLOOKUP($D358,素材!$1:$1016,COLUMN($E$1),FALSE)/(LEN(VLOOKUP($D358,素材!$1:$1016,COLUMN($F$1),FALSE))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BA358">
        <f>IF(ISNUMBER(SEARCH(SUBSTITUTE(BA$1,RIGHT(BA$1,2),""),VLOOKUP($D358,素材!$1:$1016,COLUMN($F$1),FALSE))),VLOOKUP($C358,武器!$1:$998,COLUMN($O$1),FALSE)*VLOOKUP($D358,素材!$1:$1016,COLUMN($E$1),FALSE)/(LEN(VLOOKUP($D358,素材!$1:$1016,COLUMN($F$1),FALSE))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BB358">
        <f>IF(ISNUMBER(SEARCH(SUBSTITUTE(BB$1,RIGHT(BB$1,2),""),VLOOKUP($D358,素材!$1:$1016,COLUMN($F$1),FALSE))),VLOOKUP($C358,武器!$1:$998,COLUMN($O$1),FALSE)*VLOOKUP($D358,素材!$1:$1016,COLUMN($E$1),FALSE)/(LEN(VLOOKUP($D358,素材!$1:$1016,COLUMN($F$1),FALSE))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BC358">
        <f>IF(ISNUMBER(SEARCH(SUBSTITUTE(BC$1,RIGHT(BC$1,2),""),VLOOKUP($D358,素材!$1:$1016,COLUMN($F$1),FALSE))),VLOOKUP($C358,武器!$1:$998,COLUMN($O$1),FALSE)*VLOOKUP($D358,素材!$1:$1016,COLUMN($E$1),FALSE)/(LEN(VLOOKUP($D358,素材!$1:$1016,COLUMN($F$1),FALSE))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BD358">
        <f>IF(ISNUMBER(SEARCH(SUBSTITUTE(BD$1,RIGHT(BD$1,2),""),VLOOKUP($D358,素材!$1:$1016,COLUMN($F$1),FALSE))),VLOOKUP($C358,武器!$1:$998,COLUMN($O$1),FALSE)*VLOOKUP($D358,素材!$1:$1016,COLUMN($E$1),FALSE)/(LEN(VLOOKUP($D358,素材!$1:$1016,COLUMN($F$1),FALSE))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BE358">
        <f>IF(ISNUMBER(SEARCH(SUBSTITUTE(BE$1,RIGHT(BE$1,2),""),VLOOKUP($D358,素材!$1:$1016,COLUMN($F$1),FALSE))),VLOOKUP($C358,武器!$1:$998,COLUMN($O$1),FALSE)*VLOOKUP($D358,素材!$1:$1016,COLUMN($E$1),FALSE)/(LEN(VLOOKUP($D358,素材!$1:$1016,COLUMN($F$1),FALSE))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BF358">
        <f>IF(ISNUMBER(SEARCH(SUBSTITUTE(BF$1,RIGHT(BF$1,2),""),VLOOKUP($D358,素材!$1:$1016,COLUMN($F$1),FALSE))),VLOOKUP($C358,武器!$1:$998,COLUMN($O$1),FALSE)*VLOOKUP($D358,素材!$1:$1016,COLUMN($E$1),FALSE)/(LEN(VLOOKUP($D358,素材!$1:$1016,COLUMN($F$1),FALSE)) - LEN(SUBSTITUTE(VLOOKUP($D358,素材!$1:$1016,COLUMN($F$1),FALSE), "・", 0)) + 1), 0)</f>
        <v>0</v>
      </c>
      <c r="CM358">
        <f t="shared" si="39"/>
        <v>66</v>
      </c>
      <c r="CN358" s="22" t="str">
        <f>IF(E358="武器",IF(J358-1&gt;SUM(G358:I358),"盾",IF(MAX(G358:I358)=G358,"切断",IF(MAX(G358:I358)=H358,"貫通",IF(MAX(G358:I358)=I358,"打撃","射撃")))),E358)&amp;".webp"</f>
        <v>切断.webp</v>
      </c>
      <c r="CO358">
        <f>IFERROR(VLOOKUP($C358,武器!$1:$998,COLUMN(V$1),FALSE)*VLOOKUP($D358,素材!$1:$1016,COLUMN(N$1),FALSE)+IF(CJ358="",0,VLOOKUP($CJ358,装強!$1:$1008,COLUMN($CL$1),FALSE)),"")</f>
        <v>20000</v>
      </c>
      <c r="CP358">
        <f>VLOOKUP(D358,素材!$A:$O,COLUMN(素材!O$1),FALSE)</f>
        <v>0</v>
      </c>
      <c r="CQ358" t="str">
        <f>VLOOKUP(C358,武器!$A:$W,COLUMN(武器!W$1),FALSE)</f>
        <v>長剣。長く重い分扱いにくいが威力が高い。</v>
      </c>
      <c r="CS358" t="str">
        <f>"e_"&amp;ROW(CS358)</f>
        <v>e_358</v>
      </c>
      <c r="CT358">
        <f>CO358*100</f>
        <v>2000000</v>
      </c>
    </row>
    <row r="359" spans="1:98" outlineLevel="1" x14ac:dyDescent="0.4">
      <c r="A359" t="str">
        <f t="shared" ref="A359:A361" si="41">D359&amp;"の"&amp;C359</f>
        <v>虹宝鋼の鎧</v>
      </c>
      <c r="B359" t="str">
        <f>IFERROR(VLOOKUP($D359,素材!$1:$1016,COLUMN($B$1),FALSE)&amp;"・"&amp;VLOOKUP($C359,武器!$1:$998,COLUMN(B$1),FALSE),"")</f>
        <v>レインボーメタル・アーマー</v>
      </c>
      <c r="C359" t="s">
        <v>198</v>
      </c>
      <c r="D359" s="24" t="s">
        <v>1225</v>
      </c>
      <c r="E359" t="str">
        <f>IFERROR(VLOOKUP(C359,武器!$1:$998,COLUMN(C$1),FALSE),"")</f>
        <v>体</v>
      </c>
      <c r="F359">
        <f>IFERROR(ROUNDDOWN((VLOOKUP($C359,武器!$1:$998,COLUMN(D$1),FALSE)+IFERROR(VLOOKUP($CJ359,装強!$1:$999,COLUMN(F$1),FALSE),0))*VLOOKUP($D359,素材!$1:$1016,COLUMN(D$1),FALSE),0),"")</f>
        <v>0</v>
      </c>
      <c r="G359">
        <f>IFERROR(ROUNDDOWN((VLOOKUP($C359,武器!$1:$998,COLUMN(E$1),FALSE)+IFERROR(VLOOKUP($CJ359,装強!$1:$999,COLUMN(G$1),FALSE),0))*VLOOKUP($D359,素材!$1:$1016,COLUMN($E$1),FALSE),0),"")</f>
        <v>0</v>
      </c>
      <c r="H359">
        <f>IFERROR(ROUNDDOWN((VLOOKUP($C359,武器!$1:$998,COLUMN(F$1),FALSE)+IFERROR(VLOOKUP($CJ359,装強!$1:$999,COLUMN(H$1),FALSE),0))*VLOOKUP($D359,素材!$1:$1016,COLUMN($E$1),FALSE),0),"")</f>
        <v>0</v>
      </c>
      <c r="I359">
        <f>IFERROR(ROUNDDOWN((VLOOKUP($C359,武器!$1:$998,COLUMN(G$1),FALSE)+IFERROR(VLOOKUP($CJ359,装強!$1:$999,COLUMN(I$1),FALSE),0))*VLOOKUP($D359,素材!$1:$1016,COLUMN($E$1),FALSE),0),"")</f>
        <v>0</v>
      </c>
      <c r="J359">
        <f>IFERROR(ROUNDDOWN((VLOOKUP($C359,武器!$1:$998,COLUMN(H$1),FALSE)+IFERROR(VLOOKUP($CJ359,装強!$1:$999,COLUMN(J$1),FALSE),0))*VLOOKUP($D359,素材!$1:$1016,COLUMN($E$1),FALSE),0),"")</f>
        <v>0</v>
      </c>
      <c r="K359">
        <f>IFERROR(ROUNDDOWN((VLOOKUP($C359,武器!$1:$998,COLUMN(I$1),FALSE)+IFERROR(VLOOKUP($CJ359,装強!$1:$999,COLUMN(K$1),FALSE),0))*VLOOKUP($D359,素材!$1:$1016,COLUMN($E$1),FALSE),0),"")</f>
        <v>0</v>
      </c>
      <c r="L359" t="str">
        <f>IFERROR(VLOOKUP($D359,素材!$1:$1016,COLUMN($F$1),FALSE),"")</f>
        <v>炎・氷・雷・酸・光・闇</v>
      </c>
      <c r="M359">
        <f>IFERROR(VLOOKUP($C359,武器!$1:$998,COLUMN(AA$1),FALSE)*VLOOKUP($D359,素材!$1:$1016,COLUMN($G$1),FALSE),"")</f>
        <v>0</v>
      </c>
      <c r="N359">
        <f>IFERROR(VLOOKUP($C359,武器!$1:$998,COLUMN(I$1),FALSE),"")</f>
        <v>0</v>
      </c>
      <c r="O359" s="23">
        <f>IFERROR((VLOOKUP($C359,武器!$1:$998,COLUMN(K$1),FALSE)+VLOOKUP($D359,素材!$1:$1016,COLUMN(H$1),FALSE))*100+IFERROR(VLOOKUP($CJ359,装強!$1:$999,COLUMN(O$1),FALSE),0),"")</f>
        <v>0</v>
      </c>
      <c r="P359" s="23">
        <f>IFERROR((VLOOKUP($C359,武器!$1:$998,COLUMN(L$1),FALSE)+VLOOKUP($D359,素材!$1:$1016,COLUMN(I$1),FALSE))*100+IFERROR(VLOOKUP($CJ359,装強!$1:$999,COLUMN(P$1),FALSE),0),"")</f>
        <v>0</v>
      </c>
      <c r="Q359">
        <f>IFERROR(ROUNDUP(VLOOKUP($C359,武器!$1:$998,COLUMN(M$1),FALSE)*(VLOOKUP($D359,素材!$1:$1002,COLUMN(D$1),FALSE)/100),1),"")</f>
        <v>-15</v>
      </c>
      <c r="R359">
        <f>IFERROR(ROUNDUP(VLOOKUP($C359,武器!$1:$998,COLUMN(N$1),FALSE)*(VLOOKUP($D359,素材!$1:$1002,COLUMN(D$1),FALSE)/100),1),"")</f>
        <v>0</v>
      </c>
      <c r="S359">
        <f>IFERROR(VLOOKUP($C359,武器!$1:$998,COLUMN(P$1),FALSE),"")</f>
        <v>0</v>
      </c>
      <c r="T359">
        <f>IFERROR(VLOOKUP($C359,武器!$1:$998,COLUMN(Q$1),FALSE),"")</f>
        <v>0</v>
      </c>
      <c r="U359">
        <f>IFERROR(VLOOKUP($C359,武器!$1:$998,COLUMN(R$1),FALSE),"")</f>
        <v>0</v>
      </c>
      <c r="V359">
        <f>IFERROR(VLOOKUP($C359,武器!$1:$998,COLUMN(Q$1),FALSE),"")</f>
        <v>0</v>
      </c>
      <c r="W359">
        <f>IFERROR(VLOOKUP($C359,武器!$1:$998,COLUMN(T$1),FALSE),"")</f>
        <v>0</v>
      </c>
      <c r="Y359">
        <f>IFERROR(VLOOKUP($C359,武器!$1:$998,COLUMN(U$1),FALSE),"")</f>
        <v>0</v>
      </c>
      <c r="Z359">
        <f>IFERROR(ROUNDUP(VLOOKUP($C359,武器!$1:$998,COLUMN(O$1),FALSE)*VLOOKUP($D359,素材!$1:$1016,COLUMN(E$1),FALSE),1),"")</f>
        <v>24.5</v>
      </c>
      <c r="AA359">
        <f>IF(ISNUMBER(SEARCH(SUBSTITUTE(AA$1,RIGHT(AA$1,2),""),VLOOKUP($D359,素材!$1:$1016,COLUMN($F$1),FALSE))),VLOOKUP($C359,武器!$1:$998,COLUMN($O$1),FALSE)*VLOOKUP($D359,素材!$1:$1016,COLUMN($E$1),FALSE)/(LEN(VLOOKUP($D359,素材!$1:$1016,COLUMN($F$1),FALSE))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B359">
        <f>IF(ISNUMBER(SEARCH(SUBSTITUTE(AB$1,RIGHT(AB$1,2),""),VLOOKUP($D359,素材!$1:$1016,COLUMN($F$1),FALSE))),VLOOKUP($C359,武器!$1:$998,COLUMN($O$1),FALSE)*VLOOKUP($D359,素材!$1:$1016,COLUMN($E$1),FALSE)/(LEN(VLOOKUP($D359,素材!$1:$1016,COLUMN($F$1),FALSE))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C359">
        <f>IF(ISNUMBER(SEARCH(SUBSTITUTE(AC$1,RIGHT(AC$1,2),""),VLOOKUP($D359,素材!$1:$1016,COLUMN($F$1),FALSE))),VLOOKUP($C359,武器!$1:$998,COLUMN($O$1),FALSE)*VLOOKUP($D359,素材!$1:$1016,COLUMN($E$1),FALSE)/(LEN(VLOOKUP($D359,素材!$1:$1016,COLUMN($F$1),FALSE))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D359">
        <f>IF(ISNUMBER(SEARCH(SUBSTITUTE(AD$1,RIGHT(AD$1,2),""),VLOOKUP($D359,素材!$1:$1016,COLUMN($F$1),FALSE))),VLOOKUP($C359,武器!$1:$998,COLUMN($O$1),FALSE)*VLOOKUP($D359,素材!$1:$1016,COLUMN($E$1),FALSE)/(LEN(VLOOKUP($D359,素材!$1:$1016,COLUMN($F$1),FALSE))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E359">
        <f>IF(ISNUMBER(SEARCH(SUBSTITUTE(AE$1,RIGHT(AE$1,2),""),VLOOKUP($D359,素材!$1:$1016,COLUMN($F$1),FALSE))),VLOOKUP($C359,武器!$1:$998,COLUMN($O$1),FALSE)*VLOOKUP($D359,素材!$1:$1016,COLUMN($E$1),FALSE)/(LEN(VLOOKUP($D359,素材!$1:$1016,COLUMN($F$1),FALSE))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24.5</v>
      </c>
      <c r="AF359">
        <f>IF(ISNUMBER(SEARCH(SUBSTITUTE(AF$1,RIGHT(AF$1,2),""),VLOOKUP($D359,素材!$1:$1016,COLUMN($F$1),FALSE))),VLOOKUP($C359,武器!$1:$998,COLUMN($O$1),FALSE)*VLOOKUP($D359,素材!$1:$1016,COLUMN($E$1),FALSE)/(LEN(VLOOKUP($D359,素材!$1:$1016,COLUMN($F$1),FALSE))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24.5</v>
      </c>
      <c r="AG359">
        <f>IF(ISNUMBER(SEARCH(SUBSTITUTE(AG$1,RIGHT(AG$1,2),""),VLOOKUP($D359,素材!$1:$1016,COLUMN($F$1),FALSE))),VLOOKUP($C359,武器!$1:$998,COLUMN($O$1),FALSE)*VLOOKUP($D359,素材!$1:$1016,COLUMN($E$1),FALSE)/(LEN(VLOOKUP($D359,素材!$1:$1016,COLUMN($F$1),FALSE))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24.5</v>
      </c>
      <c r="AH359">
        <f>IF(ISNUMBER(SEARCH(SUBSTITUTE(AH$1,RIGHT(AH$1,2),""),VLOOKUP($D359,素材!$1:$1016,COLUMN($F$1),FALSE))),VLOOKUP($C359,武器!$1:$998,COLUMN($O$1),FALSE)*VLOOKUP($D359,素材!$1:$1016,COLUMN($E$1),FALSE)/(LEN(VLOOKUP($D359,素材!$1:$1016,COLUMN($F$1),FALSE))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24.5</v>
      </c>
      <c r="AI359">
        <f>IF(ISNUMBER(SEARCH(SUBSTITUTE(AI$1,RIGHT(AI$1,2),""),VLOOKUP($D359,素材!$1:$1016,COLUMN($F$1),FALSE))),VLOOKUP($C359,武器!$1:$998,COLUMN($O$1),FALSE)*VLOOKUP($D359,素材!$1:$1016,COLUMN($E$1),FALSE)/(LEN(VLOOKUP($D359,素材!$1:$1016,COLUMN($F$1),FALSE))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J359">
        <f>IF(ISNUMBER(SEARCH(SUBSTITUTE(AJ$1,RIGHT(AJ$1,2),""),VLOOKUP($D359,素材!$1:$1016,COLUMN($F$1),FALSE))),VLOOKUP($C359,武器!$1:$998,COLUMN($O$1),FALSE)*VLOOKUP($D359,素材!$1:$1016,COLUMN($E$1),FALSE)/(LEN(VLOOKUP($D359,素材!$1:$1016,COLUMN($F$1),FALSE))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24.5</v>
      </c>
      <c r="AK359">
        <f>IF(ISNUMBER(SEARCH(SUBSTITUTE(AK$1,RIGHT(AK$1,2),""),VLOOKUP($D359,素材!$1:$1016,COLUMN($F$1),FALSE))),VLOOKUP($C359,武器!$1:$998,COLUMN($O$1),FALSE)*VLOOKUP($D359,素材!$1:$1016,COLUMN($E$1),FALSE)/(LEN(VLOOKUP($D359,素材!$1:$1016,COLUMN($F$1),FALSE))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24.5</v>
      </c>
      <c r="AL359">
        <f>IF(ISNUMBER(SEARCH(SUBSTITUTE(AL$1,RIGHT(AL$1,2),""),VLOOKUP($D359,素材!$1:$1016,COLUMN($F$1),FALSE))),VLOOKUP($C359,武器!$1:$998,COLUMN($O$1),FALSE)*VLOOKUP($D359,素材!$1:$1016,COLUMN($E$1),FALSE)/(LEN(VLOOKUP($D359,素材!$1:$1016,COLUMN($F$1),FALSE))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M359">
        <f>IF(ISNUMBER(SEARCH(SUBSTITUTE(AM$1,RIGHT(AM$1,2),""),VLOOKUP($D359,素材!$1:$1016,COLUMN($F$1),FALSE))),VLOOKUP($C359,武器!$1:$998,COLUMN($O$1),FALSE)*VLOOKUP($D359,素材!$1:$1016,COLUMN($E$1),FALSE)/(LEN(VLOOKUP($D359,素材!$1:$1016,COLUMN($F$1),FALSE))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N359">
        <f>IF(ISNUMBER(SEARCH(SUBSTITUTE(AN$1,RIGHT(AN$1,2),""),VLOOKUP($D359,素材!$1:$1016,COLUMN($F$1),FALSE))),VLOOKUP($C359,武器!$1:$998,COLUMN($O$1),FALSE)*VLOOKUP($D359,素材!$1:$1016,COLUMN($E$1),FALSE)/(LEN(VLOOKUP($D359,素材!$1:$1016,COLUMN($F$1),FALSE))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O359">
        <f>IF(ISNUMBER(SEARCH(SUBSTITUTE(AO$1,RIGHT(AO$1,2),""),VLOOKUP($D359,素材!$1:$1016,COLUMN($F$1),FALSE))),VLOOKUP($C359,武器!$1:$998,COLUMN($O$1),FALSE)*VLOOKUP($D359,素材!$1:$1016,COLUMN($E$1),FALSE)/(LEN(VLOOKUP($D359,素材!$1:$1016,COLUMN($F$1),FALSE))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P359">
        <f>IF(ISNUMBER(SEARCH(SUBSTITUTE(AP$1,RIGHT(AP$1,2),""),VLOOKUP($D359,素材!$1:$1016,COLUMN($F$1),FALSE))),VLOOKUP($C359,武器!$1:$998,COLUMN($O$1),FALSE)*VLOOKUP($D359,素材!$1:$1016,COLUMN($E$1),FALSE)/(LEN(VLOOKUP($D359,素材!$1:$1016,COLUMN($F$1),FALSE))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Q359">
        <f>IF(ISNUMBER(SEARCH(SUBSTITUTE(AQ$1,RIGHT(AQ$1,2),""),VLOOKUP($D359,素材!$1:$1016,COLUMN($F$1),FALSE))),VLOOKUP($C359,武器!$1:$998,COLUMN($O$1),FALSE)*VLOOKUP($D359,素材!$1:$1016,COLUMN($E$1),FALSE)/(LEN(VLOOKUP($D359,素材!$1:$1016,COLUMN($F$1),FALSE))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R359">
        <f>IF(ISNUMBER(SEARCH(SUBSTITUTE(AR$1,RIGHT(AR$1,2),""),VLOOKUP($D359,素材!$1:$1016,COLUMN($F$1),FALSE))),VLOOKUP($C359,武器!$1:$998,COLUMN($O$1),FALSE)*VLOOKUP($D359,素材!$1:$1016,COLUMN($E$1),FALSE)/(LEN(VLOOKUP($D359,素材!$1:$1016,COLUMN($F$1),FALSE))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S359">
        <f>IF(ISNUMBER(SEARCH(SUBSTITUTE(AS$1,RIGHT(AS$1,2),""),VLOOKUP($D359,素材!$1:$1016,COLUMN($F$1),FALSE))),VLOOKUP($C359,武器!$1:$998,COLUMN($O$1),FALSE)*VLOOKUP($D359,素材!$1:$1016,COLUMN($E$1),FALSE)/(LEN(VLOOKUP($D359,素材!$1:$1016,COLUMN($F$1),FALSE))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T359">
        <f>IF(ISNUMBER(SEARCH(SUBSTITUTE(AT$1,RIGHT(AT$1,2),""),VLOOKUP($D359,素材!$1:$1016,COLUMN($F$1),FALSE))),VLOOKUP($C359,武器!$1:$998,COLUMN($O$1),FALSE)*VLOOKUP($D359,素材!$1:$1016,COLUMN($E$1),FALSE)/(LEN(VLOOKUP($D359,素材!$1:$1016,COLUMN($F$1),FALSE))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U359">
        <f>IF(ISNUMBER(SEARCH(SUBSTITUTE(AU$1,RIGHT(AU$1,2),""),VLOOKUP($D359,素材!$1:$1016,COLUMN($F$1),FALSE))),VLOOKUP($C359,武器!$1:$998,COLUMN($O$1),FALSE)*VLOOKUP($D359,素材!$1:$1016,COLUMN($E$1),FALSE)/(LEN(VLOOKUP($D359,素材!$1:$1016,COLUMN($F$1),FALSE))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V359">
        <f>IF(ISNUMBER(SEARCH(SUBSTITUTE(AV$1,RIGHT(AV$1,2),""),VLOOKUP($D359,素材!$1:$1016,COLUMN($F$1),FALSE))),VLOOKUP($C359,武器!$1:$998,COLUMN($O$1),FALSE)*VLOOKUP($D359,素材!$1:$1016,COLUMN($E$1),FALSE)/(LEN(VLOOKUP($D359,素材!$1:$1016,COLUMN($F$1),FALSE))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W359">
        <f>IF(ISNUMBER(SEARCH(SUBSTITUTE(AW$1,RIGHT(AW$1,2),""),VLOOKUP($D359,素材!$1:$1016,COLUMN($F$1),FALSE))),VLOOKUP($C359,武器!$1:$998,COLUMN($O$1),FALSE)*VLOOKUP($D359,素材!$1:$1016,COLUMN($E$1),FALSE)/(LEN(VLOOKUP($D359,素材!$1:$1016,COLUMN($F$1),FALSE))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X359">
        <f>IF(ISNUMBER(SEARCH(SUBSTITUTE(AX$1,RIGHT(AX$1,2),""),VLOOKUP($D359,素材!$1:$1016,COLUMN($F$1),FALSE))),VLOOKUP($C359,武器!$1:$998,COLUMN($O$1),FALSE)*VLOOKUP($D359,素材!$1:$1016,COLUMN($E$1),FALSE)/(LEN(VLOOKUP($D359,素材!$1:$1016,COLUMN($F$1),FALSE))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Y359">
        <f>IF(ISNUMBER(SEARCH(SUBSTITUTE(AY$1,RIGHT(AY$1,2),""),VLOOKUP($D359,素材!$1:$1016,COLUMN($F$1),FALSE))),VLOOKUP($C359,武器!$1:$998,COLUMN($O$1),FALSE)*VLOOKUP($D359,素材!$1:$1016,COLUMN($E$1),FALSE)/(LEN(VLOOKUP($D359,素材!$1:$1016,COLUMN($F$1),FALSE))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AZ359">
        <f>IF(ISNUMBER(SEARCH(SUBSTITUTE(AZ$1,RIGHT(AZ$1,2),""),VLOOKUP($D359,素材!$1:$1016,COLUMN($F$1),FALSE))),VLOOKUP($C359,武器!$1:$998,COLUMN($O$1),FALSE)*VLOOKUP($D359,素材!$1:$1016,COLUMN($E$1),FALSE)/(LEN(VLOOKUP($D359,素材!$1:$1016,COLUMN($F$1),FALSE))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BA359">
        <f>IF(ISNUMBER(SEARCH(SUBSTITUTE(BA$1,RIGHT(BA$1,2),""),VLOOKUP($D359,素材!$1:$1016,COLUMN($F$1),FALSE))),VLOOKUP($C359,武器!$1:$998,COLUMN($O$1),FALSE)*VLOOKUP($D359,素材!$1:$1016,COLUMN($E$1),FALSE)/(LEN(VLOOKUP($D359,素材!$1:$1016,COLUMN($F$1),FALSE))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BB359">
        <f>IF(ISNUMBER(SEARCH(SUBSTITUTE(BB$1,RIGHT(BB$1,2),""),VLOOKUP($D359,素材!$1:$1016,COLUMN($F$1),FALSE))),VLOOKUP($C359,武器!$1:$998,COLUMN($O$1),FALSE)*VLOOKUP($D359,素材!$1:$1016,COLUMN($E$1),FALSE)/(LEN(VLOOKUP($D359,素材!$1:$1016,COLUMN($F$1),FALSE))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BC359">
        <f>IF(ISNUMBER(SEARCH(SUBSTITUTE(BC$1,RIGHT(BC$1,2),""),VLOOKUP($D359,素材!$1:$1016,COLUMN($F$1),FALSE))),VLOOKUP($C359,武器!$1:$998,COLUMN($O$1),FALSE)*VLOOKUP($D359,素材!$1:$1016,COLUMN($E$1),FALSE)/(LEN(VLOOKUP($D359,素材!$1:$1016,COLUMN($F$1),FALSE))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BD359">
        <f>IF(ISNUMBER(SEARCH(SUBSTITUTE(BD$1,RIGHT(BD$1,2),""),VLOOKUP($D359,素材!$1:$1016,COLUMN($F$1),FALSE))),VLOOKUP($C359,武器!$1:$998,COLUMN($O$1),FALSE)*VLOOKUP($D359,素材!$1:$1016,COLUMN($E$1),FALSE)/(LEN(VLOOKUP($D359,素材!$1:$1016,COLUMN($F$1),FALSE))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BE359">
        <f>IF(ISNUMBER(SEARCH(SUBSTITUTE(BE$1,RIGHT(BE$1,2),""),VLOOKUP($D359,素材!$1:$1016,COLUMN($F$1),FALSE))),VLOOKUP($C359,武器!$1:$998,COLUMN($O$1),FALSE)*VLOOKUP($D359,素材!$1:$1016,COLUMN($E$1),FALSE)/(LEN(VLOOKUP($D359,素材!$1:$1016,COLUMN($F$1),FALSE))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BF359">
        <f>IF(ISNUMBER(SEARCH(SUBSTITUTE(BF$1,RIGHT(BF$1,2),""),VLOOKUP($D359,素材!$1:$1016,COLUMN($F$1),FALSE))),VLOOKUP($C359,武器!$1:$998,COLUMN($O$1),FALSE)*VLOOKUP($D359,素材!$1:$1016,COLUMN($E$1),FALSE)/(LEN(VLOOKUP($D359,素材!$1:$1016,COLUMN($F$1),FALSE)) - LEN(SUBSTITUTE(VLOOKUP($D359,素材!$1:$1016,COLUMN($F$1),FALSE), "・", 0)) + 1), 0)</f>
        <v>0</v>
      </c>
      <c r="CM359">
        <f t="shared" si="39"/>
        <v>0</v>
      </c>
      <c r="CN359" s="22" t="str">
        <f>IF(E359="武器",IF(J359-1&gt;SUM(G359:I359),"盾",IF(MAX(G359:I359)=G359,"切断",IF(MAX(G359:I359)=H359,"貫通",IF(MAX(G359:I359)=I359,"打撃","射撃")))),E359)&amp;".webp"</f>
        <v>体.webp</v>
      </c>
      <c r="CO359">
        <f>IFERROR(VLOOKUP($C359,武器!$1:$998,COLUMN(V$1),FALSE)*VLOOKUP($D359,素材!$1:$1016,COLUMN(N$1),FALSE)+IF(CJ359="",0,VLOOKUP($CJ359,装強!$1:$1008,COLUMN($CL$1),FALSE)),"")</f>
        <v>1500000</v>
      </c>
      <c r="CP359">
        <f>VLOOKUP(D359,素材!$A:$O,COLUMN(素材!O$1),FALSE)</f>
        <v>0</v>
      </c>
      <c r="CQ359" t="str">
        <f>VLOOKUP(C359,武器!$A:$W,COLUMN(武器!W$1),FALSE)</f>
        <v>HP 物理 魔法 体幹 出血 疲労 Cr</v>
      </c>
      <c r="CS359" t="str">
        <f>"e_"&amp;ROW(CS359)</f>
        <v>e_359</v>
      </c>
      <c r="CT359">
        <f>CO359*100</f>
        <v>150000000</v>
      </c>
    </row>
    <row r="360" spans="1:98" outlineLevel="1" x14ac:dyDescent="0.4">
      <c r="A360" t="s">
        <v>1266</v>
      </c>
      <c r="B360" t="s">
        <v>1267</v>
      </c>
      <c r="C360" t="s">
        <v>1265</v>
      </c>
      <c r="D360" s="24" t="s">
        <v>1225</v>
      </c>
      <c r="E360" t="str">
        <f>IFERROR(VLOOKUP(C360,武器!$1:$998,COLUMN(C$1),FALSE),"")</f>
        <v>武器</v>
      </c>
      <c r="F360">
        <f>IFERROR(ROUNDDOWN((VLOOKUP($C360,武器!$1:$998,COLUMN(D$1),FALSE)+IFERROR(VLOOKUP($CJ360,装強!$1:$999,COLUMN(F$1),FALSE),0))*VLOOKUP($D360,素材!$1:$1016,COLUMN(D$1),FALSE),0),"")</f>
        <v>105</v>
      </c>
      <c r="G360">
        <f>IFERROR(ROUNDDOWN((VLOOKUP($C360,武器!$1:$998,COLUMN(E$1),FALSE)+IFERROR(VLOOKUP($CJ360,装強!$1:$999,COLUMN(G$1),FALSE),0))*VLOOKUP($D360,素材!$1:$1016,COLUMN($E$1),FALSE),0),"")</f>
        <v>24</v>
      </c>
      <c r="H360">
        <f>IFERROR(ROUNDDOWN((VLOOKUP($C360,武器!$1:$998,COLUMN(F$1),FALSE)+IFERROR(VLOOKUP($CJ360,装強!$1:$999,COLUMN(H$1),FALSE),0))*VLOOKUP($D360,素材!$1:$1016,COLUMN($E$1),FALSE),0),"")</f>
        <v>14</v>
      </c>
      <c r="I360">
        <f>IFERROR(ROUNDDOWN((VLOOKUP($C360,武器!$1:$998,COLUMN(G$1),FALSE)+IFERROR(VLOOKUP($CJ360,装強!$1:$999,COLUMN(I$1),FALSE),0))*VLOOKUP($D360,素材!$1:$1016,COLUMN($E$1),FALSE),0),"")</f>
        <v>3</v>
      </c>
      <c r="J360">
        <f>IFERROR(ROUNDDOWN((VLOOKUP($C360,武器!$1:$998,COLUMN(H$1),FALSE)+IFERROR(VLOOKUP($CJ360,装強!$1:$999,COLUMN(J$1),FALSE),0))*VLOOKUP($D360,素材!$1:$1016,COLUMN($E$1),FALSE),0),"")</f>
        <v>29</v>
      </c>
      <c r="K360">
        <f>IFERROR(ROUNDDOWN((VLOOKUP($C360,武器!$1:$998,COLUMN(I$1),FALSE)+IFERROR(VLOOKUP($CJ360,装強!$1:$999,COLUMN(K$1),FALSE),0))*VLOOKUP($D360,素材!$1:$1016,COLUMN($E$1),FALSE),0),"")</f>
        <v>0</v>
      </c>
      <c r="L360" t="str">
        <f>IFERROR(VLOOKUP($D360,素材!$1:$1016,COLUMN($F$1),FALSE),"")</f>
        <v>炎・氷・雷・酸・光・闇</v>
      </c>
      <c r="M360">
        <f>IFERROR(VLOOKUP($C360,武器!$1:$998,COLUMN(AA$1),FALSE)*VLOOKUP($D360,素材!$1:$1016,COLUMN($G$1),FALSE),"")</f>
        <v>216</v>
      </c>
      <c r="N360">
        <f>IFERROR(VLOOKUP($C360,武器!$1:$998,COLUMN(I$1),FALSE),"")</f>
        <v>0</v>
      </c>
      <c r="O360" s="23">
        <f>IFERROR((VLOOKUP($C360,武器!$1:$998,COLUMN(K$1),FALSE)+VLOOKUP($D360,素材!$1:$1016,COLUMN(H$1),FALSE))*100+IFERROR(VLOOKUP($CJ360,装強!$1:$999,COLUMN(O$1),FALSE),0),"")</f>
        <v>10</v>
      </c>
      <c r="P360" s="23">
        <f>IFERROR((VLOOKUP($C360,武器!$1:$998,COLUMN(L$1),FALSE)+VLOOKUP($D360,素材!$1:$1016,COLUMN(I$1),FALSE))*100+IFERROR(VLOOKUP($CJ360,装強!$1:$999,COLUMN(P$1),FALSE),0),"")</f>
        <v>175</v>
      </c>
      <c r="Q360">
        <f>IFERROR(ROUNDUP(VLOOKUP($C360,武器!$1:$998,COLUMN(M$1),FALSE)*(VLOOKUP($D360,素材!$1:$1002,COLUMN(D$1),FALSE)/100),1),"")</f>
        <v>0</v>
      </c>
      <c r="R360">
        <f>IFERROR(ROUNDUP(VLOOKUP($C360,武器!$1:$998,COLUMN(N$1),FALSE)*(VLOOKUP($D360,素材!$1:$1002,COLUMN(D$1),FALSE)/100),1),"")</f>
        <v>0</v>
      </c>
      <c r="S360">
        <f>IFERROR(VLOOKUP($C360,武器!$1:$998,COLUMN(P$1),FALSE),"")</f>
        <v>0</v>
      </c>
      <c r="T360">
        <f>IFERROR(VLOOKUP($C360,武器!$1:$998,COLUMN(Q$1),FALSE),"")</f>
        <v>0</v>
      </c>
      <c r="U360">
        <f>IFERROR(VLOOKUP($C360,武器!$1:$998,COLUMN(R$1),FALSE),"")</f>
        <v>0</v>
      </c>
      <c r="V360">
        <f>IFERROR(VLOOKUP($C360,武器!$1:$998,COLUMN(Q$1),FALSE),"")</f>
        <v>0</v>
      </c>
      <c r="W360" t="str">
        <f>IFERROR(VLOOKUP($C360,武器!$1:$998,COLUMN(T$1),FALSE),"")</f>
        <v>A</v>
      </c>
      <c r="Y360">
        <f>IFERROR(VLOOKUP($C360,武器!$1:$998,COLUMN(U$1),FALSE),"")</f>
        <v>0</v>
      </c>
      <c r="Z360">
        <f>IFERROR(ROUNDUP(VLOOKUP($C360,武器!$1:$998,COLUMN(O$1),FALSE)*VLOOKUP($D360,素材!$1:$1016,COLUMN(E$1),FALSE),1),"")</f>
        <v>0</v>
      </c>
      <c r="AA360">
        <f>IF(ISNUMBER(SEARCH(SUBSTITUTE(AA$1,RIGHT(AA$1,2),""),VLOOKUP($D360,素材!$1:$1016,COLUMN($F$1),FALSE))),VLOOKUP($C360,武器!$1:$998,COLUMN($O$1),FALSE)*VLOOKUP($D360,素材!$1:$1016,COLUMN($E$1),FALSE)/(LEN(VLOOKUP($D360,素材!$1:$1016,COLUMN($F$1),FALSE))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B360">
        <f>IF(ISNUMBER(SEARCH(SUBSTITUTE(AB$1,RIGHT(AB$1,2),""),VLOOKUP($D360,素材!$1:$1016,COLUMN($F$1),FALSE))),VLOOKUP($C360,武器!$1:$998,COLUMN($O$1),FALSE)*VLOOKUP($D360,素材!$1:$1016,COLUMN($E$1),FALSE)/(LEN(VLOOKUP($D360,素材!$1:$1016,COLUMN($F$1),FALSE))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C360">
        <f>IF(ISNUMBER(SEARCH(SUBSTITUTE(AC$1,RIGHT(AC$1,2),""),VLOOKUP($D360,素材!$1:$1016,COLUMN($F$1),FALSE))),VLOOKUP($C360,武器!$1:$998,COLUMN($O$1),FALSE)*VLOOKUP($D360,素材!$1:$1016,COLUMN($E$1),FALSE)/(LEN(VLOOKUP($D360,素材!$1:$1016,COLUMN($F$1),FALSE))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D360">
        <f>IF(ISNUMBER(SEARCH(SUBSTITUTE(AD$1,RIGHT(AD$1,2),""),VLOOKUP($D360,素材!$1:$1016,COLUMN($F$1),FALSE))),VLOOKUP($C360,武器!$1:$998,COLUMN($O$1),FALSE)*VLOOKUP($D360,素材!$1:$1016,COLUMN($E$1),FALSE)/(LEN(VLOOKUP($D360,素材!$1:$1016,COLUMN($F$1),FALSE))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E360">
        <f>IF(ISNUMBER(SEARCH(SUBSTITUTE(AE$1,RIGHT(AE$1,2),""),VLOOKUP($D360,素材!$1:$1016,COLUMN($F$1),FALSE))),VLOOKUP($C360,武器!$1:$998,COLUMN($O$1),FALSE)*VLOOKUP($D360,素材!$1:$1016,COLUMN($E$1),FALSE)/(LEN(VLOOKUP($D360,素材!$1:$1016,COLUMN($F$1),FALSE))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F360">
        <f>IF(ISNUMBER(SEARCH(SUBSTITUTE(AF$1,RIGHT(AF$1,2),""),VLOOKUP($D360,素材!$1:$1016,COLUMN($F$1),FALSE))),VLOOKUP($C360,武器!$1:$998,COLUMN($O$1),FALSE)*VLOOKUP($D360,素材!$1:$1016,COLUMN($E$1),FALSE)/(LEN(VLOOKUP($D360,素材!$1:$1016,COLUMN($F$1),FALSE))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G360">
        <f>IF(ISNUMBER(SEARCH(SUBSTITUTE(AG$1,RIGHT(AG$1,2),""),VLOOKUP($D360,素材!$1:$1016,COLUMN($F$1),FALSE))),VLOOKUP($C360,武器!$1:$998,COLUMN($O$1),FALSE)*VLOOKUP($D360,素材!$1:$1016,COLUMN($E$1),FALSE)/(LEN(VLOOKUP($D360,素材!$1:$1016,COLUMN($F$1),FALSE))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H360">
        <f>IF(ISNUMBER(SEARCH(SUBSTITUTE(AH$1,RIGHT(AH$1,2),""),VLOOKUP($D360,素材!$1:$1016,COLUMN($F$1),FALSE))),VLOOKUP($C360,武器!$1:$998,COLUMN($O$1),FALSE)*VLOOKUP($D360,素材!$1:$1016,COLUMN($E$1),FALSE)/(LEN(VLOOKUP($D360,素材!$1:$1016,COLUMN($F$1),FALSE))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I360">
        <f>IF(ISNUMBER(SEARCH(SUBSTITUTE(AI$1,RIGHT(AI$1,2),""),VLOOKUP($D360,素材!$1:$1016,COLUMN($F$1),FALSE))),VLOOKUP($C360,武器!$1:$998,COLUMN($O$1),FALSE)*VLOOKUP($D360,素材!$1:$1016,COLUMN($E$1),FALSE)/(LEN(VLOOKUP($D360,素材!$1:$1016,COLUMN($F$1),FALSE))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J360">
        <f>IF(ISNUMBER(SEARCH(SUBSTITUTE(AJ$1,RIGHT(AJ$1,2),""),VLOOKUP($D360,素材!$1:$1016,COLUMN($F$1),FALSE))),VLOOKUP($C360,武器!$1:$998,COLUMN($O$1),FALSE)*VLOOKUP($D360,素材!$1:$1016,COLUMN($E$1),FALSE)/(LEN(VLOOKUP($D360,素材!$1:$1016,COLUMN($F$1),FALSE))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K360">
        <f>IF(ISNUMBER(SEARCH(SUBSTITUTE(AK$1,RIGHT(AK$1,2),""),VLOOKUP($D360,素材!$1:$1016,COLUMN($F$1),FALSE))),VLOOKUP($C360,武器!$1:$998,COLUMN($O$1),FALSE)*VLOOKUP($D360,素材!$1:$1016,COLUMN($E$1),FALSE)/(LEN(VLOOKUP($D360,素材!$1:$1016,COLUMN($F$1),FALSE))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L360">
        <f>IF(ISNUMBER(SEARCH(SUBSTITUTE(AL$1,RIGHT(AL$1,2),""),VLOOKUP($D360,素材!$1:$1016,COLUMN($F$1),FALSE))),VLOOKUP($C360,武器!$1:$998,COLUMN($O$1),FALSE)*VLOOKUP($D360,素材!$1:$1016,COLUMN($E$1),FALSE)/(LEN(VLOOKUP($D360,素材!$1:$1016,COLUMN($F$1),FALSE))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M360">
        <f>IF(ISNUMBER(SEARCH(SUBSTITUTE(AM$1,RIGHT(AM$1,2),""),VLOOKUP($D360,素材!$1:$1016,COLUMN($F$1),FALSE))),VLOOKUP($C360,武器!$1:$998,COLUMN($O$1),FALSE)*VLOOKUP($D360,素材!$1:$1016,COLUMN($E$1),FALSE)/(LEN(VLOOKUP($D360,素材!$1:$1016,COLUMN($F$1),FALSE))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N360">
        <f>IF(ISNUMBER(SEARCH(SUBSTITUTE(AN$1,RIGHT(AN$1,2),""),VLOOKUP($D360,素材!$1:$1016,COLUMN($F$1),FALSE))),VLOOKUP($C360,武器!$1:$998,COLUMN($O$1),FALSE)*VLOOKUP($D360,素材!$1:$1016,COLUMN($E$1),FALSE)/(LEN(VLOOKUP($D360,素材!$1:$1016,COLUMN($F$1),FALSE))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O360">
        <f>IF(ISNUMBER(SEARCH(SUBSTITUTE(AO$1,RIGHT(AO$1,2),""),VLOOKUP($D360,素材!$1:$1016,COLUMN($F$1),FALSE))),VLOOKUP($C360,武器!$1:$998,COLUMN($O$1),FALSE)*VLOOKUP($D360,素材!$1:$1016,COLUMN($E$1),FALSE)/(LEN(VLOOKUP($D360,素材!$1:$1016,COLUMN($F$1),FALSE))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P360">
        <f>IF(ISNUMBER(SEARCH(SUBSTITUTE(AP$1,RIGHT(AP$1,2),""),VLOOKUP($D360,素材!$1:$1016,COLUMN($F$1),FALSE))),VLOOKUP($C360,武器!$1:$998,COLUMN($O$1),FALSE)*VLOOKUP($D360,素材!$1:$1016,COLUMN($E$1),FALSE)/(LEN(VLOOKUP($D360,素材!$1:$1016,COLUMN($F$1),FALSE))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Q360">
        <f>IF(ISNUMBER(SEARCH(SUBSTITUTE(AQ$1,RIGHT(AQ$1,2),""),VLOOKUP($D360,素材!$1:$1016,COLUMN($F$1),FALSE))),VLOOKUP($C360,武器!$1:$998,COLUMN($O$1),FALSE)*VLOOKUP($D360,素材!$1:$1016,COLUMN($E$1),FALSE)/(LEN(VLOOKUP($D360,素材!$1:$1016,COLUMN($F$1),FALSE))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R360">
        <f>IF(ISNUMBER(SEARCH(SUBSTITUTE(AR$1,RIGHT(AR$1,2),""),VLOOKUP($D360,素材!$1:$1016,COLUMN($F$1),FALSE))),VLOOKUP($C360,武器!$1:$998,COLUMN($O$1),FALSE)*VLOOKUP($D360,素材!$1:$1016,COLUMN($E$1),FALSE)/(LEN(VLOOKUP($D360,素材!$1:$1016,COLUMN($F$1),FALSE))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S360">
        <f>IF(ISNUMBER(SEARCH(SUBSTITUTE(AS$1,RIGHT(AS$1,2),""),VLOOKUP($D360,素材!$1:$1016,COLUMN($F$1),FALSE))),VLOOKUP($C360,武器!$1:$998,COLUMN($O$1),FALSE)*VLOOKUP($D360,素材!$1:$1016,COLUMN($E$1),FALSE)/(LEN(VLOOKUP($D360,素材!$1:$1016,COLUMN($F$1),FALSE))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T360">
        <f>IF(ISNUMBER(SEARCH(SUBSTITUTE(AT$1,RIGHT(AT$1,2),""),VLOOKUP($D360,素材!$1:$1016,COLUMN($F$1),FALSE))),VLOOKUP($C360,武器!$1:$998,COLUMN($O$1),FALSE)*VLOOKUP($D360,素材!$1:$1016,COLUMN($E$1),FALSE)/(LEN(VLOOKUP($D360,素材!$1:$1016,COLUMN($F$1),FALSE))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U360">
        <f>IF(ISNUMBER(SEARCH(SUBSTITUTE(AU$1,RIGHT(AU$1,2),""),VLOOKUP($D360,素材!$1:$1016,COLUMN($F$1),FALSE))),VLOOKUP($C360,武器!$1:$998,COLUMN($O$1),FALSE)*VLOOKUP($D360,素材!$1:$1016,COLUMN($E$1),FALSE)/(LEN(VLOOKUP($D360,素材!$1:$1016,COLUMN($F$1),FALSE))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V360">
        <f>IF(ISNUMBER(SEARCH(SUBSTITUTE(AV$1,RIGHT(AV$1,2),""),VLOOKUP($D360,素材!$1:$1016,COLUMN($F$1),FALSE))),VLOOKUP($C360,武器!$1:$998,COLUMN($O$1),FALSE)*VLOOKUP($D360,素材!$1:$1016,COLUMN($E$1),FALSE)/(LEN(VLOOKUP($D360,素材!$1:$1016,COLUMN($F$1),FALSE))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W360">
        <f>IF(ISNUMBER(SEARCH(SUBSTITUTE(AW$1,RIGHT(AW$1,2),""),VLOOKUP($D360,素材!$1:$1016,COLUMN($F$1),FALSE))),VLOOKUP($C360,武器!$1:$998,COLUMN($O$1),FALSE)*VLOOKUP($D360,素材!$1:$1016,COLUMN($E$1),FALSE)/(LEN(VLOOKUP($D360,素材!$1:$1016,COLUMN($F$1),FALSE))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X360">
        <f>IF(ISNUMBER(SEARCH(SUBSTITUTE(AX$1,RIGHT(AX$1,2),""),VLOOKUP($D360,素材!$1:$1016,COLUMN($F$1),FALSE))),VLOOKUP($C360,武器!$1:$998,COLUMN($O$1),FALSE)*VLOOKUP($D360,素材!$1:$1016,COLUMN($E$1),FALSE)/(LEN(VLOOKUP($D360,素材!$1:$1016,COLUMN($F$1),FALSE))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Y360">
        <f>IF(ISNUMBER(SEARCH(SUBSTITUTE(AY$1,RIGHT(AY$1,2),""),VLOOKUP($D360,素材!$1:$1016,COLUMN($F$1),FALSE))),VLOOKUP($C360,武器!$1:$998,COLUMN($O$1),FALSE)*VLOOKUP($D360,素材!$1:$1016,COLUMN($E$1),FALSE)/(LEN(VLOOKUP($D360,素材!$1:$1016,COLUMN($F$1),FALSE))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AZ360">
        <f>IF(ISNUMBER(SEARCH(SUBSTITUTE(AZ$1,RIGHT(AZ$1,2),""),VLOOKUP($D360,素材!$1:$1016,COLUMN($F$1),FALSE))),VLOOKUP($C360,武器!$1:$998,COLUMN($O$1),FALSE)*VLOOKUP($D360,素材!$1:$1016,COLUMN($E$1),FALSE)/(LEN(VLOOKUP($D360,素材!$1:$1016,COLUMN($F$1),FALSE))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BA360">
        <f>IF(ISNUMBER(SEARCH(SUBSTITUTE(BA$1,RIGHT(BA$1,2),""),VLOOKUP($D360,素材!$1:$1016,COLUMN($F$1),FALSE))),VLOOKUP($C360,武器!$1:$998,COLUMN($O$1),FALSE)*VLOOKUP($D360,素材!$1:$1016,COLUMN($E$1),FALSE)/(LEN(VLOOKUP($D360,素材!$1:$1016,COLUMN($F$1),FALSE))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BB360">
        <f>IF(ISNUMBER(SEARCH(SUBSTITUTE(BB$1,RIGHT(BB$1,2),""),VLOOKUP($D360,素材!$1:$1016,COLUMN($F$1),FALSE))),VLOOKUP($C360,武器!$1:$998,COLUMN($O$1),FALSE)*VLOOKUP($D360,素材!$1:$1016,COLUMN($E$1),FALSE)/(LEN(VLOOKUP($D360,素材!$1:$1016,COLUMN($F$1),FALSE))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BC360">
        <f>IF(ISNUMBER(SEARCH(SUBSTITUTE(BC$1,RIGHT(BC$1,2),""),VLOOKUP($D360,素材!$1:$1016,COLUMN($F$1),FALSE))),VLOOKUP($C360,武器!$1:$998,COLUMN($O$1),FALSE)*VLOOKUP($D360,素材!$1:$1016,COLUMN($E$1),FALSE)/(LEN(VLOOKUP($D360,素材!$1:$1016,COLUMN($F$1),FALSE))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BD360">
        <f>IF(ISNUMBER(SEARCH(SUBSTITUTE(BD$1,RIGHT(BD$1,2),""),VLOOKUP($D360,素材!$1:$1016,COLUMN($F$1),FALSE))),VLOOKUP($C360,武器!$1:$998,COLUMN($O$1),FALSE)*VLOOKUP($D360,素材!$1:$1016,COLUMN($E$1),FALSE)/(LEN(VLOOKUP($D360,素材!$1:$1016,COLUMN($F$1),FALSE))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BE360">
        <f>IF(ISNUMBER(SEARCH(SUBSTITUTE(BE$1,RIGHT(BE$1,2),""),VLOOKUP($D360,素材!$1:$1016,COLUMN($F$1),FALSE))),VLOOKUP($C360,武器!$1:$998,COLUMN($O$1),FALSE)*VLOOKUP($D360,素材!$1:$1016,COLUMN($E$1),FALSE)/(LEN(VLOOKUP($D360,素材!$1:$1016,COLUMN($F$1),FALSE))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BF360">
        <f>IF(ISNUMBER(SEARCH(SUBSTITUTE(BF$1,RIGHT(BF$1,2),""),VLOOKUP($D360,素材!$1:$1016,COLUMN($F$1),FALSE))),VLOOKUP($C360,武器!$1:$998,COLUMN($O$1),FALSE)*VLOOKUP($D360,素材!$1:$1016,COLUMN($E$1),FALSE)/(LEN(VLOOKUP($D360,素材!$1:$1016,COLUMN($F$1),FALSE)) - LEN(SUBSTITUTE(VLOOKUP($D360,素材!$1:$1016,COLUMN($F$1),FALSE), "・", 0)) + 1), 0)</f>
        <v>0</v>
      </c>
      <c r="CM360">
        <f t="shared" si="39"/>
        <v>41</v>
      </c>
      <c r="CN360" s="22" t="str">
        <f>IF(E360="武器",IF(J360-1&gt;SUM(G360:I360),"盾",IF(MAX(G360:I360)=G360,"切断",IF(MAX(G360:I360)=H360,"貫通",IF(MAX(G360:I360)=I360,"打撃","射撃")))),E360)&amp;".webp"</f>
        <v>切断.webp</v>
      </c>
      <c r="CO360">
        <f>IFERROR(VLOOKUP($C360,武器!$1:$998,COLUMN(V$1),FALSE)*VLOOKUP($D360,素材!$1:$1016,COLUMN(N$1),FALSE)+IF(CJ360="",0,VLOOKUP($CJ360,装強!$1:$1008,COLUMN($CL$1),FALSE)),"")</f>
        <v>1000000</v>
      </c>
      <c r="CP360">
        <f>VLOOKUP(D360,素材!$A:$O,COLUMN(素材!O$1),FALSE)</f>
        <v>0</v>
      </c>
      <c r="CQ360" t="str">
        <f>VLOOKUP(C360,武器!$A:$W,COLUMN(武器!W$1),FALSE)</f>
        <v>刀。切断力に優れた武器で、Cr威力が高い</v>
      </c>
      <c r="CS360" t="str">
        <f>"e_"&amp;ROW(CS360)</f>
        <v>e_360</v>
      </c>
      <c r="CT360">
        <f>CO360*100</f>
        <v>100000000</v>
      </c>
    </row>
    <row r="361" spans="1:98" outlineLevel="1" x14ac:dyDescent="0.4">
      <c r="A361" t="str">
        <f t="shared" si="41"/>
        <v>神玉鋼の刀</v>
      </c>
      <c r="B361" t="str">
        <f>IFERROR(VLOOKUP($D361,素材!$1:$1016,COLUMN($B$1),FALSE)&amp;"・"&amp;VLOOKUP($C361,武器!$1:$998,COLUMN(B$1),FALSE),"")</f>
        <v>ヘブンズジェルタイト・カタナ</v>
      </c>
      <c r="C361" t="s">
        <v>1265</v>
      </c>
      <c r="D361" s="24" t="s">
        <v>1223</v>
      </c>
      <c r="E361" t="str">
        <f>IFERROR(VLOOKUP(C361,武器!$1:$998,COLUMN(C$1),FALSE),"")</f>
        <v>武器</v>
      </c>
      <c r="F361">
        <f>IFERROR(ROUNDDOWN((VLOOKUP($C361,武器!$1:$998,COLUMN(D$1),FALSE)+IFERROR(VLOOKUP($CJ361,装強!$1:$999,COLUMN(F$1),FALSE),0))*VLOOKUP($D361,素材!$1:$1016,COLUMN(D$1),FALSE),0),"")</f>
        <v>105</v>
      </c>
      <c r="G361">
        <f>IFERROR(ROUNDDOWN((VLOOKUP($C361,武器!$1:$998,COLUMN(E$1),FALSE)+IFERROR(VLOOKUP($CJ361,装強!$1:$999,COLUMN(G$1),FALSE),0))*VLOOKUP($D361,素材!$1:$1016,COLUMN($E$1),FALSE),0),"")</f>
        <v>38</v>
      </c>
      <c r="H361">
        <f>IFERROR(ROUNDDOWN((VLOOKUP($C361,武器!$1:$998,COLUMN(F$1),FALSE)+IFERROR(VLOOKUP($CJ361,装強!$1:$999,COLUMN(H$1),FALSE),0))*VLOOKUP($D361,素材!$1:$1016,COLUMN($E$1),FALSE),0),"")</f>
        <v>22</v>
      </c>
      <c r="I361">
        <f>IFERROR(ROUNDDOWN((VLOOKUP($C361,武器!$1:$998,COLUMN(G$1),FALSE)+IFERROR(VLOOKUP($CJ361,装強!$1:$999,COLUMN(I$1),FALSE),0))*VLOOKUP($D361,素材!$1:$1016,COLUMN($E$1),FALSE),0),"")</f>
        <v>5</v>
      </c>
      <c r="J361">
        <f>IFERROR(ROUNDDOWN((VLOOKUP($C361,武器!$1:$998,COLUMN(H$1),FALSE)+IFERROR(VLOOKUP($CJ361,装強!$1:$999,COLUMN(J$1),FALSE),0))*VLOOKUP($D361,素材!$1:$1016,COLUMN($E$1),FALSE),0),"")</f>
        <v>46</v>
      </c>
      <c r="K361">
        <f>IFERROR(ROUNDDOWN((VLOOKUP($C361,武器!$1:$998,COLUMN(I$1),FALSE)+IFERROR(VLOOKUP($CJ361,装強!$1:$999,COLUMN(K$1),FALSE),0))*VLOOKUP($D361,素材!$1:$1016,COLUMN($E$1),FALSE),0),"")</f>
        <v>0</v>
      </c>
      <c r="L361">
        <f>IFERROR(VLOOKUP($D361,素材!$1:$1016,COLUMN($F$1),FALSE),"")</f>
        <v>0</v>
      </c>
      <c r="M361">
        <f>IFERROR(VLOOKUP($C361,武器!$1:$998,COLUMN(AA$1),FALSE)*VLOOKUP($D361,素材!$1:$1016,COLUMN($G$1),FALSE),"")</f>
        <v>0</v>
      </c>
      <c r="N361">
        <f>IFERROR(VLOOKUP($C361,武器!$1:$998,COLUMN(I$1),FALSE),"")</f>
        <v>0</v>
      </c>
      <c r="O361" s="23">
        <f>IFERROR((VLOOKUP($C361,武器!$1:$998,COLUMN(K$1),FALSE)+VLOOKUP($D361,素材!$1:$1016,COLUMN(H$1),FALSE))*100+IFERROR(VLOOKUP($CJ361,装強!$1:$999,COLUMN(O$1),FALSE),0),"")</f>
        <v>25</v>
      </c>
      <c r="P361" s="23">
        <f>IFERROR((VLOOKUP($C361,武器!$1:$998,COLUMN(L$1),FALSE)+VLOOKUP($D361,素材!$1:$1016,COLUMN(I$1),FALSE))*100+IFERROR(VLOOKUP($CJ361,装強!$1:$999,COLUMN(P$1),FALSE),0),"")</f>
        <v>195</v>
      </c>
      <c r="Q361">
        <f>IFERROR(ROUNDUP(VLOOKUP($C361,武器!$1:$998,COLUMN(M$1),FALSE)*(VLOOKUP($D361,素材!$1:$1002,COLUMN(D$1),FALSE)/100),1),"")</f>
        <v>0</v>
      </c>
      <c r="R361">
        <f>IFERROR(ROUNDUP(VLOOKUP($C361,武器!$1:$998,COLUMN(N$1),FALSE)*(VLOOKUP($D361,素材!$1:$1002,COLUMN(D$1),FALSE)/100),1),"")</f>
        <v>0</v>
      </c>
      <c r="S361">
        <f>IFERROR(VLOOKUP($C361,武器!$1:$998,COLUMN(P$1),FALSE),"")</f>
        <v>0</v>
      </c>
      <c r="T361">
        <f>IFERROR(VLOOKUP($C361,武器!$1:$998,COLUMN(Q$1),FALSE),"")</f>
        <v>0</v>
      </c>
      <c r="U361">
        <f>IFERROR(VLOOKUP($C361,武器!$1:$998,COLUMN(R$1),FALSE),"")</f>
        <v>0</v>
      </c>
      <c r="V361">
        <f>IFERROR(VLOOKUP($C361,武器!$1:$998,COLUMN(Q$1),FALSE),"")</f>
        <v>0</v>
      </c>
      <c r="W361" t="str">
        <f>IFERROR(VLOOKUP($C361,武器!$1:$998,COLUMN(T$1),FALSE),"")</f>
        <v>A</v>
      </c>
      <c r="Y361">
        <f>IFERROR(VLOOKUP($C361,武器!$1:$998,COLUMN(U$1),FALSE),"")</f>
        <v>0</v>
      </c>
      <c r="Z361">
        <f>IFERROR(ROUNDUP(VLOOKUP($C361,武器!$1:$998,COLUMN(O$1),FALSE)*VLOOKUP($D361,素材!$1:$1016,COLUMN(E$1),FALSE),1),"")</f>
        <v>0</v>
      </c>
      <c r="AA361">
        <f>IF(ISNUMBER(SEARCH(SUBSTITUTE(AA$1,RIGHT(AA$1,2),""),VLOOKUP($D361,素材!$1:$1016,COLUMN($F$1),FALSE))),VLOOKUP($C361,武器!$1:$998,COLUMN($O$1),FALSE)*VLOOKUP($D361,素材!$1:$1016,COLUMN($E$1),FALSE)/(LEN(VLOOKUP($D361,素材!$1:$1016,COLUMN($F$1),FALSE))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B361">
        <f>IF(ISNUMBER(SEARCH(SUBSTITUTE(AB$1,RIGHT(AB$1,2),""),VLOOKUP($D361,素材!$1:$1016,COLUMN($F$1),FALSE))),VLOOKUP($C361,武器!$1:$998,COLUMN($O$1),FALSE)*VLOOKUP($D361,素材!$1:$1016,COLUMN($E$1),FALSE)/(LEN(VLOOKUP($D361,素材!$1:$1016,COLUMN($F$1),FALSE))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C361">
        <f>IF(ISNUMBER(SEARCH(SUBSTITUTE(AC$1,RIGHT(AC$1,2),""),VLOOKUP($D361,素材!$1:$1016,COLUMN($F$1),FALSE))),VLOOKUP($C361,武器!$1:$998,COLUMN($O$1),FALSE)*VLOOKUP($D361,素材!$1:$1016,COLUMN($E$1),FALSE)/(LEN(VLOOKUP($D361,素材!$1:$1016,COLUMN($F$1),FALSE))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D361">
        <f>IF(ISNUMBER(SEARCH(SUBSTITUTE(AD$1,RIGHT(AD$1,2),""),VLOOKUP($D361,素材!$1:$1016,COLUMN($F$1),FALSE))),VLOOKUP($C361,武器!$1:$998,COLUMN($O$1),FALSE)*VLOOKUP($D361,素材!$1:$1016,COLUMN($E$1),FALSE)/(LEN(VLOOKUP($D361,素材!$1:$1016,COLUMN($F$1),FALSE))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E361">
        <f>IF(ISNUMBER(SEARCH(SUBSTITUTE(AE$1,RIGHT(AE$1,2),""),VLOOKUP($D361,素材!$1:$1016,COLUMN($F$1),FALSE))),VLOOKUP($C361,武器!$1:$998,COLUMN($O$1),FALSE)*VLOOKUP($D361,素材!$1:$1016,COLUMN($E$1),FALSE)/(LEN(VLOOKUP($D361,素材!$1:$1016,COLUMN($F$1),FALSE))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F361">
        <f>IF(ISNUMBER(SEARCH(SUBSTITUTE(AF$1,RIGHT(AF$1,2),""),VLOOKUP($D361,素材!$1:$1016,COLUMN($F$1),FALSE))),VLOOKUP($C361,武器!$1:$998,COLUMN($O$1),FALSE)*VLOOKUP($D361,素材!$1:$1016,COLUMN($E$1),FALSE)/(LEN(VLOOKUP($D361,素材!$1:$1016,COLUMN($F$1),FALSE))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G361">
        <f>IF(ISNUMBER(SEARCH(SUBSTITUTE(AG$1,RIGHT(AG$1,2),""),VLOOKUP($D361,素材!$1:$1016,COLUMN($F$1),FALSE))),VLOOKUP($C361,武器!$1:$998,COLUMN($O$1),FALSE)*VLOOKUP($D361,素材!$1:$1016,COLUMN($E$1),FALSE)/(LEN(VLOOKUP($D361,素材!$1:$1016,COLUMN($F$1),FALSE))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H361">
        <f>IF(ISNUMBER(SEARCH(SUBSTITUTE(AH$1,RIGHT(AH$1,2),""),VLOOKUP($D361,素材!$1:$1016,COLUMN($F$1),FALSE))),VLOOKUP($C361,武器!$1:$998,COLUMN($O$1),FALSE)*VLOOKUP($D361,素材!$1:$1016,COLUMN($E$1),FALSE)/(LEN(VLOOKUP($D361,素材!$1:$1016,COLUMN($F$1),FALSE))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I361">
        <f>IF(ISNUMBER(SEARCH(SUBSTITUTE(AI$1,RIGHT(AI$1,2),""),VLOOKUP($D361,素材!$1:$1016,COLUMN($F$1),FALSE))),VLOOKUP($C361,武器!$1:$998,COLUMN($O$1),FALSE)*VLOOKUP($D361,素材!$1:$1016,COLUMN($E$1),FALSE)/(LEN(VLOOKUP($D361,素材!$1:$1016,COLUMN($F$1),FALSE))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J361">
        <f>IF(ISNUMBER(SEARCH(SUBSTITUTE(AJ$1,RIGHT(AJ$1,2),""),VLOOKUP($D361,素材!$1:$1016,COLUMN($F$1),FALSE))),VLOOKUP($C361,武器!$1:$998,COLUMN($O$1),FALSE)*VLOOKUP($D361,素材!$1:$1016,COLUMN($E$1),FALSE)/(LEN(VLOOKUP($D361,素材!$1:$1016,COLUMN($F$1),FALSE))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K361">
        <f>IF(ISNUMBER(SEARCH(SUBSTITUTE(AK$1,RIGHT(AK$1,2),""),VLOOKUP($D361,素材!$1:$1016,COLUMN($F$1),FALSE))),VLOOKUP($C361,武器!$1:$998,COLUMN($O$1),FALSE)*VLOOKUP($D361,素材!$1:$1016,COLUMN($E$1),FALSE)/(LEN(VLOOKUP($D361,素材!$1:$1016,COLUMN($F$1),FALSE))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L361">
        <f>IF(ISNUMBER(SEARCH(SUBSTITUTE(AL$1,RIGHT(AL$1,2),""),VLOOKUP($D361,素材!$1:$1016,COLUMN($F$1),FALSE))),VLOOKUP($C361,武器!$1:$998,COLUMN($O$1),FALSE)*VLOOKUP($D361,素材!$1:$1016,COLUMN($E$1),FALSE)/(LEN(VLOOKUP($D361,素材!$1:$1016,COLUMN($F$1),FALSE))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M361">
        <f>IF(ISNUMBER(SEARCH(SUBSTITUTE(AM$1,RIGHT(AM$1,2),""),VLOOKUP($D361,素材!$1:$1016,COLUMN($F$1),FALSE))),VLOOKUP($C361,武器!$1:$998,COLUMN($O$1),FALSE)*VLOOKUP($D361,素材!$1:$1016,COLUMN($E$1),FALSE)/(LEN(VLOOKUP($D361,素材!$1:$1016,COLUMN($F$1),FALSE))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N361">
        <f>IF(ISNUMBER(SEARCH(SUBSTITUTE(AN$1,RIGHT(AN$1,2),""),VLOOKUP($D361,素材!$1:$1016,COLUMN($F$1),FALSE))),VLOOKUP($C361,武器!$1:$998,COLUMN($O$1),FALSE)*VLOOKUP($D361,素材!$1:$1016,COLUMN($E$1),FALSE)/(LEN(VLOOKUP($D361,素材!$1:$1016,COLUMN($F$1),FALSE))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O361">
        <f>IF(ISNUMBER(SEARCH(SUBSTITUTE(AO$1,RIGHT(AO$1,2),""),VLOOKUP($D361,素材!$1:$1016,COLUMN($F$1),FALSE))),VLOOKUP($C361,武器!$1:$998,COLUMN($O$1),FALSE)*VLOOKUP($D361,素材!$1:$1016,COLUMN($E$1),FALSE)/(LEN(VLOOKUP($D361,素材!$1:$1016,COLUMN($F$1),FALSE))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P361">
        <f>IF(ISNUMBER(SEARCH(SUBSTITUTE(AP$1,RIGHT(AP$1,2),""),VLOOKUP($D361,素材!$1:$1016,COLUMN($F$1),FALSE))),VLOOKUP($C361,武器!$1:$998,COLUMN($O$1),FALSE)*VLOOKUP($D361,素材!$1:$1016,COLUMN($E$1),FALSE)/(LEN(VLOOKUP($D361,素材!$1:$1016,COLUMN($F$1),FALSE))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Q361">
        <f>IF(ISNUMBER(SEARCH(SUBSTITUTE(AQ$1,RIGHT(AQ$1,2),""),VLOOKUP($D361,素材!$1:$1016,COLUMN($F$1),FALSE))),VLOOKUP($C361,武器!$1:$998,COLUMN($O$1),FALSE)*VLOOKUP($D361,素材!$1:$1016,COLUMN($E$1),FALSE)/(LEN(VLOOKUP($D361,素材!$1:$1016,COLUMN($F$1),FALSE))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R361">
        <f>IF(ISNUMBER(SEARCH(SUBSTITUTE(AR$1,RIGHT(AR$1,2),""),VLOOKUP($D361,素材!$1:$1016,COLUMN($F$1),FALSE))),VLOOKUP($C361,武器!$1:$998,COLUMN($O$1),FALSE)*VLOOKUP($D361,素材!$1:$1016,COLUMN($E$1),FALSE)/(LEN(VLOOKUP($D361,素材!$1:$1016,COLUMN($F$1),FALSE))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S361">
        <f>IF(ISNUMBER(SEARCH(SUBSTITUTE(AS$1,RIGHT(AS$1,2),""),VLOOKUP($D361,素材!$1:$1016,COLUMN($F$1),FALSE))),VLOOKUP($C361,武器!$1:$998,COLUMN($O$1),FALSE)*VLOOKUP($D361,素材!$1:$1016,COLUMN($E$1),FALSE)/(LEN(VLOOKUP($D361,素材!$1:$1016,COLUMN($F$1),FALSE))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T361">
        <f>IF(ISNUMBER(SEARCH(SUBSTITUTE(AT$1,RIGHT(AT$1,2),""),VLOOKUP($D361,素材!$1:$1016,COLUMN($F$1),FALSE))),VLOOKUP($C361,武器!$1:$998,COLUMN($O$1),FALSE)*VLOOKUP($D361,素材!$1:$1016,COLUMN($E$1),FALSE)/(LEN(VLOOKUP($D361,素材!$1:$1016,COLUMN($F$1),FALSE))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U361">
        <f>IF(ISNUMBER(SEARCH(SUBSTITUTE(AU$1,RIGHT(AU$1,2),""),VLOOKUP($D361,素材!$1:$1016,COLUMN($F$1),FALSE))),VLOOKUP($C361,武器!$1:$998,COLUMN($O$1),FALSE)*VLOOKUP($D361,素材!$1:$1016,COLUMN($E$1),FALSE)/(LEN(VLOOKUP($D361,素材!$1:$1016,COLUMN($F$1),FALSE))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V361">
        <f>IF(ISNUMBER(SEARCH(SUBSTITUTE(AV$1,RIGHT(AV$1,2),""),VLOOKUP($D361,素材!$1:$1016,COLUMN($F$1),FALSE))),VLOOKUP($C361,武器!$1:$998,COLUMN($O$1),FALSE)*VLOOKUP($D361,素材!$1:$1016,COLUMN($E$1),FALSE)/(LEN(VLOOKUP($D361,素材!$1:$1016,COLUMN($F$1),FALSE))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W361">
        <f>IF(ISNUMBER(SEARCH(SUBSTITUTE(AW$1,RIGHT(AW$1,2),""),VLOOKUP($D361,素材!$1:$1016,COLUMN($F$1),FALSE))),VLOOKUP($C361,武器!$1:$998,COLUMN($O$1),FALSE)*VLOOKUP($D361,素材!$1:$1016,COLUMN($E$1),FALSE)/(LEN(VLOOKUP($D361,素材!$1:$1016,COLUMN($F$1),FALSE))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X361">
        <f>IF(ISNUMBER(SEARCH(SUBSTITUTE(AX$1,RIGHT(AX$1,2),""),VLOOKUP($D361,素材!$1:$1016,COLUMN($F$1),FALSE))),VLOOKUP($C361,武器!$1:$998,COLUMN($O$1),FALSE)*VLOOKUP($D361,素材!$1:$1016,COLUMN($E$1),FALSE)/(LEN(VLOOKUP($D361,素材!$1:$1016,COLUMN($F$1),FALSE))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Y361">
        <f>IF(ISNUMBER(SEARCH(SUBSTITUTE(AY$1,RIGHT(AY$1,2),""),VLOOKUP($D361,素材!$1:$1016,COLUMN($F$1),FALSE))),VLOOKUP($C361,武器!$1:$998,COLUMN($O$1),FALSE)*VLOOKUP($D361,素材!$1:$1016,COLUMN($E$1),FALSE)/(LEN(VLOOKUP($D361,素材!$1:$1016,COLUMN($F$1),FALSE))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AZ361">
        <f>IF(ISNUMBER(SEARCH(SUBSTITUTE(AZ$1,RIGHT(AZ$1,2),""),VLOOKUP($D361,素材!$1:$1016,COLUMN($F$1),FALSE))),VLOOKUP($C361,武器!$1:$998,COLUMN($O$1),FALSE)*VLOOKUP($D361,素材!$1:$1016,COLUMN($E$1),FALSE)/(LEN(VLOOKUP($D361,素材!$1:$1016,COLUMN($F$1),FALSE))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BA361">
        <f>IF(ISNUMBER(SEARCH(SUBSTITUTE(BA$1,RIGHT(BA$1,2),""),VLOOKUP($D361,素材!$1:$1016,COLUMN($F$1),FALSE))),VLOOKUP($C361,武器!$1:$998,COLUMN($O$1),FALSE)*VLOOKUP($D361,素材!$1:$1016,COLUMN($E$1),FALSE)/(LEN(VLOOKUP($D361,素材!$1:$1016,COLUMN($F$1),FALSE))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BB361">
        <f>IF(ISNUMBER(SEARCH(SUBSTITUTE(BB$1,RIGHT(BB$1,2),""),VLOOKUP($D361,素材!$1:$1016,COLUMN($F$1),FALSE))),VLOOKUP($C361,武器!$1:$998,COLUMN($O$1),FALSE)*VLOOKUP($D361,素材!$1:$1016,COLUMN($E$1),FALSE)/(LEN(VLOOKUP($D361,素材!$1:$1016,COLUMN($F$1),FALSE))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BC361">
        <f>IF(ISNUMBER(SEARCH(SUBSTITUTE(BC$1,RIGHT(BC$1,2),""),VLOOKUP($D361,素材!$1:$1016,COLUMN($F$1),FALSE))),VLOOKUP($C361,武器!$1:$998,COLUMN($O$1),FALSE)*VLOOKUP($D361,素材!$1:$1016,COLUMN($E$1),FALSE)/(LEN(VLOOKUP($D361,素材!$1:$1016,COLUMN($F$1),FALSE))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BD361">
        <f>IF(ISNUMBER(SEARCH(SUBSTITUTE(BD$1,RIGHT(BD$1,2),""),VLOOKUP($D361,素材!$1:$1016,COLUMN($F$1),FALSE))),VLOOKUP($C361,武器!$1:$998,COLUMN($O$1),FALSE)*VLOOKUP($D361,素材!$1:$1016,COLUMN($E$1),FALSE)/(LEN(VLOOKUP($D361,素材!$1:$1016,COLUMN($F$1),FALSE))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BE361">
        <f>IF(ISNUMBER(SEARCH(SUBSTITUTE(BE$1,RIGHT(BE$1,2),""),VLOOKUP($D361,素材!$1:$1016,COLUMN($F$1),FALSE))),VLOOKUP($C361,武器!$1:$998,COLUMN($O$1),FALSE)*VLOOKUP($D361,素材!$1:$1016,COLUMN($E$1),FALSE)/(LEN(VLOOKUP($D361,素材!$1:$1016,COLUMN($F$1),FALSE))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BF361">
        <f>IF(ISNUMBER(SEARCH(SUBSTITUTE(BF$1,RIGHT(BF$1,2),""),VLOOKUP($D361,素材!$1:$1016,COLUMN($F$1),FALSE))),VLOOKUP($C361,武器!$1:$998,COLUMN($O$1),FALSE)*VLOOKUP($D361,素材!$1:$1016,COLUMN($E$1),FALSE)/(LEN(VLOOKUP($D361,素材!$1:$1016,COLUMN($F$1),FALSE)) - LEN(SUBSTITUTE(VLOOKUP($D361,素材!$1:$1016,COLUMN($F$1),FALSE), "・", 0)) + 1), 0)</f>
        <v>0</v>
      </c>
      <c r="CM361">
        <f t="shared" si="39"/>
        <v>65</v>
      </c>
      <c r="CN361" s="22" t="str">
        <f>IF(E361="武器",IF(J361-1&gt;SUM(G361:I361),"盾",IF(MAX(G361:I361)=G361,"切断",IF(MAX(G361:I361)=H361,"貫通",IF(MAX(G361:I361)=I361,"打撃","射撃")))),E361)&amp;".webp"</f>
        <v>切断.webp</v>
      </c>
      <c r="CO361">
        <f>IFERROR(VLOOKUP($C361,武器!$1:$998,COLUMN(V$1),FALSE)*VLOOKUP($D361,素材!$1:$1016,COLUMN(N$1),FALSE)+IF(CJ361="",0,VLOOKUP($CJ361,装強!$1:$1008,COLUMN($CL$1),FALSE)),"")</f>
        <v>1000000</v>
      </c>
      <c r="CP361">
        <f>VLOOKUP(D361,素材!$A:$O,COLUMN(素材!O$1),FALSE)</f>
        <v>0</v>
      </c>
      <c r="CQ361" t="str">
        <f>VLOOKUP(C361,武器!$A:$W,COLUMN(武器!W$1),FALSE)</f>
        <v>刀。切断力に優れた武器で、Cr威力が高い</v>
      </c>
      <c r="CS361" t="str">
        <f>"e_"&amp;ROW(CS361)</f>
        <v>e_361</v>
      </c>
      <c r="CT361">
        <f>CO361*100</f>
        <v>100000000</v>
      </c>
    </row>
    <row r="362" spans="1:98" outlineLevel="1" x14ac:dyDescent="0.4">
      <c r="A362" t="s">
        <v>1049</v>
      </c>
      <c r="B362" t="str">
        <f>IFERROR(VLOOKUP($D362,素材!$1:$1016,COLUMN($B$1),FALSE)&amp;"・"&amp;VLOOKUP($C362,武器!$1:$998,COLUMN(B$1),FALSE),"")</f>
        <v>ブラックメタル・マント</v>
      </c>
      <c r="C362" t="s">
        <v>1268</v>
      </c>
      <c r="D362" s="24" t="s">
        <v>194</v>
      </c>
      <c r="E362" t="str">
        <f>IFERROR(VLOOKUP(C362,武器!$1:$998,COLUMN(C$1),FALSE),"")</f>
        <v>装飾</v>
      </c>
      <c r="F362">
        <f>IFERROR(ROUNDDOWN((VLOOKUP($C362,武器!$1:$998,COLUMN(D$1),FALSE)+IFERROR(VLOOKUP($CJ362,装強!$1:$999,COLUMN(F$1),FALSE),0))*VLOOKUP($D362,素材!$1:$1016,COLUMN(D$1),FALSE),0),"")</f>
        <v>0</v>
      </c>
      <c r="G362">
        <f>IFERROR(ROUNDDOWN((VLOOKUP($C362,武器!$1:$998,COLUMN(E$1),FALSE)+IFERROR(VLOOKUP($CJ362,装強!$1:$999,COLUMN(G$1),FALSE),0))*VLOOKUP($D362,素材!$1:$1016,COLUMN($E$1),FALSE),0),"")</f>
        <v>0</v>
      </c>
      <c r="H362">
        <f>IFERROR(ROUNDDOWN((VLOOKUP($C362,武器!$1:$998,COLUMN(F$1),FALSE)+IFERROR(VLOOKUP($CJ362,装強!$1:$999,COLUMN(H$1),FALSE),0))*VLOOKUP($D362,素材!$1:$1016,COLUMN($E$1),FALSE),0),"")</f>
        <v>0</v>
      </c>
      <c r="I362">
        <f>IFERROR(ROUNDDOWN((VLOOKUP($C362,武器!$1:$998,COLUMN(G$1),FALSE)+IFERROR(VLOOKUP($CJ362,装強!$1:$999,COLUMN(I$1),FALSE),0))*VLOOKUP($D362,素材!$1:$1016,COLUMN($E$1),FALSE),0),"")</f>
        <v>0</v>
      </c>
      <c r="J362">
        <f>IFERROR(ROUNDDOWN((VLOOKUP($C362,武器!$1:$998,COLUMN(H$1),FALSE)+IFERROR(VLOOKUP($CJ362,装強!$1:$999,COLUMN(J$1),FALSE),0))*VLOOKUP($D362,素材!$1:$1016,COLUMN($E$1),FALSE),0),"")</f>
        <v>0</v>
      </c>
      <c r="K362">
        <f>IFERROR(ROUNDDOWN((VLOOKUP($C362,武器!$1:$998,COLUMN(I$1),FALSE)+IFERROR(VLOOKUP($CJ362,装強!$1:$999,COLUMN(K$1),FALSE),0))*VLOOKUP($D362,素材!$1:$1016,COLUMN($E$1),FALSE),0),"")</f>
        <v>0</v>
      </c>
      <c r="L362" t="str">
        <f>IFERROR(VLOOKUP($D362,素材!$1:$1016,COLUMN($F$1),FALSE),"")</f>
        <v>物理</v>
      </c>
      <c r="M362">
        <f>IFERROR(VLOOKUP($C362,武器!$1:$998,COLUMN(AA$1),FALSE)*VLOOKUP($D362,素材!$1:$1016,COLUMN($G$1),FALSE),"")</f>
        <v>0</v>
      </c>
      <c r="N362">
        <f>IFERROR(VLOOKUP($C362,武器!$1:$998,COLUMN(I$1),FALSE),"")</f>
        <v>0</v>
      </c>
      <c r="O362" s="23">
        <f>IFERROR((VLOOKUP($C362,武器!$1:$998,COLUMN(K$1),FALSE)+VLOOKUP($D362,素材!$1:$1016,COLUMN(H$1),FALSE))*100+IFERROR(VLOOKUP($CJ362,装強!$1:$999,COLUMN(O$1),FALSE),0),"")</f>
        <v>5</v>
      </c>
      <c r="P362" s="23">
        <f>IFERROR((VLOOKUP($C362,武器!$1:$998,COLUMN(L$1),FALSE)+VLOOKUP($D362,素材!$1:$1016,COLUMN(I$1),FALSE))*100+IFERROR(VLOOKUP($CJ362,装強!$1:$999,COLUMN(P$1),FALSE),0),"")</f>
        <v>10</v>
      </c>
      <c r="Q362">
        <f>IFERROR(ROUNDUP(VLOOKUP($C362,武器!$1:$998,COLUMN(M$1),FALSE)*(VLOOKUP($D362,素材!$1:$1002,COLUMN(D$1),FALSE)/100),1),"")</f>
        <v>0</v>
      </c>
      <c r="R362">
        <f>IFERROR(ROUNDUP(VLOOKUP($C362,武器!$1:$998,COLUMN(N$1),FALSE)*(VLOOKUP($D362,素材!$1:$1002,COLUMN(D$1),FALSE)/100),1),"")</f>
        <v>0</v>
      </c>
      <c r="S362">
        <f>IFERROR(VLOOKUP($C362,武器!$1:$998,COLUMN(P$1),FALSE),"")</f>
        <v>0</v>
      </c>
      <c r="T362">
        <f>IFERROR(VLOOKUP($C362,武器!$1:$998,COLUMN(Q$1),FALSE),"")</f>
        <v>0</v>
      </c>
      <c r="U362">
        <f>IFERROR(VLOOKUP($C362,武器!$1:$998,COLUMN(R$1),FALSE),"")</f>
        <v>0</v>
      </c>
      <c r="V362">
        <f>IFERROR(VLOOKUP($C362,武器!$1:$998,COLUMN(Q$1),FALSE),"")</f>
        <v>0</v>
      </c>
      <c r="W362">
        <f>IFERROR(VLOOKUP($C362,武器!$1:$998,COLUMN(T$1),FALSE),"")</f>
        <v>0</v>
      </c>
      <c r="Y362">
        <f>IFERROR(VLOOKUP($C362,武器!$1:$998,COLUMN(U$1),FALSE),"")</f>
        <v>0</v>
      </c>
      <c r="Z362">
        <f>IFERROR(ROUNDUP(VLOOKUP($C362,武器!$1:$998,COLUMN(O$1),FALSE)*VLOOKUP($D362,素材!$1:$1016,COLUMN(E$1),FALSE),1),"")</f>
        <v>0</v>
      </c>
      <c r="AA362">
        <f>IF(ISNUMBER(SEARCH(SUBSTITUTE(AA$1,RIGHT(AA$1,2),""),VLOOKUP($D362,素材!$1:$1016,COLUMN($F$1),FALSE))),VLOOKUP($C362,武器!$1:$998,COLUMN($O$1),FALSE)*VLOOKUP($D362,素材!$1:$1016,COLUMN($E$1),FALSE)/(LEN(VLOOKUP($D362,素材!$1:$1016,COLUMN($F$1),FALSE))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</f>
        <v>0</v>
      </c>
      <c r="AB362">
        <f>IF(ISNUMBER(SEARCH(SUBSTITUTE(AB$1,RIGHT(AB$1,2),""),VLOOKUP($D362,素材!$1:$1016,COLUMN($F$1),FALSE))),VLOOKUP($C362,武器!$1:$998,COLUMN($O$1),FALSE)*VLOOKUP($D362,素材!$1:$1016,COLUMN($E$1),FALSE)/(LEN(VLOOKUP($D362,素材!$1:$1016,COLUMN($F$1),FALSE))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</f>
        <v>0</v>
      </c>
      <c r="AC362">
        <f>IF(ISNUMBER(SEARCH(SUBSTITUTE(AC$1,RIGHT(AC$1,2),""),VLOOKUP($D362,素材!$1:$1016,COLUMN($F$1),FALSE))),VLOOKUP($C362,武器!$1:$998,COLUMN($O$1),FALSE)*VLOOKUP($D362,素材!$1:$1016,COLUMN($E$1),FALSE)/(LEN(VLOOKUP($D362,素材!$1:$1016,COLUMN($F$1),FALSE))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</f>
        <v>0</v>
      </c>
      <c r="AD362">
        <f>IF(ISNUMBER(SEARCH(SUBSTITUTE(AD$1,RIGHT(AD$1,2),""),VLOOKUP($D362,素材!$1:$1016,COLUMN($F$1),FALSE))),VLOOKUP($C362,武器!$1:$998,COLUMN($O$1),FALSE)*VLOOKUP($D362,素材!$1:$1016,COLUMN($E$1),FALSE)/(LEN(VLOOKUP($D362,素材!$1:$1016,COLUMN($F$1),FALSE))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</f>
        <v>0</v>
      </c>
      <c r="AE362">
        <f>IF(ISNUMBER(SEARCH(SUBSTITUTE(AE$1,RIGHT(AE$1,2),""),VLOOKUP($D362,素材!$1:$1016,COLUMN($F$1),FALSE))),VLOOKUP($C362,武器!$1:$998,COLUMN($O$1),FALSE)*VLOOKUP($D362,素材!$1:$1016,COLUMN($E$1),FALSE)/(LEN(VLOOKUP($D362,素材!$1:$1016,COLUMN($F$1),FALSE))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0)+IF($CJ362&lt;&gt;"",VLOOKUP($CJ362,装強!$A$1:AE$1005,COLUMN(装強!AE$1),FALSE),0)</f>
        <v>0</v>
      </c>
      <c r="AF362">
        <f>IF(ISNUMBER(SEARCH(SUBSTITUTE(AF$1,RIGHT(AF$1,2),""),VLOOKUP($D362,素材!$1:$1016,COLUMN($F$1),FALSE))),VLOOKUP($C362,武器!$1:$998,COLUMN($O$1),FALSE)*VLOOKUP($D362,素材!$1:$1016,COLUMN($E$1),FALSE)/(LEN(VLOOKUP($D362,素材!$1:$1016,COLUMN($F$1),FALSE))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0)+IF($CJ362&lt;&gt;"",VLOOKUP($CJ362,装強!$A$1:AF$1005,COLUMN(装強!AF$1),FALSE),0)</f>
        <v>0</v>
      </c>
      <c r="AG362">
        <f>IF(ISNUMBER(SEARCH(SUBSTITUTE(AG$1,RIGHT(AG$1,2),""),VLOOKUP($D362,素材!$1:$1016,COLUMN($F$1),FALSE))),VLOOKUP($C362,武器!$1:$998,COLUMN($O$1),FALSE)*VLOOKUP($D362,素材!$1:$1016,COLUMN($E$1),FALSE)/(LEN(VLOOKUP($D362,素材!$1:$1016,COLUMN($F$1),FALSE))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0)+IF($CJ362&lt;&gt;"",VLOOKUP($CJ362,装強!$A$1:AG$1005,COLUMN(装強!AG$1),FALSE),0)</f>
        <v>0</v>
      </c>
      <c r="AH362">
        <f>IF(ISNUMBER(SEARCH(SUBSTITUTE(AH$1,RIGHT(AH$1,2),""),VLOOKUP($D362,素材!$1:$1016,COLUMN($F$1),FALSE))),VLOOKUP($C362,武器!$1:$998,COLUMN($O$1),FALSE)*VLOOKUP($D362,素材!$1:$1016,COLUMN($E$1),FALSE)/(LEN(VLOOKUP($D362,素材!$1:$1016,COLUMN($F$1),FALSE))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0)+IF($CJ362&lt;&gt;"",VLOOKUP($CJ362,装強!$A$1:AH$1005,COLUMN(装強!AH$1),FALSE),0)</f>
        <v>0</v>
      </c>
      <c r="AI362">
        <f>IF(ISNUMBER(SEARCH(SUBSTITUTE(AI$1,RIGHT(AI$1,2),""),VLOOKUP($D362,素材!$1:$1016,COLUMN($F$1),FALSE))),VLOOKUP($C362,武器!$1:$998,COLUMN($O$1),FALSE)*VLOOKUP($D362,素材!$1:$1016,COLUMN($E$1),FALSE)/(LEN(VLOOKUP($D362,素材!$1:$1016,COLUMN($F$1),FALSE))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0)+IF($CJ362&lt;&gt;"",VLOOKUP($CJ362,装強!$A$1:AI$1005,COLUMN(装強!AI$1),FALSE),0)</f>
        <v>0</v>
      </c>
      <c r="AJ362">
        <f>IF(ISNUMBER(SEARCH(SUBSTITUTE(AJ$1,RIGHT(AJ$1,2),""),VLOOKUP($D362,素材!$1:$1016,COLUMN($F$1),FALSE))),VLOOKUP($C362,武器!$1:$998,COLUMN($O$1),FALSE)*VLOOKUP($D362,素材!$1:$1016,COLUMN($E$1),FALSE)/(LEN(VLOOKUP($D362,素材!$1:$1016,COLUMN($F$1),FALSE))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0)+IF($CJ362&lt;&gt;"",VLOOKUP($CJ362,装強!$A$1:AJ$1005,COLUMN(装強!AJ$1),FALSE),0)</f>
        <v>0</v>
      </c>
      <c r="AK362">
        <f>IF(ISNUMBER(SEARCH(SUBSTITUTE(AK$1,RIGHT(AK$1,2),""),VLOOKUP($D362,素材!$1:$1016,COLUMN($F$1),FALSE))),VLOOKUP($C362,武器!$1:$998,COLUMN($O$1),FALSE)*VLOOKUP($D362,素材!$1:$1016,COLUMN($E$1),FALSE)/(LEN(VLOOKUP($D362,素材!$1:$1016,COLUMN($F$1),FALSE))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0)+IF($CJ362&lt;&gt;"",VLOOKUP($CJ362,装強!$A$1:AK$1005,COLUMN(装強!AK$1),FALSE),0)</f>
        <v>-10</v>
      </c>
      <c r="AL362">
        <f>IF(ISNUMBER(SEARCH(SUBSTITUTE(AL$1,RIGHT(AL$1,2),""),VLOOKUP($D362,素材!$1:$1016,COLUMN($F$1),FALSE))),VLOOKUP($C362,武器!$1:$998,COLUMN($O$1),FALSE)*VLOOKUP($D362,素材!$1:$1016,COLUMN($E$1),FALSE)/(LEN(VLOOKUP($D362,素材!$1:$1016,COLUMN($F$1),FALSE))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0)+IF($CJ362&lt;&gt;"",VLOOKUP($CJ362,装強!$A$1:AL$1005,COLUMN(装強!AL$1),FALSE),0)</f>
        <v>0</v>
      </c>
      <c r="AM362">
        <f>IF(ISNUMBER(SEARCH(SUBSTITUTE(AM$1,RIGHT(AM$1,2),""),VLOOKUP($D362,素材!$1:$1016,COLUMN($F$1),FALSE))),VLOOKUP($C362,武器!$1:$998,COLUMN($O$1),FALSE)*VLOOKUP($D362,素材!$1:$1016,COLUMN($E$1),FALSE)/(LEN(VLOOKUP($D362,素材!$1:$1016,COLUMN($F$1),FALSE))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0)+IF($CJ362&lt;&gt;"",VLOOKUP($CJ362,装強!$A$1:AM$1005,COLUMN(装強!AM$1),FALSE),0)</f>
        <v>0</v>
      </c>
      <c r="AN362">
        <f>IF(ISNUMBER(SEARCH(SUBSTITUTE(AN$1,RIGHT(AN$1,2),""),VLOOKUP($D362,素材!$1:$1016,COLUMN($F$1),FALSE))),VLOOKUP($C362,武器!$1:$998,COLUMN($O$1),FALSE)*VLOOKUP($D362,素材!$1:$1016,COLUMN($E$1),FALSE)/(LEN(VLOOKUP($D362,素材!$1:$1016,COLUMN($F$1),FALSE))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0)+IF($CJ362&lt;&gt;"",VLOOKUP($CJ362,装強!$A$1:AN$1005,COLUMN(装強!AN$1),FALSE),0)</f>
        <v>0</v>
      </c>
      <c r="AO362">
        <f>IF(ISNUMBER(SEARCH(SUBSTITUTE(AO$1,RIGHT(AO$1,2),""),VLOOKUP($D362,素材!$1:$1016,COLUMN($F$1),FALSE))),VLOOKUP($C362,武器!$1:$998,COLUMN($O$1),FALSE)*VLOOKUP($D362,素材!$1:$1016,COLUMN($E$1),FALSE)/(LEN(VLOOKUP($D362,素材!$1:$1016,COLUMN($F$1),FALSE))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0)+IF($CJ362&lt;&gt;"",VLOOKUP($CJ362,装強!$A$1:AO$1005,COLUMN(装強!AO$1),FALSE),0)</f>
        <v>0</v>
      </c>
      <c r="AP362">
        <f>IF(ISNUMBER(SEARCH(SUBSTITUTE(AP$1,RIGHT(AP$1,2),""),VLOOKUP($D362,素材!$1:$1016,COLUMN($F$1),FALSE))),VLOOKUP($C362,武器!$1:$998,COLUMN($O$1),FALSE)*VLOOKUP($D362,素材!$1:$1016,COLUMN($E$1),FALSE)/(LEN(VLOOKUP($D362,素材!$1:$1016,COLUMN($F$1),FALSE))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0)+IF($CJ362&lt;&gt;"",VLOOKUP($CJ362,装強!$A$1:AP$1005,COLUMN(装強!AP$1),FALSE),0)</f>
        <v>0</v>
      </c>
      <c r="AQ362">
        <f>IF(ISNUMBER(SEARCH(SUBSTITUTE(AQ$1,RIGHT(AQ$1,2),""),VLOOKUP($D362,素材!$1:$1016,COLUMN($F$1),FALSE))),VLOOKUP($C362,武器!$1:$998,COLUMN($O$1),FALSE)*VLOOKUP($D362,素材!$1:$1016,COLUMN($E$1),FALSE)/(LEN(VLOOKUP($D362,素材!$1:$1016,COLUMN($F$1),FALSE))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0)+IF($CJ362&lt;&gt;"",VLOOKUP($CJ362,装強!$A$1:AQ$1005,COLUMN(装強!AQ$1),FALSE),0)</f>
        <v>0</v>
      </c>
      <c r="AR362">
        <f>IF(ISNUMBER(SEARCH(SUBSTITUTE(AR$1,RIGHT(AR$1,2),""),VLOOKUP($D362,素材!$1:$1016,COLUMN($F$1),FALSE))),VLOOKUP($C362,武器!$1:$998,COLUMN($O$1),FALSE)*VLOOKUP($D362,素材!$1:$1016,COLUMN($E$1),FALSE)/(LEN(VLOOKUP($D362,素材!$1:$1016,COLUMN($F$1),FALSE))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0)+IF($CJ362&lt;&gt;"",VLOOKUP($CJ362,装強!$A$1:AR$1005,COLUMN(装強!AR$1),FALSE),0)</f>
        <v>0</v>
      </c>
      <c r="AS362">
        <f>IF(ISNUMBER(SEARCH(SUBSTITUTE(AS$1,RIGHT(AS$1,2),""),VLOOKUP($D362,素材!$1:$1016,COLUMN($F$1),FALSE))),VLOOKUP($C362,武器!$1:$998,COLUMN($O$1),FALSE)*VLOOKUP($D362,素材!$1:$1016,COLUMN($E$1),FALSE)/(LEN(VLOOKUP($D362,素材!$1:$1016,COLUMN($F$1),FALSE))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0)+IF($CJ362&lt;&gt;"",VLOOKUP($CJ362,装強!$A$1:AS$1005,COLUMN(装強!AS$1),FALSE),0)</f>
        <v>0</v>
      </c>
      <c r="AT362">
        <f>IF(ISNUMBER(SEARCH(SUBSTITUTE(AT$1,RIGHT(AT$1,2),""),VLOOKUP($D362,素材!$1:$1016,COLUMN($F$1),FALSE))),VLOOKUP($C362,武器!$1:$998,COLUMN($O$1),FALSE)*VLOOKUP($D362,素材!$1:$1016,COLUMN($E$1),FALSE)/(LEN(VLOOKUP($D362,素材!$1:$1016,COLUMN($F$1),FALSE))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0)+IF($CJ362&lt;&gt;"",VLOOKUP($CJ362,装強!$A$1:AT$1005,COLUMN(装強!AT$1),FALSE),0)</f>
        <v>0</v>
      </c>
      <c r="AU362">
        <f>IF(ISNUMBER(SEARCH(SUBSTITUTE(AU$1,RIGHT(AU$1,2),""),VLOOKUP($D362,素材!$1:$1016,COLUMN($F$1),FALSE))),VLOOKUP($C362,武器!$1:$998,COLUMN($O$1),FALSE)*VLOOKUP($D362,素材!$1:$1016,COLUMN($E$1),FALSE)/(LEN(VLOOKUP($D362,素材!$1:$1016,COLUMN($F$1),FALSE))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0)+IF($CJ362&lt;&gt;"",VLOOKUP($CJ362,装強!$A$1:AU$1005,COLUMN(装強!AU$1),FALSE),0)</f>
        <v>0</v>
      </c>
      <c r="AV362">
        <f>IF(ISNUMBER(SEARCH(SUBSTITUTE(AV$1,RIGHT(AV$1,2),""),VLOOKUP($D362,素材!$1:$1016,COLUMN($F$1),FALSE))),VLOOKUP($C362,武器!$1:$998,COLUMN($O$1),FALSE)*VLOOKUP($D362,素材!$1:$1016,COLUMN($E$1),FALSE)/(LEN(VLOOKUP($D362,素材!$1:$1016,COLUMN($F$1),FALSE))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0)+IF($CJ362&lt;&gt;"",VLOOKUP($CJ362,装強!$A$1:AV$1005,COLUMN(装強!AV$1),FALSE),0)</f>
        <v>0</v>
      </c>
      <c r="AW362">
        <f>IF(ISNUMBER(SEARCH(SUBSTITUTE(AW$1,RIGHT(AW$1,2),""),VLOOKUP($D362,素材!$1:$1016,COLUMN($F$1),FALSE))),VLOOKUP($C362,武器!$1:$998,COLUMN($O$1),FALSE)*VLOOKUP($D362,素材!$1:$1016,COLUMN($E$1),FALSE)/(LEN(VLOOKUP($D362,素材!$1:$1016,COLUMN($F$1),FALSE))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0)+IF($CJ362&lt;&gt;"",VLOOKUP($CJ362,装強!$A$1:AW$1005,COLUMN(装強!AW$1),FALSE),0)</f>
        <v>0</v>
      </c>
      <c r="AX362">
        <f>IF(ISNUMBER(SEARCH(SUBSTITUTE(AX$1,RIGHT(AX$1,2),""),VLOOKUP($D362,素材!$1:$1016,COLUMN($F$1),FALSE))),VLOOKUP($C362,武器!$1:$998,COLUMN($O$1),FALSE)*VLOOKUP($D362,素材!$1:$1016,COLUMN($E$1),FALSE)/(LEN(VLOOKUP($D362,素材!$1:$1016,COLUMN($F$1),FALSE))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0)+IF($CJ362&lt;&gt;"",VLOOKUP($CJ362,装強!$A$1:AX$1005,COLUMN(装強!AX$1),FALSE),0)</f>
        <v>0</v>
      </c>
      <c r="AY362">
        <f>IF(ISNUMBER(SEARCH(SUBSTITUTE(AY$1,RIGHT(AY$1,2),""),VLOOKUP($D362,素材!$1:$1016,COLUMN($F$1),FALSE))),VLOOKUP($C362,武器!$1:$998,COLUMN($O$1),FALSE)*VLOOKUP($D362,素材!$1:$1016,COLUMN($E$1),FALSE)/(LEN(VLOOKUP($D362,素材!$1:$1016,COLUMN($F$1),FALSE))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0)+IF($CJ362&lt;&gt;"",VLOOKUP($CJ362,装強!$A$1:AY$1005,COLUMN(装強!AY$1),FALSE),0)</f>
        <v>0</v>
      </c>
      <c r="AZ362">
        <f>IF(ISNUMBER(SEARCH(SUBSTITUTE(AZ$1,RIGHT(AZ$1,2),""),VLOOKUP($D362,素材!$1:$1016,COLUMN($F$1),FALSE))),VLOOKUP($C362,武器!$1:$998,COLUMN($O$1),FALSE)*VLOOKUP($D362,素材!$1:$1016,COLUMN($E$1),FALSE)/(LEN(VLOOKUP($D362,素材!$1:$1016,COLUMN($F$1),FALSE))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0)+IF($CJ362&lt;&gt;"",VLOOKUP($CJ362,装強!$A$1:AZ$1005,COLUMN(装強!AZ$1),FALSE),0)</f>
        <v>0</v>
      </c>
      <c r="BA362">
        <f>IF(ISNUMBER(SEARCH(SUBSTITUTE(BA$1,RIGHT(BA$1,2),""),VLOOKUP($D362,素材!$1:$1016,COLUMN($F$1),FALSE))),VLOOKUP($C362,武器!$1:$998,COLUMN($O$1),FALSE)*VLOOKUP($D362,素材!$1:$1016,COLUMN($E$1),FALSE)/(LEN(VLOOKUP($D362,素材!$1:$1016,COLUMN($F$1),FALSE))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0)+IF($CJ362&lt;&gt;"",VLOOKUP($CJ362,装強!$A$1:BA$1005,COLUMN(装強!BA$1),FALSE),0)</f>
        <v>0</v>
      </c>
      <c r="BB362">
        <f>IF(ISNUMBER(SEARCH(SUBSTITUTE(BB$1,RIGHT(BB$1,2),""),VLOOKUP($D362,素材!$1:$1016,COLUMN($F$1),FALSE))),VLOOKUP($C362,武器!$1:$998,COLUMN($O$1),FALSE)*VLOOKUP($D362,素材!$1:$1016,COLUMN($E$1),FALSE)/(LEN(VLOOKUP($D362,素材!$1:$1016,COLUMN($F$1),FALSE))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</f>
        <v>0</v>
      </c>
      <c r="BC362">
        <f>IF(ISNUMBER(SEARCH(SUBSTITUTE(BC$1,RIGHT(BC$1,2),""),VLOOKUP($D362,素材!$1:$1016,COLUMN($F$1),FALSE))),VLOOKUP($C362,武器!$1:$998,COLUMN($O$1),FALSE)*VLOOKUP($D362,素材!$1:$1016,COLUMN($E$1),FALSE)/(LEN(VLOOKUP($D362,素材!$1:$1016,COLUMN($F$1),FALSE))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</f>
        <v>0</v>
      </c>
      <c r="BD362">
        <f>IF(ISNUMBER(SEARCH(SUBSTITUTE(BD$1,RIGHT(BD$1,2),""),VLOOKUP($D362,素材!$1:$1016,COLUMN($F$1),FALSE))),VLOOKUP($C362,武器!$1:$998,COLUMN($O$1),FALSE)*VLOOKUP($D362,素材!$1:$1016,COLUMN($E$1),FALSE)/(LEN(VLOOKUP($D362,素材!$1:$1016,COLUMN($F$1),FALSE))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</f>
        <v>0</v>
      </c>
      <c r="BE362">
        <f>IF(ISNUMBER(SEARCH(SUBSTITUTE(BE$1,RIGHT(BE$1,2),""),VLOOKUP($D362,素材!$1:$1016,COLUMN($F$1),FALSE))),VLOOKUP($C362,武器!$1:$998,COLUMN($O$1),FALSE)*VLOOKUP($D362,素材!$1:$1016,COLUMN($E$1),FALSE)/(LEN(VLOOKUP($D362,素材!$1:$1016,COLUMN($F$1),FALSE))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</f>
        <v>0</v>
      </c>
      <c r="BF362">
        <f>IF(ISNUMBER(SEARCH(SUBSTITUTE(BF$1,RIGHT(BF$1,2),""),VLOOKUP($D362,素材!$1:$1016,COLUMN($F$1),FALSE))),VLOOKUP($C362,武器!$1:$998,COLUMN($O$1),FALSE)*VLOOKUP($D362,素材!$1:$1016,COLUMN($E$1),FALSE)/(LEN(VLOOKUP($D362,素材!$1:$1016,COLUMN($F$1),FALSE)) - LEN(SUBSTITUTE(VLOOKUP($D362,素材!$1:$1016,COLUMN($F$1),FALSE), "・", 0)) + 1), 0)</f>
        <v>0</v>
      </c>
      <c r="CJ362" t="s">
        <v>16</v>
      </c>
      <c r="CM362">
        <f t="shared" si="39"/>
        <v>0</v>
      </c>
      <c r="CN362" s="22" t="str">
        <f>IF(E362="武器",IF(J362-1&gt;SUM(G362:I362),"盾",IF(MAX(G362:I362)=G362,"切断",IF(MAX(G362:I362)=H362,"貫通",IF(MAX(G362:I362)=I362,"打撃","射撃")))),E362)&amp;".webp"</f>
        <v>装飾.webp</v>
      </c>
      <c r="CO362">
        <f>IFERROR(VLOOKUP($C362,武器!$1:$998,COLUMN(V$1),FALSE)*VLOOKUP($D362,素材!$1:$1016,COLUMN(N$1),FALSE)+IF(CJ362="",0,VLOOKUP($CJ362,装強!$1:$1008,COLUMN($CL$1),FALSE)),"")</f>
        <v>11000</v>
      </c>
      <c r="CP362">
        <f>VLOOKUP(D362,素材!$A:$O,COLUMN(素材!O$1),FALSE)</f>
        <v>0</v>
      </c>
      <c r="CQ362" t="str">
        <f>VLOOKUP(C362,武器!$A:$W,COLUMN(武器!W$1),FALSE)</f>
        <v xml:space="preserve">防御 隠密 </v>
      </c>
      <c r="CS362" t="str">
        <f>"e_"&amp;ROW(CS362)</f>
        <v>e_362</v>
      </c>
      <c r="CT362">
        <f>CO362*100</f>
        <v>1100000</v>
      </c>
    </row>
    <row r="363" spans="1:98" outlineLevel="1" x14ac:dyDescent="0.4">
      <c r="A363" t="s">
        <v>1269</v>
      </c>
      <c r="B363" t="str">
        <f>IFERROR(VLOOKUP($D363,素材!$1:$1016,COLUMN($B$1),FALSE)&amp;"・"&amp;VLOOKUP($C363,武器!$1:$998,COLUMN(B$1),FALSE),"")</f>
        <v>ファイアドレイクスケール・マント</v>
      </c>
      <c r="C363" t="s">
        <v>1268</v>
      </c>
      <c r="D363" s="24" t="s">
        <v>245</v>
      </c>
      <c r="E363" t="str">
        <f>IFERROR(VLOOKUP(C363,武器!$1:$998,COLUMN(C$1),FALSE),"")</f>
        <v>装飾</v>
      </c>
      <c r="F363">
        <f>IFERROR(ROUNDDOWN((VLOOKUP($C363,武器!$1:$998,COLUMN(D$1),FALSE)+IFERROR(VLOOKUP($CJ363,装強!$1:$999,COLUMN(F$1),FALSE),0))*VLOOKUP($D363,素材!$1:$1016,COLUMN(D$1),FALSE),0),"")</f>
        <v>0</v>
      </c>
      <c r="G363">
        <f>IFERROR(ROUNDDOWN((VLOOKUP($C363,武器!$1:$998,COLUMN(E$1),FALSE)+IFERROR(VLOOKUP($CJ363,装強!$1:$999,COLUMN(G$1),FALSE),0))*VLOOKUP($D363,素材!$1:$1016,COLUMN($E$1),FALSE),0),"")</f>
        <v>0</v>
      </c>
      <c r="H363">
        <f>IFERROR(ROUNDDOWN((VLOOKUP($C363,武器!$1:$998,COLUMN(F$1),FALSE)+IFERROR(VLOOKUP($CJ363,装強!$1:$999,COLUMN(H$1),FALSE),0))*VLOOKUP($D363,素材!$1:$1016,COLUMN($E$1),FALSE),0),"")</f>
        <v>0</v>
      </c>
      <c r="I363">
        <f>IFERROR(ROUNDDOWN((VLOOKUP($C363,武器!$1:$998,COLUMN(G$1),FALSE)+IFERROR(VLOOKUP($CJ363,装強!$1:$999,COLUMN(I$1),FALSE),0))*VLOOKUP($D363,素材!$1:$1016,COLUMN($E$1),FALSE),0),"")</f>
        <v>0</v>
      </c>
      <c r="J363">
        <f>IFERROR(ROUNDDOWN((VLOOKUP($C363,武器!$1:$998,COLUMN(H$1),FALSE)+IFERROR(VLOOKUP($CJ363,装強!$1:$999,COLUMN(J$1),FALSE),0))*VLOOKUP($D363,素材!$1:$1016,COLUMN($E$1),FALSE),0),"")</f>
        <v>0</v>
      </c>
      <c r="K363">
        <f>IFERROR(ROUNDDOWN((VLOOKUP($C363,武器!$1:$998,COLUMN(I$1),FALSE)+IFERROR(VLOOKUP($CJ363,装強!$1:$999,COLUMN(K$1),FALSE),0))*VLOOKUP($D363,素材!$1:$1016,COLUMN($E$1),FALSE),0),"")</f>
        <v>0</v>
      </c>
      <c r="L363" t="str">
        <f>IFERROR(VLOOKUP($D363,素材!$1:$1016,COLUMN($F$1),FALSE),"")</f>
        <v>炎</v>
      </c>
      <c r="M363">
        <f>IFERROR(VLOOKUP($C363,武器!$1:$998,COLUMN(AA$1),FALSE)*VLOOKUP($D363,素材!$1:$1016,COLUMN($G$1),FALSE),"")</f>
        <v>0</v>
      </c>
      <c r="N363">
        <f>IFERROR(VLOOKUP($C363,武器!$1:$998,COLUMN(I$1),FALSE),"")</f>
        <v>0</v>
      </c>
      <c r="O363" s="23" t="str">
        <f>IFERROR((VLOOKUP($C363,武器!$1:$998,COLUMN(K$1),FALSE)+VLOOKUP($D363,素材!$1:$1016,COLUMN(H$1),FALSE))*100+IFERROR(VLOOKUP($CJ363,装強!$1:$999,COLUMN(O$1),FALSE),0),"")</f>
        <v/>
      </c>
      <c r="P363" s="23" t="str">
        <f>IFERROR((VLOOKUP($C363,武器!$1:$998,COLUMN(L$1),FALSE)+VLOOKUP($D363,素材!$1:$1016,COLUMN(I$1),FALSE))*100+IFERROR(VLOOKUP($CJ363,装強!$1:$999,COLUMN(P$1),FALSE),0),"")</f>
        <v/>
      </c>
      <c r="Q363">
        <f>IFERROR(ROUNDUP(VLOOKUP($C363,武器!$1:$998,COLUMN(M$1),FALSE)*(VLOOKUP($D363,素材!$1:$1002,COLUMN(D$1),FALSE)/100),1),"")</f>
        <v>0</v>
      </c>
      <c r="R363">
        <f>IFERROR(ROUNDUP(VLOOKUP($C363,武器!$1:$998,COLUMN(N$1),FALSE)*(VLOOKUP($D363,素材!$1:$1002,COLUMN(D$1),FALSE)/100),1),"")</f>
        <v>0</v>
      </c>
      <c r="S363">
        <f>IFERROR(VLOOKUP($C363,武器!$1:$998,COLUMN(P$1),FALSE),"")</f>
        <v>0</v>
      </c>
      <c r="T363">
        <f>IFERROR(VLOOKUP($C363,武器!$1:$998,COLUMN(Q$1),FALSE),"")</f>
        <v>0</v>
      </c>
      <c r="U363">
        <f>IFERROR(VLOOKUP($C363,武器!$1:$998,COLUMN(R$1),FALSE),"")</f>
        <v>0</v>
      </c>
      <c r="V363">
        <f>IFERROR(VLOOKUP($C363,武器!$1:$998,COLUMN(Q$1),FALSE),"")</f>
        <v>0</v>
      </c>
      <c r="W363">
        <f>IFERROR(VLOOKUP($C363,武器!$1:$998,COLUMN(T$1),FALSE),"")</f>
        <v>0</v>
      </c>
      <c r="Y363">
        <f>IFERROR(VLOOKUP($C363,武器!$1:$998,COLUMN(U$1),FALSE),"")</f>
        <v>0</v>
      </c>
      <c r="Z363">
        <f>IFERROR(ROUNDUP(VLOOKUP($C363,武器!$1:$998,COLUMN(O$1),FALSE)*VLOOKUP($D363,素材!$1:$1016,COLUMN(E$1),FALSE),1),"")</f>
        <v>0</v>
      </c>
      <c r="AA363">
        <f>IF(ISNUMBER(SEARCH(SUBSTITUTE(AA$1,RIGHT(AA$1,2),""),VLOOKUP($D363,素材!$1:$1016,COLUMN($F$1),FALSE))),VLOOKUP($C363,武器!$1:$998,COLUMN($O$1),FALSE)*VLOOKUP($D363,素材!$1:$1016,COLUMN($E$1),FALSE)/(LEN(VLOOKUP($D363,素材!$1:$1016,COLUMN($F$1),FALSE))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</f>
        <v>0</v>
      </c>
      <c r="AB363">
        <f>IF(ISNUMBER(SEARCH(SUBSTITUTE(AB$1,RIGHT(AB$1,2),""),VLOOKUP($D363,素材!$1:$1016,COLUMN($F$1),FALSE))),VLOOKUP($C363,武器!$1:$998,COLUMN($O$1),FALSE)*VLOOKUP($D363,素材!$1:$1016,COLUMN($E$1),FALSE)/(LEN(VLOOKUP($D363,素材!$1:$1016,COLUMN($F$1),FALSE))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</f>
        <v>0</v>
      </c>
      <c r="AC363">
        <f>IF(ISNUMBER(SEARCH(SUBSTITUTE(AC$1,RIGHT(AC$1,2),""),VLOOKUP($D363,素材!$1:$1016,COLUMN($F$1),FALSE))),VLOOKUP($C363,武器!$1:$998,COLUMN($O$1),FALSE)*VLOOKUP($D363,素材!$1:$1016,COLUMN($E$1),FALSE)/(LEN(VLOOKUP($D363,素材!$1:$1016,COLUMN($F$1),FALSE))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</f>
        <v>0</v>
      </c>
      <c r="AD363">
        <f>IF(ISNUMBER(SEARCH(SUBSTITUTE(AD$1,RIGHT(AD$1,2),""),VLOOKUP($D363,素材!$1:$1016,COLUMN($F$1),FALSE))),VLOOKUP($C363,武器!$1:$998,COLUMN($O$1),FALSE)*VLOOKUP($D363,素材!$1:$1016,COLUMN($E$1),FALSE)/(LEN(VLOOKUP($D363,素材!$1:$1016,COLUMN($F$1),FALSE))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</f>
        <v>0</v>
      </c>
      <c r="AE363">
        <f>IF(ISNUMBER(SEARCH(SUBSTITUTE(AE$1,RIGHT(AE$1,2),""),VLOOKUP($D363,素材!$1:$1016,COLUMN($F$1),FALSE))),VLOOKUP($C363,武器!$1:$998,COLUMN($O$1),FALSE)*VLOOKUP($D363,素材!$1:$1016,COLUMN($E$1),FALSE)/(LEN(VLOOKUP($D363,素材!$1:$1016,COLUMN($F$1),FALSE))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0)+IF($CJ363&lt;&gt;"",VLOOKUP($CJ363,装強!$A$1:AE$1005,COLUMN(装強!AE$1),FALSE),0)</f>
        <v>15</v>
      </c>
      <c r="AF363">
        <f>IF(ISNUMBER(SEARCH(SUBSTITUTE(AF$1,RIGHT(AF$1,2),""),VLOOKUP($D363,素材!$1:$1016,COLUMN($F$1),FALSE))),VLOOKUP($C363,武器!$1:$998,COLUMN($O$1),FALSE)*VLOOKUP($D363,素材!$1:$1016,COLUMN($E$1),FALSE)/(LEN(VLOOKUP($D363,素材!$1:$1016,COLUMN($F$1),FALSE))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0)+IF($CJ363&lt;&gt;"",VLOOKUP($CJ363,装強!$A$1:AF$1005,COLUMN(装強!AF$1),FALSE),0)</f>
        <v>0</v>
      </c>
      <c r="AG363">
        <f>IF(ISNUMBER(SEARCH(SUBSTITUTE(AG$1,RIGHT(AG$1,2),""),VLOOKUP($D363,素材!$1:$1016,COLUMN($F$1),FALSE))),VLOOKUP($C363,武器!$1:$998,COLUMN($O$1),FALSE)*VLOOKUP($D363,素材!$1:$1016,COLUMN($E$1),FALSE)/(LEN(VLOOKUP($D363,素材!$1:$1016,COLUMN($F$1),FALSE))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0)+IF($CJ363&lt;&gt;"",VLOOKUP($CJ363,装強!$A$1:AG$1005,COLUMN(装強!AG$1),FALSE),0)</f>
        <v>0</v>
      </c>
      <c r="AH363">
        <f>IF(ISNUMBER(SEARCH(SUBSTITUTE(AH$1,RIGHT(AH$1,2),""),VLOOKUP($D363,素材!$1:$1016,COLUMN($F$1),FALSE))),VLOOKUP($C363,武器!$1:$998,COLUMN($O$1),FALSE)*VLOOKUP($D363,素材!$1:$1016,COLUMN($E$1),FALSE)/(LEN(VLOOKUP($D363,素材!$1:$1016,COLUMN($F$1),FALSE))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0)+IF($CJ363&lt;&gt;"",VLOOKUP($CJ363,装強!$A$1:AH$1005,COLUMN(装強!AH$1),FALSE),0)</f>
        <v>0</v>
      </c>
      <c r="AI363">
        <f>IF(ISNUMBER(SEARCH(SUBSTITUTE(AI$1,RIGHT(AI$1,2),""),VLOOKUP($D363,素材!$1:$1016,COLUMN($F$1),FALSE))),VLOOKUP($C363,武器!$1:$998,COLUMN($O$1),FALSE)*VLOOKUP($D363,素材!$1:$1016,COLUMN($E$1),FALSE)/(LEN(VLOOKUP($D363,素材!$1:$1016,COLUMN($F$1),FALSE))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0)+IF($CJ363&lt;&gt;"",VLOOKUP($CJ363,装強!$A$1:AI$1005,COLUMN(装強!AI$1),FALSE),0)</f>
        <v>0</v>
      </c>
      <c r="AJ363">
        <f>IF(ISNUMBER(SEARCH(SUBSTITUTE(AJ$1,RIGHT(AJ$1,2),""),VLOOKUP($D363,素材!$1:$1016,COLUMN($F$1),FALSE))),VLOOKUP($C363,武器!$1:$998,COLUMN($O$1),FALSE)*VLOOKUP($D363,素材!$1:$1016,COLUMN($E$1),FALSE)/(LEN(VLOOKUP($D363,素材!$1:$1016,COLUMN($F$1),FALSE))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0)+IF($CJ363&lt;&gt;"",VLOOKUP($CJ363,装強!$A$1:AJ$1005,COLUMN(装強!AJ$1),FALSE),0)</f>
        <v>0</v>
      </c>
      <c r="AK363">
        <f>IF(ISNUMBER(SEARCH(SUBSTITUTE(AK$1,RIGHT(AK$1,2),""),VLOOKUP($D363,素材!$1:$1016,COLUMN($F$1),FALSE))),VLOOKUP($C363,武器!$1:$998,COLUMN($O$1),FALSE)*VLOOKUP($D363,素材!$1:$1016,COLUMN($E$1),FALSE)/(LEN(VLOOKUP($D363,素材!$1:$1016,COLUMN($F$1),FALSE))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0)+IF($CJ363&lt;&gt;"",VLOOKUP($CJ363,装強!$A$1:AK$1005,COLUMN(装強!AK$1),FALSE),0)</f>
        <v>0</v>
      </c>
      <c r="AL363">
        <f>IF(ISNUMBER(SEARCH(SUBSTITUTE(AL$1,RIGHT(AL$1,2),""),VLOOKUP($D363,素材!$1:$1016,COLUMN($F$1),FALSE))),VLOOKUP($C363,武器!$1:$998,COLUMN($O$1),FALSE)*VLOOKUP($D363,素材!$1:$1016,COLUMN($E$1),FALSE)/(LEN(VLOOKUP($D363,素材!$1:$1016,COLUMN($F$1),FALSE))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0)+IF($CJ363&lt;&gt;"",VLOOKUP($CJ363,装強!$A$1:AL$1005,COLUMN(装強!AL$1),FALSE),0)</f>
        <v>0</v>
      </c>
      <c r="AM363">
        <f>IF(ISNUMBER(SEARCH(SUBSTITUTE(AM$1,RIGHT(AM$1,2),""),VLOOKUP($D363,素材!$1:$1016,COLUMN($F$1),FALSE))),VLOOKUP($C363,武器!$1:$998,COLUMN($O$1),FALSE)*VLOOKUP($D363,素材!$1:$1016,COLUMN($E$1),FALSE)/(LEN(VLOOKUP($D363,素材!$1:$1016,COLUMN($F$1),FALSE))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0)+IF($CJ363&lt;&gt;"",VLOOKUP($CJ363,装強!$A$1:AM$1005,COLUMN(装強!AM$1),FALSE),0)</f>
        <v>0</v>
      </c>
      <c r="AN363">
        <f>IF(ISNUMBER(SEARCH(SUBSTITUTE(AN$1,RIGHT(AN$1,2),""),VLOOKUP($D363,素材!$1:$1016,COLUMN($F$1),FALSE))),VLOOKUP($C363,武器!$1:$998,COLUMN($O$1),FALSE)*VLOOKUP($D363,素材!$1:$1016,COLUMN($E$1),FALSE)/(LEN(VLOOKUP($D363,素材!$1:$1016,COLUMN($F$1),FALSE))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0)+IF($CJ363&lt;&gt;"",VLOOKUP($CJ363,装強!$A$1:AN$1005,COLUMN(装強!AN$1),FALSE),0)</f>
        <v>0</v>
      </c>
      <c r="AO363">
        <f>IF(ISNUMBER(SEARCH(SUBSTITUTE(AO$1,RIGHT(AO$1,2),""),VLOOKUP($D363,素材!$1:$1016,COLUMN($F$1),FALSE))),VLOOKUP($C363,武器!$1:$998,COLUMN($O$1),FALSE)*VLOOKUP($D363,素材!$1:$1016,COLUMN($E$1),FALSE)/(LEN(VLOOKUP($D363,素材!$1:$1016,COLUMN($F$1),FALSE))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0)+IF($CJ363&lt;&gt;"",VLOOKUP($CJ363,装強!$A$1:AO$1005,COLUMN(装強!AO$1),FALSE),0)</f>
        <v>0</v>
      </c>
      <c r="AP363">
        <f>IF(ISNUMBER(SEARCH(SUBSTITUTE(AP$1,RIGHT(AP$1,2),""),VLOOKUP($D363,素材!$1:$1016,COLUMN($F$1),FALSE))),VLOOKUP($C363,武器!$1:$998,COLUMN($O$1),FALSE)*VLOOKUP($D363,素材!$1:$1016,COLUMN($E$1),FALSE)/(LEN(VLOOKUP($D363,素材!$1:$1016,COLUMN($F$1),FALSE))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0)+IF($CJ363&lt;&gt;"",VLOOKUP($CJ363,装強!$A$1:AP$1005,COLUMN(装強!AP$1),FALSE),0)</f>
        <v>0</v>
      </c>
      <c r="AQ363">
        <f>IF(ISNUMBER(SEARCH(SUBSTITUTE(AQ$1,RIGHT(AQ$1,2),""),VLOOKUP($D363,素材!$1:$1016,COLUMN($F$1),FALSE))),VLOOKUP($C363,武器!$1:$998,COLUMN($O$1),FALSE)*VLOOKUP($D363,素材!$1:$1016,COLUMN($E$1),FALSE)/(LEN(VLOOKUP($D363,素材!$1:$1016,COLUMN($F$1),FALSE))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0)+IF($CJ363&lt;&gt;"",VLOOKUP($CJ363,装強!$A$1:AQ$1005,COLUMN(装強!AQ$1),FALSE),0)</f>
        <v>0</v>
      </c>
      <c r="AR363">
        <f>IF(ISNUMBER(SEARCH(SUBSTITUTE(AR$1,RIGHT(AR$1,2),""),VLOOKUP($D363,素材!$1:$1016,COLUMN($F$1),FALSE))),VLOOKUP($C363,武器!$1:$998,COLUMN($O$1),FALSE)*VLOOKUP($D363,素材!$1:$1016,COLUMN($E$1),FALSE)/(LEN(VLOOKUP($D363,素材!$1:$1016,COLUMN($F$1),FALSE))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0)+IF($CJ363&lt;&gt;"",VLOOKUP($CJ363,装強!$A$1:AR$1005,COLUMN(装強!AR$1),FALSE),0)</f>
        <v>0</v>
      </c>
      <c r="AS363">
        <f>IF(ISNUMBER(SEARCH(SUBSTITUTE(AS$1,RIGHT(AS$1,2),""),VLOOKUP($D363,素材!$1:$1016,COLUMN($F$1),FALSE))),VLOOKUP($C363,武器!$1:$998,COLUMN($O$1),FALSE)*VLOOKUP($D363,素材!$1:$1016,COLUMN($E$1),FALSE)/(LEN(VLOOKUP($D363,素材!$1:$1016,COLUMN($F$1),FALSE))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0)+IF($CJ363&lt;&gt;"",VLOOKUP($CJ363,装強!$A$1:AS$1005,COLUMN(装強!AS$1),FALSE),0)</f>
        <v>0</v>
      </c>
      <c r="AT363">
        <f>IF(ISNUMBER(SEARCH(SUBSTITUTE(AT$1,RIGHT(AT$1,2),""),VLOOKUP($D363,素材!$1:$1016,COLUMN($F$1),FALSE))),VLOOKUP($C363,武器!$1:$998,COLUMN($O$1),FALSE)*VLOOKUP($D363,素材!$1:$1016,COLUMN($E$1),FALSE)/(LEN(VLOOKUP($D363,素材!$1:$1016,COLUMN($F$1),FALSE))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0)+IF($CJ363&lt;&gt;"",VLOOKUP($CJ363,装強!$A$1:AT$1005,COLUMN(装強!AT$1),FALSE),0)</f>
        <v>0</v>
      </c>
      <c r="AU363">
        <f>IF(ISNUMBER(SEARCH(SUBSTITUTE(AU$1,RIGHT(AU$1,2),""),VLOOKUP($D363,素材!$1:$1016,COLUMN($F$1),FALSE))),VLOOKUP($C363,武器!$1:$998,COLUMN($O$1),FALSE)*VLOOKUP($D363,素材!$1:$1016,COLUMN($E$1),FALSE)/(LEN(VLOOKUP($D363,素材!$1:$1016,COLUMN($F$1),FALSE))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0)+IF($CJ363&lt;&gt;"",VLOOKUP($CJ363,装強!$A$1:AU$1005,COLUMN(装強!AU$1),FALSE),0)</f>
        <v>0</v>
      </c>
      <c r="AV363">
        <f>IF(ISNUMBER(SEARCH(SUBSTITUTE(AV$1,RIGHT(AV$1,2),""),VLOOKUP($D363,素材!$1:$1016,COLUMN($F$1),FALSE))),VLOOKUP($C363,武器!$1:$998,COLUMN($O$1),FALSE)*VLOOKUP($D363,素材!$1:$1016,COLUMN($E$1),FALSE)/(LEN(VLOOKUP($D363,素材!$1:$1016,COLUMN($F$1),FALSE))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0)+IF($CJ363&lt;&gt;"",VLOOKUP($CJ363,装強!$A$1:AV$1005,COLUMN(装強!AV$1),FALSE),0)</f>
        <v>0</v>
      </c>
      <c r="AW363">
        <f>IF(ISNUMBER(SEARCH(SUBSTITUTE(AW$1,RIGHT(AW$1,2),""),VLOOKUP($D363,素材!$1:$1016,COLUMN($F$1),FALSE))),VLOOKUP($C363,武器!$1:$998,COLUMN($O$1),FALSE)*VLOOKUP($D363,素材!$1:$1016,COLUMN($E$1),FALSE)/(LEN(VLOOKUP($D363,素材!$1:$1016,COLUMN($F$1),FALSE))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0)+IF($CJ363&lt;&gt;"",VLOOKUP($CJ363,装強!$A$1:AW$1005,COLUMN(装強!AW$1),FALSE),0)</f>
        <v>0</v>
      </c>
      <c r="AX363">
        <f>IF(ISNUMBER(SEARCH(SUBSTITUTE(AX$1,RIGHT(AX$1,2),""),VLOOKUP($D363,素材!$1:$1016,COLUMN($F$1),FALSE))),VLOOKUP($C363,武器!$1:$998,COLUMN($O$1),FALSE)*VLOOKUP($D363,素材!$1:$1016,COLUMN($E$1),FALSE)/(LEN(VLOOKUP($D363,素材!$1:$1016,COLUMN($F$1),FALSE))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0)+IF($CJ363&lt;&gt;"",VLOOKUP($CJ363,装強!$A$1:AX$1005,COLUMN(装強!AX$1),FALSE),0)</f>
        <v>0</v>
      </c>
      <c r="AY363">
        <f>IF(ISNUMBER(SEARCH(SUBSTITUTE(AY$1,RIGHT(AY$1,2),""),VLOOKUP($D363,素材!$1:$1016,COLUMN($F$1),FALSE))),VLOOKUP($C363,武器!$1:$998,COLUMN($O$1),FALSE)*VLOOKUP($D363,素材!$1:$1016,COLUMN($E$1),FALSE)/(LEN(VLOOKUP($D363,素材!$1:$1016,COLUMN($F$1),FALSE))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0)+IF($CJ363&lt;&gt;"",VLOOKUP($CJ363,装強!$A$1:AY$1005,COLUMN(装強!AY$1),FALSE),0)</f>
        <v>0</v>
      </c>
      <c r="AZ363">
        <f>IF(ISNUMBER(SEARCH(SUBSTITUTE(AZ$1,RIGHT(AZ$1,2),""),VLOOKUP($D363,素材!$1:$1016,COLUMN($F$1),FALSE))),VLOOKUP($C363,武器!$1:$998,COLUMN($O$1),FALSE)*VLOOKUP($D363,素材!$1:$1016,COLUMN($E$1),FALSE)/(LEN(VLOOKUP($D363,素材!$1:$1016,COLUMN($F$1),FALSE))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0)+IF($CJ363&lt;&gt;"",VLOOKUP($CJ363,装強!$A$1:AZ$1005,COLUMN(装強!AZ$1),FALSE),0)</f>
        <v>0</v>
      </c>
      <c r="BA363">
        <f>IF(ISNUMBER(SEARCH(SUBSTITUTE(BA$1,RIGHT(BA$1,2),""),VLOOKUP($D363,素材!$1:$1016,COLUMN($F$1),FALSE))),VLOOKUP($C363,武器!$1:$998,COLUMN($O$1),FALSE)*VLOOKUP($D363,素材!$1:$1016,COLUMN($E$1),FALSE)/(LEN(VLOOKUP($D363,素材!$1:$1016,COLUMN($F$1),FALSE))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0)+IF($CJ363&lt;&gt;"",VLOOKUP($CJ363,装強!$A$1:BA$1005,COLUMN(装強!BA$1),FALSE),0)</f>
        <v>0</v>
      </c>
      <c r="BB363">
        <f>IF(ISNUMBER(SEARCH(SUBSTITUTE(BB$1,RIGHT(BB$1,2),""),VLOOKUP($D363,素材!$1:$1016,COLUMN($F$1),FALSE))),VLOOKUP($C363,武器!$1:$998,COLUMN($O$1),FALSE)*VLOOKUP($D363,素材!$1:$1016,COLUMN($E$1),FALSE)/(LEN(VLOOKUP($D363,素材!$1:$1016,COLUMN($F$1),FALSE))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0)+IF($CJ363&lt;&gt;"",VLOOKUP($CJ363,装強!$A$1:BB$1005,COLUMN(装強!BB$1),FALSE),0)</f>
        <v>0</v>
      </c>
      <c r="BC363">
        <f>IF(ISNUMBER(SEARCH(SUBSTITUTE(BC$1,RIGHT(BC$1,2),""),VLOOKUP($D363,素材!$1:$1016,COLUMN($F$1),FALSE))),VLOOKUP($C363,武器!$1:$998,COLUMN($O$1),FALSE)*VLOOKUP($D363,素材!$1:$1016,COLUMN($E$1),FALSE)/(LEN(VLOOKUP($D363,素材!$1:$1016,COLUMN($F$1),FALSE))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0)+IF($CJ363&lt;&gt;"",VLOOKUP($CJ363,装強!$A$1:BC$1005,COLUMN(装強!BC$1),FALSE),0)</f>
        <v>0</v>
      </c>
      <c r="BD363">
        <f>IF(ISNUMBER(SEARCH(SUBSTITUTE(BD$1,RIGHT(BD$1,2),""),VLOOKUP($D363,素材!$1:$1016,COLUMN($F$1),FALSE))),VLOOKUP($C363,武器!$1:$998,COLUMN($O$1),FALSE)*VLOOKUP($D363,素材!$1:$1016,COLUMN($E$1),FALSE)/(LEN(VLOOKUP($D363,素材!$1:$1016,COLUMN($F$1),FALSE))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0)+IF($CJ363&lt;&gt;"",VLOOKUP($CJ363,装強!$A$1:BD$1005,COLUMN(装強!BD$1),FALSE),0)</f>
        <v>0</v>
      </c>
      <c r="BE363">
        <f>IF(ISNUMBER(SEARCH(SUBSTITUTE(BE$1,RIGHT(BE$1,2),""),VLOOKUP($D363,素材!$1:$1016,COLUMN($F$1),FALSE))),VLOOKUP($C363,武器!$1:$998,COLUMN($O$1),FALSE)*VLOOKUP($D363,素材!$1:$1016,COLUMN($E$1),FALSE)/(LEN(VLOOKUP($D363,素材!$1:$1016,COLUMN($F$1),FALSE))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0)+IF($CJ363&lt;&gt;"",VLOOKUP($CJ363,装強!$A$1:BE$1005,COLUMN(装強!BE$1),FALSE),0)</f>
        <v>0</v>
      </c>
      <c r="BF363">
        <f>IF(ISNUMBER(SEARCH(SUBSTITUTE(BF$1,RIGHT(BF$1,2),""),VLOOKUP($D363,素材!$1:$1016,COLUMN($F$1),FALSE))),VLOOKUP($C363,武器!$1:$998,COLUMN($O$1),FALSE)*VLOOKUP($D363,素材!$1:$1016,COLUMN($E$1),FALSE)/(LEN(VLOOKUP($D363,素材!$1:$1016,COLUMN($F$1),FALSE)) - LEN(SUBSTITUTE(VLOOKUP($D363,素材!$1:$1016,COLUMN($F$1),FALSE), "・", 0)) + 1), 0)+IF($CJ363&lt;&gt;"",VLOOKUP($CJ363,装強!$A$1:BF$1005,COLUMN(装強!BF$1),FALSE),0)</f>
        <v>0</v>
      </c>
      <c r="CJ363" t="s">
        <v>14</v>
      </c>
      <c r="CM363">
        <f t="shared" ref="CM363:CM366" si="42">SUM(G363:I363)</f>
        <v>0</v>
      </c>
      <c r="CN363" s="22" t="str">
        <f>IF(E363="武器",IF(J363-1&gt;SUM(G363:I363),"盾",IF(MAX(G363:I363)=G363,"切断",IF(MAX(G363:I363)=H363,"貫通",IF(MAX(G363:I363)=I363,"打撃","射撃")))),E363)&amp;".webp"</f>
        <v>装飾.webp</v>
      </c>
      <c r="CO363">
        <f>IFERROR(VLOOKUP($C363,武器!$1:$998,COLUMN(V$1),FALSE)*VLOOKUP($D363,素材!$1:$1016,COLUMN(N$1),FALSE)+IF(CJ363="",0,VLOOKUP($CJ363,装強!$1:$1008,COLUMN($CL$1),FALSE)),"")</f>
        <v>8500</v>
      </c>
      <c r="CP363" t="str">
        <f>VLOOKUP(D363,素材!$A:$O,COLUMN(素材!O$1),FALSE)</f>
        <v>炎属性を持つドラゴン型生物から採取される鱗素材。強力な炎属性防御を備えており、耐熱性が求められる場面で特に有用です。</v>
      </c>
      <c r="CQ363" t="str">
        <f>VLOOKUP(C363,武器!$A:$W,COLUMN(武器!W$1),FALSE)</f>
        <v xml:space="preserve">防御 隠密 </v>
      </c>
      <c r="CS363" t="str">
        <f>"e_"&amp;ROW(CS363)</f>
        <v>e_363</v>
      </c>
      <c r="CT363">
        <f t="shared" ref="CT363:CT366" si="43">CO363*100</f>
        <v>850000</v>
      </c>
    </row>
    <row r="364" spans="1:98" ht="37.5" outlineLevel="1" x14ac:dyDescent="0.4">
      <c r="A364" s="1" t="s">
        <v>1270</v>
      </c>
      <c r="B364" t="str">
        <f>IFERROR(VLOOKUP($D364,素材!$1:$1016,COLUMN($B$1),FALSE)&amp;"・"&amp;VLOOKUP($C364,武器!$1:$998,COLUMN(B$1),FALSE),"")</f>
        <v>アイスドレイクスケール・マント</v>
      </c>
      <c r="C364" t="s">
        <v>1268</v>
      </c>
      <c r="D364" s="24" t="s">
        <v>248</v>
      </c>
      <c r="E364" t="str">
        <f>IFERROR(VLOOKUP(C364,武器!$1:$998,COLUMN(C$1),FALSE),"")</f>
        <v>装飾</v>
      </c>
      <c r="F364">
        <f>IFERROR(ROUNDDOWN((VLOOKUP($C364,武器!$1:$998,COLUMN(D$1),FALSE)+IFERROR(VLOOKUP($CJ364,装強!$1:$999,COLUMN(F$1),FALSE),0))*VLOOKUP($D364,素材!$1:$1016,COLUMN(D$1),FALSE),0),"")</f>
        <v>0</v>
      </c>
      <c r="G364">
        <f>IFERROR(ROUNDDOWN((VLOOKUP($C364,武器!$1:$998,COLUMN(E$1),FALSE)+IFERROR(VLOOKUP($CJ364,装強!$1:$999,COLUMN(G$1),FALSE),0))*VLOOKUP($D364,素材!$1:$1016,COLUMN($E$1),FALSE),0),"")</f>
        <v>0</v>
      </c>
      <c r="H364">
        <f>IFERROR(ROUNDDOWN((VLOOKUP($C364,武器!$1:$998,COLUMN(F$1),FALSE)+IFERROR(VLOOKUP($CJ364,装強!$1:$999,COLUMN(H$1),FALSE),0))*VLOOKUP($D364,素材!$1:$1016,COLUMN($E$1),FALSE),0),"")</f>
        <v>0</v>
      </c>
      <c r="I364">
        <f>IFERROR(ROUNDDOWN((VLOOKUP($C364,武器!$1:$998,COLUMN(G$1),FALSE)+IFERROR(VLOOKUP($CJ364,装強!$1:$999,COLUMN(I$1),FALSE),0))*VLOOKUP($D364,素材!$1:$1016,COLUMN($E$1),FALSE),0),"")</f>
        <v>0</v>
      </c>
      <c r="J364">
        <f>IFERROR(ROUNDDOWN((VLOOKUP($C364,武器!$1:$998,COLUMN(H$1),FALSE)+IFERROR(VLOOKUP($CJ364,装強!$1:$999,COLUMN(J$1),FALSE),0))*VLOOKUP($D364,素材!$1:$1016,COLUMN($E$1),FALSE),0),"")</f>
        <v>0</v>
      </c>
      <c r="K364">
        <f>IFERROR(ROUNDDOWN((VLOOKUP($C364,武器!$1:$998,COLUMN(I$1),FALSE)+IFERROR(VLOOKUP($CJ364,装強!$1:$999,COLUMN(K$1),FALSE),0))*VLOOKUP($D364,素材!$1:$1016,COLUMN($E$1),FALSE),0),"")</f>
        <v>0</v>
      </c>
      <c r="L364" t="str">
        <f>IFERROR(VLOOKUP($D364,素材!$1:$1016,COLUMN($F$1),FALSE),"")</f>
        <v>氷</v>
      </c>
      <c r="M364">
        <f>IFERROR(VLOOKUP($C364,武器!$1:$998,COLUMN(AA$1),FALSE)*VLOOKUP($D364,素材!$1:$1016,COLUMN($G$1),FALSE),"")</f>
        <v>0</v>
      </c>
      <c r="N364">
        <f>IFERROR(VLOOKUP($C364,武器!$1:$998,COLUMN(I$1),FALSE),"")</f>
        <v>0</v>
      </c>
      <c r="O364" s="23" t="str">
        <f>IFERROR((VLOOKUP($C364,武器!$1:$998,COLUMN(K$1),FALSE)+VLOOKUP($D364,素材!$1:$1016,COLUMN(H$1),FALSE))*100+IFERROR(VLOOKUP($CJ364,装強!$1:$999,COLUMN(O$1),FALSE),0),"")</f>
        <v/>
      </c>
      <c r="P364" s="23" t="str">
        <f>IFERROR((VLOOKUP($C364,武器!$1:$998,COLUMN(L$1),FALSE)+VLOOKUP($D364,素材!$1:$1016,COLUMN(I$1),FALSE))*100+IFERROR(VLOOKUP($CJ364,装強!$1:$999,COLUMN(P$1),FALSE),0),"")</f>
        <v/>
      </c>
      <c r="Q364">
        <f>IFERROR(ROUNDUP(VLOOKUP($C364,武器!$1:$998,COLUMN(M$1),FALSE)*(VLOOKUP($D364,素材!$1:$1002,COLUMN(D$1),FALSE)/100),1),"")</f>
        <v>0</v>
      </c>
      <c r="R364">
        <f>IFERROR(ROUNDUP(VLOOKUP($C364,武器!$1:$998,COLUMN(N$1),FALSE)*(VLOOKUP($D364,素材!$1:$1002,COLUMN(D$1),FALSE)/100),1),"")</f>
        <v>0</v>
      </c>
      <c r="S364">
        <f>IFERROR(VLOOKUP($C364,武器!$1:$998,COLUMN(P$1),FALSE),"")</f>
        <v>0</v>
      </c>
      <c r="T364">
        <f>IFERROR(VLOOKUP($C364,武器!$1:$998,COLUMN(Q$1),FALSE),"")</f>
        <v>0</v>
      </c>
      <c r="U364">
        <f>IFERROR(VLOOKUP($C364,武器!$1:$998,COLUMN(R$1),FALSE),"")</f>
        <v>0</v>
      </c>
      <c r="V364">
        <f>IFERROR(VLOOKUP($C364,武器!$1:$998,COLUMN(Q$1),FALSE),"")</f>
        <v>0</v>
      </c>
      <c r="W364">
        <f>IFERROR(VLOOKUP($C364,武器!$1:$998,COLUMN(T$1),FALSE),"")</f>
        <v>0</v>
      </c>
      <c r="Y364">
        <f>IFERROR(VLOOKUP($C364,武器!$1:$998,COLUMN(U$1),FALSE),"")</f>
        <v>0</v>
      </c>
      <c r="Z364">
        <f>IFERROR(ROUNDUP(VLOOKUP($C364,武器!$1:$998,COLUMN(O$1),FALSE)*VLOOKUP($D364,素材!$1:$1016,COLUMN(E$1),FALSE),1),"")</f>
        <v>0</v>
      </c>
      <c r="AA364">
        <f>IF(ISNUMBER(SEARCH(SUBSTITUTE(AA$1,RIGHT(AA$1,2),""),VLOOKUP($D364,素材!$1:$1016,COLUMN($F$1),FALSE))),VLOOKUP($C364,武器!$1:$998,COLUMN($O$1),FALSE)*VLOOKUP($D364,素材!$1:$1016,COLUMN($E$1),FALSE)/(LEN(VLOOKUP($D364,素材!$1:$1016,COLUMN($F$1),FALSE))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</f>
        <v>0</v>
      </c>
      <c r="AB364">
        <f>IF(ISNUMBER(SEARCH(SUBSTITUTE(AB$1,RIGHT(AB$1,2),""),VLOOKUP($D364,素材!$1:$1016,COLUMN($F$1),FALSE))),VLOOKUP($C364,武器!$1:$998,COLUMN($O$1),FALSE)*VLOOKUP($D364,素材!$1:$1016,COLUMN($E$1),FALSE)/(LEN(VLOOKUP($D364,素材!$1:$1016,COLUMN($F$1),FALSE))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</f>
        <v>0</v>
      </c>
      <c r="AC364">
        <f>IF(ISNUMBER(SEARCH(SUBSTITUTE(AC$1,RIGHT(AC$1,2),""),VLOOKUP($D364,素材!$1:$1016,COLUMN($F$1),FALSE))),VLOOKUP($C364,武器!$1:$998,COLUMN($O$1),FALSE)*VLOOKUP($D364,素材!$1:$1016,COLUMN($E$1),FALSE)/(LEN(VLOOKUP($D364,素材!$1:$1016,COLUMN($F$1),FALSE))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</f>
        <v>0</v>
      </c>
      <c r="AD364">
        <f>IF(ISNUMBER(SEARCH(SUBSTITUTE(AD$1,RIGHT(AD$1,2),""),VLOOKUP($D364,素材!$1:$1016,COLUMN($F$1),FALSE))),VLOOKUP($C364,武器!$1:$998,COLUMN($O$1),FALSE)*VLOOKUP($D364,素材!$1:$1016,COLUMN($E$1),FALSE)/(LEN(VLOOKUP($D364,素材!$1:$1016,COLUMN($F$1),FALSE))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</f>
        <v>0</v>
      </c>
      <c r="AE364">
        <f>IF(ISNUMBER(SEARCH(SUBSTITUTE(AE$1,RIGHT(AE$1,2),""),VLOOKUP($D364,素材!$1:$1016,COLUMN($F$1),FALSE))),VLOOKUP($C364,武器!$1:$998,COLUMN($O$1),FALSE)*VLOOKUP($D364,素材!$1:$1016,COLUMN($E$1),FALSE)/(LEN(VLOOKUP($D364,素材!$1:$1016,COLUMN($F$1),FALSE))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0)+IF($CJ364&lt;&gt;"",VLOOKUP($CJ364,装強!$A$1:AE$1005,COLUMN(装強!AE$1),FALSE),0)</f>
        <v>0</v>
      </c>
      <c r="AF364">
        <f>IF(ISNUMBER(SEARCH(SUBSTITUTE(AF$1,RIGHT(AF$1,2),""),VLOOKUP($D364,素材!$1:$1016,COLUMN($F$1),FALSE))),VLOOKUP($C364,武器!$1:$998,COLUMN($O$1),FALSE)*VLOOKUP($D364,素材!$1:$1016,COLUMN($E$1),FALSE)/(LEN(VLOOKUP($D364,素材!$1:$1016,COLUMN($F$1),FALSE))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0)+IF($CJ364&lt;&gt;"",VLOOKUP($CJ364,装強!$A$1:AF$1005,COLUMN(装強!AF$1),FALSE),0)</f>
        <v>15</v>
      </c>
      <c r="AG364">
        <f>IF(ISNUMBER(SEARCH(SUBSTITUTE(AG$1,RIGHT(AG$1,2),""),VLOOKUP($D364,素材!$1:$1016,COLUMN($F$1),FALSE))),VLOOKUP($C364,武器!$1:$998,COLUMN($O$1),FALSE)*VLOOKUP($D364,素材!$1:$1016,COLUMN($E$1),FALSE)/(LEN(VLOOKUP($D364,素材!$1:$1016,COLUMN($F$1),FALSE))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0)+IF($CJ364&lt;&gt;"",VLOOKUP($CJ364,装強!$A$1:AG$1005,COLUMN(装強!AG$1),FALSE),0)</f>
        <v>0</v>
      </c>
      <c r="AH364">
        <f>IF(ISNUMBER(SEARCH(SUBSTITUTE(AH$1,RIGHT(AH$1,2),""),VLOOKUP($D364,素材!$1:$1016,COLUMN($F$1),FALSE))),VLOOKUP($C364,武器!$1:$998,COLUMN($O$1),FALSE)*VLOOKUP($D364,素材!$1:$1016,COLUMN($E$1),FALSE)/(LEN(VLOOKUP($D364,素材!$1:$1016,COLUMN($F$1),FALSE))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0)+IF($CJ364&lt;&gt;"",VLOOKUP($CJ364,装強!$A$1:AH$1005,COLUMN(装強!AH$1),FALSE),0)</f>
        <v>0</v>
      </c>
      <c r="AI364">
        <f>IF(ISNUMBER(SEARCH(SUBSTITUTE(AI$1,RIGHT(AI$1,2),""),VLOOKUP($D364,素材!$1:$1016,COLUMN($F$1),FALSE))),VLOOKUP($C364,武器!$1:$998,COLUMN($O$1),FALSE)*VLOOKUP($D364,素材!$1:$1016,COLUMN($E$1),FALSE)/(LEN(VLOOKUP($D364,素材!$1:$1016,COLUMN($F$1),FALSE))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0)+IF($CJ364&lt;&gt;"",VLOOKUP($CJ364,装強!$A$1:AI$1005,COLUMN(装強!AI$1),FALSE),0)</f>
        <v>0</v>
      </c>
      <c r="AJ364">
        <f>IF(ISNUMBER(SEARCH(SUBSTITUTE(AJ$1,RIGHT(AJ$1,2),""),VLOOKUP($D364,素材!$1:$1016,COLUMN($F$1),FALSE))),VLOOKUP($C364,武器!$1:$998,COLUMN($O$1),FALSE)*VLOOKUP($D364,素材!$1:$1016,COLUMN($E$1),FALSE)/(LEN(VLOOKUP($D364,素材!$1:$1016,COLUMN($F$1),FALSE))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0)+IF($CJ364&lt;&gt;"",VLOOKUP($CJ364,装強!$A$1:AJ$1005,COLUMN(装強!AJ$1),FALSE),0)</f>
        <v>0</v>
      </c>
      <c r="AK364">
        <f>IF(ISNUMBER(SEARCH(SUBSTITUTE(AK$1,RIGHT(AK$1,2),""),VLOOKUP($D364,素材!$1:$1016,COLUMN($F$1),FALSE))),VLOOKUP($C364,武器!$1:$998,COLUMN($O$1),FALSE)*VLOOKUP($D364,素材!$1:$1016,COLUMN($E$1),FALSE)/(LEN(VLOOKUP($D364,素材!$1:$1016,COLUMN($F$1),FALSE))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0)+IF($CJ364&lt;&gt;"",VLOOKUP($CJ364,装強!$A$1:AK$1005,COLUMN(装強!AK$1),FALSE),0)</f>
        <v>0</v>
      </c>
      <c r="AL364">
        <f>IF(ISNUMBER(SEARCH(SUBSTITUTE(AL$1,RIGHT(AL$1,2),""),VLOOKUP($D364,素材!$1:$1016,COLUMN($F$1),FALSE))),VLOOKUP($C364,武器!$1:$998,COLUMN($O$1),FALSE)*VLOOKUP($D364,素材!$1:$1016,COLUMN($E$1),FALSE)/(LEN(VLOOKUP($D364,素材!$1:$1016,COLUMN($F$1),FALSE))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0)+IF($CJ364&lt;&gt;"",VLOOKUP($CJ364,装強!$A$1:AL$1005,COLUMN(装強!AL$1),FALSE),0)</f>
        <v>0</v>
      </c>
      <c r="AM364">
        <f>IF(ISNUMBER(SEARCH(SUBSTITUTE(AM$1,RIGHT(AM$1,2),""),VLOOKUP($D364,素材!$1:$1016,COLUMN($F$1),FALSE))),VLOOKUP($C364,武器!$1:$998,COLUMN($O$1),FALSE)*VLOOKUP($D364,素材!$1:$1016,COLUMN($E$1),FALSE)/(LEN(VLOOKUP($D364,素材!$1:$1016,COLUMN($F$1),FALSE))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0)+IF($CJ364&lt;&gt;"",VLOOKUP($CJ364,装強!$A$1:AM$1005,COLUMN(装強!AM$1),FALSE),0)</f>
        <v>0</v>
      </c>
      <c r="AN364">
        <f>IF(ISNUMBER(SEARCH(SUBSTITUTE(AN$1,RIGHT(AN$1,2),""),VLOOKUP($D364,素材!$1:$1016,COLUMN($F$1),FALSE))),VLOOKUP($C364,武器!$1:$998,COLUMN($O$1),FALSE)*VLOOKUP($D364,素材!$1:$1016,COLUMN($E$1),FALSE)/(LEN(VLOOKUP($D364,素材!$1:$1016,COLUMN($F$1),FALSE))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0)+IF($CJ364&lt;&gt;"",VLOOKUP($CJ364,装強!$A$1:AN$1005,COLUMN(装強!AN$1),FALSE),0)</f>
        <v>0</v>
      </c>
      <c r="AO364">
        <f>IF(ISNUMBER(SEARCH(SUBSTITUTE(AO$1,RIGHT(AO$1,2),""),VLOOKUP($D364,素材!$1:$1016,COLUMN($F$1),FALSE))),VLOOKUP($C364,武器!$1:$998,COLUMN($O$1),FALSE)*VLOOKUP($D364,素材!$1:$1016,COLUMN($E$1),FALSE)/(LEN(VLOOKUP($D364,素材!$1:$1016,COLUMN($F$1),FALSE))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0)+IF($CJ364&lt;&gt;"",VLOOKUP($CJ364,装強!$A$1:AO$1005,COLUMN(装強!AO$1),FALSE),0)</f>
        <v>0</v>
      </c>
      <c r="AP364">
        <f>IF(ISNUMBER(SEARCH(SUBSTITUTE(AP$1,RIGHT(AP$1,2),""),VLOOKUP($D364,素材!$1:$1016,COLUMN($F$1),FALSE))),VLOOKUP($C364,武器!$1:$998,COLUMN($O$1),FALSE)*VLOOKUP($D364,素材!$1:$1016,COLUMN($E$1),FALSE)/(LEN(VLOOKUP($D364,素材!$1:$1016,COLUMN($F$1),FALSE))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0)+IF($CJ364&lt;&gt;"",VLOOKUP($CJ364,装強!$A$1:AP$1005,COLUMN(装強!AP$1),FALSE),0)</f>
        <v>0</v>
      </c>
      <c r="AQ364">
        <f>IF(ISNUMBER(SEARCH(SUBSTITUTE(AQ$1,RIGHT(AQ$1,2),""),VLOOKUP($D364,素材!$1:$1016,COLUMN($F$1),FALSE))),VLOOKUP($C364,武器!$1:$998,COLUMN($O$1),FALSE)*VLOOKUP($D364,素材!$1:$1016,COLUMN($E$1),FALSE)/(LEN(VLOOKUP($D364,素材!$1:$1016,COLUMN($F$1),FALSE))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0)+IF($CJ364&lt;&gt;"",VLOOKUP($CJ364,装強!$A$1:AQ$1005,COLUMN(装強!AQ$1),FALSE),0)</f>
        <v>0</v>
      </c>
      <c r="AR364">
        <f>IF(ISNUMBER(SEARCH(SUBSTITUTE(AR$1,RIGHT(AR$1,2),""),VLOOKUP($D364,素材!$1:$1016,COLUMN($F$1),FALSE))),VLOOKUP($C364,武器!$1:$998,COLUMN($O$1),FALSE)*VLOOKUP($D364,素材!$1:$1016,COLUMN($E$1),FALSE)/(LEN(VLOOKUP($D364,素材!$1:$1016,COLUMN($F$1),FALSE))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0)+IF($CJ364&lt;&gt;"",VLOOKUP($CJ364,装強!$A$1:AR$1005,COLUMN(装強!AR$1),FALSE),0)</f>
        <v>0</v>
      </c>
      <c r="AS364">
        <f>IF(ISNUMBER(SEARCH(SUBSTITUTE(AS$1,RIGHT(AS$1,2),""),VLOOKUP($D364,素材!$1:$1016,COLUMN($F$1),FALSE))),VLOOKUP($C364,武器!$1:$998,COLUMN($O$1),FALSE)*VLOOKUP($D364,素材!$1:$1016,COLUMN($E$1),FALSE)/(LEN(VLOOKUP($D364,素材!$1:$1016,COLUMN($F$1),FALSE))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0)+IF($CJ364&lt;&gt;"",VLOOKUP($CJ364,装強!$A$1:AS$1005,COLUMN(装強!AS$1),FALSE),0)</f>
        <v>0</v>
      </c>
      <c r="AT364">
        <f>IF(ISNUMBER(SEARCH(SUBSTITUTE(AT$1,RIGHT(AT$1,2),""),VLOOKUP($D364,素材!$1:$1016,COLUMN($F$1),FALSE))),VLOOKUP($C364,武器!$1:$998,COLUMN($O$1),FALSE)*VLOOKUP($D364,素材!$1:$1016,COLUMN($E$1),FALSE)/(LEN(VLOOKUP($D364,素材!$1:$1016,COLUMN($F$1),FALSE))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0)+IF($CJ364&lt;&gt;"",VLOOKUP($CJ364,装強!$A$1:AT$1005,COLUMN(装強!AT$1),FALSE),0)</f>
        <v>0</v>
      </c>
      <c r="AU364">
        <f>IF(ISNUMBER(SEARCH(SUBSTITUTE(AU$1,RIGHT(AU$1,2),""),VLOOKUP($D364,素材!$1:$1016,COLUMN($F$1),FALSE))),VLOOKUP($C364,武器!$1:$998,COLUMN($O$1),FALSE)*VLOOKUP($D364,素材!$1:$1016,COLUMN($E$1),FALSE)/(LEN(VLOOKUP($D364,素材!$1:$1016,COLUMN($F$1),FALSE))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0)+IF($CJ364&lt;&gt;"",VLOOKUP($CJ364,装強!$A$1:AU$1005,COLUMN(装強!AU$1),FALSE),0)</f>
        <v>0</v>
      </c>
      <c r="AV364">
        <f>IF(ISNUMBER(SEARCH(SUBSTITUTE(AV$1,RIGHT(AV$1,2),""),VLOOKUP($D364,素材!$1:$1016,COLUMN($F$1),FALSE))),VLOOKUP($C364,武器!$1:$998,COLUMN($O$1),FALSE)*VLOOKUP($D364,素材!$1:$1016,COLUMN($E$1),FALSE)/(LEN(VLOOKUP($D364,素材!$1:$1016,COLUMN($F$1),FALSE))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0)+IF($CJ364&lt;&gt;"",VLOOKUP($CJ364,装強!$A$1:AV$1005,COLUMN(装強!AV$1),FALSE),0)</f>
        <v>0</v>
      </c>
      <c r="AW364">
        <f>IF(ISNUMBER(SEARCH(SUBSTITUTE(AW$1,RIGHT(AW$1,2),""),VLOOKUP($D364,素材!$1:$1016,COLUMN($F$1),FALSE))),VLOOKUP($C364,武器!$1:$998,COLUMN($O$1),FALSE)*VLOOKUP($D364,素材!$1:$1016,COLUMN($E$1),FALSE)/(LEN(VLOOKUP($D364,素材!$1:$1016,COLUMN($F$1),FALSE))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0)+IF($CJ364&lt;&gt;"",VLOOKUP($CJ364,装強!$A$1:AW$1005,COLUMN(装強!AW$1),FALSE),0)</f>
        <v>0</v>
      </c>
      <c r="AX364">
        <f>IF(ISNUMBER(SEARCH(SUBSTITUTE(AX$1,RIGHT(AX$1,2),""),VLOOKUP($D364,素材!$1:$1016,COLUMN($F$1),FALSE))),VLOOKUP($C364,武器!$1:$998,COLUMN($O$1),FALSE)*VLOOKUP($D364,素材!$1:$1016,COLUMN($E$1),FALSE)/(LEN(VLOOKUP($D364,素材!$1:$1016,COLUMN($F$1),FALSE))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0)+IF($CJ364&lt;&gt;"",VLOOKUP($CJ364,装強!$A$1:AX$1005,COLUMN(装強!AX$1),FALSE),0)</f>
        <v>0</v>
      </c>
      <c r="AY364">
        <f>IF(ISNUMBER(SEARCH(SUBSTITUTE(AY$1,RIGHT(AY$1,2),""),VLOOKUP($D364,素材!$1:$1016,COLUMN($F$1),FALSE))),VLOOKUP($C364,武器!$1:$998,COLUMN($O$1),FALSE)*VLOOKUP($D364,素材!$1:$1016,COLUMN($E$1),FALSE)/(LEN(VLOOKUP($D364,素材!$1:$1016,COLUMN($F$1),FALSE))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0)+IF($CJ364&lt;&gt;"",VLOOKUP($CJ364,装強!$A$1:AY$1005,COLUMN(装強!AY$1),FALSE),0)</f>
        <v>0</v>
      </c>
      <c r="AZ364">
        <f>IF(ISNUMBER(SEARCH(SUBSTITUTE(AZ$1,RIGHT(AZ$1,2),""),VLOOKUP($D364,素材!$1:$1016,COLUMN($F$1),FALSE))),VLOOKUP($C364,武器!$1:$998,COLUMN($O$1),FALSE)*VLOOKUP($D364,素材!$1:$1016,COLUMN($E$1),FALSE)/(LEN(VLOOKUP($D364,素材!$1:$1016,COLUMN($F$1),FALSE))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0)+IF($CJ364&lt;&gt;"",VLOOKUP($CJ364,装強!$A$1:AZ$1005,COLUMN(装強!AZ$1),FALSE),0)</f>
        <v>0</v>
      </c>
      <c r="BA364">
        <f>IF(ISNUMBER(SEARCH(SUBSTITUTE(BA$1,RIGHT(BA$1,2),""),VLOOKUP($D364,素材!$1:$1016,COLUMN($F$1),FALSE))),VLOOKUP($C364,武器!$1:$998,COLUMN($O$1),FALSE)*VLOOKUP($D364,素材!$1:$1016,COLUMN($E$1),FALSE)/(LEN(VLOOKUP($D364,素材!$1:$1016,COLUMN($F$1),FALSE))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0)+IF($CJ364&lt;&gt;"",VLOOKUP($CJ364,装強!$A$1:BA$1005,COLUMN(装強!BA$1),FALSE),0)</f>
        <v>0</v>
      </c>
      <c r="BB364">
        <f>IF(ISNUMBER(SEARCH(SUBSTITUTE(BB$1,RIGHT(BB$1,2),""),VLOOKUP($D364,素材!$1:$1016,COLUMN($F$1),FALSE))),VLOOKUP($C364,武器!$1:$998,COLUMN($O$1),FALSE)*VLOOKUP($D364,素材!$1:$1016,COLUMN($E$1),FALSE)/(LEN(VLOOKUP($D364,素材!$1:$1016,COLUMN($F$1),FALSE))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0)+IF($CJ364&lt;&gt;"",VLOOKUP($CJ364,装強!$A$1:BB$1005,COLUMN(装強!BB$1),FALSE),0)</f>
        <v>0</v>
      </c>
      <c r="BC364">
        <f>IF(ISNUMBER(SEARCH(SUBSTITUTE(BC$1,RIGHT(BC$1,2),""),VLOOKUP($D364,素材!$1:$1016,COLUMN($F$1),FALSE))),VLOOKUP($C364,武器!$1:$998,COLUMN($O$1),FALSE)*VLOOKUP($D364,素材!$1:$1016,COLUMN($E$1),FALSE)/(LEN(VLOOKUP($D364,素材!$1:$1016,COLUMN($F$1),FALSE))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0)+IF($CJ364&lt;&gt;"",VLOOKUP($CJ364,装強!$A$1:BC$1005,COLUMN(装強!BC$1),FALSE),0)</f>
        <v>0</v>
      </c>
      <c r="BD364">
        <f>IF(ISNUMBER(SEARCH(SUBSTITUTE(BD$1,RIGHT(BD$1,2),""),VLOOKUP($D364,素材!$1:$1016,COLUMN($F$1),FALSE))),VLOOKUP($C364,武器!$1:$998,COLUMN($O$1),FALSE)*VLOOKUP($D364,素材!$1:$1016,COLUMN($E$1),FALSE)/(LEN(VLOOKUP($D364,素材!$1:$1016,COLUMN($F$1),FALSE))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0)+IF($CJ364&lt;&gt;"",VLOOKUP($CJ364,装強!$A$1:BD$1005,COLUMN(装強!BD$1),FALSE),0)</f>
        <v>0</v>
      </c>
      <c r="BE364">
        <f>IF(ISNUMBER(SEARCH(SUBSTITUTE(BE$1,RIGHT(BE$1,2),""),VLOOKUP($D364,素材!$1:$1016,COLUMN($F$1),FALSE))),VLOOKUP($C364,武器!$1:$998,COLUMN($O$1),FALSE)*VLOOKUP($D364,素材!$1:$1016,COLUMN($E$1),FALSE)/(LEN(VLOOKUP($D364,素材!$1:$1016,COLUMN($F$1),FALSE))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0)+IF($CJ364&lt;&gt;"",VLOOKUP($CJ364,装強!$A$1:BE$1005,COLUMN(装強!BE$1),FALSE),0)</f>
        <v>0</v>
      </c>
      <c r="BF364">
        <f>IF(ISNUMBER(SEARCH(SUBSTITUTE(BF$1,RIGHT(BF$1,2),""),VLOOKUP($D364,素材!$1:$1016,COLUMN($F$1),FALSE))),VLOOKUP($C364,武器!$1:$998,COLUMN($O$1),FALSE)*VLOOKUP($D364,素材!$1:$1016,COLUMN($E$1),FALSE)/(LEN(VLOOKUP($D364,素材!$1:$1016,COLUMN($F$1),FALSE)) - LEN(SUBSTITUTE(VLOOKUP($D364,素材!$1:$1016,COLUMN($F$1),FALSE), "・", 0)) + 1), 0)+IF($CJ364&lt;&gt;"",VLOOKUP($CJ364,装強!$A$1:BF$1005,COLUMN(装強!BF$1),FALSE),0)</f>
        <v>0</v>
      </c>
      <c r="CJ364" t="s">
        <v>12</v>
      </c>
      <c r="CM364">
        <f t="shared" si="42"/>
        <v>0</v>
      </c>
      <c r="CN364" s="22" t="str">
        <f>IF(E364="武器",IF(J364-1&gt;SUM(G364:I364),"盾",IF(MAX(G364:I364)=G364,"切断",IF(MAX(G364:I364)=H364,"貫通",IF(MAX(G364:I364)=I364,"打撃","射撃")))),E364)&amp;".webp"</f>
        <v>装飾.webp</v>
      </c>
      <c r="CO364">
        <f>IFERROR(VLOOKUP($C364,武器!$1:$998,COLUMN(V$1),FALSE)*VLOOKUP($D364,素材!$1:$1016,COLUMN(N$1),FALSE)+IF(CJ364="",0,VLOOKUP($CJ364,装強!$1:$1008,COLUMN($CL$1),FALSE)),"")</f>
        <v>8500</v>
      </c>
      <c r="CP364" t="str">
        <f>VLOOKUP(D364,素材!$A:$O,COLUMN(素材!O$1),FALSE)</f>
        <v>氷属性を持つドラゴン型生物から採取される鱗素材。極寒の環境や冷気攻撃への対策として優れた性能を発揮します。</v>
      </c>
      <c r="CQ364" t="str">
        <f>VLOOKUP(C364,武器!$A:$W,COLUMN(武器!W$1),FALSE)</f>
        <v xml:space="preserve">防御 隠密 </v>
      </c>
      <c r="CS364" t="str">
        <f>"e_"&amp;ROW(CS364)</f>
        <v>e_364</v>
      </c>
      <c r="CT364">
        <f t="shared" si="43"/>
        <v>850000</v>
      </c>
    </row>
    <row r="365" spans="1:98" ht="37.5" outlineLevel="1" x14ac:dyDescent="0.4">
      <c r="A365" s="1" t="s">
        <v>1046</v>
      </c>
      <c r="B365" t="str">
        <f>IFERROR(VLOOKUP($D365,素材!$1:$1016,COLUMN($B$1),FALSE)&amp;"・"&amp;VLOOKUP($C365,武器!$1:$998,COLUMN(B$1),FALSE),"")</f>
        <v>サンダードレイクスケール・マント</v>
      </c>
      <c r="C365" t="s">
        <v>1268</v>
      </c>
      <c r="D365" s="24" t="s">
        <v>249</v>
      </c>
      <c r="E365" t="str">
        <f>IFERROR(VLOOKUP(C365,武器!$1:$998,COLUMN(C$1),FALSE),"")</f>
        <v>装飾</v>
      </c>
      <c r="F365">
        <f>IFERROR(ROUNDDOWN((VLOOKUP($C365,武器!$1:$998,COLUMN(D$1),FALSE)+IFERROR(VLOOKUP($CJ365,装強!$1:$999,COLUMN(F$1),FALSE),0))*VLOOKUP($D365,素材!$1:$1016,COLUMN(D$1),FALSE),0),"")</f>
        <v>0</v>
      </c>
      <c r="G365">
        <f>IFERROR(ROUNDDOWN((VLOOKUP($C365,武器!$1:$998,COLUMN(E$1),FALSE)+IFERROR(VLOOKUP($CJ365,装強!$1:$999,COLUMN(G$1),FALSE),0))*VLOOKUP($D365,素材!$1:$1016,COLUMN($E$1),FALSE),0),"")</f>
        <v>0</v>
      </c>
      <c r="H365">
        <f>IFERROR(ROUNDDOWN((VLOOKUP($C365,武器!$1:$998,COLUMN(F$1),FALSE)+IFERROR(VLOOKUP($CJ365,装強!$1:$999,COLUMN(H$1),FALSE),0))*VLOOKUP($D365,素材!$1:$1016,COLUMN($E$1),FALSE),0),"")</f>
        <v>0</v>
      </c>
      <c r="I365">
        <f>IFERROR(ROUNDDOWN((VLOOKUP($C365,武器!$1:$998,COLUMN(G$1),FALSE)+IFERROR(VLOOKUP($CJ365,装強!$1:$999,COLUMN(I$1),FALSE),0))*VLOOKUP($D365,素材!$1:$1016,COLUMN($E$1),FALSE),0),"")</f>
        <v>0</v>
      </c>
      <c r="J365">
        <f>IFERROR(ROUNDDOWN((VLOOKUP($C365,武器!$1:$998,COLUMN(H$1),FALSE)+IFERROR(VLOOKUP($CJ365,装強!$1:$999,COLUMN(J$1),FALSE),0))*VLOOKUP($D365,素材!$1:$1016,COLUMN($E$1),FALSE),0),"")</f>
        <v>0</v>
      </c>
      <c r="K365">
        <f>IFERROR(ROUNDDOWN((VLOOKUP($C365,武器!$1:$998,COLUMN(I$1),FALSE)+IFERROR(VLOOKUP($CJ365,装強!$1:$999,COLUMN(K$1),FALSE),0))*VLOOKUP($D365,素材!$1:$1016,COLUMN($E$1),FALSE),0),"")</f>
        <v>0</v>
      </c>
      <c r="L365" t="str">
        <f>IFERROR(VLOOKUP($D365,素材!$1:$1016,COLUMN($F$1),FALSE),"")</f>
        <v>雷</v>
      </c>
      <c r="M365">
        <f>IFERROR(VLOOKUP($C365,武器!$1:$998,COLUMN(AA$1),FALSE)*VLOOKUP($D365,素材!$1:$1016,COLUMN($G$1),FALSE),"")</f>
        <v>0</v>
      </c>
      <c r="N365">
        <f>IFERROR(VLOOKUP($C365,武器!$1:$998,COLUMN(I$1),FALSE),"")</f>
        <v>0</v>
      </c>
      <c r="O365" s="23" t="str">
        <f>IFERROR((VLOOKUP($C365,武器!$1:$998,COLUMN(K$1),FALSE)+VLOOKUP($D365,素材!$1:$1016,COLUMN(H$1),FALSE))*100+IFERROR(VLOOKUP($CJ365,装強!$1:$999,COLUMN(O$1),FALSE),0),"")</f>
        <v/>
      </c>
      <c r="P365" s="23" t="str">
        <f>IFERROR((VLOOKUP($C365,武器!$1:$998,COLUMN(L$1),FALSE)+VLOOKUP($D365,素材!$1:$1016,COLUMN(I$1),FALSE))*100+IFERROR(VLOOKUP($CJ365,装強!$1:$999,COLUMN(P$1),FALSE),0),"")</f>
        <v/>
      </c>
      <c r="Q365">
        <f>IFERROR(ROUNDUP(VLOOKUP($C365,武器!$1:$998,COLUMN(M$1),FALSE)*(VLOOKUP($D365,素材!$1:$1002,COLUMN(D$1),FALSE)/100),1),"")</f>
        <v>0</v>
      </c>
      <c r="R365">
        <f>IFERROR(ROUNDUP(VLOOKUP($C365,武器!$1:$998,COLUMN(N$1),FALSE)*(VLOOKUP($D365,素材!$1:$1002,COLUMN(D$1),FALSE)/100),1),"")</f>
        <v>0</v>
      </c>
      <c r="S365">
        <f>IFERROR(VLOOKUP($C365,武器!$1:$998,COLUMN(P$1),FALSE),"")</f>
        <v>0</v>
      </c>
      <c r="T365">
        <f>IFERROR(VLOOKUP($C365,武器!$1:$998,COLUMN(Q$1),FALSE),"")</f>
        <v>0</v>
      </c>
      <c r="U365">
        <f>IFERROR(VLOOKUP($C365,武器!$1:$998,COLUMN(R$1),FALSE),"")</f>
        <v>0</v>
      </c>
      <c r="V365">
        <f>IFERROR(VLOOKUP($C365,武器!$1:$998,COLUMN(Q$1),FALSE),"")</f>
        <v>0</v>
      </c>
      <c r="W365">
        <f>IFERROR(VLOOKUP($C365,武器!$1:$998,COLUMN(T$1),FALSE),"")</f>
        <v>0</v>
      </c>
      <c r="Y365">
        <f>IFERROR(VLOOKUP($C365,武器!$1:$998,COLUMN(U$1),FALSE),"")</f>
        <v>0</v>
      </c>
      <c r="Z365">
        <f>IFERROR(ROUNDUP(VLOOKUP($C365,武器!$1:$998,COLUMN(O$1),FALSE)*VLOOKUP($D365,素材!$1:$1016,COLUMN(E$1),FALSE),1),"")</f>
        <v>0</v>
      </c>
      <c r="AA365">
        <f>IF(ISNUMBER(SEARCH(SUBSTITUTE(AA$1,RIGHT(AA$1,2),""),VLOOKUP($D365,素材!$1:$1016,COLUMN($F$1),FALSE))),VLOOKUP($C365,武器!$1:$998,COLUMN($O$1),FALSE)*VLOOKUP($D365,素材!$1:$1016,COLUMN($E$1),FALSE)/(LEN(VLOOKUP($D365,素材!$1:$1016,COLUMN($F$1),FALSE))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</f>
        <v>0</v>
      </c>
      <c r="AB365">
        <f>IF(ISNUMBER(SEARCH(SUBSTITUTE(AB$1,RIGHT(AB$1,2),""),VLOOKUP($D365,素材!$1:$1016,COLUMN($F$1),FALSE))),VLOOKUP($C365,武器!$1:$998,COLUMN($O$1),FALSE)*VLOOKUP($D365,素材!$1:$1016,COLUMN($E$1),FALSE)/(LEN(VLOOKUP($D365,素材!$1:$1016,COLUMN($F$1),FALSE))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</f>
        <v>0</v>
      </c>
      <c r="AC365">
        <f>IF(ISNUMBER(SEARCH(SUBSTITUTE(AC$1,RIGHT(AC$1,2),""),VLOOKUP($D365,素材!$1:$1016,COLUMN($F$1),FALSE))),VLOOKUP($C365,武器!$1:$998,COLUMN($O$1),FALSE)*VLOOKUP($D365,素材!$1:$1016,COLUMN($E$1),FALSE)/(LEN(VLOOKUP($D365,素材!$1:$1016,COLUMN($F$1),FALSE))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</f>
        <v>0</v>
      </c>
      <c r="AD365">
        <f>IF(ISNUMBER(SEARCH(SUBSTITUTE(AD$1,RIGHT(AD$1,2),""),VLOOKUP($D365,素材!$1:$1016,COLUMN($F$1),FALSE))),VLOOKUP($C365,武器!$1:$998,COLUMN($O$1),FALSE)*VLOOKUP($D365,素材!$1:$1016,COLUMN($E$1),FALSE)/(LEN(VLOOKUP($D365,素材!$1:$1016,COLUMN($F$1),FALSE))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</f>
        <v>0</v>
      </c>
      <c r="AE365">
        <f>IF(ISNUMBER(SEARCH(SUBSTITUTE(AE$1,RIGHT(AE$1,2),""),VLOOKUP($D365,素材!$1:$1016,COLUMN($F$1),FALSE))),VLOOKUP($C365,武器!$1:$998,COLUMN($O$1),FALSE)*VLOOKUP($D365,素材!$1:$1016,COLUMN($E$1),FALSE)/(LEN(VLOOKUP($D365,素材!$1:$1016,COLUMN($F$1),FALSE))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0)+IF($CJ365&lt;&gt;"",VLOOKUP($CJ365,装強!$A$1:AE$1005,COLUMN(装強!AE$1),FALSE),0)</f>
        <v>0</v>
      </c>
      <c r="AF365">
        <f>IF(ISNUMBER(SEARCH(SUBSTITUTE(AF$1,RIGHT(AF$1,2),""),VLOOKUP($D365,素材!$1:$1016,COLUMN($F$1),FALSE))),VLOOKUP($C365,武器!$1:$998,COLUMN($O$1),FALSE)*VLOOKUP($D365,素材!$1:$1016,COLUMN($E$1),FALSE)/(LEN(VLOOKUP($D365,素材!$1:$1016,COLUMN($F$1),FALSE))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0)+IF($CJ365&lt;&gt;"",VLOOKUP($CJ365,装強!$A$1:AF$1005,COLUMN(装強!AF$1),FALSE),0)</f>
        <v>0</v>
      </c>
      <c r="AG365">
        <f>IF(ISNUMBER(SEARCH(SUBSTITUTE(AG$1,RIGHT(AG$1,2),""),VLOOKUP($D365,素材!$1:$1016,COLUMN($F$1),FALSE))),VLOOKUP($C365,武器!$1:$998,COLUMN($O$1),FALSE)*VLOOKUP($D365,素材!$1:$1016,COLUMN($E$1),FALSE)/(LEN(VLOOKUP($D365,素材!$1:$1016,COLUMN($F$1),FALSE))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0)+IF($CJ365&lt;&gt;"",VLOOKUP($CJ365,装強!$A$1:AG$1005,COLUMN(装強!AG$1),FALSE),0)</f>
        <v>15</v>
      </c>
      <c r="AH365">
        <f>IF(ISNUMBER(SEARCH(SUBSTITUTE(AH$1,RIGHT(AH$1,2),""),VLOOKUP($D365,素材!$1:$1016,COLUMN($F$1),FALSE))),VLOOKUP($C365,武器!$1:$998,COLUMN($O$1),FALSE)*VLOOKUP($D365,素材!$1:$1016,COLUMN($E$1),FALSE)/(LEN(VLOOKUP($D365,素材!$1:$1016,COLUMN($F$1),FALSE))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0)+IF($CJ365&lt;&gt;"",VLOOKUP($CJ365,装強!$A$1:AH$1005,COLUMN(装強!AH$1),FALSE),0)</f>
        <v>0</v>
      </c>
      <c r="AI365">
        <f>IF(ISNUMBER(SEARCH(SUBSTITUTE(AI$1,RIGHT(AI$1,2),""),VLOOKUP($D365,素材!$1:$1016,COLUMN($F$1),FALSE))),VLOOKUP($C365,武器!$1:$998,COLUMN($O$1),FALSE)*VLOOKUP($D365,素材!$1:$1016,COLUMN($E$1),FALSE)/(LEN(VLOOKUP($D365,素材!$1:$1016,COLUMN($F$1),FALSE))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0)+IF($CJ365&lt;&gt;"",VLOOKUP($CJ365,装強!$A$1:AI$1005,COLUMN(装強!AI$1),FALSE),0)</f>
        <v>0</v>
      </c>
      <c r="AJ365">
        <f>IF(ISNUMBER(SEARCH(SUBSTITUTE(AJ$1,RIGHT(AJ$1,2),""),VLOOKUP($D365,素材!$1:$1016,COLUMN($F$1),FALSE))),VLOOKUP($C365,武器!$1:$998,COLUMN($O$1),FALSE)*VLOOKUP($D365,素材!$1:$1016,COLUMN($E$1),FALSE)/(LEN(VLOOKUP($D365,素材!$1:$1016,COLUMN($F$1),FALSE))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0)+IF($CJ365&lt;&gt;"",VLOOKUP($CJ365,装強!$A$1:AJ$1005,COLUMN(装強!AJ$1),FALSE),0)</f>
        <v>0</v>
      </c>
      <c r="AK365">
        <f>IF(ISNUMBER(SEARCH(SUBSTITUTE(AK$1,RIGHT(AK$1,2),""),VLOOKUP($D365,素材!$1:$1016,COLUMN($F$1),FALSE))),VLOOKUP($C365,武器!$1:$998,COLUMN($O$1),FALSE)*VLOOKUP($D365,素材!$1:$1016,COLUMN($E$1),FALSE)/(LEN(VLOOKUP($D365,素材!$1:$1016,COLUMN($F$1),FALSE))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0)+IF($CJ365&lt;&gt;"",VLOOKUP($CJ365,装強!$A$1:AK$1005,COLUMN(装強!AK$1),FALSE),0)</f>
        <v>0</v>
      </c>
      <c r="AL365">
        <f>IF(ISNUMBER(SEARCH(SUBSTITUTE(AL$1,RIGHT(AL$1,2),""),VLOOKUP($D365,素材!$1:$1016,COLUMN($F$1),FALSE))),VLOOKUP($C365,武器!$1:$998,COLUMN($O$1),FALSE)*VLOOKUP($D365,素材!$1:$1016,COLUMN($E$1),FALSE)/(LEN(VLOOKUP($D365,素材!$1:$1016,COLUMN($F$1),FALSE))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0)+IF($CJ365&lt;&gt;"",VLOOKUP($CJ365,装強!$A$1:AL$1005,COLUMN(装強!AL$1),FALSE),0)</f>
        <v>0</v>
      </c>
      <c r="AM365">
        <f>IF(ISNUMBER(SEARCH(SUBSTITUTE(AM$1,RIGHT(AM$1,2),""),VLOOKUP($D365,素材!$1:$1016,COLUMN($F$1),FALSE))),VLOOKUP($C365,武器!$1:$998,COLUMN($O$1),FALSE)*VLOOKUP($D365,素材!$1:$1016,COLUMN($E$1),FALSE)/(LEN(VLOOKUP($D365,素材!$1:$1016,COLUMN($F$1),FALSE))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0)+IF($CJ365&lt;&gt;"",VLOOKUP($CJ365,装強!$A$1:AM$1005,COLUMN(装強!AM$1),FALSE),0)</f>
        <v>0</v>
      </c>
      <c r="AN365">
        <f>IF(ISNUMBER(SEARCH(SUBSTITUTE(AN$1,RIGHT(AN$1,2),""),VLOOKUP($D365,素材!$1:$1016,COLUMN($F$1),FALSE))),VLOOKUP($C365,武器!$1:$998,COLUMN($O$1),FALSE)*VLOOKUP($D365,素材!$1:$1016,COLUMN($E$1),FALSE)/(LEN(VLOOKUP($D365,素材!$1:$1016,COLUMN($F$1),FALSE))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0)+IF($CJ365&lt;&gt;"",VLOOKUP($CJ365,装強!$A$1:AN$1005,COLUMN(装強!AN$1),FALSE),0)</f>
        <v>0</v>
      </c>
      <c r="AO365">
        <f>IF(ISNUMBER(SEARCH(SUBSTITUTE(AO$1,RIGHT(AO$1,2),""),VLOOKUP($D365,素材!$1:$1016,COLUMN($F$1),FALSE))),VLOOKUP($C365,武器!$1:$998,COLUMN($O$1),FALSE)*VLOOKUP($D365,素材!$1:$1016,COLUMN($E$1),FALSE)/(LEN(VLOOKUP($D365,素材!$1:$1016,COLUMN($F$1),FALSE))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0)+IF($CJ365&lt;&gt;"",VLOOKUP($CJ365,装強!$A$1:AO$1005,COLUMN(装強!AO$1),FALSE),0)</f>
        <v>0</v>
      </c>
      <c r="AP365">
        <f>IF(ISNUMBER(SEARCH(SUBSTITUTE(AP$1,RIGHT(AP$1,2),""),VLOOKUP($D365,素材!$1:$1016,COLUMN($F$1),FALSE))),VLOOKUP($C365,武器!$1:$998,COLUMN($O$1),FALSE)*VLOOKUP($D365,素材!$1:$1016,COLUMN($E$1),FALSE)/(LEN(VLOOKUP($D365,素材!$1:$1016,COLUMN($F$1),FALSE))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0)+IF($CJ365&lt;&gt;"",VLOOKUP($CJ365,装強!$A$1:AP$1005,COLUMN(装強!AP$1),FALSE),0)</f>
        <v>0</v>
      </c>
      <c r="AQ365">
        <f>IF(ISNUMBER(SEARCH(SUBSTITUTE(AQ$1,RIGHT(AQ$1,2),""),VLOOKUP($D365,素材!$1:$1016,COLUMN($F$1),FALSE))),VLOOKUP($C365,武器!$1:$998,COLUMN($O$1),FALSE)*VLOOKUP($D365,素材!$1:$1016,COLUMN($E$1),FALSE)/(LEN(VLOOKUP($D365,素材!$1:$1016,COLUMN($F$1),FALSE))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0)+IF($CJ365&lt;&gt;"",VLOOKUP($CJ365,装強!$A$1:AQ$1005,COLUMN(装強!AQ$1),FALSE),0)</f>
        <v>0</v>
      </c>
      <c r="AR365">
        <f>IF(ISNUMBER(SEARCH(SUBSTITUTE(AR$1,RIGHT(AR$1,2),""),VLOOKUP($D365,素材!$1:$1016,COLUMN($F$1),FALSE))),VLOOKUP($C365,武器!$1:$998,COLUMN($O$1),FALSE)*VLOOKUP($D365,素材!$1:$1016,COLUMN($E$1),FALSE)/(LEN(VLOOKUP($D365,素材!$1:$1016,COLUMN($F$1),FALSE))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0)+IF($CJ365&lt;&gt;"",VLOOKUP($CJ365,装強!$A$1:AR$1005,COLUMN(装強!AR$1),FALSE),0)</f>
        <v>0</v>
      </c>
      <c r="AS365">
        <f>IF(ISNUMBER(SEARCH(SUBSTITUTE(AS$1,RIGHT(AS$1,2),""),VLOOKUP($D365,素材!$1:$1016,COLUMN($F$1),FALSE))),VLOOKUP($C365,武器!$1:$998,COLUMN($O$1),FALSE)*VLOOKUP($D365,素材!$1:$1016,COLUMN($E$1),FALSE)/(LEN(VLOOKUP($D365,素材!$1:$1016,COLUMN($F$1),FALSE))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0)+IF($CJ365&lt;&gt;"",VLOOKUP($CJ365,装強!$A$1:AS$1005,COLUMN(装強!AS$1),FALSE),0)</f>
        <v>0</v>
      </c>
      <c r="AT365">
        <f>IF(ISNUMBER(SEARCH(SUBSTITUTE(AT$1,RIGHT(AT$1,2),""),VLOOKUP($D365,素材!$1:$1016,COLUMN($F$1),FALSE))),VLOOKUP($C365,武器!$1:$998,COLUMN($O$1),FALSE)*VLOOKUP($D365,素材!$1:$1016,COLUMN($E$1),FALSE)/(LEN(VLOOKUP($D365,素材!$1:$1016,COLUMN($F$1),FALSE))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0)+IF($CJ365&lt;&gt;"",VLOOKUP($CJ365,装強!$A$1:AT$1005,COLUMN(装強!AT$1),FALSE),0)</f>
        <v>0</v>
      </c>
      <c r="AU365">
        <f>IF(ISNUMBER(SEARCH(SUBSTITUTE(AU$1,RIGHT(AU$1,2),""),VLOOKUP($D365,素材!$1:$1016,COLUMN($F$1),FALSE))),VLOOKUP($C365,武器!$1:$998,COLUMN($O$1),FALSE)*VLOOKUP($D365,素材!$1:$1016,COLUMN($E$1),FALSE)/(LEN(VLOOKUP($D365,素材!$1:$1016,COLUMN($F$1),FALSE))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0)+IF($CJ365&lt;&gt;"",VLOOKUP($CJ365,装強!$A$1:AU$1005,COLUMN(装強!AU$1),FALSE),0)</f>
        <v>0</v>
      </c>
      <c r="AV365">
        <f>IF(ISNUMBER(SEARCH(SUBSTITUTE(AV$1,RIGHT(AV$1,2),""),VLOOKUP($D365,素材!$1:$1016,COLUMN($F$1),FALSE))),VLOOKUP($C365,武器!$1:$998,COLUMN($O$1),FALSE)*VLOOKUP($D365,素材!$1:$1016,COLUMN($E$1),FALSE)/(LEN(VLOOKUP($D365,素材!$1:$1016,COLUMN($F$1),FALSE))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0)+IF($CJ365&lt;&gt;"",VLOOKUP($CJ365,装強!$A$1:AV$1005,COLUMN(装強!AV$1),FALSE),0)</f>
        <v>0</v>
      </c>
      <c r="AW365">
        <f>IF(ISNUMBER(SEARCH(SUBSTITUTE(AW$1,RIGHT(AW$1,2),""),VLOOKUP($D365,素材!$1:$1016,COLUMN($F$1),FALSE))),VLOOKUP($C365,武器!$1:$998,COLUMN($O$1),FALSE)*VLOOKUP($D365,素材!$1:$1016,COLUMN($E$1),FALSE)/(LEN(VLOOKUP($D365,素材!$1:$1016,COLUMN($F$1),FALSE))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0)+IF($CJ365&lt;&gt;"",VLOOKUP($CJ365,装強!$A$1:AW$1005,COLUMN(装強!AW$1),FALSE),0)</f>
        <v>0</v>
      </c>
      <c r="AX365">
        <f>IF(ISNUMBER(SEARCH(SUBSTITUTE(AX$1,RIGHT(AX$1,2),""),VLOOKUP($D365,素材!$1:$1016,COLUMN($F$1),FALSE))),VLOOKUP($C365,武器!$1:$998,COLUMN($O$1),FALSE)*VLOOKUP($D365,素材!$1:$1016,COLUMN($E$1),FALSE)/(LEN(VLOOKUP($D365,素材!$1:$1016,COLUMN($F$1),FALSE))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0)+IF($CJ365&lt;&gt;"",VLOOKUP($CJ365,装強!$A$1:AX$1005,COLUMN(装強!AX$1),FALSE),0)</f>
        <v>0</v>
      </c>
      <c r="AY365">
        <f>IF(ISNUMBER(SEARCH(SUBSTITUTE(AY$1,RIGHT(AY$1,2),""),VLOOKUP($D365,素材!$1:$1016,COLUMN($F$1),FALSE))),VLOOKUP($C365,武器!$1:$998,COLUMN($O$1),FALSE)*VLOOKUP($D365,素材!$1:$1016,COLUMN($E$1),FALSE)/(LEN(VLOOKUP($D365,素材!$1:$1016,COLUMN($F$1),FALSE))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0)+IF($CJ365&lt;&gt;"",VLOOKUP($CJ365,装強!$A$1:AY$1005,COLUMN(装強!AY$1),FALSE),0)</f>
        <v>0</v>
      </c>
      <c r="AZ365">
        <f>IF(ISNUMBER(SEARCH(SUBSTITUTE(AZ$1,RIGHT(AZ$1,2),""),VLOOKUP($D365,素材!$1:$1016,COLUMN($F$1),FALSE))),VLOOKUP($C365,武器!$1:$998,COLUMN($O$1),FALSE)*VLOOKUP($D365,素材!$1:$1016,COLUMN($E$1),FALSE)/(LEN(VLOOKUP($D365,素材!$1:$1016,COLUMN($F$1),FALSE))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0)+IF($CJ365&lt;&gt;"",VLOOKUP($CJ365,装強!$A$1:AZ$1005,COLUMN(装強!AZ$1),FALSE),0)</f>
        <v>0</v>
      </c>
      <c r="BA365">
        <f>IF(ISNUMBER(SEARCH(SUBSTITUTE(BA$1,RIGHT(BA$1,2),""),VLOOKUP($D365,素材!$1:$1016,COLUMN($F$1),FALSE))),VLOOKUP($C365,武器!$1:$998,COLUMN($O$1),FALSE)*VLOOKUP($D365,素材!$1:$1016,COLUMN($E$1),FALSE)/(LEN(VLOOKUP($D365,素材!$1:$1016,COLUMN($F$1),FALSE))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0)+IF($CJ365&lt;&gt;"",VLOOKUP($CJ365,装強!$A$1:BA$1005,COLUMN(装強!BA$1),FALSE),0)</f>
        <v>0</v>
      </c>
      <c r="BB365">
        <f>IF(ISNUMBER(SEARCH(SUBSTITUTE(BB$1,RIGHT(BB$1,2),""),VLOOKUP($D365,素材!$1:$1016,COLUMN($F$1),FALSE))),VLOOKUP($C365,武器!$1:$998,COLUMN($O$1),FALSE)*VLOOKUP($D365,素材!$1:$1016,COLUMN($E$1),FALSE)/(LEN(VLOOKUP($D365,素材!$1:$1016,COLUMN($F$1),FALSE))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0)+IF($CJ365&lt;&gt;"",VLOOKUP($CJ365,装強!$A$1:BB$1005,COLUMN(装強!BB$1),FALSE),0)</f>
        <v>0</v>
      </c>
      <c r="BC365">
        <f>IF(ISNUMBER(SEARCH(SUBSTITUTE(BC$1,RIGHT(BC$1,2),""),VLOOKUP($D365,素材!$1:$1016,COLUMN($F$1),FALSE))),VLOOKUP($C365,武器!$1:$998,COLUMN($O$1),FALSE)*VLOOKUP($D365,素材!$1:$1016,COLUMN($E$1),FALSE)/(LEN(VLOOKUP($D365,素材!$1:$1016,COLUMN($F$1),FALSE))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0)+IF($CJ365&lt;&gt;"",VLOOKUP($CJ365,装強!$A$1:BC$1005,COLUMN(装強!BC$1),FALSE),0)</f>
        <v>0</v>
      </c>
      <c r="BD365">
        <f>IF(ISNUMBER(SEARCH(SUBSTITUTE(BD$1,RIGHT(BD$1,2),""),VLOOKUP($D365,素材!$1:$1016,COLUMN($F$1),FALSE))),VLOOKUP($C365,武器!$1:$998,COLUMN($O$1),FALSE)*VLOOKUP($D365,素材!$1:$1016,COLUMN($E$1),FALSE)/(LEN(VLOOKUP($D365,素材!$1:$1016,COLUMN($F$1),FALSE))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0)+IF($CJ365&lt;&gt;"",VLOOKUP($CJ365,装強!$A$1:BD$1005,COLUMN(装強!BD$1),FALSE),0)</f>
        <v>0</v>
      </c>
      <c r="BE365">
        <f>IF(ISNUMBER(SEARCH(SUBSTITUTE(BE$1,RIGHT(BE$1,2),""),VLOOKUP($D365,素材!$1:$1016,COLUMN($F$1),FALSE))),VLOOKUP($C365,武器!$1:$998,COLUMN($O$1),FALSE)*VLOOKUP($D365,素材!$1:$1016,COLUMN($E$1),FALSE)/(LEN(VLOOKUP($D365,素材!$1:$1016,COLUMN($F$1),FALSE))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0)+IF($CJ365&lt;&gt;"",VLOOKUP($CJ365,装強!$A$1:BE$1005,COLUMN(装強!BE$1),FALSE),0)</f>
        <v>0</v>
      </c>
      <c r="BF365">
        <f>IF(ISNUMBER(SEARCH(SUBSTITUTE(BF$1,RIGHT(BF$1,2),""),VLOOKUP($D365,素材!$1:$1016,COLUMN($F$1),FALSE))),VLOOKUP($C365,武器!$1:$998,COLUMN($O$1),FALSE)*VLOOKUP($D365,素材!$1:$1016,COLUMN($E$1),FALSE)/(LEN(VLOOKUP($D365,素材!$1:$1016,COLUMN($F$1),FALSE)) - LEN(SUBSTITUTE(VLOOKUP($D365,素材!$1:$1016,COLUMN($F$1),FALSE), "・", 0)) + 1), 0)+IF($CJ365&lt;&gt;"",VLOOKUP($CJ365,装強!$A$1:BF$1005,COLUMN(装強!BF$1),FALSE),0)</f>
        <v>0</v>
      </c>
      <c r="CJ365" t="s">
        <v>10</v>
      </c>
      <c r="CM365">
        <f t="shared" si="42"/>
        <v>0</v>
      </c>
      <c r="CN365" s="22" t="str">
        <f>IF(E365="武器",IF(J365-1&gt;SUM(G365:I365),"盾",IF(MAX(G365:I365)=G365,"切断",IF(MAX(G365:I365)=H365,"貫通",IF(MAX(G365:I365)=I365,"打撃","射撃")))),E365)&amp;".webp"</f>
        <v>装飾.webp</v>
      </c>
      <c r="CO365">
        <f>IFERROR(VLOOKUP($C365,武器!$1:$998,COLUMN(V$1),FALSE)*VLOOKUP($D365,素材!$1:$1016,COLUMN(N$1),FALSE)+IF(CJ365="",0,VLOOKUP($CJ365,装強!$1:$1008,COLUMN($CL$1),FALSE)),"")</f>
        <v>8500</v>
      </c>
      <c r="CP365" t="str">
        <f>VLOOKUP(D365,素材!$A:$O,COLUMN(素材!O$1),FALSE)</f>
        <v>雷属性を持つドラゴン型生物から採取される鱗素材。雷属性攻撃への耐性を強化し、武器の電撃効果を高めることも可能です。</v>
      </c>
      <c r="CQ365" t="str">
        <f>VLOOKUP(C365,武器!$A:$W,COLUMN(武器!W$1),FALSE)</f>
        <v xml:space="preserve">防御 隠密 </v>
      </c>
      <c r="CS365" t="str">
        <f>"e_"&amp;ROW(CS365)</f>
        <v>e_365</v>
      </c>
      <c r="CT365">
        <f t="shared" si="43"/>
        <v>850000</v>
      </c>
    </row>
    <row r="366" spans="1:98" ht="37.5" outlineLevel="1" x14ac:dyDescent="0.4">
      <c r="A366" s="1" t="s">
        <v>1045</v>
      </c>
      <c r="B366" t="str">
        <f>IFERROR(VLOOKUP($D366,素材!$1:$1016,COLUMN($B$1),FALSE)&amp;"・"&amp;VLOOKUP($C366,武器!$1:$998,COLUMN(B$1),FALSE),"")</f>
        <v>アシッドドレイクスケール・マント</v>
      </c>
      <c r="C366" t="s">
        <v>1268</v>
      </c>
      <c r="D366" s="24" t="s">
        <v>954</v>
      </c>
      <c r="E366" t="str">
        <f>IFERROR(VLOOKUP(C366,武器!$1:$998,COLUMN(C$1),FALSE),"")</f>
        <v>装飾</v>
      </c>
      <c r="F366">
        <f>IFERROR(ROUNDDOWN((VLOOKUP($C366,武器!$1:$998,COLUMN(D$1),FALSE)+IFERROR(VLOOKUP($CJ366,装強!$1:$999,COLUMN(F$1),FALSE),0))*VLOOKUP($D366,素材!$1:$1016,COLUMN(D$1),FALSE),0),"")</f>
        <v>0</v>
      </c>
      <c r="G366">
        <f>IFERROR(ROUNDDOWN((VLOOKUP($C366,武器!$1:$998,COLUMN(E$1),FALSE)+IFERROR(VLOOKUP($CJ366,装強!$1:$999,COLUMN(G$1),FALSE),0))*VLOOKUP($D366,素材!$1:$1016,COLUMN($E$1),FALSE),0),"")</f>
        <v>0</v>
      </c>
      <c r="H366">
        <f>IFERROR(ROUNDDOWN((VLOOKUP($C366,武器!$1:$998,COLUMN(F$1),FALSE)+IFERROR(VLOOKUP($CJ366,装強!$1:$999,COLUMN(H$1),FALSE),0))*VLOOKUP($D366,素材!$1:$1016,COLUMN($E$1),FALSE),0),"")</f>
        <v>0</v>
      </c>
      <c r="I366">
        <f>IFERROR(ROUNDDOWN((VLOOKUP($C366,武器!$1:$998,COLUMN(G$1),FALSE)+IFERROR(VLOOKUP($CJ366,装強!$1:$999,COLUMN(I$1),FALSE),0))*VLOOKUP($D366,素材!$1:$1016,COLUMN($E$1),FALSE),0),"")</f>
        <v>0</v>
      </c>
      <c r="J366">
        <f>IFERROR(ROUNDDOWN((VLOOKUP($C366,武器!$1:$998,COLUMN(H$1),FALSE)+IFERROR(VLOOKUP($CJ366,装強!$1:$999,COLUMN(J$1),FALSE),0))*VLOOKUP($D366,素材!$1:$1016,COLUMN($E$1),FALSE),0),"")</f>
        <v>0</v>
      </c>
      <c r="K366">
        <f>IFERROR(ROUNDDOWN((VLOOKUP($C366,武器!$1:$998,COLUMN(I$1),FALSE)+IFERROR(VLOOKUP($CJ366,装強!$1:$999,COLUMN(K$1),FALSE),0))*VLOOKUP($D366,素材!$1:$1016,COLUMN($E$1),FALSE),0),"")</f>
        <v>0</v>
      </c>
      <c r="L366" t="str">
        <f>IFERROR(VLOOKUP($D366,素材!$1:$1016,COLUMN($F$1),FALSE),"")</f>
        <v>雷</v>
      </c>
      <c r="M366">
        <f>IFERROR(VLOOKUP($C366,武器!$1:$998,COLUMN(AA$1),FALSE)*VLOOKUP($D366,素材!$1:$1016,COLUMN($G$1),FALSE),"")</f>
        <v>0</v>
      </c>
      <c r="N366">
        <f>IFERROR(VLOOKUP($C366,武器!$1:$998,COLUMN(I$1),FALSE),"")</f>
        <v>0</v>
      </c>
      <c r="O366" s="23" t="str">
        <f>IFERROR((VLOOKUP($C366,武器!$1:$998,COLUMN(K$1),FALSE)+VLOOKUP($D366,素材!$1:$1016,COLUMN(H$1),FALSE))*100+IFERROR(VLOOKUP($CJ366,装強!$1:$999,COLUMN(O$1),FALSE),0),"")</f>
        <v/>
      </c>
      <c r="P366" s="23" t="str">
        <f>IFERROR((VLOOKUP($C366,武器!$1:$998,COLUMN(L$1),FALSE)+VLOOKUP($D366,素材!$1:$1016,COLUMN(I$1),FALSE))*100+IFERROR(VLOOKUP($CJ366,装強!$1:$999,COLUMN(P$1),FALSE),0),"")</f>
        <v/>
      </c>
      <c r="Q366">
        <f>IFERROR(ROUNDUP(VLOOKUP($C366,武器!$1:$998,COLUMN(M$1),FALSE)*(VLOOKUP($D366,素材!$1:$1002,COLUMN(D$1),FALSE)/100),1),"")</f>
        <v>0</v>
      </c>
      <c r="R366">
        <f>IFERROR(ROUNDUP(VLOOKUP($C366,武器!$1:$998,COLUMN(N$1),FALSE)*(VLOOKUP($D366,素材!$1:$1002,COLUMN(D$1),FALSE)/100),1),"")</f>
        <v>0</v>
      </c>
      <c r="S366">
        <f>IFERROR(VLOOKUP($C366,武器!$1:$998,COLUMN(P$1),FALSE),"")</f>
        <v>0</v>
      </c>
      <c r="T366">
        <f>IFERROR(VLOOKUP($C366,武器!$1:$998,COLUMN(Q$1),FALSE),"")</f>
        <v>0</v>
      </c>
      <c r="U366">
        <f>IFERROR(VLOOKUP($C366,武器!$1:$998,COLUMN(R$1),FALSE),"")</f>
        <v>0</v>
      </c>
      <c r="V366">
        <f>IFERROR(VLOOKUP($C366,武器!$1:$998,COLUMN(Q$1),FALSE),"")</f>
        <v>0</v>
      </c>
      <c r="W366">
        <f>IFERROR(VLOOKUP($C366,武器!$1:$998,COLUMN(T$1),FALSE),"")</f>
        <v>0</v>
      </c>
      <c r="Y366">
        <f>IFERROR(VLOOKUP($C366,武器!$1:$998,COLUMN(U$1),FALSE),"")</f>
        <v>0</v>
      </c>
      <c r="Z366">
        <f>IFERROR(ROUNDUP(VLOOKUP($C366,武器!$1:$998,COLUMN(O$1),FALSE)*VLOOKUP($D366,素材!$1:$1016,COLUMN(E$1),FALSE),1),"")</f>
        <v>0</v>
      </c>
      <c r="AA366">
        <f>IF(ISNUMBER(SEARCH(SUBSTITUTE(AA$1,RIGHT(AA$1,2),""),VLOOKUP($D366,素材!$1:$1016,COLUMN($F$1),FALSE))),VLOOKUP($C366,武器!$1:$998,COLUMN($O$1),FALSE)*VLOOKUP($D366,素材!$1:$1016,COLUMN($E$1),FALSE)/(LEN(VLOOKUP($D366,素材!$1:$1016,COLUMN($F$1),FALSE))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</f>
        <v>0</v>
      </c>
      <c r="AB366">
        <f>IF(ISNUMBER(SEARCH(SUBSTITUTE(AB$1,RIGHT(AB$1,2),""),VLOOKUP($D366,素材!$1:$1016,COLUMN($F$1),FALSE))),VLOOKUP($C366,武器!$1:$998,COLUMN($O$1),FALSE)*VLOOKUP($D366,素材!$1:$1016,COLUMN($E$1),FALSE)/(LEN(VLOOKUP($D366,素材!$1:$1016,COLUMN($F$1),FALSE))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</f>
        <v>0</v>
      </c>
      <c r="AC366">
        <f>IF(ISNUMBER(SEARCH(SUBSTITUTE(AC$1,RIGHT(AC$1,2),""),VLOOKUP($D366,素材!$1:$1016,COLUMN($F$1),FALSE))),VLOOKUP($C366,武器!$1:$998,COLUMN($O$1),FALSE)*VLOOKUP($D366,素材!$1:$1016,COLUMN($E$1),FALSE)/(LEN(VLOOKUP($D366,素材!$1:$1016,COLUMN($F$1),FALSE))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</f>
        <v>0</v>
      </c>
      <c r="AD366">
        <f>IF(ISNUMBER(SEARCH(SUBSTITUTE(AD$1,RIGHT(AD$1,2),""),VLOOKUP($D366,素材!$1:$1016,COLUMN($F$1),FALSE))),VLOOKUP($C366,武器!$1:$998,COLUMN($O$1),FALSE)*VLOOKUP($D366,素材!$1:$1016,COLUMN($E$1),FALSE)/(LEN(VLOOKUP($D366,素材!$1:$1016,COLUMN($F$1),FALSE))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</f>
        <v>0</v>
      </c>
      <c r="AE366">
        <f>IF(ISNUMBER(SEARCH(SUBSTITUTE(AE$1,RIGHT(AE$1,2),""),VLOOKUP($D366,素材!$1:$1016,COLUMN($F$1),FALSE))),VLOOKUP($C366,武器!$1:$998,COLUMN($O$1),FALSE)*VLOOKUP($D366,素材!$1:$1016,COLUMN($E$1),FALSE)/(LEN(VLOOKUP($D366,素材!$1:$1016,COLUMN($F$1),FALSE))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0)+IF($CJ366&lt;&gt;"",VLOOKUP($CJ366,装強!$A$1:AE$1005,COLUMN(装強!AE$1),FALSE),0)</f>
        <v>0</v>
      </c>
      <c r="AF366">
        <f>IF(ISNUMBER(SEARCH(SUBSTITUTE(AF$1,RIGHT(AF$1,2),""),VLOOKUP($D366,素材!$1:$1016,COLUMN($F$1),FALSE))),VLOOKUP($C366,武器!$1:$998,COLUMN($O$1),FALSE)*VLOOKUP($D366,素材!$1:$1016,COLUMN($E$1),FALSE)/(LEN(VLOOKUP($D366,素材!$1:$1016,COLUMN($F$1),FALSE))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0)+IF($CJ366&lt;&gt;"",VLOOKUP($CJ366,装強!$A$1:AF$1005,COLUMN(装強!AF$1),FALSE),0)</f>
        <v>0</v>
      </c>
      <c r="AG366">
        <f>IF(ISNUMBER(SEARCH(SUBSTITUTE(AG$1,RIGHT(AG$1,2),""),VLOOKUP($D366,素材!$1:$1016,COLUMN($F$1),FALSE))),VLOOKUP($C366,武器!$1:$998,COLUMN($O$1),FALSE)*VLOOKUP($D366,素材!$1:$1016,COLUMN($E$1),FALSE)/(LEN(VLOOKUP($D366,素材!$1:$1016,COLUMN($F$1),FALSE))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0)+IF($CJ366&lt;&gt;"",VLOOKUP($CJ366,装強!$A$1:AG$1005,COLUMN(装強!AG$1),FALSE),0)</f>
        <v>0</v>
      </c>
      <c r="AH366">
        <f>IF(ISNUMBER(SEARCH(SUBSTITUTE(AH$1,RIGHT(AH$1,2),""),VLOOKUP($D366,素材!$1:$1016,COLUMN($F$1),FALSE))),VLOOKUP($C366,武器!$1:$998,COLUMN($O$1),FALSE)*VLOOKUP($D366,素材!$1:$1016,COLUMN($E$1),FALSE)/(LEN(VLOOKUP($D366,素材!$1:$1016,COLUMN($F$1),FALSE))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0)+IF($CJ366&lt;&gt;"",VLOOKUP($CJ366,装強!$A$1:AH$1005,COLUMN(装強!AH$1),FALSE),0)</f>
        <v>15</v>
      </c>
      <c r="AI366">
        <f>IF(ISNUMBER(SEARCH(SUBSTITUTE(AI$1,RIGHT(AI$1,2),""),VLOOKUP($D366,素材!$1:$1016,COLUMN($F$1),FALSE))),VLOOKUP($C366,武器!$1:$998,COLUMN($O$1),FALSE)*VLOOKUP($D366,素材!$1:$1016,COLUMN($E$1),FALSE)/(LEN(VLOOKUP($D366,素材!$1:$1016,COLUMN($F$1),FALSE))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0)+IF($CJ366&lt;&gt;"",VLOOKUP($CJ366,装強!$A$1:AI$1005,COLUMN(装強!AI$1),FALSE),0)</f>
        <v>0</v>
      </c>
      <c r="AJ366">
        <f>IF(ISNUMBER(SEARCH(SUBSTITUTE(AJ$1,RIGHT(AJ$1,2),""),VLOOKUP($D366,素材!$1:$1016,COLUMN($F$1),FALSE))),VLOOKUP($C366,武器!$1:$998,COLUMN($O$1),FALSE)*VLOOKUP($D366,素材!$1:$1016,COLUMN($E$1),FALSE)/(LEN(VLOOKUP($D366,素材!$1:$1016,COLUMN($F$1),FALSE))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0)+IF($CJ366&lt;&gt;"",VLOOKUP($CJ366,装強!$A$1:AJ$1005,COLUMN(装強!AJ$1),FALSE),0)</f>
        <v>0</v>
      </c>
      <c r="AK366">
        <f>IF(ISNUMBER(SEARCH(SUBSTITUTE(AK$1,RIGHT(AK$1,2),""),VLOOKUP($D366,素材!$1:$1016,COLUMN($F$1),FALSE))),VLOOKUP($C366,武器!$1:$998,COLUMN($O$1),FALSE)*VLOOKUP($D366,素材!$1:$1016,COLUMN($E$1),FALSE)/(LEN(VLOOKUP($D366,素材!$1:$1016,COLUMN($F$1),FALSE))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0)+IF($CJ366&lt;&gt;"",VLOOKUP($CJ366,装強!$A$1:AK$1005,COLUMN(装強!AK$1),FALSE),0)</f>
        <v>0</v>
      </c>
      <c r="AL366">
        <f>IF(ISNUMBER(SEARCH(SUBSTITUTE(AL$1,RIGHT(AL$1,2),""),VLOOKUP($D366,素材!$1:$1016,COLUMN($F$1),FALSE))),VLOOKUP($C366,武器!$1:$998,COLUMN($O$1),FALSE)*VLOOKUP($D366,素材!$1:$1016,COLUMN($E$1),FALSE)/(LEN(VLOOKUP($D366,素材!$1:$1016,COLUMN($F$1),FALSE))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0)+IF($CJ366&lt;&gt;"",VLOOKUP($CJ366,装強!$A$1:AL$1005,COLUMN(装強!AL$1),FALSE),0)</f>
        <v>0</v>
      </c>
      <c r="AM366">
        <f>IF(ISNUMBER(SEARCH(SUBSTITUTE(AM$1,RIGHT(AM$1,2),""),VLOOKUP($D366,素材!$1:$1016,COLUMN($F$1),FALSE))),VLOOKUP($C366,武器!$1:$998,COLUMN($O$1),FALSE)*VLOOKUP($D366,素材!$1:$1016,COLUMN($E$1),FALSE)/(LEN(VLOOKUP($D366,素材!$1:$1016,COLUMN($F$1),FALSE))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0)+IF($CJ366&lt;&gt;"",VLOOKUP($CJ366,装強!$A$1:AM$1005,COLUMN(装強!AM$1),FALSE),0)</f>
        <v>0</v>
      </c>
      <c r="AN366">
        <f>IF(ISNUMBER(SEARCH(SUBSTITUTE(AN$1,RIGHT(AN$1,2),""),VLOOKUP($D366,素材!$1:$1016,COLUMN($F$1),FALSE))),VLOOKUP($C366,武器!$1:$998,COLUMN($O$1),FALSE)*VLOOKUP($D366,素材!$1:$1016,COLUMN($E$1),FALSE)/(LEN(VLOOKUP($D366,素材!$1:$1016,COLUMN($F$1),FALSE))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0)+IF($CJ366&lt;&gt;"",VLOOKUP($CJ366,装強!$A$1:AN$1005,COLUMN(装強!AN$1),FALSE),0)</f>
        <v>0</v>
      </c>
      <c r="AO366">
        <f>IF(ISNUMBER(SEARCH(SUBSTITUTE(AO$1,RIGHT(AO$1,2),""),VLOOKUP($D366,素材!$1:$1016,COLUMN($F$1),FALSE))),VLOOKUP($C366,武器!$1:$998,COLUMN($O$1),FALSE)*VLOOKUP($D366,素材!$1:$1016,COLUMN($E$1),FALSE)/(LEN(VLOOKUP($D366,素材!$1:$1016,COLUMN($F$1),FALSE))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0)+IF($CJ366&lt;&gt;"",VLOOKUP($CJ366,装強!$A$1:AO$1005,COLUMN(装強!AO$1),FALSE),0)</f>
        <v>0</v>
      </c>
      <c r="AP366">
        <f>IF(ISNUMBER(SEARCH(SUBSTITUTE(AP$1,RIGHT(AP$1,2),""),VLOOKUP($D366,素材!$1:$1016,COLUMN($F$1),FALSE))),VLOOKUP($C366,武器!$1:$998,COLUMN($O$1),FALSE)*VLOOKUP($D366,素材!$1:$1016,COLUMN($E$1),FALSE)/(LEN(VLOOKUP($D366,素材!$1:$1016,COLUMN($F$1),FALSE))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0)+IF($CJ366&lt;&gt;"",VLOOKUP($CJ366,装強!$A$1:AP$1005,COLUMN(装強!AP$1),FALSE),0)</f>
        <v>0</v>
      </c>
      <c r="AQ366">
        <f>IF(ISNUMBER(SEARCH(SUBSTITUTE(AQ$1,RIGHT(AQ$1,2),""),VLOOKUP($D366,素材!$1:$1016,COLUMN($F$1),FALSE))),VLOOKUP($C366,武器!$1:$998,COLUMN($O$1),FALSE)*VLOOKUP($D366,素材!$1:$1016,COLUMN($E$1),FALSE)/(LEN(VLOOKUP($D366,素材!$1:$1016,COLUMN($F$1),FALSE))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0)+IF($CJ366&lt;&gt;"",VLOOKUP($CJ366,装強!$A$1:AQ$1005,COLUMN(装強!AQ$1),FALSE),0)</f>
        <v>0</v>
      </c>
      <c r="AR366">
        <f>IF(ISNUMBER(SEARCH(SUBSTITUTE(AR$1,RIGHT(AR$1,2),""),VLOOKUP($D366,素材!$1:$1016,COLUMN($F$1),FALSE))),VLOOKUP($C366,武器!$1:$998,COLUMN($O$1),FALSE)*VLOOKUP($D366,素材!$1:$1016,COLUMN($E$1),FALSE)/(LEN(VLOOKUP($D366,素材!$1:$1016,COLUMN($F$1),FALSE))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0)+IF($CJ366&lt;&gt;"",VLOOKUP($CJ366,装強!$A$1:AR$1005,COLUMN(装強!AR$1),FALSE),0)</f>
        <v>0</v>
      </c>
      <c r="AS366">
        <f>IF(ISNUMBER(SEARCH(SUBSTITUTE(AS$1,RIGHT(AS$1,2),""),VLOOKUP($D366,素材!$1:$1016,COLUMN($F$1),FALSE))),VLOOKUP($C366,武器!$1:$998,COLUMN($O$1),FALSE)*VLOOKUP($D366,素材!$1:$1016,COLUMN($E$1),FALSE)/(LEN(VLOOKUP($D366,素材!$1:$1016,COLUMN($F$1),FALSE))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0)+IF($CJ366&lt;&gt;"",VLOOKUP($CJ366,装強!$A$1:AS$1005,COLUMN(装強!AS$1),FALSE),0)</f>
        <v>0</v>
      </c>
      <c r="AT366">
        <f>IF(ISNUMBER(SEARCH(SUBSTITUTE(AT$1,RIGHT(AT$1,2),""),VLOOKUP($D366,素材!$1:$1016,COLUMN($F$1),FALSE))),VLOOKUP($C366,武器!$1:$998,COLUMN($O$1),FALSE)*VLOOKUP($D366,素材!$1:$1016,COLUMN($E$1),FALSE)/(LEN(VLOOKUP($D366,素材!$1:$1016,COLUMN($F$1),FALSE))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0)+IF($CJ366&lt;&gt;"",VLOOKUP($CJ366,装強!$A$1:AT$1005,COLUMN(装強!AT$1),FALSE),0)</f>
        <v>0</v>
      </c>
      <c r="AU366">
        <f>IF(ISNUMBER(SEARCH(SUBSTITUTE(AU$1,RIGHT(AU$1,2),""),VLOOKUP($D366,素材!$1:$1016,COLUMN($F$1),FALSE))),VLOOKUP($C366,武器!$1:$998,COLUMN($O$1),FALSE)*VLOOKUP($D366,素材!$1:$1016,COLUMN($E$1),FALSE)/(LEN(VLOOKUP($D366,素材!$1:$1016,COLUMN($F$1),FALSE))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0)+IF($CJ366&lt;&gt;"",VLOOKUP($CJ366,装強!$A$1:AU$1005,COLUMN(装強!AU$1),FALSE),0)</f>
        <v>0</v>
      </c>
      <c r="AV366">
        <f>IF(ISNUMBER(SEARCH(SUBSTITUTE(AV$1,RIGHT(AV$1,2),""),VLOOKUP($D366,素材!$1:$1016,COLUMN($F$1),FALSE))),VLOOKUP($C366,武器!$1:$998,COLUMN($O$1),FALSE)*VLOOKUP($D366,素材!$1:$1016,COLUMN($E$1),FALSE)/(LEN(VLOOKUP($D366,素材!$1:$1016,COLUMN($F$1),FALSE))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0)+IF($CJ366&lt;&gt;"",VLOOKUP($CJ366,装強!$A$1:AV$1005,COLUMN(装強!AV$1),FALSE),0)</f>
        <v>0</v>
      </c>
      <c r="AW366">
        <f>IF(ISNUMBER(SEARCH(SUBSTITUTE(AW$1,RIGHT(AW$1,2),""),VLOOKUP($D366,素材!$1:$1016,COLUMN($F$1),FALSE))),VLOOKUP($C366,武器!$1:$998,COLUMN($O$1),FALSE)*VLOOKUP($D366,素材!$1:$1016,COLUMN($E$1),FALSE)/(LEN(VLOOKUP($D366,素材!$1:$1016,COLUMN($F$1),FALSE))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0)+IF($CJ366&lt;&gt;"",VLOOKUP($CJ366,装強!$A$1:AW$1005,COLUMN(装強!AW$1),FALSE),0)</f>
        <v>0</v>
      </c>
      <c r="AX366">
        <f>IF(ISNUMBER(SEARCH(SUBSTITUTE(AX$1,RIGHT(AX$1,2),""),VLOOKUP($D366,素材!$1:$1016,COLUMN($F$1),FALSE))),VLOOKUP($C366,武器!$1:$998,COLUMN($O$1),FALSE)*VLOOKUP($D366,素材!$1:$1016,COLUMN($E$1),FALSE)/(LEN(VLOOKUP($D366,素材!$1:$1016,COLUMN($F$1),FALSE))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0)+IF($CJ366&lt;&gt;"",VLOOKUP($CJ366,装強!$A$1:AX$1005,COLUMN(装強!AX$1),FALSE),0)</f>
        <v>0</v>
      </c>
      <c r="AY366">
        <f>IF(ISNUMBER(SEARCH(SUBSTITUTE(AY$1,RIGHT(AY$1,2),""),VLOOKUP($D366,素材!$1:$1016,COLUMN($F$1),FALSE))),VLOOKUP($C366,武器!$1:$998,COLUMN($O$1),FALSE)*VLOOKUP($D366,素材!$1:$1016,COLUMN($E$1),FALSE)/(LEN(VLOOKUP($D366,素材!$1:$1016,COLUMN($F$1),FALSE))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0)+IF($CJ366&lt;&gt;"",VLOOKUP($CJ366,装強!$A$1:AY$1005,COLUMN(装強!AY$1),FALSE),0)</f>
        <v>0</v>
      </c>
      <c r="AZ366">
        <f>IF(ISNUMBER(SEARCH(SUBSTITUTE(AZ$1,RIGHT(AZ$1,2),""),VLOOKUP($D366,素材!$1:$1016,COLUMN($F$1),FALSE))),VLOOKUP($C366,武器!$1:$998,COLUMN($O$1),FALSE)*VLOOKUP($D366,素材!$1:$1016,COLUMN($E$1),FALSE)/(LEN(VLOOKUP($D366,素材!$1:$1016,COLUMN($F$1),FALSE))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0)+IF($CJ366&lt;&gt;"",VLOOKUP($CJ366,装強!$A$1:AZ$1005,COLUMN(装強!AZ$1),FALSE),0)</f>
        <v>0</v>
      </c>
      <c r="BA366">
        <f>IF(ISNUMBER(SEARCH(SUBSTITUTE(BA$1,RIGHT(BA$1,2),""),VLOOKUP($D366,素材!$1:$1016,COLUMN($F$1),FALSE))),VLOOKUP($C366,武器!$1:$998,COLUMN($O$1),FALSE)*VLOOKUP($D366,素材!$1:$1016,COLUMN($E$1),FALSE)/(LEN(VLOOKUP($D366,素材!$1:$1016,COLUMN($F$1),FALSE))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0)+IF($CJ366&lt;&gt;"",VLOOKUP($CJ366,装強!$A$1:BA$1005,COLUMN(装強!BA$1),FALSE),0)</f>
        <v>0</v>
      </c>
      <c r="BB366">
        <f>IF(ISNUMBER(SEARCH(SUBSTITUTE(BB$1,RIGHT(BB$1,2),""),VLOOKUP($D366,素材!$1:$1016,COLUMN($F$1),FALSE))),VLOOKUP($C366,武器!$1:$998,COLUMN($O$1),FALSE)*VLOOKUP($D366,素材!$1:$1016,COLUMN($E$1),FALSE)/(LEN(VLOOKUP($D366,素材!$1:$1016,COLUMN($F$1),FALSE))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0)+IF($CJ366&lt;&gt;"",VLOOKUP($CJ366,装強!$A$1:BB$1005,COLUMN(装強!BB$1),FALSE),0)</f>
        <v>0</v>
      </c>
      <c r="BC366">
        <f>IF(ISNUMBER(SEARCH(SUBSTITUTE(BC$1,RIGHT(BC$1,2),""),VLOOKUP($D366,素材!$1:$1016,COLUMN($F$1),FALSE))),VLOOKUP($C366,武器!$1:$998,COLUMN($O$1),FALSE)*VLOOKUP($D366,素材!$1:$1016,COLUMN($E$1),FALSE)/(LEN(VLOOKUP($D366,素材!$1:$1016,COLUMN($F$1),FALSE))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0)+IF($CJ366&lt;&gt;"",VLOOKUP($CJ366,装強!$A$1:BC$1005,COLUMN(装強!BC$1),FALSE),0)</f>
        <v>0</v>
      </c>
      <c r="BD366">
        <f>IF(ISNUMBER(SEARCH(SUBSTITUTE(BD$1,RIGHT(BD$1,2),""),VLOOKUP($D366,素材!$1:$1016,COLUMN($F$1),FALSE))),VLOOKUP($C366,武器!$1:$998,COLUMN($O$1),FALSE)*VLOOKUP($D366,素材!$1:$1016,COLUMN($E$1),FALSE)/(LEN(VLOOKUP($D366,素材!$1:$1016,COLUMN($F$1),FALSE))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0)+IF($CJ366&lt;&gt;"",VLOOKUP($CJ366,装強!$A$1:BD$1005,COLUMN(装強!BD$1),FALSE),0)</f>
        <v>0</v>
      </c>
      <c r="BE366">
        <f>IF(ISNUMBER(SEARCH(SUBSTITUTE(BE$1,RIGHT(BE$1,2),""),VLOOKUP($D366,素材!$1:$1016,COLUMN($F$1),FALSE))),VLOOKUP($C366,武器!$1:$998,COLUMN($O$1),FALSE)*VLOOKUP($D366,素材!$1:$1016,COLUMN($E$1),FALSE)/(LEN(VLOOKUP($D366,素材!$1:$1016,COLUMN($F$1),FALSE))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0)+IF($CJ366&lt;&gt;"",VLOOKUP($CJ366,装強!$A$1:BE$1005,COLUMN(装強!BE$1),FALSE),0)</f>
        <v>0</v>
      </c>
      <c r="BF366">
        <f>IF(ISNUMBER(SEARCH(SUBSTITUTE(BF$1,RIGHT(BF$1,2),""),VLOOKUP($D366,素材!$1:$1016,COLUMN($F$1),FALSE))),VLOOKUP($C366,武器!$1:$998,COLUMN($O$1),FALSE)*VLOOKUP($D366,素材!$1:$1016,COLUMN($E$1),FALSE)/(LEN(VLOOKUP($D366,素材!$1:$1016,COLUMN($F$1),FALSE)) - LEN(SUBSTITUTE(VLOOKUP($D366,素材!$1:$1016,COLUMN($F$1),FALSE), "・", 0)) + 1), 0)+IF($CJ366&lt;&gt;"",VLOOKUP($CJ366,装強!$A$1:BF$1005,COLUMN(装強!BF$1),FALSE),0)</f>
        <v>0</v>
      </c>
      <c r="CJ366" t="s">
        <v>8</v>
      </c>
      <c r="CM366">
        <f t="shared" si="42"/>
        <v>0</v>
      </c>
      <c r="CN366" s="22" t="str">
        <f>IF(E366="武器",IF(J366-1&gt;SUM(G366:I366),"盾",IF(MAX(G366:I366)=G366,"切断",IF(MAX(G366:I366)=H366,"貫通",IF(MAX(G366:I366)=I366,"打撃","射撃")))),E366)&amp;".webp"</f>
        <v>装飾.webp</v>
      </c>
      <c r="CO366">
        <f>IFERROR(VLOOKUP($C366,武器!$1:$998,COLUMN(V$1),FALSE)*VLOOKUP($D366,素材!$1:$1016,COLUMN(N$1),FALSE)+IF(CJ366="",0,VLOOKUP($CJ366,装強!$1:$1008,COLUMN($CL$1),FALSE)),"")</f>
        <v>8500</v>
      </c>
      <c r="CP366" t="str">
        <f>VLOOKUP(D366,素材!$A:$O,COLUMN(素材!O$1),FALSE)</f>
        <v>酸性の体液を持つドラゴン型生物から採取される鱗素材。特殊な酸属性耐性を提供し、毒性や腐食性のある環境に適した防具の製作に適しています。</v>
      </c>
      <c r="CQ366" t="str">
        <f>VLOOKUP(C366,武器!$A:$W,COLUMN(武器!W$1),FALSE)</f>
        <v xml:space="preserve">防御 隠密 </v>
      </c>
      <c r="CS366" t="str">
        <f>"e_"&amp;ROW(CS366)</f>
        <v>e_366</v>
      </c>
      <c r="CT366">
        <f t="shared" si="43"/>
        <v>850000</v>
      </c>
    </row>
    <row r="367" spans="1:98" outlineLevel="1" x14ac:dyDescent="0.4">
      <c r="A367" t="s">
        <v>1290</v>
      </c>
      <c r="B367" t="s">
        <v>1291</v>
      </c>
      <c r="C367" t="s">
        <v>204</v>
      </c>
      <c r="D367" s="24" t="s">
        <v>1231</v>
      </c>
      <c r="E367" t="str">
        <f>IFERROR(VLOOKUP(C367,武器!$1:$998,COLUMN(C$1),FALSE),"")</f>
        <v>装飾</v>
      </c>
      <c r="F367">
        <f>IFERROR(ROUNDDOWN((VLOOKUP($C367,武器!$1:$998,COLUMN(D$1),FALSE)+IFERROR(VLOOKUP($CJ367,装強!$1:$999,COLUMN(F$1),FALSE),0))*VLOOKUP($D367,素材!$1:$1016,COLUMN(D$1),FALSE),0),"")</f>
        <v>0</v>
      </c>
      <c r="G367">
        <f>IFERROR(ROUNDDOWN((VLOOKUP($C367,武器!$1:$998,COLUMN(E$1),FALSE)+IFERROR(VLOOKUP($CJ367,装強!$1:$999,COLUMN(G$1),FALSE),0))*VLOOKUP($D367,素材!$1:$1016,COLUMN($E$1),FALSE),0),"")</f>
        <v>0</v>
      </c>
      <c r="H367">
        <f>IFERROR(ROUNDDOWN((VLOOKUP($C367,武器!$1:$998,COLUMN(F$1),FALSE)+IFERROR(VLOOKUP($CJ367,装強!$1:$999,COLUMN(H$1),FALSE),0))*VLOOKUP($D367,素材!$1:$1016,COLUMN($E$1),FALSE),0),"")</f>
        <v>0</v>
      </c>
      <c r="I367">
        <f>IFERROR(ROUNDDOWN((VLOOKUP($C367,武器!$1:$998,COLUMN(G$1),FALSE)+IFERROR(VLOOKUP($CJ367,装強!$1:$999,COLUMN(I$1),FALSE),0))*VLOOKUP($D367,素材!$1:$1016,COLUMN($E$1),FALSE),0),"")</f>
        <v>0</v>
      </c>
      <c r="J367">
        <f>IFERROR(ROUNDDOWN((VLOOKUP($C367,武器!$1:$998,COLUMN(H$1),FALSE)+IFERROR(VLOOKUP($CJ367,装強!$1:$999,COLUMN(J$1),FALSE),0))*VLOOKUP($D367,素材!$1:$1016,COLUMN($E$1),FALSE),0),"")</f>
        <v>0</v>
      </c>
      <c r="K367">
        <f>IFERROR(ROUNDDOWN((VLOOKUP($C367,武器!$1:$998,COLUMN(I$1),FALSE)+IFERROR(VLOOKUP($CJ367,装強!$1:$999,COLUMN(K$1),FALSE),0))*VLOOKUP($D367,素材!$1:$1016,COLUMN($E$1),FALSE),0),"")</f>
        <v>0</v>
      </c>
      <c r="L367" t="str">
        <f>IFERROR(VLOOKUP($D367,素材!$1:$1016,COLUMN($F$1),FALSE),"")</f>
        <v>悪</v>
      </c>
      <c r="M367">
        <f>IFERROR(VLOOKUP($C367,武器!$1:$998,COLUMN(AA$1),FALSE)*VLOOKUP($D367,素材!$1:$1016,COLUMN($G$1),FALSE),"")</f>
        <v>0</v>
      </c>
      <c r="N367">
        <f>IFERROR(VLOOKUP($C367,武器!$1:$998,COLUMN(I$1),FALSE),"")</f>
        <v>0</v>
      </c>
      <c r="O367" s="23">
        <f>IFERROR((VLOOKUP($C367,武器!$1:$998,COLUMN(K$1),FALSE)+VLOOKUP($D367,素材!$1:$1016,COLUMN(H$1),FALSE))*100+IFERROR(VLOOKUP($CJ367,装強!$1:$999,COLUMN(O$1),FALSE),0),"")</f>
        <v>0</v>
      </c>
      <c r="P367" s="23">
        <f>IFERROR((VLOOKUP($C367,武器!$1:$998,COLUMN(L$1),FALSE)+VLOOKUP($D367,素材!$1:$1016,COLUMN(I$1),FALSE))*100+IFERROR(VLOOKUP($CJ367,装強!$1:$999,COLUMN(P$1),FALSE),0),"")</f>
        <v>0</v>
      </c>
      <c r="Q367">
        <f>IFERROR(ROUNDUP(VLOOKUP($C367,武器!$1:$998,COLUMN(M$1),FALSE)*(VLOOKUP($D367,素材!$1:$1002,COLUMN(D$1),FALSE)/100),1),"")</f>
        <v>0</v>
      </c>
      <c r="R367">
        <f>IFERROR(ROUNDUP(VLOOKUP($C367,武器!$1:$998,COLUMN(N$1),FALSE)*(VLOOKUP($D367,素材!$1:$1002,COLUMN(D$1),FALSE)/100),1),"")</f>
        <v>0</v>
      </c>
      <c r="S367">
        <f>IFERROR(VLOOKUP($C367,武器!$1:$998,COLUMN(P$1),FALSE),"")</f>
        <v>0</v>
      </c>
      <c r="T367">
        <f>IFERROR(VLOOKUP($C367,武器!$1:$998,COLUMN(Q$1),FALSE),"")</f>
        <v>0</v>
      </c>
      <c r="U367">
        <f>IFERROR(VLOOKUP($C367,武器!$1:$998,COLUMN(R$1),FALSE),"")</f>
        <v>0</v>
      </c>
      <c r="V367">
        <f>IFERROR(VLOOKUP($C367,武器!$1:$998,COLUMN(Q$1),FALSE),"")</f>
        <v>0</v>
      </c>
      <c r="W367">
        <f>IFERROR(VLOOKUP($C367,武器!$1:$998,COLUMN(T$1),FALSE),"")</f>
        <v>0</v>
      </c>
      <c r="Y367">
        <f>IFERROR(VLOOKUP($C367,武器!$1:$998,COLUMN(U$1),FALSE),"")</f>
        <v>0</v>
      </c>
      <c r="Z367">
        <f>IFERROR(ROUNDUP(VLOOKUP($C367,武器!$1:$998,COLUMN(O$1),FALSE)*VLOOKUP($D367,素材!$1:$1016,COLUMN(E$1),FALSE),1),"")</f>
        <v>0</v>
      </c>
      <c r="AA367">
        <f>IF(ISNUMBER(SEARCH(SUBSTITUTE(AA$1,RIGHT(AA$1,2),""),VLOOKUP($D367,素材!$1:$1016,COLUMN($F$1),FALSE))),VLOOKUP($C367,武器!$1:$998,COLUMN($O$1),FALSE)*VLOOKUP($D367,素材!$1:$1016,COLUMN($E$1),FALSE)/(LEN(VLOOKUP($D367,素材!$1:$1016,COLUMN($F$1),FALSE))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</f>
        <v>0</v>
      </c>
      <c r="AB367">
        <f>IF(ISNUMBER(SEARCH(SUBSTITUTE(AB$1,RIGHT(AB$1,2),""),VLOOKUP($D367,素材!$1:$1016,COLUMN($F$1),FALSE))),VLOOKUP($C367,武器!$1:$998,COLUMN($O$1),FALSE)*VLOOKUP($D367,素材!$1:$1016,COLUMN($E$1),FALSE)/(LEN(VLOOKUP($D367,素材!$1:$1016,COLUMN($F$1),FALSE))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</f>
        <v>0</v>
      </c>
      <c r="AC367">
        <f>IF(ISNUMBER(SEARCH(SUBSTITUTE(AC$1,RIGHT(AC$1,2),""),VLOOKUP($D367,素材!$1:$1016,COLUMN($F$1),FALSE))),VLOOKUP($C367,武器!$1:$998,COLUMN($O$1),FALSE)*VLOOKUP($D367,素材!$1:$1016,COLUMN($E$1),FALSE)/(LEN(VLOOKUP($D367,素材!$1:$1016,COLUMN($F$1),FALSE))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</f>
        <v>0</v>
      </c>
      <c r="AD367">
        <f>IF(ISNUMBER(SEARCH(SUBSTITUTE(AD$1,RIGHT(AD$1,2),""),VLOOKUP($D367,素材!$1:$1016,COLUMN($F$1),FALSE))),VLOOKUP($C367,武器!$1:$998,COLUMN($O$1),FALSE)*VLOOKUP($D367,素材!$1:$1016,COLUMN($E$1),FALSE)/(LEN(VLOOKUP($D367,素材!$1:$1016,COLUMN($F$1),FALSE))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</f>
        <v>0</v>
      </c>
      <c r="AE367">
        <f>IF(ISNUMBER(SEARCH(SUBSTITUTE(AE$1,RIGHT(AE$1,2),""),VLOOKUP($D367,素材!$1:$1016,COLUMN($F$1),FALSE))),VLOOKUP($C367,武器!$1:$998,COLUMN($O$1),FALSE)*VLOOKUP($D367,素材!$1:$1016,COLUMN($E$1),FALSE)/(LEN(VLOOKUP($D367,素材!$1:$1016,COLUMN($F$1),FALSE))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0)+IF($CJ367&lt;&gt;"",VLOOKUP($CJ367,装強!$A$1:AE$1005,COLUMN(装強!AE$1),FALSE),0)</f>
        <v>0</v>
      </c>
      <c r="AF367">
        <f>IF(ISNUMBER(SEARCH(SUBSTITUTE(AF$1,RIGHT(AF$1,2),""),VLOOKUP($D367,素材!$1:$1016,COLUMN($F$1),FALSE))),VLOOKUP($C367,武器!$1:$998,COLUMN($O$1),FALSE)*VLOOKUP($D367,素材!$1:$1016,COLUMN($E$1),FALSE)/(LEN(VLOOKUP($D367,素材!$1:$1016,COLUMN($F$1),FALSE))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0)+IF($CJ367&lt;&gt;"",VLOOKUP($CJ367,装強!$A$1:AF$1005,COLUMN(装強!AF$1),FALSE),0)</f>
        <v>0</v>
      </c>
      <c r="AG367">
        <f>IF(ISNUMBER(SEARCH(SUBSTITUTE(AG$1,RIGHT(AG$1,2),""),VLOOKUP($D367,素材!$1:$1016,COLUMN($F$1),FALSE))),VLOOKUP($C367,武器!$1:$998,COLUMN($O$1),FALSE)*VLOOKUP($D367,素材!$1:$1016,COLUMN($E$1),FALSE)/(LEN(VLOOKUP($D367,素材!$1:$1016,COLUMN($F$1),FALSE))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0)+IF($CJ367&lt;&gt;"",VLOOKUP($CJ367,装強!$A$1:AG$1005,COLUMN(装強!AG$1),FALSE),0)</f>
        <v>0</v>
      </c>
      <c r="AH367">
        <f>IF(ISNUMBER(SEARCH(SUBSTITUTE(AH$1,RIGHT(AH$1,2),""),VLOOKUP($D367,素材!$1:$1016,COLUMN($F$1),FALSE))),VLOOKUP($C367,武器!$1:$998,COLUMN($O$1),FALSE)*VLOOKUP($D367,素材!$1:$1016,COLUMN($E$1),FALSE)/(LEN(VLOOKUP($D367,素材!$1:$1016,COLUMN($F$1),FALSE))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0)+IF($CJ367&lt;&gt;"",VLOOKUP($CJ367,装強!$A$1:AH$1005,COLUMN(装強!AH$1),FALSE),0)</f>
        <v>0</v>
      </c>
      <c r="AI367">
        <f>IF(ISNUMBER(SEARCH(SUBSTITUTE(AI$1,RIGHT(AI$1,2),""),VLOOKUP($D367,素材!$1:$1016,COLUMN($F$1),FALSE))),VLOOKUP($C367,武器!$1:$998,COLUMN($O$1),FALSE)*VLOOKUP($D367,素材!$1:$1016,COLUMN($E$1),FALSE)/(LEN(VLOOKUP($D367,素材!$1:$1016,COLUMN($F$1),FALSE))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0)+IF($CJ367&lt;&gt;"",VLOOKUP($CJ367,装強!$A$1:AI$1005,COLUMN(装強!AI$1),FALSE),0)</f>
        <v>0</v>
      </c>
      <c r="AJ367">
        <f>IF(ISNUMBER(SEARCH(SUBSTITUTE(AJ$1,RIGHT(AJ$1,2),""),VLOOKUP($D367,素材!$1:$1016,COLUMN($F$1),FALSE))),VLOOKUP($C367,武器!$1:$998,COLUMN($O$1),FALSE)*VLOOKUP($D367,素材!$1:$1016,COLUMN($E$1),FALSE)/(LEN(VLOOKUP($D367,素材!$1:$1016,COLUMN($F$1),FALSE))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0)+IF($CJ367&lt;&gt;"",VLOOKUP($CJ367,装強!$A$1:AJ$1005,COLUMN(装強!AJ$1),FALSE),0)</f>
        <v>0</v>
      </c>
      <c r="AK367">
        <f>IF(ISNUMBER(SEARCH(SUBSTITUTE(AK$1,RIGHT(AK$1,2),""),VLOOKUP($D367,素材!$1:$1016,COLUMN($F$1),FALSE))),VLOOKUP($C367,武器!$1:$998,COLUMN($O$1),FALSE)*VLOOKUP($D367,素材!$1:$1016,COLUMN($E$1),FALSE)/(LEN(VLOOKUP($D367,素材!$1:$1016,COLUMN($F$1),FALSE))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0)+IF($CJ367&lt;&gt;"",VLOOKUP($CJ367,装強!$A$1:AK$1005,COLUMN(装強!AK$1),FALSE),0)</f>
        <v>0</v>
      </c>
      <c r="AL367">
        <f>IF(ISNUMBER(SEARCH(SUBSTITUTE(AL$1,RIGHT(AL$1,2),""),VLOOKUP($D367,素材!$1:$1016,COLUMN($F$1),FALSE))),VLOOKUP($C367,武器!$1:$998,COLUMN($O$1),FALSE)*VLOOKUP($D367,素材!$1:$1016,COLUMN($E$1),FALSE)/(LEN(VLOOKUP($D367,素材!$1:$1016,COLUMN($F$1),FALSE))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0)+IF($CJ367&lt;&gt;"",VLOOKUP($CJ367,装強!$A$1:AL$1005,COLUMN(装強!AL$1),FALSE),0)</f>
        <v>0</v>
      </c>
      <c r="AM367">
        <f>IF(ISNUMBER(SEARCH(SUBSTITUTE(AM$1,RIGHT(AM$1,2),""),VLOOKUP($D367,素材!$1:$1016,COLUMN($F$1),FALSE))),VLOOKUP($C367,武器!$1:$998,COLUMN($O$1),FALSE)*VLOOKUP($D367,素材!$1:$1016,COLUMN($E$1),FALSE)/(LEN(VLOOKUP($D367,素材!$1:$1016,COLUMN($F$1),FALSE))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0)+IF($CJ367&lt;&gt;"",VLOOKUP($CJ367,装強!$A$1:AM$1005,COLUMN(装強!AM$1),FALSE),0)</f>
        <v>0</v>
      </c>
      <c r="AN367">
        <f>IF(ISNUMBER(SEARCH(SUBSTITUTE(AN$1,RIGHT(AN$1,2),""),VLOOKUP($D367,素材!$1:$1016,COLUMN($F$1),FALSE))),VLOOKUP($C367,武器!$1:$998,COLUMN($O$1),FALSE)*VLOOKUP($D367,素材!$1:$1016,COLUMN($E$1),FALSE)/(LEN(VLOOKUP($D367,素材!$1:$1016,COLUMN($F$1),FALSE))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0)+IF($CJ367&lt;&gt;"",VLOOKUP($CJ367,装強!$A$1:AN$1005,COLUMN(装強!AN$1),FALSE),0)</f>
        <v>0</v>
      </c>
      <c r="AO367">
        <f>IF(ISNUMBER(SEARCH(SUBSTITUTE(AO$1,RIGHT(AO$1,2),""),VLOOKUP($D367,素材!$1:$1016,COLUMN($F$1),FALSE))),VLOOKUP($C367,武器!$1:$998,COLUMN($O$1),FALSE)*VLOOKUP($D367,素材!$1:$1016,COLUMN($E$1),FALSE)/(LEN(VLOOKUP($D367,素材!$1:$1016,COLUMN($F$1),FALSE))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0)+IF($CJ367&lt;&gt;"",VLOOKUP($CJ367,装強!$A$1:AO$1005,COLUMN(装強!AO$1),FALSE),0)</f>
        <v>0</v>
      </c>
      <c r="AP367">
        <f>IF(ISNUMBER(SEARCH(SUBSTITUTE(AP$1,RIGHT(AP$1,2),""),VLOOKUP($D367,素材!$1:$1016,COLUMN($F$1),FALSE))),VLOOKUP($C367,武器!$1:$998,COLUMN($O$1),FALSE)*VLOOKUP($D367,素材!$1:$1016,COLUMN($E$1),FALSE)/(LEN(VLOOKUP($D367,素材!$1:$1016,COLUMN($F$1),FALSE))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0)+IF($CJ367&lt;&gt;"",VLOOKUP($CJ367,装強!$A$1:AP$1005,COLUMN(装強!AP$1),FALSE),0)</f>
        <v>0</v>
      </c>
      <c r="AQ367">
        <f>IF(ISNUMBER(SEARCH(SUBSTITUTE(AQ$1,RIGHT(AQ$1,2),""),VLOOKUP($D367,素材!$1:$1016,COLUMN($F$1),FALSE))),VLOOKUP($C367,武器!$1:$998,COLUMN($O$1),FALSE)*VLOOKUP($D367,素材!$1:$1016,COLUMN($E$1),FALSE)/(LEN(VLOOKUP($D367,素材!$1:$1016,COLUMN($F$1),FALSE))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0)+IF($CJ367&lt;&gt;"",VLOOKUP($CJ367,装強!$A$1:AQ$1005,COLUMN(装強!AQ$1),FALSE),0)</f>
        <v>0</v>
      </c>
      <c r="AR367">
        <f>IF(ISNUMBER(SEARCH(SUBSTITUTE(AR$1,RIGHT(AR$1,2),""),VLOOKUP($D367,素材!$1:$1016,COLUMN($F$1),FALSE))),VLOOKUP($C367,武器!$1:$998,COLUMN($O$1),FALSE)*VLOOKUP($D367,素材!$1:$1016,COLUMN($E$1),FALSE)/(LEN(VLOOKUP($D367,素材!$1:$1016,COLUMN($F$1),FALSE))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0)+IF($CJ367&lt;&gt;"",VLOOKUP($CJ367,装強!$A$1:AR$1005,COLUMN(装強!AR$1),FALSE),0)</f>
        <v>0</v>
      </c>
      <c r="AS367">
        <f>IF(ISNUMBER(SEARCH(SUBSTITUTE(AS$1,RIGHT(AS$1,2),""),VLOOKUP($D367,素材!$1:$1016,COLUMN($F$1),FALSE))),VLOOKUP($C367,武器!$1:$998,COLUMN($O$1),FALSE)*VLOOKUP($D367,素材!$1:$1016,COLUMN($E$1),FALSE)/(LEN(VLOOKUP($D367,素材!$1:$1016,COLUMN($F$1),FALSE))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0)+IF($CJ367&lt;&gt;"",VLOOKUP($CJ367,装強!$A$1:AS$1005,COLUMN(装強!AS$1),FALSE),0)</f>
        <v>0</v>
      </c>
      <c r="AT367">
        <f>IF(ISNUMBER(SEARCH(SUBSTITUTE(AT$1,RIGHT(AT$1,2),""),VLOOKUP($D367,素材!$1:$1016,COLUMN($F$1),FALSE))),VLOOKUP($C367,武器!$1:$998,COLUMN($O$1),FALSE)*VLOOKUP($D367,素材!$1:$1016,COLUMN($E$1),FALSE)/(LEN(VLOOKUP($D367,素材!$1:$1016,COLUMN($F$1),FALSE))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0)+IF($CJ367&lt;&gt;"",VLOOKUP($CJ367,装強!$A$1:AT$1005,COLUMN(装強!AT$1),FALSE),0)</f>
        <v>0</v>
      </c>
      <c r="AU367">
        <f>IF(ISNUMBER(SEARCH(SUBSTITUTE(AU$1,RIGHT(AU$1,2),""),VLOOKUP($D367,素材!$1:$1016,COLUMN($F$1),FALSE))),VLOOKUP($C367,武器!$1:$998,COLUMN($O$1),FALSE)*VLOOKUP($D367,素材!$1:$1016,COLUMN($E$1),FALSE)/(LEN(VLOOKUP($D367,素材!$1:$1016,COLUMN($F$1),FALSE))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0)+IF($CJ367&lt;&gt;"",VLOOKUP($CJ367,装強!$A$1:AU$1005,COLUMN(装強!AU$1),FALSE),0)</f>
        <v>0</v>
      </c>
      <c r="AV367">
        <f>IF(ISNUMBER(SEARCH(SUBSTITUTE(AV$1,RIGHT(AV$1,2),""),VLOOKUP($D367,素材!$1:$1016,COLUMN($F$1),FALSE))),VLOOKUP($C367,武器!$1:$998,COLUMN($O$1),FALSE)*VLOOKUP($D367,素材!$1:$1016,COLUMN($E$1),FALSE)/(LEN(VLOOKUP($D367,素材!$1:$1016,COLUMN($F$1),FALSE))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0)+IF($CJ367&lt;&gt;"",VLOOKUP($CJ367,装強!$A$1:AV$1005,COLUMN(装強!AV$1),FALSE),0)</f>
        <v>0</v>
      </c>
      <c r="AW367">
        <f>IF(ISNUMBER(SEARCH(SUBSTITUTE(AW$1,RIGHT(AW$1,2),""),VLOOKUP($D367,素材!$1:$1016,COLUMN($F$1),FALSE))),VLOOKUP($C367,武器!$1:$998,COLUMN($O$1),FALSE)*VLOOKUP($D367,素材!$1:$1016,COLUMN($E$1),FALSE)/(LEN(VLOOKUP($D367,素材!$1:$1016,COLUMN($F$1),FALSE))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0)+IF($CJ367&lt;&gt;"",VLOOKUP($CJ367,装強!$A$1:AW$1005,COLUMN(装強!AW$1),FALSE),0)</f>
        <v>0</v>
      </c>
      <c r="AX367">
        <f>IF(ISNUMBER(SEARCH(SUBSTITUTE(AX$1,RIGHT(AX$1,2),""),VLOOKUP($D367,素材!$1:$1016,COLUMN($F$1),FALSE))),VLOOKUP($C367,武器!$1:$998,COLUMN($O$1),FALSE)*VLOOKUP($D367,素材!$1:$1016,COLUMN($E$1),FALSE)/(LEN(VLOOKUP($D367,素材!$1:$1016,COLUMN($F$1),FALSE))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0)+IF($CJ367&lt;&gt;"",VLOOKUP($CJ367,装強!$A$1:AX$1005,COLUMN(装強!AX$1),FALSE),0)</f>
        <v>0</v>
      </c>
      <c r="AY367">
        <f>IF(ISNUMBER(SEARCH(SUBSTITUTE(AY$1,RIGHT(AY$1,2),""),VLOOKUP($D367,素材!$1:$1016,COLUMN($F$1),FALSE))),VLOOKUP($C367,武器!$1:$998,COLUMN($O$1),FALSE)*VLOOKUP($D367,素材!$1:$1016,COLUMN($E$1),FALSE)/(LEN(VLOOKUP($D367,素材!$1:$1016,COLUMN($F$1),FALSE))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0)+IF($CJ367&lt;&gt;"",VLOOKUP($CJ367,装強!$A$1:AY$1005,COLUMN(装強!AY$1),FALSE),0)</f>
        <v>0</v>
      </c>
      <c r="AZ367">
        <f>IF(ISNUMBER(SEARCH(SUBSTITUTE(AZ$1,RIGHT(AZ$1,2),""),VLOOKUP($D367,素材!$1:$1016,COLUMN($F$1),FALSE))),VLOOKUP($C367,武器!$1:$998,COLUMN($O$1),FALSE)*VLOOKUP($D367,素材!$1:$1016,COLUMN($E$1),FALSE)/(LEN(VLOOKUP($D367,素材!$1:$1016,COLUMN($F$1),FALSE))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0)+IF($CJ367&lt;&gt;"",VLOOKUP($CJ367,装強!$A$1:AZ$1005,COLUMN(装強!AZ$1),FALSE),0)</f>
        <v>0</v>
      </c>
      <c r="BA367">
        <f>IF(ISNUMBER(SEARCH(SUBSTITUTE(BA$1,RIGHT(BA$1,2),""),VLOOKUP($D367,素材!$1:$1016,COLUMN($F$1),FALSE))),VLOOKUP($C367,武器!$1:$998,COLUMN($O$1),FALSE)*VLOOKUP($D367,素材!$1:$1016,COLUMN($E$1),FALSE)/(LEN(VLOOKUP($D367,素材!$1:$1016,COLUMN($F$1),FALSE))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0)+IF($CJ367&lt;&gt;"",VLOOKUP($CJ367,装強!$A$1:BA$1005,COLUMN(装強!BA$1),FALSE),0)</f>
        <v>0</v>
      </c>
      <c r="BB367">
        <f>IF(ISNUMBER(SEARCH(SUBSTITUTE(BB$1,RIGHT(BB$1,2),""),VLOOKUP($D367,素材!$1:$1016,COLUMN($F$1),FALSE))),VLOOKUP($C367,武器!$1:$998,COLUMN($O$1),FALSE)*VLOOKUP($D367,素材!$1:$1016,COLUMN($E$1),FALSE)/(LEN(VLOOKUP($D367,素材!$1:$1016,COLUMN($F$1),FALSE))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0)+IF($CJ367&lt;&gt;"",VLOOKUP($CJ367,装強!$A$1:BB$1005,COLUMN(装強!BB$1),FALSE),0)</f>
        <v>0</v>
      </c>
      <c r="BC367">
        <f>IF(ISNUMBER(SEARCH(SUBSTITUTE(BC$1,RIGHT(BC$1,2),""),VLOOKUP($D367,素材!$1:$1016,COLUMN($F$1),FALSE))),VLOOKUP($C367,武器!$1:$998,COLUMN($O$1),FALSE)*VLOOKUP($D367,素材!$1:$1016,COLUMN($E$1),FALSE)/(LEN(VLOOKUP($D367,素材!$1:$1016,COLUMN($F$1),FALSE))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0)+IF($CJ367&lt;&gt;"",VLOOKUP($CJ367,装強!$A$1:BC$1005,COLUMN(装強!BC$1),FALSE),0)</f>
        <v>0</v>
      </c>
      <c r="BD367">
        <f>IF(ISNUMBER(SEARCH(SUBSTITUTE(BD$1,RIGHT(BD$1,2),""),VLOOKUP($D367,素材!$1:$1016,COLUMN($F$1),FALSE))),VLOOKUP($C367,武器!$1:$998,COLUMN($O$1),FALSE)*VLOOKUP($D367,素材!$1:$1016,COLUMN($E$1),FALSE)/(LEN(VLOOKUP($D367,素材!$1:$1016,COLUMN($F$1),FALSE))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0)+IF($CJ367&lt;&gt;"",VLOOKUP($CJ367,装強!$A$1:BD$1005,COLUMN(装強!BD$1),FALSE),0)</f>
        <v>0</v>
      </c>
      <c r="BE367">
        <f>IF(ISNUMBER(SEARCH(SUBSTITUTE(BE$1,RIGHT(BE$1,2),""),VLOOKUP($D367,素材!$1:$1016,COLUMN($F$1),FALSE))),VLOOKUP($C367,武器!$1:$998,COLUMN($O$1),FALSE)*VLOOKUP($D367,素材!$1:$1016,COLUMN($E$1),FALSE)/(LEN(VLOOKUP($D367,素材!$1:$1016,COLUMN($F$1),FALSE))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0)+IF($CJ367&lt;&gt;"",VLOOKUP($CJ367,装強!$A$1:BE$1005,COLUMN(装強!BE$1),FALSE),0)</f>
        <v>0</v>
      </c>
      <c r="BF367">
        <f>IF(ISNUMBER(SEARCH(SUBSTITUTE(BF$1,RIGHT(BF$1,2),""),VLOOKUP($D367,素材!$1:$1016,COLUMN($F$1),FALSE))),VLOOKUP($C367,武器!$1:$998,COLUMN($O$1),FALSE)*VLOOKUP($D367,素材!$1:$1016,COLUMN($E$1),FALSE)/(LEN(VLOOKUP($D367,素材!$1:$1016,COLUMN($F$1),FALSE)) - LEN(SUBSTITUTE(VLOOKUP($D367,素材!$1:$1016,COLUMN($F$1),FALSE), "・", 0)) + 1), 0)+IF($CJ367&lt;&gt;"",VLOOKUP($CJ367,装強!$A$1:BF$1005,COLUMN(装強!BF$1),FALSE),0)</f>
        <v>0</v>
      </c>
      <c r="CJ367" t="s">
        <v>42</v>
      </c>
      <c r="CM367">
        <f t="shared" ref="CM367:CM388" si="44">SUM(G367:I367)</f>
        <v>0</v>
      </c>
      <c r="CN367" s="22" t="str">
        <f>IF(E367="武器",IF(J367-1&gt;SUM(G367:I367),"盾",IF(MAX(G367:I367)=G367,"切断",IF(MAX(G367:I367)=H367,"貫通",IF(MAX(G367:I367)=I367,"打撃","射撃")))),E367)&amp;".webp"</f>
        <v>装飾.webp</v>
      </c>
      <c r="CO367">
        <f>IFERROR(VLOOKUP($C367,武器!$1:$998,COLUMN(V$1),FALSE)*VLOOKUP($D367,素材!$1:$1016,COLUMN(N$1),FALSE)+IF(CJ367="",0,VLOOKUP($CJ367,装強!$1:$1008,COLUMN($CL$1),FALSE)),"")</f>
        <v>8000</v>
      </c>
      <c r="CP367" t="str">
        <f>VLOOKUP(D367,素材!$A:$O,COLUMN(素材!O$1),FALSE)</f>
        <v>神聖な力を持つ木材。武器として使用すると善属性が付加され、防具に使用すると呪いへの耐性が強化される。</v>
      </c>
      <c r="CQ367" t="str">
        <f>VLOOKUP(C367,武器!$A:$W,COLUMN(武器!W$1),FALSE)</f>
        <v xml:space="preserve">HP ST 攻撃 防御 体幹 怯み 疲労 </v>
      </c>
      <c r="CS367" t="str">
        <f>"e_"&amp;ROW(CS367)</f>
        <v>e_367</v>
      </c>
      <c r="CT367">
        <f t="shared" ref="CT367:CT388" si="45">CO367*100</f>
        <v>800000</v>
      </c>
    </row>
    <row r="368" spans="1:98" outlineLevel="1" x14ac:dyDescent="0.4">
      <c r="A368" t="s">
        <v>1271</v>
      </c>
      <c r="B368" t="str">
        <f>IFERROR(VLOOKUP($D368,素材!$1:$1016,COLUMN($B$1),FALSE)&amp;"・"&amp;VLOOKUP($C368,武器!$1:$998,COLUMN(B$1),FALSE),"")</f>
        <v>ホロウウッド・ローブ</v>
      </c>
      <c r="C368" t="s">
        <v>1272</v>
      </c>
      <c r="D368" s="24" t="s">
        <v>1231</v>
      </c>
      <c r="E368" t="str">
        <f>IFERROR(VLOOKUP(C368,武器!$1:$998,COLUMN(C$1),FALSE),"")</f>
        <v>体</v>
      </c>
      <c r="F368">
        <f>IFERROR(ROUNDDOWN((VLOOKUP($C368,武器!$1:$998,COLUMN(D$1),FALSE)+IFERROR(VLOOKUP($CJ368,装強!$1:$999,COLUMN(F$1),FALSE),0))*VLOOKUP($D368,素材!$1:$1016,COLUMN(D$1),FALSE),0),"")</f>
        <v>0</v>
      </c>
      <c r="G368">
        <f>IFERROR(ROUNDDOWN((VLOOKUP($C368,武器!$1:$998,COLUMN(E$1),FALSE)+IFERROR(VLOOKUP($CJ368,装強!$1:$999,COLUMN(G$1),FALSE),0))*VLOOKUP($D368,素材!$1:$1016,COLUMN($E$1),FALSE),0),"")</f>
        <v>0</v>
      </c>
      <c r="H368">
        <f>IFERROR(ROUNDDOWN((VLOOKUP($C368,武器!$1:$998,COLUMN(F$1),FALSE)+IFERROR(VLOOKUP($CJ368,装強!$1:$999,COLUMN(H$1),FALSE),0))*VLOOKUP($D368,素材!$1:$1016,COLUMN($E$1),FALSE),0),"")</f>
        <v>0</v>
      </c>
      <c r="I368">
        <f>IFERROR(ROUNDDOWN((VLOOKUP($C368,武器!$1:$998,COLUMN(G$1),FALSE)+IFERROR(VLOOKUP($CJ368,装強!$1:$999,COLUMN(I$1),FALSE),0))*VLOOKUP($D368,素材!$1:$1016,COLUMN($E$1),FALSE),0),"")</f>
        <v>0</v>
      </c>
      <c r="J368">
        <f>IFERROR(ROUNDDOWN((VLOOKUP($C368,武器!$1:$998,COLUMN(H$1),FALSE)+IFERROR(VLOOKUP($CJ368,装強!$1:$999,COLUMN(J$1),FALSE),0))*VLOOKUP($D368,素材!$1:$1016,COLUMN($E$1),FALSE),0),"")</f>
        <v>0</v>
      </c>
      <c r="K368">
        <f>IFERROR(ROUNDDOWN((VLOOKUP($C368,武器!$1:$998,COLUMN(I$1),FALSE)+IFERROR(VLOOKUP($CJ368,装強!$1:$999,COLUMN(K$1),FALSE),0))*VLOOKUP($D368,素材!$1:$1016,COLUMN($E$1),FALSE),0),"")</f>
        <v>0</v>
      </c>
      <c r="L368" t="str">
        <f>IFERROR(VLOOKUP($D368,素材!$1:$1016,COLUMN($F$1),FALSE),"")</f>
        <v>悪</v>
      </c>
      <c r="M368">
        <f>IFERROR(VLOOKUP($C368,武器!$1:$998,COLUMN(AA$1),FALSE)*VLOOKUP($D368,素材!$1:$1016,COLUMN($G$1),FALSE),"")</f>
        <v>0</v>
      </c>
      <c r="N368">
        <f>IFERROR(VLOOKUP($C368,武器!$1:$998,COLUMN(I$1),FALSE),"")</f>
        <v>0</v>
      </c>
      <c r="O368" s="23">
        <f>IFERROR((VLOOKUP($C368,武器!$1:$998,COLUMN(K$1),FALSE)+VLOOKUP($D368,素材!$1:$1016,COLUMN(H$1),FALSE))*100+IFERROR(VLOOKUP($CJ368,装強!$1:$999,COLUMN(O$1),FALSE),0),"")</f>
        <v>0</v>
      </c>
      <c r="P368" s="23">
        <f>IFERROR((VLOOKUP($C368,武器!$1:$998,COLUMN(L$1),FALSE)+VLOOKUP($D368,素材!$1:$1016,COLUMN(I$1),FALSE))*100+IFERROR(VLOOKUP($CJ368,装強!$1:$999,COLUMN(P$1),FALSE),0),"")</f>
        <v>0</v>
      </c>
      <c r="Q368">
        <f>IFERROR(ROUNDUP(VLOOKUP($C368,武器!$1:$998,COLUMN(M$1),FALSE)*(VLOOKUP($D368,素材!$1:$1002,COLUMN(D$1),FALSE)/100),1),"")</f>
        <v>0</v>
      </c>
      <c r="R368">
        <f>IFERROR(ROUNDUP(VLOOKUP($C368,武器!$1:$998,COLUMN(N$1),FALSE)*(VLOOKUP($D368,素材!$1:$1002,COLUMN(D$1),FALSE)/100),1),"")</f>
        <v>0</v>
      </c>
      <c r="S368">
        <f>IFERROR(VLOOKUP($C368,武器!$1:$998,COLUMN(P$1),FALSE),"")</f>
        <v>0</v>
      </c>
      <c r="T368">
        <f>IFERROR(VLOOKUP($C368,武器!$1:$998,COLUMN(Q$1),FALSE),"")</f>
        <v>0</v>
      </c>
      <c r="U368">
        <f>IFERROR(VLOOKUP($C368,武器!$1:$998,COLUMN(R$1),FALSE),"")</f>
        <v>0</v>
      </c>
      <c r="V368">
        <f>IFERROR(VLOOKUP($C368,武器!$1:$998,COLUMN(Q$1),FALSE),"")</f>
        <v>0</v>
      </c>
      <c r="W368">
        <f>IFERROR(VLOOKUP($C368,武器!$1:$998,COLUMN(T$1),FALSE),"")</f>
        <v>0</v>
      </c>
      <c r="Y368">
        <f>IFERROR(VLOOKUP($C368,武器!$1:$998,COLUMN(U$1),FALSE),"")</f>
        <v>0</v>
      </c>
      <c r="Z368">
        <f>IFERROR(ROUNDUP(VLOOKUP($C368,武器!$1:$998,COLUMN(O$1),FALSE)*VLOOKUP($D368,素材!$1:$1016,COLUMN(E$1),FALSE),1),"")</f>
        <v>7</v>
      </c>
      <c r="AA368">
        <f>IF(ISNUMBER(SEARCH(SUBSTITUTE(AA$1,RIGHT(AA$1,2),""),VLOOKUP($D368,素材!$1:$1016,COLUMN($F$1),FALSE))),VLOOKUP($C368,武器!$1:$998,COLUMN($O$1),FALSE)*VLOOKUP($D368,素材!$1:$1016,COLUMN($E$1),FALSE)/(LEN(VLOOKUP($D368,素材!$1:$1016,COLUMN($F$1),FALSE))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</f>
        <v>0</v>
      </c>
      <c r="AB368">
        <f>IF(ISNUMBER(SEARCH(SUBSTITUTE(AB$1,RIGHT(AB$1,2),""),VLOOKUP($D368,素材!$1:$1016,COLUMN($F$1),FALSE))),VLOOKUP($C368,武器!$1:$998,COLUMN($O$1),FALSE)*VLOOKUP($D368,素材!$1:$1016,COLUMN($E$1),FALSE)/(LEN(VLOOKUP($D368,素材!$1:$1016,COLUMN($F$1),FALSE))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</f>
        <v>0</v>
      </c>
      <c r="AC368">
        <f>IF(ISNUMBER(SEARCH(SUBSTITUTE(AC$1,RIGHT(AC$1,2),""),VLOOKUP($D368,素材!$1:$1016,COLUMN($F$1),FALSE))),VLOOKUP($C368,武器!$1:$998,COLUMN($O$1),FALSE)*VLOOKUP($D368,素材!$1:$1016,COLUMN($E$1),FALSE)/(LEN(VLOOKUP($D368,素材!$1:$1016,COLUMN($F$1),FALSE))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</f>
        <v>0</v>
      </c>
      <c r="AD368">
        <f>IF(ISNUMBER(SEARCH(SUBSTITUTE(AD$1,RIGHT(AD$1,2),""),VLOOKUP($D368,素材!$1:$1016,COLUMN($F$1),FALSE))),VLOOKUP($C368,武器!$1:$998,COLUMN($O$1),FALSE)*VLOOKUP($D368,素材!$1:$1016,COLUMN($E$1),FALSE)/(LEN(VLOOKUP($D368,素材!$1:$1016,COLUMN($F$1),FALSE))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</f>
        <v>0</v>
      </c>
      <c r="AE368">
        <f>IF(ISNUMBER(SEARCH(SUBSTITUTE(AE$1,RIGHT(AE$1,2),""),VLOOKUP($D368,素材!$1:$1016,COLUMN($F$1),FALSE))),VLOOKUP($C368,武器!$1:$998,COLUMN($O$1),FALSE)*VLOOKUP($D368,素材!$1:$1016,COLUMN($E$1),FALSE)/(LEN(VLOOKUP($D368,素材!$1:$1016,COLUMN($F$1),FALSE))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0)+IF($CJ368&lt;&gt;"",VLOOKUP($CJ368,装強!$A$1:AE$1005,COLUMN(装強!AE$1),FALSE),0)</f>
        <v>0</v>
      </c>
      <c r="AF368">
        <f>IF(ISNUMBER(SEARCH(SUBSTITUTE(AF$1,RIGHT(AF$1,2),""),VLOOKUP($D368,素材!$1:$1016,COLUMN($F$1),FALSE))),VLOOKUP($C368,武器!$1:$998,COLUMN($O$1),FALSE)*VLOOKUP($D368,素材!$1:$1016,COLUMN($E$1),FALSE)/(LEN(VLOOKUP($D368,素材!$1:$1016,COLUMN($F$1),FALSE))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0)+IF($CJ368&lt;&gt;"",VLOOKUP($CJ368,装強!$A$1:AF$1005,COLUMN(装強!AF$1),FALSE),0)</f>
        <v>0</v>
      </c>
      <c r="AG368">
        <f>IF(ISNUMBER(SEARCH(SUBSTITUTE(AG$1,RIGHT(AG$1,2),""),VLOOKUP($D368,素材!$1:$1016,COLUMN($F$1),FALSE))),VLOOKUP($C368,武器!$1:$998,COLUMN($O$1),FALSE)*VLOOKUP($D368,素材!$1:$1016,COLUMN($E$1),FALSE)/(LEN(VLOOKUP($D368,素材!$1:$1016,COLUMN($F$1),FALSE))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0)+IF($CJ368&lt;&gt;"",VLOOKUP($CJ368,装強!$A$1:AG$1005,COLUMN(装強!AG$1),FALSE),0)</f>
        <v>0</v>
      </c>
      <c r="AH368">
        <f>IF(ISNUMBER(SEARCH(SUBSTITUTE(AH$1,RIGHT(AH$1,2),""),VLOOKUP($D368,素材!$1:$1016,COLUMN($F$1),FALSE))),VLOOKUP($C368,武器!$1:$998,COLUMN($O$1),FALSE)*VLOOKUP($D368,素材!$1:$1016,COLUMN($E$1),FALSE)/(LEN(VLOOKUP($D368,素材!$1:$1016,COLUMN($F$1),FALSE))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0)+IF($CJ368&lt;&gt;"",VLOOKUP($CJ368,装強!$A$1:AH$1005,COLUMN(装強!AH$1),FALSE),0)</f>
        <v>0</v>
      </c>
      <c r="AI368">
        <f>IF(ISNUMBER(SEARCH(SUBSTITUTE(AI$1,RIGHT(AI$1,2),""),VLOOKUP($D368,素材!$1:$1016,COLUMN($F$1),FALSE))),VLOOKUP($C368,武器!$1:$998,COLUMN($O$1),FALSE)*VLOOKUP($D368,素材!$1:$1016,COLUMN($E$1),FALSE)/(LEN(VLOOKUP($D368,素材!$1:$1016,COLUMN($F$1),FALSE))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0)+IF($CJ368&lt;&gt;"",VLOOKUP($CJ368,装強!$A$1:AI$1005,COLUMN(装強!AI$1),FALSE),0)</f>
        <v>0</v>
      </c>
      <c r="AJ368">
        <f>IF(ISNUMBER(SEARCH(SUBSTITUTE(AJ$1,RIGHT(AJ$1,2),""),VLOOKUP($D368,素材!$1:$1016,COLUMN($F$1),FALSE))),VLOOKUP($C368,武器!$1:$998,COLUMN($O$1),FALSE)*VLOOKUP($D368,素材!$1:$1016,COLUMN($E$1),FALSE)/(LEN(VLOOKUP($D368,素材!$1:$1016,COLUMN($F$1),FALSE))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0)+IF($CJ368&lt;&gt;"",VLOOKUP($CJ368,装強!$A$1:AJ$1005,COLUMN(装強!AJ$1),FALSE),0)</f>
        <v>0</v>
      </c>
      <c r="AK368">
        <f>IF(ISNUMBER(SEARCH(SUBSTITUTE(AK$1,RIGHT(AK$1,2),""),VLOOKUP($D368,素材!$1:$1016,COLUMN($F$1),FALSE))),VLOOKUP($C368,武器!$1:$998,COLUMN($O$1),FALSE)*VLOOKUP($D368,素材!$1:$1016,COLUMN($E$1),FALSE)/(LEN(VLOOKUP($D368,素材!$1:$1016,COLUMN($F$1),FALSE))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0)+IF($CJ368&lt;&gt;"",VLOOKUP($CJ368,装強!$A$1:AK$1005,COLUMN(装強!AK$1),FALSE),0)</f>
        <v>0</v>
      </c>
      <c r="AL368">
        <f>IF(ISNUMBER(SEARCH(SUBSTITUTE(AL$1,RIGHT(AL$1,2),""),VLOOKUP($D368,素材!$1:$1016,COLUMN($F$1),FALSE))),VLOOKUP($C368,武器!$1:$998,COLUMN($O$1),FALSE)*VLOOKUP($D368,素材!$1:$1016,COLUMN($E$1),FALSE)/(LEN(VLOOKUP($D368,素材!$1:$1016,COLUMN($F$1),FALSE))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0)+IF($CJ368&lt;&gt;"",VLOOKUP($CJ368,装強!$A$1:AL$1005,COLUMN(装強!AL$1),FALSE),0)</f>
        <v>0</v>
      </c>
      <c r="AM368">
        <f>IF(ISNUMBER(SEARCH(SUBSTITUTE(AM$1,RIGHT(AM$1,2),""),VLOOKUP($D368,素材!$1:$1016,COLUMN($F$1),FALSE))),VLOOKUP($C368,武器!$1:$998,COLUMN($O$1),FALSE)*VLOOKUP($D368,素材!$1:$1016,COLUMN($E$1),FALSE)/(LEN(VLOOKUP($D368,素材!$1:$1016,COLUMN($F$1),FALSE))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0)+IF($CJ368&lt;&gt;"",VLOOKUP($CJ368,装強!$A$1:AM$1005,COLUMN(装強!AM$1),FALSE),0)</f>
        <v>7</v>
      </c>
      <c r="AN368">
        <f>IF(ISNUMBER(SEARCH(SUBSTITUTE(AN$1,RIGHT(AN$1,2),""),VLOOKUP($D368,素材!$1:$1016,COLUMN($F$1),FALSE))),VLOOKUP($C368,武器!$1:$998,COLUMN($O$1),FALSE)*VLOOKUP($D368,素材!$1:$1016,COLUMN($E$1),FALSE)/(LEN(VLOOKUP($D368,素材!$1:$1016,COLUMN($F$1),FALSE))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0)+IF($CJ368&lt;&gt;"",VLOOKUP($CJ368,装強!$A$1:AN$1005,COLUMN(装強!AN$1),FALSE),0)</f>
        <v>0</v>
      </c>
      <c r="AO368">
        <f>IF(ISNUMBER(SEARCH(SUBSTITUTE(AO$1,RIGHT(AO$1,2),""),VLOOKUP($D368,素材!$1:$1016,COLUMN($F$1),FALSE))),VLOOKUP($C368,武器!$1:$998,COLUMN($O$1),FALSE)*VLOOKUP($D368,素材!$1:$1016,COLUMN($E$1),FALSE)/(LEN(VLOOKUP($D368,素材!$1:$1016,COLUMN($F$1),FALSE))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0)+IF($CJ368&lt;&gt;"",VLOOKUP($CJ368,装強!$A$1:AO$1005,COLUMN(装強!AO$1),FALSE),0)</f>
        <v>0</v>
      </c>
      <c r="AP368">
        <f>IF(ISNUMBER(SEARCH(SUBSTITUTE(AP$1,RIGHT(AP$1,2),""),VLOOKUP($D368,素材!$1:$1016,COLUMN($F$1),FALSE))),VLOOKUP($C368,武器!$1:$998,COLUMN($O$1),FALSE)*VLOOKUP($D368,素材!$1:$1016,COLUMN($E$1),FALSE)/(LEN(VLOOKUP($D368,素材!$1:$1016,COLUMN($F$1),FALSE))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0)+IF($CJ368&lt;&gt;"",VLOOKUP($CJ368,装強!$A$1:AP$1005,COLUMN(装強!AP$1),FALSE),0)</f>
        <v>0</v>
      </c>
      <c r="AQ368">
        <f>IF(ISNUMBER(SEARCH(SUBSTITUTE(AQ$1,RIGHT(AQ$1,2),""),VLOOKUP($D368,素材!$1:$1016,COLUMN($F$1),FALSE))),VLOOKUP($C368,武器!$1:$998,COLUMN($O$1),FALSE)*VLOOKUP($D368,素材!$1:$1016,COLUMN($E$1),FALSE)/(LEN(VLOOKUP($D368,素材!$1:$1016,COLUMN($F$1),FALSE))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0)+IF($CJ368&lt;&gt;"",VLOOKUP($CJ368,装強!$A$1:AQ$1005,COLUMN(装強!AQ$1),FALSE),0)</f>
        <v>0</v>
      </c>
      <c r="AR368">
        <f>IF(ISNUMBER(SEARCH(SUBSTITUTE(AR$1,RIGHT(AR$1,2),""),VLOOKUP($D368,素材!$1:$1016,COLUMN($F$1),FALSE))),VLOOKUP($C368,武器!$1:$998,COLUMN($O$1),FALSE)*VLOOKUP($D368,素材!$1:$1016,COLUMN($E$1),FALSE)/(LEN(VLOOKUP($D368,素材!$1:$1016,COLUMN($F$1),FALSE))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0)+IF($CJ368&lt;&gt;"",VLOOKUP($CJ368,装強!$A$1:AR$1005,COLUMN(装強!AR$1),FALSE),0)</f>
        <v>0</v>
      </c>
      <c r="AS368">
        <f>IF(ISNUMBER(SEARCH(SUBSTITUTE(AS$1,RIGHT(AS$1,2),""),VLOOKUP($D368,素材!$1:$1016,COLUMN($F$1),FALSE))),VLOOKUP($C368,武器!$1:$998,COLUMN($O$1),FALSE)*VLOOKUP($D368,素材!$1:$1016,COLUMN($E$1),FALSE)/(LEN(VLOOKUP($D368,素材!$1:$1016,COLUMN($F$1),FALSE))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0)+IF($CJ368&lt;&gt;"",VLOOKUP($CJ368,装強!$A$1:AS$1005,COLUMN(装強!AS$1),FALSE),0)</f>
        <v>0</v>
      </c>
      <c r="AT368">
        <f>IF(ISNUMBER(SEARCH(SUBSTITUTE(AT$1,RIGHT(AT$1,2),""),VLOOKUP($D368,素材!$1:$1016,COLUMN($F$1),FALSE))),VLOOKUP($C368,武器!$1:$998,COLUMN($O$1),FALSE)*VLOOKUP($D368,素材!$1:$1016,COLUMN($E$1),FALSE)/(LEN(VLOOKUP($D368,素材!$1:$1016,COLUMN($F$1),FALSE))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0)+IF($CJ368&lt;&gt;"",VLOOKUP($CJ368,装強!$A$1:AT$1005,COLUMN(装強!AT$1),FALSE),0)</f>
        <v>0</v>
      </c>
      <c r="AU368">
        <f>IF(ISNUMBER(SEARCH(SUBSTITUTE(AU$1,RIGHT(AU$1,2),""),VLOOKUP($D368,素材!$1:$1016,COLUMN($F$1),FALSE))),VLOOKUP($C368,武器!$1:$998,COLUMN($O$1),FALSE)*VLOOKUP($D368,素材!$1:$1016,COLUMN($E$1),FALSE)/(LEN(VLOOKUP($D368,素材!$1:$1016,COLUMN($F$1),FALSE))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0)+IF($CJ368&lt;&gt;"",VLOOKUP($CJ368,装強!$A$1:AU$1005,COLUMN(装強!AU$1),FALSE),0)</f>
        <v>0</v>
      </c>
      <c r="AV368">
        <f>IF(ISNUMBER(SEARCH(SUBSTITUTE(AV$1,RIGHT(AV$1,2),""),VLOOKUP($D368,素材!$1:$1016,COLUMN($F$1),FALSE))),VLOOKUP($C368,武器!$1:$998,COLUMN($O$1),FALSE)*VLOOKUP($D368,素材!$1:$1016,COLUMN($E$1),FALSE)/(LEN(VLOOKUP($D368,素材!$1:$1016,COLUMN($F$1),FALSE))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0)+IF($CJ368&lt;&gt;"",VLOOKUP($CJ368,装強!$A$1:AV$1005,COLUMN(装強!AV$1),FALSE),0)</f>
        <v>0</v>
      </c>
      <c r="AW368">
        <f>IF(ISNUMBER(SEARCH(SUBSTITUTE(AW$1,RIGHT(AW$1,2),""),VLOOKUP($D368,素材!$1:$1016,COLUMN($F$1),FALSE))),VLOOKUP($C368,武器!$1:$998,COLUMN($O$1),FALSE)*VLOOKUP($D368,素材!$1:$1016,COLUMN($E$1),FALSE)/(LEN(VLOOKUP($D368,素材!$1:$1016,COLUMN($F$1),FALSE))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0)+IF($CJ368&lt;&gt;"",VLOOKUP($CJ368,装強!$A$1:AW$1005,COLUMN(装強!AW$1),FALSE),0)</f>
        <v>0</v>
      </c>
      <c r="AX368">
        <f>IF(ISNUMBER(SEARCH(SUBSTITUTE(AX$1,RIGHT(AX$1,2),""),VLOOKUP($D368,素材!$1:$1016,COLUMN($F$1),FALSE))),VLOOKUP($C368,武器!$1:$998,COLUMN($O$1),FALSE)*VLOOKUP($D368,素材!$1:$1016,COLUMN($E$1),FALSE)/(LEN(VLOOKUP($D368,素材!$1:$1016,COLUMN($F$1),FALSE))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0)+IF($CJ368&lt;&gt;"",VLOOKUP($CJ368,装強!$A$1:AX$1005,COLUMN(装強!AX$1),FALSE),0)</f>
        <v>0</v>
      </c>
      <c r="AY368">
        <f>IF(ISNUMBER(SEARCH(SUBSTITUTE(AY$1,RIGHT(AY$1,2),""),VLOOKUP($D368,素材!$1:$1016,COLUMN($F$1),FALSE))),VLOOKUP($C368,武器!$1:$998,COLUMN($O$1),FALSE)*VLOOKUP($D368,素材!$1:$1016,COLUMN($E$1),FALSE)/(LEN(VLOOKUP($D368,素材!$1:$1016,COLUMN($F$1),FALSE))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0)+IF($CJ368&lt;&gt;"",VLOOKUP($CJ368,装強!$A$1:AY$1005,COLUMN(装強!AY$1),FALSE),0)</f>
        <v>0</v>
      </c>
      <c r="AZ368">
        <f>IF(ISNUMBER(SEARCH(SUBSTITUTE(AZ$1,RIGHT(AZ$1,2),""),VLOOKUP($D368,素材!$1:$1016,COLUMN($F$1),FALSE))),VLOOKUP($C368,武器!$1:$998,COLUMN($O$1),FALSE)*VLOOKUP($D368,素材!$1:$1016,COLUMN($E$1),FALSE)/(LEN(VLOOKUP($D368,素材!$1:$1016,COLUMN($F$1),FALSE))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0)+IF($CJ368&lt;&gt;"",VLOOKUP($CJ368,装強!$A$1:AZ$1005,COLUMN(装強!AZ$1),FALSE),0)</f>
        <v>0</v>
      </c>
      <c r="BA368">
        <f>IF(ISNUMBER(SEARCH(SUBSTITUTE(BA$1,RIGHT(BA$1,2),""),VLOOKUP($D368,素材!$1:$1016,COLUMN($F$1),FALSE))),VLOOKUP($C368,武器!$1:$998,COLUMN($O$1),FALSE)*VLOOKUP($D368,素材!$1:$1016,COLUMN($E$1),FALSE)/(LEN(VLOOKUP($D368,素材!$1:$1016,COLUMN($F$1),FALSE))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0)+IF($CJ368&lt;&gt;"",VLOOKUP($CJ368,装強!$A$1:BA$1005,COLUMN(装強!BA$1),FALSE),0)</f>
        <v>0</v>
      </c>
      <c r="BB368">
        <f>IF(ISNUMBER(SEARCH(SUBSTITUTE(BB$1,RIGHT(BB$1,2),""),VLOOKUP($D368,素材!$1:$1016,COLUMN($F$1),FALSE))),VLOOKUP($C368,武器!$1:$998,COLUMN($O$1),FALSE)*VLOOKUP($D368,素材!$1:$1016,COLUMN($E$1),FALSE)/(LEN(VLOOKUP($D368,素材!$1:$1016,COLUMN($F$1),FALSE))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0)+IF($CJ368&lt;&gt;"",VLOOKUP($CJ368,装強!$A$1:BB$1005,COLUMN(装強!BB$1),FALSE),0)</f>
        <v>0</v>
      </c>
      <c r="BC368">
        <f>IF(ISNUMBER(SEARCH(SUBSTITUTE(BC$1,RIGHT(BC$1,2),""),VLOOKUP($D368,素材!$1:$1016,COLUMN($F$1),FALSE))),VLOOKUP($C368,武器!$1:$998,COLUMN($O$1),FALSE)*VLOOKUP($D368,素材!$1:$1016,COLUMN($E$1),FALSE)/(LEN(VLOOKUP($D368,素材!$1:$1016,COLUMN($F$1),FALSE))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0)+IF($CJ368&lt;&gt;"",VLOOKUP($CJ368,装強!$A$1:BC$1005,COLUMN(装強!BC$1),FALSE),0)</f>
        <v>0</v>
      </c>
      <c r="BD368">
        <f>IF(ISNUMBER(SEARCH(SUBSTITUTE(BD$1,RIGHT(BD$1,2),""),VLOOKUP($D368,素材!$1:$1016,COLUMN($F$1),FALSE))),VLOOKUP($C368,武器!$1:$998,COLUMN($O$1),FALSE)*VLOOKUP($D368,素材!$1:$1016,COLUMN($E$1),FALSE)/(LEN(VLOOKUP($D368,素材!$1:$1016,COLUMN($F$1),FALSE))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0)+IF($CJ368&lt;&gt;"",VLOOKUP($CJ368,装強!$A$1:BD$1005,COLUMN(装強!BD$1),FALSE),0)</f>
        <v>0</v>
      </c>
      <c r="BE368">
        <f>IF(ISNUMBER(SEARCH(SUBSTITUTE(BE$1,RIGHT(BE$1,2),""),VLOOKUP($D368,素材!$1:$1016,COLUMN($F$1),FALSE))),VLOOKUP($C368,武器!$1:$998,COLUMN($O$1),FALSE)*VLOOKUP($D368,素材!$1:$1016,COLUMN($E$1),FALSE)/(LEN(VLOOKUP($D368,素材!$1:$1016,COLUMN($F$1),FALSE))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0)+IF($CJ368&lt;&gt;"",VLOOKUP($CJ368,装強!$A$1:BE$1005,COLUMN(装強!BE$1),FALSE),0)</f>
        <v>0</v>
      </c>
      <c r="BF368">
        <f>IF(ISNUMBER(SEARCH(SUBSTITUTE(BF$1,RIGHT(BF$1,2),""),VLOOKUP($D368,素材!$1:$1016,COLUMN($F$1),FALSE))),VLOOKUP($C368,武器!$1:$998,COLUMN($O$1),FALSE)*VLOOKUP($D368,素材!$1:$1016,COLUMN($E$1),FALSE)/(LEN(VLOOKUP($D368,素材!$1:$1016,COLUMN($F$1),FALSE)) - LEN(SUBSTITUTE(VLOOKUP($D368,素材!$1:$1016,COLUMN($F$1),FALSE), "・", 0)) + 1), 0)+IF($CJ368&lt;&gt;"",VLOOKUP($CJ368,装強!$A$1:BF$1005,COLUMN(装強!BF$1),FALSE),0)</f>
        <v>0</v>
      </c>
      <c r="CJ368" t="s">
        <v>40</v>
      </c>
      <c r="CM368">
        <f t="shared" ref="CM368" si="46">SUM(G368:I368)</f>
        <v>0</v>
      </c>
      <c r="CN368" s="22" t="str">
        <f>IF(E368="武器",IF(J368-1&gt;SUM(G368:I368),"盾",IF(MAX(G368:I368)=G368,"切断",IF(MAX(G368:I368)=H368,"貫通",IF(MAX(G368:I368)=I368,"打撃","射撃")))),E368)&amp;".webp"</f>
        <v>体.webp</v>
      </c>
      <c r="CO368">
        <f>IFERROR(VLOOKUP($C368,武器!$1:$998,COLUMN(V$1),FALSE)*VLOOKUP($D368,素材!$1:$1016,COLUMN(N$1),FALSE)+IF(CJ368="",0,VLOOKUP($CJ368,装強!$1:$1008,COLUMN($CL$1),FALSE)),"")</f>
        <v>14000</v>
      </c>
      <c r="CP368" t="str">
        <f>VLOOKUP(D368,素材!$A:$O,COLUMN(素材!O$1),FALSE)</f>
        <v>神聖な力を持つ木材。武器として使用すると善属性が付加され、防具に使用すると呪いへの耐性が強化される。</v>
      </c>
      <c r="CQ368" t="str">
        <f>VLOOKUP(C368,武器!$A:$W,COLUMN(武器!W$1),FALSE)</f>
        <v>HP 物理 魔法 体幹 出血 疲労 Cr</v>
      </c>
      <c r="CS368" t="str">
        <f>"e_"&amp;ROW(CS368)</f>
        <v>e_368</v>
      </c>
      <c r="CT368">
        <f t="shared" ref="CT368" si="47">CO368*100</f>
        <v>1400000</v>
      </c>
    </row>
    <row r="369" spans="1:98" ht="37.5" outlineLevel="1" x14ac:dyDescent="0.4">
      <c r="A369" s="1" t="s">
        <v>1284</v>
      </c>
      <c r="B369" t="s">
        <v>1285</v>
      </c>
      <c r="C369" t="s">
        <v>1275</v>
      </c>
      <c r="D369" s="24" t="s">
        <v>1231</v>
      </c>
      <c r="E369" t="str">
        <f>IFERROR(VLOOKUP(C369,武器!$1:$998,COLUMN(C$1),FALSE),"")</f>
        <v>足</v>
      </c>
      <c r="F369">
        <f>IFERROR(ROUNDDOWN((VLOOKUP($C369,武器!$1:$998,COLUMN(D$1),FALSE)+IFERROR(VLOOKUP($CJ369,装強!$1:$999,COLUMN(F$1),FALSE),0))*VLOOKUP($D369,素材!$1:$1016,COLUMN(D$1),FALSE),0),"")</f>
        <v>0</v>
      </c>
      <c r="G369">
        <f>IFERROR(ROUNDDOWN((VLOOKUP($C369,武器!$1:$998,COLUMN(E$1),FALSE)+IFERROR(VLOOKUP($CJ369,装強!$1:$999,COLUMN(G$1),FALSE),0))*VLOOKUP($D369,素材!$1:$1016,COLUMN($E$1),FALSE),0),"")</f>
        <v>0</v>
      </c>
      <c r="H369">
        <f>IFERROR(ROUNDDOWN((VLOOKUP($C369,武器!$1:$998,COLUMN(F$1),FALSE)+IFERROR(VLOOKUP($CJ369,装強!$1:$999,COLUMN(H$1),FALSE),0))*VLOOKUP($D369,素材!$1:$1016,COLUMN($E$1),FALSE),0),"")</f>
        <v>0</v>
      </c>
      <c r="I369">
        <f>IFERROR(ROUNDDOWN((VLOOKUP($C369,武器!$1:$998,COLUMN(G$1),FALSE)+IFERROR(VLOOKUP($CJ369,装強!$1:$999,COLUMN(I$1),FALSE),0))*VLOOKUP($D369,素材!$1:$1016,COLUMN($E$1),FALSE),0),"")</f>
        <v>35</v>
      </c>
      <c r="J369">
        <f>IFERROR(ROUNDDOWN((VLOOKUP($C369,武器!$1:$998,COLUMN(H$1),FALSE)+IFERROR(VLOOKUP($CJ369,装強!$1:$999,COLUMN(J$1),FALSE),0))*VLOOKUP($D369,素材!$1:$1016,COLUMN($E$1),FALSE),0),"")</f>
        <v>0</v>
      </c>
      <c r="K369">
        <f>IFERROR(ROUNDDOWN((VLOOKUP($C369,武器!$1:$998,COLUMN(I$1),FALSE)+IFERROR(VLOOKUP($CJ369,装強!$1:$999,COLUMN(K$1),FALSE),0))*VLOOKUP($D369,素材!$1:$1016,COLUMN($E$1),FALSE),0),"")</f>
        <v>0</v>
      </c>
      <c r="L369" t="str">
        <f>IFERROR(VLOOKUP($D369,素材!$1:$1016,COLUMN($F$1),FALSE),"")</f>
        <v>悪</v>
      </c>
      <c r="M369">
        <f>IFERROR(VLOOKUP($C369,武器!$1:$998,COLUMN(AA$1),FALSE)*VLOOKUP($D369,素材!$1:$1016,COLUMN($G$1),FALSE),"")</f>
        <v>0</v>
      </c>
      <c r="N369">
        <f>IFERROR(VLOOKUP($C369,武器!$1:$998,COLUMN(I$1),FALSE),"")</f>
        <v>0</v>
      </c>
      <c r="O369" s="23">
        <f>IFERROR((VLOOKUP($C369,武器!$1:$998,COLUMN(K$1),FALSE)+VLOOKUP($D369,素材!$1:$1016,COLUMN(H$1),FALSE))*100+IFERROR(VLOOKUP($CJ369,装強!$1:$999,COLUMN(O$1),FALSE),0),"")</f>
        <v>10</v>
      </c>
      <c r="P369" s="23">
        <f>IFERROR((VLOOKUP($C369,武器!$1:$998,COLUMN(L$1),FALSE)+VLOOKUP($D369,素材!$1:$1016,COLUMN(I$1),FALSE))*100+IFERROR(VLOOKUP($CJ369,装強!$1:$999,COLUMN(P$1),FALSE),0),"")</f>
        <v>150</v>
      </c>
      <c r="Q369">
        <f>IFERROR(ROUNDUP(VLOOKUP($C369,武器!$1:$998,COLUMN(M$1),FALSE)*(VLOOKUP($D369,素材!$1:$1002,COLUMN(D$1),FALSE)/100),1),"")</f>
        <v>0</v>
      </c>
      <c r="R369">
        <f>IFERROR(ROUNDUP(VLOOKUP($C369,武器!$1:$998,COLUMN(N$1),FALSE)*(VLOOKUP($D369,素材!$1:$1002,COLUMN(D$1),FALSE)/100),1),"")</f>
        <v>0</v>
      </c>
      <c r="S369">
        <f>IFERROR(VLOOKUP($C369,武器!$1:$998,COLUMN(P$1),FALSE),"")</f>
        <v>0</v>
      </c>
      <c r="T369">
        <f>IFERROR(VLOOKUP($C369,武器!$1:$998,COLUMN(Q$1),FALSE),"")</f>
        <v>0</v>
      </c>
      <c r="U369">
        <f>IFERROR(VLOOKUP($C369,武器!$1:$998,COLUMN(R$1),FALSE),"")</f>
        <v>0</v>
      </c>
      <c r="V369">
        <f>IFERROR(VLOOKUP($C369,武器!$1:$998,COLUMN(Q$1),FALSE),"")</f>
        <v>0</v>
      </c>
      <c r="W369">
        <f>IFERROR(VLOOKUP($C369,武器!$1:$998,COLUMN(T$1),FALSE),"")</f>
        <v>0</v>
      </c>
      <c r="Y369" t="str">
        <f>IFERROR(VLOOKUP($C369,武器!$1:$998,COLUMN(U$1),FALSE),"")</f>
        <v>足</v>
      </c>
      <c r="Z369">
        <f>IFERROR(ROUNDUP(VLOOKUP($C369,武器!$1:$998,COLUMN(O$1),FALSE)*VLOOKUP($D369,素材!$1:$1016,COLUMN(E$1),FALSE),1),"")</f>
        <v>5.3</v>
      </c>
      <c r="AA369">
        <f>IF(ISNUMBER(SEARCH(SUBSTITUTE(AA$1,RIGHT(AA$1,2),""),VLOOKUP($D369,素材!$1:$1016,COLUMN($F$1),FALSE))),VLOOKUP($C369,武器!$1:$998,COLUMN($O$1),FALSE)*VLOOKUP($D369,素材!$1:$1016,COLUMN($E$1),FALSE)/(LEN(VLOOKUP($D369,素材!$1:$1016,COLUMN($F$1),FALSE))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</f>
        <v>0</v>
      </c>
      <c r="AB369">
        <f>IF(ISNUMBER(SEARCH(SUBSTITUTE(AB$1,RIGHT(AB$1,2),""),VLOOKUP($D369,素材!$1:$1016,COLUMN($F$1),FALSE))),VLOOKUP($C369,武器!$1:$998,COLUMN($O$1),FALSE)*VLOOKUP($D369,素材!$1:$1016,COLUMN($E$1),FALSE)/(LEN(VLOOKUP($D369,素材!$1:$1016,COLUMN($F$1),FALSE))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</f>
        <v>0</v>
      </c>
      <c r="AC369">
        <f>IF(ISNUMBER(SEARCH(SUBSTITUTE(AC$1,RIGHT(AC$1,2),""),VLOOKUP($D369,素材!$1:$1016,COLUMN($F$1),FALSE))),VLOOKUP($C369,武器!$1:$998,COLUMN($O$1),FALSE)*VLOOKUP($D369,素材!$1:$1016,COLUMN($E$1),FALSE)/(LEN(VLOOKUP($D369,素材!$1:$1016,COLUMN($F$1),FALSE))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</f>
        <v>0</v>
      </c>
      <c r="AD369">
        <f>IF(ISNUMBER(SEARCH(SUBSTITUTE(AD$1,RIGHT(AD$1,2),""),VLOOKUP($D369,素材!$1:$1016,COLUMN($F$1),FALSE))),VLOOKUP($C369,武器!$1:$998,COLUMN($O$1),FALSE)*VLOOKUP($D369,素材!$1:$1016,COLUMN($E$1),FALSE)/(LEN(VLOOKUP($D369,素材!$1:$1016,COLUMN($F$1),FALSE))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</f>
        <v>0</v>
      </c>
      <c r="AE369">
        <f>IF(ISNUMBER(SEARCH(SUBSTITUTE(AE$1,RIGHT(AE$1,2),""),VLOOKUP($D369,素材!$1:$1016,COLUMN($F$1),FALSE))),VLOOKUP($C369,武器!$1:$998,COLUMN($O$1),FALSE)*VLOOKUP($D369,素材!$1:$1016,COLUMN($E$1),FALSE)/(LEN(VLOOKUP($D369,素材!$1:$1016,COLUMN($F$1),FALSE))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0)+IF($CJ369&lt;&gt;"",VLOOKUP($CJ369,装強!$A$1:AE$1005,COLUMN(装強!AE$1),FALSE),0)</f>
        <v>0</v>
      </c>
      <c r="AF369">
        <f>IF(ISNUMBER(SEARCH(SUBSTITUTE(AF$1,RIGHT(AF$1,2),""),VLOOKUP($D369,素材!$1:$1016,COLUMN($F$1),FALSE))),VLOOKUP($C369,武器!$1:$998,COLUMN($O$1),FALSE)*VLOOKUP($D369,素材!$1:$1016,COLUMN($E$1),FALSE)/(LEN(VLOOKUP($D369,素材!$1:$1016,COLUMN($F$1),FALSE))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0)+IF($CJ369&lt;&gt;"",VLOOKUP($CJ369,装強!$A$1:AF$1005,COLUMN(装強!AF$1),FALSE),0)</f>
        <v>0</v>
      </c>
      <c r="AG369">
        <f>IF(ISNUMBER(SEARCH(SUBSTITUTE(AG$1,RIGHT(AG$1,2),""),VLOOKUP($D369,素材!$1:$1016,COLUMN($F$1),FALSE))),VLOOKUP($C369,武器!$1:$998,COLUMN($O$1),FALSE)*VLOOKUP($D369,素材!$1:$1016,COLUMN($E$1),FALSE)/(LEN(VLOOKUP($D369,素材!$1:$1016,COLUMN($F$1),FALSE))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0)+IF($CJ369&lt;&gt;"",VLOOKUP($CJ369,装強!$A$1:AG$1005,COLUMN(装強!AG$1),FALSE),0)</f>
        <v>0</v>
      </c>
      <c r="AH369">
        <f>IF(ISNUMBER(SEARCH(SUBSTITUTE(AH$1,RIGHT(AH$1,2),""),VLOOKUP($D369,素材!$1:$1016,COLUMN($F$1),FALSE))),VLOOKUP($C369,武器!$1:$998,COLUMN($O$1),FALSE)*VLOOKUP($D369,素材!$1:$1016,COLUMN($E$1),FALSE)/(LEN(VLOOKUP($D369,素材!$1:$1016,COLUMN($F$1),FALSE))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0)+IF($CJ369&lt;&gt;"",VLOOKUP($CJ369,装強!$A$1:AH$1005,COLUMN(装強!AH$1),FALSE),0)</f>
        <v>0</v>
      </c>
      <c r="AI369">
        <f>IF(ISNUMBER(SEARCH(SUBSTITUTE(AI$1,RIGHT(AI$1,2),""),VLOOKUP($D369,素材!$1:$1016,COLUMN($F$1),FALSE))),VLOOKUP($C369,武器!$1:$998,COLUMN($O$1),FALSE)*VLOOKUP($D369,素材!$1:$1016,COLUMN($E$1),FALSE)/(LEN(VLOOKUP($D369,素材!$1:$1016,COLUMN($F$1),FALSE))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0)+IF($CJ369&lt;&gt;"",VLOOKUP($CJ369,装強!$A$1:AI$1005,COLUMN(装強!AI$1),FALSE),0)</f>
        <v>0</v>
      </c>
      <c r="AJ369">
        <f>IF(ISNUMBER(SEARCH(SUBSTITUTE(AJ$1,RIGHT(AJ$1,2),""),VLOOKUP($D369,素材!$1:$1016,COLUMN($F$1),FALSE))),VLOOKUP($C369,武器!$1:$998,COLUMN($O$1),FALSE)*VLOOKUP($D369,素材!$1:$1016,COLUMN($E$1),FALSE)/(LEN(VLOOKUP($D369,素材!$1:$1016,COLUMN($F$1),FALSE))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0)+IF($CJ369&lt;&gt;"",VLOOKUP($CJ369,装強!$A$1:AJ$1005,COLUMN(装強!AJ$1),FALSE),0)</f>
        <v>0</v>
      </c>
      <c r="AK369">
        <f>IF(ISNUMBER(SEARCH(SUBSTITUTE(AK$1,RIGHT(AK$1,2),""),VLOOKUP($D369,素材!$1:$1016,COLUMN($F$1),FALSE))),VLOOKUP($C369,武器!$1:$998,COLUMN($O$1),FALSE)*VLOOKUP($D369,素材!$1:$1016,COLUMN($E$1),FALSE)/(LEN(VLOOKUP($D369,素材!$1:$1016,COLUMN($F$1),FALSE))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0)+IF($CJ369&lt;&gt;"",VLOOKUP($CJ369,装強!$A$1:AK$1005,COLUMN(装強!AK$1),FALSE),0)</f>
        <v>0</v>
      </c>
      <c r="AL369">
        <f>IF(ISNUMBER(SEARCH(SUBSTITUTE(AL$1,RIGHT(AL$1,2),""),VLOOKUP($D369,素材!$1:$1016,COLUMN($F$1),FALSE))),VLOOKUP($C369,武器!$1:$998,COLUMN($O$1),FALSE)*VLOOKUP($D369,素材!$1:$1016,COLUMN($E$1),FALSE)/(LEN(VLOOKUP($D369,素材!$1:$1016,COLUMN($F$1),FALSE))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0)+IF($CJ369&lt;&gt;"",VLOOKUP($CJ369,装強!$A$1:AL$1005,COLUMN(装強!AL$1),FALSE),0)</f>
        <v>0</v>
      </c>
      <c r="AM369">
        <f>IF(ISNUMBER(SEARCH(SUBSTITUTE(AM$1,RIGHT(AM$1,2),""),VLOOKUP($D369,素材!$1:$1016,COLUMN($F$1),FALSE))),VLOOKUP($C369,武器!$1:$998,COLUMN($O$1),FALSE)*VLOOKUP($D369,素材!$1:$1016,COLUMN($E$1),FALSE)/(LEN(VLOOKUP($D369,素材!$1:$1016,COLUMN($F$1),FALSE))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0)+IF($CJ369&lt;&gt;"",VLOOKUP($CJ369,装強!$A$1:AM$1005,COLUMN(装強!AM$1),FALSE),0)</f>
        <v>5.25</v>
      </c>
      <c r="AN369">
        <f>IF(ISNUMBER(SEARCH(SUBSTITUTE(AN$1,RIGHT(AN$1,2),""),VLOOKUP($D369,素材!$1:$1016,COLUMN($F$1),FALSE))),VLOOKUP($C369,武器!$1:$998,COLUMN($O$1),FALSE)*VLOOKUP($D369,素材!$1:$1016,COLUMN($E$1),FALSE)/(LEN(VLOOKUP($D369,素材!$1:$1016,COLUMN($F$1),FALSE))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0)+IF($CJ369&lt;&gt;"",VLOOKUP($CJ369,装強!$A$1:AN$1005,COLUMN(装強!AN$1),FALSE),0)</f>
        <v>0</v>
      </c>
      <c r="AO369">
        <f>IF(ISNUMBER(SEARCH(SUBSTITUTE(AO$1,RIGHT(AO$1,2),""),VLOOKUP($D369,素材!$1:$1016,COLUMN($F$1),FALSE))),VLOOKUP($C369,武器!$1:$998,COLUMN($O$1),FALSE)*VLOOKUP($D369,素材!$1:$1016,COLUMN($E$1),FALSE)/(LEN(VLOOKUP($D369,素材!$1:$1016,COLUMN($F$1),FALSE))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0)+IF($CJ369&lt;&gt;"",VLOOKUP($CJ369,装強!$A$1:AO$1005,COLUMN(装強!AO$1),FALSE),0)</f>
        <v>0</v>
      </c>
      <c r="AP369">
        <f>IF(ISNUMBER(SEARCH(SUBSTITUTE(AP$1,RIGHT(AP$1,2),""),VLOOKUP($D369,素材!$1:$1016,COLUMN($F$1),FALSE))),VLOOKUP($C369,武器!$1:$998,COLUMN($O$1),FALSE)*VLOOKUP($D369,素材!$1:$1016,COLUMN($E$1),FALSE)/(LEN(VLOOKUP($D369,素材!$1:$1016,COLUMN($F$1),FALSE))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0)+IF($CJ369&lt;&gt;"",VLOOKUP($CJ369,装強!$A$1:AP$1005,COLUMN(装強!AP$1),FALSE),0)</f>
        <v>0</v>
      </c>
      <c r="AQ369">
        <f>IF(ISNUMBER(SEARCH(SUBSTITUTE(AQ$1,RIGHT(AQ$1,2),""),VLOOKUP($D369,素材!$1:$1016,COLUMN($F$1),FALSE))),VLOOKUP($C369,武器!$1:$998,COLUMN($O$1),FALSE)*VLOOKUP($D369,素材!$1:$1016,COLUMN($E$1),FALSE)/(LEN(VLOOKUP($D369,素材!$1:$1016,COLUMN($F$1),FALSE))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0)+IF($CJ369&lt;&gt;"",VLOOKUP($CJ369,装強!$A$1:AQ$1005,COLUMN(装強!AQ$1),FALSE),0)</f>
        <v>0</v>
      </c>
      <c r="AR369">
        <f>IF(ISNUMBER(SEARCH(SUBSTITUTE(AR$1,RIGHT(AR$1,2),""),VLOOKUP($D369,素材!$1:$1016,COLUMN($F$1),FALSE))),VLOOKUP($C369,武器!$1:$998,COLUMN($O$1),FALSE)*VLOOKUP($D369,素材!$1:$1016,COLUMN($E$1),FALSE)/(LEN(VLOOKUP($D369,素材!$1:$1016,COLUMN($F$1),FALSE))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0)+IF($CJ369&lt;&gt;"",VLOOKUP($CJ369,装強!$A$1:AR$1005,COLUMN(装強!AR$1),FALSE),0)</f>
        <v>0</v>
      </c>
      <c r="AS369">
        <f>IF(ISNUMBER(SEARCH(SUBSTITUTE(AS$1,RIGHT(AS$1,2),""),VLOOKUP($D369,素材!$1:$1016,COLUMN($F$1),FALSE))),VLOOKUP($C369,武器!$1:$998,COLUMN($O$1),FALSE)*VLOOKUP($D369,素材!$1:$1016,COLUMN($E$1),FALSE)/(LEN(VLOOKUP($D369,素材!$1:$1016,COLUMN($F$1),FALSE))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0)+IF($CJ369&lt;&gt;"",VLOOKUP($CJ369,装強!$A$1:AS$1005,COLUMN(装強!AS$1),FALSE),0)</f>
        <v>0</v>
      </c>
      <c r="AT369">
        <f>IF(ISNUMBER(SEARCH(SUBSTITUTE(AT$1,RIGHT(AT$1,2),""),VLOOKUP($D369,素材!$1:$1016,COLUMN($F$1),FALSE))),VLOOKUP($C369,武器!$1:$998,COLUMN($O$1),FALSE)*VLOOKUP($D369,素材!$1:$1016,COLUMN($E$1),FALSE)/(LEN(VLOOKUP($D369,素材!$1:$1016,COLUMN($F$1),FALSE))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0)+IF($CJ369&lt;&gt;"",VLOOKUP($CJ369,装強!$A$1:AT$1005,COLUMN(装強!AT$1),FALSE),0)</f>
        <v>0</v>
      </c>
      <c r="AU369">
        <f>IF(ISNUMBER(SEARCH(SUBSTITUTE(AU$1,RIGHT(AU$1,2),""),VLOOKUP($D369,素材!$1:$1016,COLUMN($F$1),FALSE))),VLOOKUP($C369,武器!$1:$998,COLUMN($O$1),FALSE)*VLOOKUP($D369,素材!$1:$1016,COLUMN($E$1),FALSE)/(LEN(VLOOKUP($D369,素材!$1:$1016,COLUMN($F$1),FALSE))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0)+IF($CJ369&lt;&gt;"",VLOOKUP($CJ369,装強!$A$1:AU$1005,COLUMN(装強!AU$1),FALSE),0)</f>
        <v>0</v>
      </c>
      <c r="AV369">
        <f>IF(ISNUMBER(SEARCH(SUBSTITUTE(AV$1,RIGHT(AV$1,2),""),VLOOKUP($D369,素材!$1:$1016,COLUMN($F$1),FALSE))),VLOOKUP($C369,武器!$1:$998,COLUMN($O$1),FALSE)*VLOOKUP($D369,素材!$1:$1016,COLUMN($E$1),FALSE)/(LEN(VLOOKUP($D369,素材!$1:$1016,COLUMN($F$1),FALSE))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0)+IF($CJ369&lt;&gt;"",VLOOKUP($CJ369,装強!$A$1:AV$1005,COLUMN(装強!AV$1),FALSE),0)</f>
        <v>0</v>
      </c>
      <c r="AW369">
        <f>IF(ISNUMBER(SEARCH(SUBSTITUTE(AW$1,RIGHT(AW$1,2),""),VLOOKUP($D369,素材!$1:$1016,COLUMN($F$1),FALSE))),VLOOKUP($C369,武器!$1:$998,COLUMN($O$1),FALSE)*VLOOKUP($D369,素材!$1:$1016,COLUMN($E$1),FALSE)/(LEN(VLOOKUP($D369,素材!$1:$1016,COLUMN($F$1),FALSE))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0)+IF($CJ369&lt;&gt;"",VLOOKUP($CJ369,装強!$A$1:AW$1005,COLUMN(装強!AW$1),FALSE),0)</f>
        <v>0</v>
      </c>
      <c r="AX369">
        <f>IF(ISNUMBER(SEARCH(SUBSTITUTE(AX$1,RIGHT(AX$1,2),""),VLOOKUP($D369,素材!$1:$1016,COLUMN($F$1),FALSE))),VLOOKUP($C369,武器!$1:$998,COLUMN($O$1),FALSE)*VLOOKUP($D369,素材!$1:$1016,COLUMN($E$1),FALSE)/(LEN(VLOOKUP($D369,素材!$1:$1016,COLUMN($F$1),FALSE))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0)+IF($CJ369&lt;&gt;"",VLOOKUP($CJ369,装強!$A$1:AX$1005,COLUMN(装強!AX$1),FALSE),0)</f>
        <v>0</v>
      </c>
      <c r="AY369">
        <f>IF(ISNUMBER(SEARCH(SUBSTITUTE(AY$1,RIGHT(AY$1,2),""),VLOOKUP($D369,素材!$1:$1016,COLUMN($F$1),FALSE))),VLOOKUP($C369,武器!$1:$998,COLUMN($O$1),FALSE)*VLOOKUP($D369,素材!$1:$1016,COLUMN($E$1),FALSE)/(LEN(VLOOKUP($D369,素材!$1:$1016,COLUMN($F$1),FALSE))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0)+IF($CJ369&lt;&gt;"",VLOOKUP($CJ369,装強!$A$1:AY$1005,COLUMN(装強!AY$1),FALSE),0)</f>
        <v>0</v>
      </c>
      <c r="AZ369">
        <f>IF(ISNUMBER(SEARCH(SUBSTITUTE(AZ$1,RIGHT(AZ$1,2),""),VLOOKUP($D369,素材!$1:$1016,COLUMN($F$1),FALSE))),VLOOKUP($C369,武器!$1:$998,COLUMN($O$1),FALSE)*VLOOKUP($D369,素材!$1:$1016,COLUMN($E$1),FALSE)/(LEN(VLOOKUP($D369,素材!$1:$1016,COLUMN($F$1),FALSE))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0)+IF($CJ369&lt;&gt;"",VLOOKUP($CJ369,装強!$A$1:AZ$1005,COLUMN(装強!AZ$1),FALSE),0)</f>
        <v>0</v>
      </c>
      <c r="BA369">
        <f>IF(ISNUMBER(SEARCH(SUBSTITUTE(BA$1,RIGHT(BA$1,2),""),VLOOKUP($D369,素材!$1:$1016,COLUMN($F$1),FALSE))),VLOOKUP($C369,武器!$1:$998,COLUMN($O$1),FALSE)*VLOOKUP($D369,素材!$1:$1016,COLUMN($E$1),FALSE)/(LEN(VLOOKUP($D369,素材!$1:$1016,COLUMN($F$1),FALSE))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0)+IF($CJ369&lt;&gt;"",VLOOKUP($CJ369,装強!$A$1:BA$1005,COLUMN(装強!BA$1),FALSE),0)</f>
        <v>0</v>
      </c>
      <c r="BB369">
        <f>IF(ISNUMBER(SEARCH(SUBSTITUTE(BB$1,RIGHT(BB$1,2),""),VLOOKUP($D369,素材!$1:$1016,COLUMN($F$1),FALSE))),VLOOKUP($C369,武器!$1:$998,COLUMN($O$1),FALSE)*VLOOKUP($D369,素材!$1:$1016,COLUMN($E$1),FALSE)/(LEN(VLOOKUP($D369,素材!$1:$1016,COLUMN($F$1),FALSE))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0)+IF($CJ369&lt;&gt;"",VLOOKUP($CJ369,装強!$A$1:BB$1005,COLUMN(装強!BB$1),FALSE),0)</f>
        <v>0</v>
      </c>
      <c r="BC369">
        <f>IF(ISNUMBER(SEARCH(SUBSTITUTE(BC$1,RIGHT(BC$1,2),""),VLOOKUP($D369,素材!$1:$1016,COLUMN($F$1),FALSE))),VLOOKUP($C369,武器!$1:$998,COLUMN($O$1),FALSE)*VLOOKUP($D369,素材!$1:$1016,COLUMN($E$1),FALSE)/(LEN(VLOOKUP($D369,素材!$1:$1016,COLUMN($F$1),FALSE))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0)+IF($CJ369&lt;&gt;"",VLOOKUP($CJ369,装強!$A$1:BC$1005,COLUMN(装強!BC$1),FALSE),0)</f>
        <v>0</v>
      </c>
      <c r="BD369">
        <f>IF(ISNUMBER(SEARCH(SUBSTITUTE(BD$1,RIGHT(BD$1,2),""),VLOOKUP($D369,素材!$1:$1016,COLUMN($F$1),FALSE))),VLOOKUP($C369,武器!$1:$998,COLUMN($O$1),FALSE)*VLOOKUP($D369,素材!$1:$1016,COLUMN($E$1),FALSE)/(LEN(VLOOKUP($D369,素材!$1:$1016,COLUMN($F$1),FALSE))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0)+IF($CJ369&lt;&gt;"",VLOOKUP($CJ369,装強!$A$1:BD$1005,COLUMN(装強!BD$1),FALSE),0)</f>
        <v>0</v>
      </c>
      <c r="BE369">
        <f>IF(ISNUMBER(SEARCH(SUBSTITUTE(BE$1,RIGHT(BE$1,2),""),VLOOKUP($D369,素材!$1:$1016,COLUMN($F$1),FALSE))),VLOOKUP($C369,武器!$1:$998,COLUMN($O$1),FALSE)*VLOOKUP($D369,素材!$1:$1016,COLUMN($E$1),FALSE)/(LEN(VLOOKUP($D369,素材!$1:$1016,COLUMN($F$1),FALSE))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0)+IF($CJ369&lt;&gt;"",VLOOKUP($CJ369,装強!$A$1:BE$1005,COLUMN(装強!BE$1),FALSE),0)</f>
        <v>0</v>
      </c>
      <c r="BF369">
        <f>IF(ISNUMBER(SEARCH(SUBSTITUTE(BF$1,RIGHT(BF$1,2),""),VLOOKUP($D369,素材!$1:$1016,COLUMN($F$1),FALSE))),VLOOKUP($C369,武器!$1:$998,COLUMN($O$1),FALSE)*VLOOKUP($D369,素材!$1:$1016,COLUMN($E$1),FALSE)/(LEN(VLOOKUP($D369,素材!$1:$1016,COLUMN($F$1),FALSE)) - LEN(SUBSTITUTE(VLOOKUP($D369,素材!$1:$1016,COLUMN($F$1),FALSE), "・", 0)) + 1), 0)+IF($CJ369&lt;&gt;"",VLOOKUP($CJ369,装強!$A$1:BF$1005,COLUMN(装強!BF$1),FALSE),0)</f>
        <v>0</v>
      </c>
      <c r="CJ369" t="s">
        <v>20</v>
      </c>
      <c r="CM369">
        <f t="shared" si="44"/>
        <v>35</v>
      </c>
      <c r="CN369" s="22" t="str">
        <f>IF(E369="武器",IF(J369-1&gt;SUM(G369:I369),"盾",IF(MAX(G369:I369)=G369,"切断",IF(MAX(G369:I369)=H369,"貫通",IF(MAX(G369:I369)=I369,"打撃","射撃")))),E369)&amp;".webp"</f>
        <v>足.webp</v>
      </c>
      <c r="CO369">
        <f>IFERROR(VLOOKUP($C369,武器!$1:$998,COLUMN(V$1),FALSE)*VLOOKUP($D369,素材!$1:$1016,COLUMN(N$1),FALSE)+IF(CJ369="",0,VLOOKUP($CJ369,装強!$1:$1008,COLUMN($CL$1),FALSE)),"")</f>
        <v>8500</v>
      </c>
      <c r="CP369" t="str">
        <f>VLOOKUP(D369,素材!$A:$O,COLUMN(素材!O$1),FALSE)</f>
        <v>神聖な力を持つ木材。武器として使用すると善属性が付加され、防具に使用すると呪いへの耐性が強化される。</v>
      </c>
      <c r="CQ369" t="str">
        <f>VLOOKUP(C369,武器!$A:$W,COLUMN(武器!W$1),FALSE)</f>
        <v>速度 隠密 軽業 体幹</v>
      </c>
      <c r="CS369" t="str">
        <f>"e_"&amp;ROW(CS369)</f>
        <v>e_369</v>
      </c>
      <c r="CT369">
        <f t="shared" si="45"/>
        <v>850000</v>
      </c>
    </row>
    <row r="370" spans="1:98" outlineLevel="1" x14ac:dyDescent="0.4">
      <c r="A370" s="1" t="s">
        <v>1289</v>
      </c>
      <c r="B370" t="str">
        <f>IFERROR(VLOOKUP($D370,素材!$1:$1016,COLUMN($B$1),FALSE)&amp;"・"&amp;VLOOKUP($C370,武器!$1:$998,COLUMN(B$1),FALSE),"")</f>
        <v>ホロウウッド・サークレット</v>
      </c>
      <c r="C370" t="s">
        <v>1276</v>
      </c>
      <c r="D370" s="24" t="s">
        <v>1231</v>
      </c>
      <c r="E370" t="str">
        <f>IFERROR(VLOOKUP(C370,武器!$1:$998,COLUMN(C$1),FALSE),"")</f>
        <v>頭</v>
      </c>
      <c r="F370">
        <f>IFERROR(ROUNDDOWN((VLOOKUP($C370,武器!$1:$998,COLUMN(D$1),FALSE)+IFERROR(VLOOKUP($CJ370,装強!$1:$999,COLUMN(F$1),FALSE),0))*VLOOKUP($D370,素材!$1:$1016,COLUMN(D$1),FALSE),0),"")</f>
        <v>0</v>
      </c>
      <c r="G370">
        <f>IFERROR(ROUNDDOWN((VLOOKUP($C370,武器!$1:$998,COLUMN(E$1),FALSE)+IFERROR(VLOOKUP($CJ370,装強!$1:$999,COLUMN(G$1),FALSE),0))*VLOOKUP($D370,素材!$1:$1016,COLUMN($E$1),FALSE),0),"")</f>
        <v>0</v>
      </c>
      <c r="H370">
        <f>IFERROR(ROUNDDOWN((VLOOKUP($C370,武器!$1:$998,COLUMN(F$1),FALSE)+IFERROR(VLOOKUP($CJ370,装強!$1:$999,COLUMN(H$1),FALSE),0))*VLOOKUP($D370,素材!$1:$1016,COLUMN($E$1),FALSE),0),"")</f>
        <v>0</v>
      </c>
      <c r="I370">
        <f>IFERROR(ROUNDDOWN((VLOOKUP($C370,武器!$1:$998,COLUMN(G$1),FALSE)+IFERROR(VLOOKUP($CJ370,装強!$1:$999,COLUMN(I$1),FALSE),0))*VLOOKUP($D370,素材!$1:$1016,COLUMN($E$1),FALSE),0),"")</f>
        <v>0</v>
      </c>
      <c r="J370">
        <f>IFERROR(ROUNDDOWN((VLOOKUP($C370,武器!$1:$998,COLUMN(H$1),FALSE)+IFERROR(VLOOKUP($CJ370,装強!$1:$999,COLUMN(J$1),FALSE),0))*VLOOKUP($D370,素材!$1:$1016,COLUMN($E$1),FALSE),0),"")</f>
        <v>0</v>
      </c>
      <c r="K370">
        <f>IFERROR(ROUNDDOWN((VLOOKUP($C370,武器!$1:$998,COLUMN(I$1),FALSE)+IFERROR(VLOOKUP($CJ370,装強!$1:$999,COLUMN(K$1),FALSE),0))*VLOOKUP($D370,素材!$1:$1016,COLUMN($E$1),FALSE),0),"")</f>
        <v>0</v>
      </c>
      <c r="L370" t="str">
        <f>IFERROR(VLOOKUP($D370,素材!$1:$1016,COLUMN($F$1),FALSE),"")</f>
        <v>悪</v>
      </c>
      <c r="M370">
        <f>IFERROR(VLOOKUP($C370,武器!$1:$998,COLUMN(AA$1),FALSE)*VLOOKUP($D370,素材!$1:$1016,COLUMN($G$1),FALSE),"")</f>
        <v>0</v>
      </c>
      <c r="N370">
        <f>IFERROR(VLOOKUP($C370,武器!$1:$998,COLUMN(I$1),FALSE),"")</f>
        <v>0</v>
      </c>
      <c r="O370" s="23">
        <f>IFERROR((VLOOKUP($C370,武器!$1:$998,COLUMN(K$1),FALSE)+VLOOKUP($D370,素材!$1:$1016,COLUMN(H$1),FALSE))*100+IFERROR(VLOOKUP($CJ370,装強!$1:$999,COLUMN(O$1),FALSE),0),"")</f>
        <v>0</v>
      </c>
      <c r="P370" s="23">
        <f>IFERROR((VLOOKUP($C370,武器!$1:$998,COLUMN(L$1),FALSE)+VLOOKUP($D370,素材!$1:$1016,COLUMN(I$1),FALSE))*100+IFERROR(VLOOKUP($CJ370,装強!$1:$999,COLUMN(P$1),FALSE),0),"")</f>
        <v>0</v>
      </c>
      <c r="Q370">
        <f>IFERROR(ROUNDUP(VLOOKUP($C370,武器!$1:$998,COLUMN(M$1),FALSE)*(VLOOKUP($D370,素材!$1:$1002,COLUMN(D$1),FALSE)/100),1),"")</f>
        <v>0</v>
      </c>
      <c r="R370">
        <f>IFERROR(ROUNDUP(VLOOKUP($C370,武器!$1:$998,COLUMN(N$1),FALSE)*(VLOOKUP($D370,素材!$1:$1002,COLUMN(D$1),FALSE)/100),1),"")</f>
        <v>0</v>
      </c>
      <c r="S370">
        <f>IFERROR(VLOOKUP($C370,武器!$1:$998,COLUMN(P$1),FALSE),"")</f>
        <v>0</v>
      </c>
      <c r="T370">
        <f>IFERROR(VLOOKUP($C370,武器!$1:$998,COLUMN(Q$1),FALSE),"")</f>
        <v>0</v>
      </c>
      <c r="U370">
        <f>IFERROR(VLOOKUP($C370,武器!$1:$998,COLUMN(R$1),FALSE),"")</f>
        <v>0</v>
      </c>
      <c r="V370">
        <f>IFERROR(VLOOKUP($C370,武器!$1:$998,COLUMN(Q$1),FALSE),"")</f>
        <v>0</v>
      </c>
      <c r="W370">
        <f>IFERROR(VLOOKUP($C370,武器!$1:$998,COLUMN(T$1),FALSE),"")</f>
        <v>0</v>
      </c>
      <c r="Y370">
        <f>IFERROR(VLOOKUP($C370,武器!$1:$998,COLUMN(U$1),FALSE),"")</f>
        <v>0</v>
      </c>
      <c r="Z370">
        <f>IFERROR(ROUNDUP(VLOOKUP($C370,武器!$1:$998,COLUMN(O$1),FALSE)*VLOOKUP($D370,素材!$1:$1016,COLUMN(E$1),FALSE),1),"")</f>
        <v>2.5</v>
      </c>
      <c r="AA370">
        <f>IF(ISNUMBER(SEARCH(SUBSTITUTE(AA$1,RIGHT(AA$1,2),""),VLOOKUP($D370,素材!$1:$1016,COLUMN($F$1),FALSE))),VLOOKUP($C370,武器!$1:$998,COLUMN($O$1),FALSE)*VLOOKUP($D370,素材!$1:$1016,COLUMN($E$1),FALSE)/(LEN(VLOOKUP($D370,素材!$1:$1016,COLUMN($F$1),FALSE))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</f>
        <v>0</v>
      </c>
      <c r="AB370">
        <f>IF(ISNUMBER(SEARCH(SUBSTITUTE(AB$1,RIGHT(AB$1,2),""),VLOOKUP($D370,素材!$1:$1016,COLUMN($F$1),FALSE))),VLOOKUP($C370,武器!$1:$998,COLUMN($O$1),FALSE)*VLOOKUP($D370,素材!$1:$1016,COLUMN($E$1),FALSE)/(LEN(VLOOKUP($D370,素材!$1:$1016,COLUMN($F$1),FALSE))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</f>
        <v>0</v>
      </c>
      <c r="AC370">
        <f>IF(ISNUMBER(SEARCH(SUBSTITUTE(AC$1,RIGHT(AC$1,2),""),VLOOKUP($D370,素材!$1:$1016,COLUMN($F$1),FALSE))),VLOOKUP($C370,武器!$1:$998,COLUMN($O$1),FALSE)*VLOOKUP($D370,素材!$1:$1016,COLUMN($E$1),FALSE)/(LEN(VLOOKUP($D370,素材!$1:$1016,COLUMN($F$1),FALSE))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</f>
        <v>0</v>
      </c>
      <c r="AD370">
        <f>IF(ISNUMBER(SEARCH(SUBSTITUTE(AD$1,RIGHT(AD$1,2),""),VLOOKUP($D370,素材!$1:$1016,COLUMN($F$1),FALSE))),VLOOKUP($C370,武器!$1:$998,COLUMN($O$1),FALSE)*VLOOKUP($D370,素材!$1:$1016,COLUMN($E$1),FALSE)/(LEN(VLOOKUP($D370,素材!$1:$1016,COLUMN($F$1),FALSE))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</f>
        <v>0</v>
      </c>
      <c r="AE370">
        <f>IF(ISNUMBER(SEARCH(SUBSTITUTE(AE$1,RIGHT(AE$1,2),""),VLOOKUP($D370,素材!$1:$1016,COLUMN($F$1),FALSE))),VLOOKUP($C370,武器!$1:$998,COLUMN($O$1),FALSE)*VLOOKUP($D370,素材!$1:$1016,COLUMN($E$1),FALSE)/(LEN(VLOOKUP($D370,素材!$1:$1016,COLUMN($F$1),FALSE))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0)+IF($CJ370&lt;&gt;"",VLOOKUP($CJ370,装強!$A$1:AE$1005,COLUMN(装強!AE$1),FALSE),0)</f>
        <v>0</v>
      </c>
      <c r="AF370">
        <f>IF(ISNUMBER(SEARCH(SUBSTITUTE(AF$1,RIGHT(AF$1,2),""),VLOOKUP($D370,素材!$1:$1016,COLUMN($F$1),FALSE))),VLOOKUP($C370,武器!$1:$998,COLUMN($O$1),FALSE)*VLOOKUP($D370,素材!$1:$1016,COLUMN($E$1),FALSE)/(LEN(VLOOKUP($D370,素材!$1:$1016,COLUMN($F$1),FALSE))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0)+IF($CJ370&lt;&gt;"",VLOOKUP($CJ370,装強!$A$1:AF$1005,COLUMN(装強!AF$1),FALSE),0)</f>
        <v>0</v>
      </c>
      <c r="AG370">
        <f>IF(ISNUMBER(SEARCH(SUBSTITUTE(AG$1,RIGHT(AG$1,2),""),VLOOKUP($D370,素材!$1:$1016,COLUMN($F$1),FALSE))),VLOOKUP($C370,武器!$1:$998,COLUMN($O$1),FALSE)*VLOOKUP($D370,素材!$1:$1016,COLUMN($E$1),FALSE)/(LEN(VLOOKUP($D370,素材!$1:$1016,COLUMN($F$1),FALSE))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0)+IF($CJ370&lt;&gt;"",VLOOKUP($CJ370,装強!$A$1:AG$1005,COLUMN(装強!AG$1),FALSE),0)</f>
        <v>0</v>
      </c>
      <c r="AH370">
        <f>IF(ISNUMBER(SEARCH(SUBSTITUTE(AH$1,RIGHT(AH$1,2),""),VLOOKUP($D370,素材!$1:$1016,COLUMN($F$1),FALSE))),VLOOKUP($C370,武器!$1:$998,COLUMN($O$1),FALSE)*VLOOKUP($D370,素材!$1:$1016,COLUMN($E$1),FALSE)/(LEN(VLOOKUP($D370,素材!$1:$1016,COLUMN($F$1),FALSE))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0)+IF($CJ370&lt;&gt;"",VLOOKUP($CJ370,装強!$A$1:AH$1005,COLUMN(装強!AH$1),FALSE),0)</f>
        <v>0</v>
      </c>
      <c r="AI370">
        <f>IF(ISNUMBER(SEARCH(SUBSTITUTE(AI$1,RIGHT(AI$1,2),""),VLOOKUP($D370,素材!$1:$1016,COLUMN($F$1),FALSE))),VLOOKUP($C370,武器!$1:$998,COLUMN($O$1),FALSE)*VLOOKUP($D370,素材!$1:$1016,COLUMN($E$1),FALSE)/(LEN(VLOOKUP($D370,素材!$1:$1016,COLUMN($F$1),FALSE))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0)+IF($CJ370&lt;&gt;"",VLOOKUP($CJ370,装強!$A$1:AI$1005,COLUMN(装強!AI$1),FALSE),0)</f>
        <v>0</v>
      </c>
      <c r="AJ370">
        <f>IF(ISNUMBER(SEARCH(SUBSTITUTE(AJ$1,RIGHT(AJ$1,2),""),VLOOKUP($D370,素材!$1:$1016,COLUMN($F$1),FALSE))),VLOOKUP($C370,武器!$1:$998,COLUMN($O$1),FALSE)*VLOOKUP($D370,素材!$1:$1016,COLUMN($E$1),FALSE)/(LEN(VLOOKUP($D370,素材!$1:$1016,COLUMN($F$1),FALSE))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0)+IF($CJ370&lt;&gt;"",VLOOKUP($CJ370,装強!$A$1:AJ$1005,COLUMN(装強!AJ$1),FALSE),0)</f>
        <v>0</v>
      </c>
      <c r="AK370">
        <f>IF(ISNUMBER(SEARCH(SUBSTITUTE(AK$1,RIGHT(AK$1,2),""),VLOOKUP($D370,素材!$1:$1016,COLUMN($F$1),FALSE))),VLOOKUP($C370,武器!$1:$998,COLUMN($O$1),FALSE)*VLOOKUP($D370,素材!$1:$1016,COLUMN($E$1),FALSE)/(LEN(VLOOKUP($D370,素材!$1:$1016,COLUMN($F$1),FALSE))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0)+IF($CJ370&lt;&gt;"",VLOOKUP($CJ370,装強!$A$1:AK$1005,COLUMN(装強!AK$1),FALSE),0)</f>
        <v>0</v>
      </c>
      <c r="AL370">
        <f>IF(ISNUMBER(SEARCH(SUBSTITUTE(AL$1,RIGHT(AL$1,2),""),VLOOKUP($D370,素材!$1:$1016,COLUMN($F$1),FALSE))),VLOOKUP($C370,武器!$1:$998,COLUMN($O$1),FALSE)*VLOOKUP($D370,素材!$1:$1016,COLUMN($E$1),FALSE)/(LEN(VLOOKUP($D370,素材!$1:$1016,COLUMN($F$1),FALSE))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0)+IF($CJ370&lt;&gt;"",VLOOKUP($CJ370,装強!$A$1:AL$1005,COLUMN(装強!AL$1),FALSE),0)</f>
        <v>0</v>
      </c>
      <c r="AM370">
        <f>IF(ISNUMBER(SEARCH(SUBSTITUTE(AM$1,RIGHT(AM$1,2),""),VLOOKUP($D370,素材!$1:$1016,COLUMN($F$1),FALSE))),VLOOKUP($C370,武器!$1:$998,COLUMN($O$1),FALSE)*VLOOKUP($D370,素材!$1:$1016,COLUMN($E$1),FALSE)/(LEN(VLOOKUP($D370,素材!$1:$1016,COLUMN($F$1),FALSE))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0)+IF($CJ370&lt;&gt;"",VLOOKUP($CJ370,装強!$A$1:AM$1005,COLUMN(装強!AM$1),FALSE),0)</f>
        <v>2.4500000000000002</v>
      </c>
      <c r="AN370">
        <f>IF(ISNUMBER(SEARCH(SUBSTITUTE(AN$1,RIGHT(AN$1,2),""),VLOOKUP($D370,素材!$1:$1016,COLUMN($F$1),FALSE))),VLOOKUP($C370,武器!$1:$998,COLUMN($O$1),FALSE)*VLOOKUP($D370,素材!$1:$1016,COLUMN($E$1),FALSE)/(LEN(VLOOKUP($D370,素材!$1:$1016,COLUMN($F$1),FALSE))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0)+IF($CJ370&lt;&gt;"",VLOOKUP($CJ370,装強!$A$1:AN$1005,COLUMN(装強!AN$1),FALSE),0)</f>
        <v>0</v>
      </c>
      <c r="AO370">
        <f>IF(ISNUMBER(SEARCH(SUBSTITUTE(AO$1,RIGHT(AO$1,2),""),VLOOKUP($D370,素材!$1:$1016,COLUMN($F$1),FALSE))),VLOOKUP($C370,武器!$1:$998,COLUMN($O$1),FALSE)*VLOOKUP($D370,素材!$1:$1016,COLUMN($E$1),FALSE)/(LEN(VLOOKUP($D370,素材!$1:$1016,COLUMN($F$1),FALSE))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0)+IF($CJ370&lt;&gt;"",VLOOKUP($CJ370,装強!$A$1:AO$1005,COLUMN(装強!AO$1),FALSE),0)</f>
        <v>0</v>
      </c>
      <c r="AP370">
        <f>IF(ISNUMBER(SEARCH(SUBSTITUTE(AP$1,RIGHT(AP$1,2),""),VLOOKUP($D370,素材!$1:$1016,COLUMN($F$1),FALSE))),VLOOKUP($C370,武器!$1:$998,COLUMN($O$1),FALSE)*VLOOKUP($D370,素材!$1:$1016,COLUMN($E$1),FALSE)/(LEN(VLOOKUP($D370,素材!$1:$1016,COLUMN($F$1),FALSE))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0)+IF($CJ370&lt;&gt;"",VLOOKUP($CJ370,装強!$A$1:AP$1005,COLUMN(装強!AP$1),FALSE),0)</f>
        <v>0</v>
      </c>
      <c r="AQ370">
        <f>IF(ISNUMBER(SEARCH(SUBSTITUTE(AQ$1,RIGHT(AQ$1,2),""),VLOOKUP($D370,素材!$1:$1016,COLUMN($F$1),FALSE))),VLOOKUP($C370,武器!$1:$998,COLUMN($O$1),FALSE)*VLOOKUP($D370,素材!$1:$1016,COLUMN($E$1),FALSE)/(LEN(VLOOKUP($D370,素材!$1:$1016,COLUMN($F$1),FALSE))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0)+IF($CJ370&lt;&gt;"",VLOOKUP($CJ370,装強!$A$1:AQ$1005,COLUMN(装強!AQ$1),FALSE),0)</f>
        <v>0</v>
      </c>
      <c r="AR370">
        <f>IF(ISNUMBER(SEARCH(SUBSTITUTE(AR$1,RIGHT(AR$1,2),""),VLOOKUP($D370,素材!$1:$1016,COLUMN($F$1),FALSE))),VLOOKUP($C370,武器!$1:$998,COLUMN($O$1),FALSE)*VLOOKUP($D370,素材!$1:$1016,COLUMN($E$1),FALSE)/(LEN(VLOOKUP($D370,素材!$1:$1016,COLUMN($F$1),FALSE))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0)+IF($CJ370&lt;&gt;"",VLOOKUP($CJ370,装強!$A$1:AR$1005,COLUMN(装強!AR$1),FALSE),0)</f>
        <v>0</v>
      </c>
      <c r="AS370">
        <f>IF(ISNUMBER(SEARCH(SUBSTITUTE(AS$1,RIGHT(AS$1,2),""),VLOOKUP($D370,素材!$1:$1016,COLUMN($F$1),FALSE))),VLOOKUP($C370,武器!$1:$998,COLUMN($O$1),FALSE)*VLOOKUP($D370,素材!$1:$1016,COLUMN($E$1),FALSE)/(LEN(VLOOKUP($D370,素材!$1:$1016,COLUMN($F$1),FALSE))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0)+IF($CJ370&lt;&gt;"",VLOOKUP($CJ370,装強!$A$1:AS$1005,COLUMN(装強!AS$1),FALSE),0)</f>
        <v>0</v>
      </c>
      <c r="AT370">
        <f>IF(ISNUMBER(SEARCH(SUBSTITUTE(AT$1,RIGHT(AT$1,2),""),VLOOKUP($D370,素材!$1:$1016,COLUMN($F$1),FALSE))),VLOOKUP($C370,武器!$1:$998,COLUMN($O$1),FALSE)*VLOOKUP($D370,素材!$1:$1016,COLUMN($E$1),FALSE)/(LEN(VLOOKUP($D370,素材!$1:$1016,COLUMN($F$1),FALSE))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0)+IF($CJ370&lt;&gt;"",VLOOKUP($CJ370,装強!$A$1:AT$1005,COLUMN(装強!AT$1),FALSE),0)</f>
        <v>0</v>
      </c>
      <c r="AU370">
        <f>IF(ISNUMBER(SEARCH(SUBSTITUTE(AU$1,RIGHT(AU$1,2),""),VLOOKUP($D370,素材!$1:$1016,COLUMN($F$1),FALSE))),VLOOKUP($C370,武器!$1:$998,COLUMN($O$1),FALSE)*VLOOKUP($D370,素材!$1:$1016,COLUMN($E$1),FALSE)/(LEN(VLOOKUP($D370,素材!$1:$1016,COLUMN($F$1),FALSE))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0)+IF($CJ370&lt;&gt;"",VLOOKUP($CJ370,装強!$A$1:AU$1005,COLUMN(装強!AU$1),FALSE),0)</f>
        <v>0</v>
      </c>
      <c r="AV370">
        <f>IF(ISNUMBER(SEARCH(SUBSTITUTE(AV$1,RIGHT(AV$1,2),""),VLOOKUP($D370,素材!$1:$1016,COLUMN($F$1),FALSE))),VLOOKUP($C370,武器!$1:$998,COLUMN($O$1),FALSE)*VLOOKUP($D370,素材!$1:$1016,COLUMN($E$1),FALSE)/(LEN(VLOOKUP($D370,素材!$1:$1016,COLUMN($F$1),FALSE))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0)+IF($CJ370&lt;&gt;"",VLOOKUP($CJ370,装強!$A$1:AV$1005,COLUMN(装強!AV$1),FALSE),0)</f>
        <v>0</v>
      </c>
      <c r="AW370">
        <f>IF(ISNUMBER(SEARCH(SUBSTITUTE(AW$1,RIGHT(AW$1,2),""),VLOOKUP($D370,素材!$1:$1016,COLUMN($F$1),FALSE))),VLOOKUP($C370,武器!$1:$998,COLUMN($O$1),FALSE)*VLOOKUP($D370,素材!$1:$1016,COLUMN($E$1),FALSE)/(LEN(VLOOKUP($D370,素材!$1:$1016,COLUMN($F$1),FALSE))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0)+IF($CJ370&lt;&gt;"",VLOOKUP($CJ370,装強!$A$1:AW$1005,COLUMN(装強!AW$1),FALSE),0)</f>
        <v>0</v>
      </c>
      <c r="AX370">
        <f>IF(ISNUMBER(SEARCH(SUBSTITUTE(AX$1,RIGHT(AX$1,2),""),VLOOKUP($D370,素材!$1:$1016,COLUMN($F$1),FALSE))),VLOOKUP($C370,武器!$1:$998,COLUMN($O$1),FALSE)*VLOOKUP($D370,素材!$1:$1016,COLUMN($E$1),FALSE)/(LEN(VLOOKUP($D370,素材!$1:$1016,COLUMN($F$1),FALSE))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0)+IF($CJ370&lt;&gt;"",VLOOKUP($CJ370,装強!$A$1:AX$1005,COLUMN(装強!AX$1),FALSE),0)</f>
        <v>0</v>
      </c>
      <c r="AY370">
        <f>IF(ISNUMBER(SEARCH(SUBSTITUTE(AY$1,RIGHT(AY$1,2),""),VLOOKUP($D370,素材!$1:$1016,COLUMN($F$1),FALSE))),VLOOKUP($C370,武器!$1:$998,COLUMN($O$1),FALSE)*VLOOKUP($D370,素材!$1:$1016,COLUMN($E$1),FALSE)/(LEN(VLOOKUP($D370,素材!$1:$1016,COLUMN($F$1),FALSE))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0)+IF($CJ370&lt;&gt;"",VLOOKUP($CJ370,装強!$A$1:AY$1005,COLUMN(装強!AY$1),FALSE),0)</f>
        <v>0</v>
      </c>
      <c r="AZ370">
        <f>IF(ISNUMBER(SEARCH(SUBSTITUTE(AZ$1,RIGHT(AZ$1,2),""),VLOOKUP($D370,素材!$1:$1016,COLUMN($F$1),FALSE))),VLOOKUP($C370,武器!$1:$998,COLUMN($O$1),FALSE)*VLOOKUP($D370,素材!$1:$1016,COLUMN($E$1),FALSE)/(LEN(VLOOKUP($D370,素材!$1:$1016,COLUMN($F$1),FALSE))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0)+IF($CJ370&lt;&gt;"",VLOOKUP($CJ370,装強!$A$1:AZ$1005,COLUMN(装強!AZ$1),FALSE),0)</f>
        <v>0</v>
      </c>
      <c r="BA370">
        <f>IF(ISNUMBER(SEARCH(SUBSTITUTE(BA$1,RIGHT(BA$1,2),""),VLOOKUP($D370,素材!$1:$1016,COLUMN($F$1),FALSE))),VLOOKUP($C370,武器!$1:$998,COLUMN($O$1),FALSE)*VLOOKUP($D370,素材!$1:$1016,COLUMN($E$1),FALSE)/(LEN(VLOOKUP($D370,素材!$1:$1016,COLUMN($F$1),FALSE))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0)+IF($CJ370&lt;&gt;"",VLOOKUP($CJ370,装強!$A$1:BA$1005,COLUMN(装強!BA$1),FALSE),0)</f>
        <v>0</v>
      </c>
      <c r="BB370">
        <f>IF(ISNUMBER(SEARCH(SUBSTITUTE(BB$1,RIGHT(BB$1,2),""),VLOOKUP($D370,素材!$1:$1016,COLUMN($F$1),FALSE))),VLOOKUP($C370,武器!$1:$998,COLUMN($O$1),FALSE)*VLOOKUP($D370,素材!$1:$1016,COLUMN($E$1),FALSE)/(LEN(VLOOKUP($D370,素材!$1:$1016,COLUMN($F$1),FALSE))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0)+IF($CJ370&lt;&gt;"",VLOOKUP($CJ370,装強!$A$1:BB$1005,COLUMN(装強!BB$1),FALSE),0)</f>
        <v>0</v>
      </c>
      <c r="BC370">
        <f>IF(ISNUMBER(SEARCH(SUBSTITUTE(BC$1,RIGHT(BC$1,2),""),VLOOKUP($D370,素材!$1:$1016,COLUMN($F$1),FALSE))),VLOOKUP($C370,武器!$1:$998,COLUMN($O$1),FALSE)*VLOOKUP($D370,素材!$1:$1016,COLUMN($E$1),FALSE)/(LEN(VLOOKUP($D370,素材!$1:$1016,COLUMN($F$1),FALSE))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0)+IF($CJ370&lt;&gt;"",VLOOKUP($CJ370,装強!$A$1:BC$1005,COLUMN(装強!BC$1),FALSE),0)</f>
        <v>0</v>
      </c>
      <c r="BD370">
        <f>IF(ISNUMBER(SEARCH(SUBSTITUTE(BD$1,RIGHT(BD$1,2),""),VLOOKUP($D370,素材!$1:$1016,COLUMN($F$1),FALSE))),VLOOKUP($C370,武器!$1:$998,COLUMN($O$1),FALSE)*VLOOKUP($D370,素材!$1:$1016,COLUMN($E$1),FALSE)/(LEN(VLOOKUP($D370,素材!$1:$1016,COLUMN($F$1),FALSE))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0)+IF($CJ370&lt;&gt;"",VLOOKUP($CJ370,装強!$A$1:BD$1005,COLUMN(装強!BD$1),FALSE),0)</f>
        <v>0</v>
      </c>
      <c r="BE370">
        <f>IF(ISNUMBER(SEARCH(SUBSTITUTE(BE$1,RIGHT(BE$1,2),""),VLOOKUP($D370,素材!$1:$1016,COLUMN($F$1),FALSE))),VLOOKUP($C370,武器!$1:$998,COLUMN($O$1),FALSE)*VLOOKUP($D370,素材!$1:$1016,COLUMN($E$1),FALSE)/(LEN(VLOOKUP($D370,素材!$1:$1016,COLUMN($F$1),FALSE))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0)+IF($CJ370&lt;&gt;"",VLOOKUP($CJ370,装強!$A$1:BE$1005,COLUMN(装強!BE$1),FALSE),0)</f>
        <v>7.5</v>
      </c>
      <c r="BF370">
        <f>IF(ISNUMBER(SEARCH(SUBSTITUTE(BF$1,RIGHT(BF$1,2),""),VLOOKUP($D370,素材!$1:$1016,COLUMN($F$1),FALSE))),VLOOKUP($C370,武器!$1:$998,COLUMN($O$1),FALSE)*VLOOKUP($D370,素材!$1:$1016,COLUMN($E$1),FALSE)/(LEN(VLOOKUP($D370,素材!$1:$1016,COLUMN($F$1),FALSE)) - LEN(SUBSTITUTE(VLOOKUP($D370,素材!$1:$1016,COLUMN($F$1),FALSE), "・", 0)) + 1), 0)+IF($CJ370&lt;&gt;"",VLOOKUP($CJ370,装強!$A$1:BF$1005,COLUMN(装強!BF$1),FALSE),0)</f>
        <v>30</v>
      </c>
      <c r="CJ370" t="s">
        <v>1281</v>
      </c>
      <c r="CM370">
        <f t="shared" si="44"/>
        <v>0</v>
      </c>
      <c r="CN370" s="22" t="str">
        <f>IF(E370="武器",IF(J370-1&gt;SUM(G370:I370),"盾",IF(MAX(G370:I370)=G370,"切断",IF(MAX(G370:I370)=H370,"貫通",IF(MAX(G370:I370)=I370,"打撃","射撃")))),E370)&amp;".webp"</f>
        <v>頭.webp</v>
      </c>
      <c r="CO370">
        <f>IFERROR(VLOOKUP($C370,武器!$1:$998,COLUMN(V$1),FALSE)*VLOOKUP($D370,素材!$1:$1016,COLUMN(N$1),FALSE)+IF(CJ370="",0,VLOOKUP($CJ370,装強!$1:$1008,COLUMN($CL$1),FALSE)),"")</f>
        <v>6000</v>
      </c>
      <c r="CP370" t="str">
        <f>VLOOKUP(D370,素材!$A:$O,COLUMN(素材!O$1),FALSE)</f>
        <v>神聖な力を持つ木材。武器として使用すると善属性が付加され、防具に使用すると呪いへの耐性が強化される。</v>
      </c>
      <c r="CQ370" t="str">
        <f>VLOOKUP(C370,武器!$A:$W,COLUMN(武器!W$1),FALSE)</f>
        <v>命中 魔力 魔防 Cr</v>
      </c>
      <c r="CS370" t="str">
        <f>"e_"&amp;ROW(CS370)</f>
        <v>e_370</v>
      </c>
      <c r="CT370">
        <f t="shared" si="45"/>
        <v>600000</v>
      </c>
    </row>
    <row r="371" spans="1:98" ht="37.5" outlineLevel="1" x14ac:dyDescent="0.4">
      <c r="A371" s="1" t="s">
        <v>1292</v>
      </c>
      <c r="B371" t="s">
        <v>1293</v>
      </c>
      <c r="C371" t="s">
        <v>1265</v>
      </c>
      <c r="D371" s="24" t="s">
        <v>194</v>
      </c>
      <c r="E371" t="str">
        <f>IFERROR(VLOOKUP(C371,武器!$1:$998,COLUMN(C$1),FALSE),"")</f>
        <v>武器</v>
      </c>
      <c r="F371">
        <f>IFERROR(ROUNDDOWN((VLOOKUP($C371,武器!$1:$998,COLUMN(D$1),FALSE)+IFERROR(VLOOKUP($CJ371,装強!$1:$999,COLUMN(F$1),FALSE),0))*VLOOKUP($D371,素材!$1:$1016,COLUMN(D$1),FALSE),0),"")</f>
        <v>126</v>
      </c>
      <c r="G371">
        <f>IFERROR(ROUNDDOWN((VLOOKUP($C371,武器!$1:$998,COLUMN(E$1),FALSE)+IFERROR(VLOOKUP($CJ371,装強!$1:$999,COLUMN(G$1),FALSE),0))*VLOOKUP($D371,素材!$1:$1016,COLUMN($E$1),FALSE),0),"")</f>
        <v>35</v>
      </c>
      <c r="H371">
        <f>IFERROR(ROUNDDOWN((VLOOKUP($C371,武器!$1:$998,COLUMN(F$1),FALSE)+IFERROR(VLOOKUP($CJ371,装強!$1:$999,COLUMN(H$1),FALSE),0))*VLOOKUP($D371,素材!$1:$1016,COLUMN($E$1),FALSE),0),"")</f>
        <v>20</v>
      </c>
      <c r="I371">
        <f>IFERROR(ROUNDDOWN((VLOOKUP($C371,武器!$1:$998,COLUMN(G$1),FALSE)+IFERROR(VLOOKUP($CJ371,装強!$1:$999,COLUMN(I$1),FALSE),0))*VLOOKUP($D371,素材!$1:$1016,COLUMN($E$1),FALSE),0),"")</f>
        <v>5</v>
      </c>
      <c r="J371">
        <f>IFERROR(ROUNDDOWN((VLOOKUP($C371,武器!$1:$998,COLUMN(H$1),FALSE)+IFERROR(VLOOKUP($CJ371,装強!$1:$999,COLUMN(J$1),FALSE),0))*VLOOKUP($D371,素材!$1:$1016,COLUMN($E$1),FALSE),0),"")</f>
        <v>42</v>
      </c>
      <c r="K371">
        <f>IFERROR(ROUNDDOWN((VLOOKUP($C371,武器!$1:$998,COLUMN(I$1),FALSE)+IFERROR(VLOOKUP($CJ371,装強!$1:$999,COLUMN(K$1),FALSE),0))*VLOOKUP($D371,素材!$1:$1016,COLUMN($E$1),FALSE),0),"")</f>
        <v>0</v>
      </c>
      <c r="L371" t="str">
        <f>IFERROR(VLOOKUP($D371,素材!$1:$1016,COLUMN($F$1),FALSE),"")</f>
        <v>物理</v>
      </c>
      <c r="M371">
        <f>IFERROR(VLOOKUP($C371,武器!$1:$998,COLUMN(AA$1),FALSE)*VLOOKUP($D371,素材!$1:$1016,COLUMN($G$1),FALSE),"")</f>
        <v>0</v>
      </c>
      <c r="N371">
        <f>IFERROR(VLOOKUP($C371,武器!$1:$998,COLUMN(I$1),FALSE),"")</f>
        <v>0</v>
      </c>
      <c r="O371" s="23">
        <f>IFERROR((VLOOKUP($C371,武器!$1:$998,COLUMN(K$1),FALSE)+VLOOKUP($D371,素材!$1:$1016,COLUMN(H$1),FALSE))*100+IFERROR(VLOOKUP($CJ371,装強!$1:$999,COLUMN(O$1),FALSE),0),"")</f>
        <v>15.000000000000002</v>
      </c>
      <c r="P371" s="23">
        <f>IFERROR((VLOOKUP($C371,武器!$1:$998,COLUMN(L$1),FALSE)+VLOOKUP($D371,素材!$1:$1016,COLUMN(I$1),FALSE))*100+IFERROR(VLOOKUP($CJ371,装強!$1:$999,COLUMN(P$1),FALSE),0),"")</f>
        <v>185</v>
      </c>
      <c r="Q371">
        <f>IFERROR(ROUNDUP(VLOOKUP($C371,武器!$1:$998,COLUMN(M$1),FALSE)*(VLOOKUP($D371,素材!$1:$1002,COLUMN(D$1),FALSE)/100),1),"")</f>
        <v>0</v>
      </c>
      <c r="R371">
        <f>IFERROR(ROUNDUP(VLOOKUP($C371,武器!$1:$998,COLUMN(N$1),FALSE)*(VLOOKUP($D371,素材!$1:$1002,COLUMN(D$1),FALSE)/100),1),"")</f>
        <v>0</v>
      </c>
      <c r="S371">
        <f>IFERROR(VLOOKUP($C371,武器!$1:$998,COLUMN(P$1),FALSE),"")</f>
        <v>0</v>
      </c>
      <c r="T371">
        <f>IFERROR(VLOOKUP($C371,武器!$1:$998,COLUMN(Q$1),FALSE),"")</f>
        <v>0</v>
      </c>
      <c r="U371">
        <f>IFERROR(VLOOKUP($C371,武器!$1:$998,COLUMN(R$1),FALSE),"")</f>
        <v>0</v>
      </c>
      <c r="V371">
        <f>IFERROR(VLOOKUP($C371,武器!$1:$998,COLUMN(Q$1),FALSE),"")</f>
        <v>0</v>
      </c>
      <c r="W371" t="str">
        <f>IFERROR(VLOOKUP($C371,武器!$1:$998,COLUMN(T$1),FALSE),"")</f>
        <v>A</v>
      </c>
      <c r="Y371">
        <f>IFERROR(VLOOKUP($C371,武器!$1:$998,COLUMN(U$1),FALSE),"")</f>
        <v>0</v>
      </c>
      <c r="Z371">
        <f>IFERROR(ROUNDUP(VLOOKUP($C371,武器!$1:$998,COLUMN(O$1),FALSE)*VLOOKUP($D371,素材!$1:$1016,COLUMN(E$1),FALSE),1),"")</f>
        <v>0</v>
      </c>
      <c r="AA371">
        <f>IF(ISNUMBER(SEARCH(SUBSTITUTE(AA$1,RIGHT(AA$1,2),""),VLOOKUP($D371,素材!$1:$1016,COLUMN($F$1),FALSE))),VLOOKUP($C371,武器!$1:$998,COLUMN($O$1),FALSE)*VLOOKUP($D371,素材!$1:$1016,COLUMN($E$1),FALSE)/(LEN(VLOOKUP($D371,素材!$1:$1016,COLUMN($F$1),FALSE))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</f>
        <v>0</v>
      </c>
      <c r="AB371">
        <f>IF(ISNUMBER(SEARCH(SUBSTITUTE(AB$1,RIGHT(AB$1,2),""),VLOOKUP($D371,素材!$1:$1016,COLUMN($F$1),FALSE))),VLOOKUP($C371,武器!$1:$998,COLUMN($O$1),FALSE)*VLOOKUP($D371,素材!$1:$1016,COLUMN($E$1),FALSE)/(LEN(VLOOKUP($D371,素材!$1:$1016,COLUMN($F$1),FALSE))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</f>
        <v>0</v>
      </c>
      <c r="AC371">
        <f>IF(ISNUMBER(SEARCH(SUBSTITUTE(AC$1,RIGHT(AC$1,2),""),VLOOKUP($D371,素材!$1:$1016,COLUMN($F$1),FALSE))),VLOOKUP($C371,武器!$1:$998,COLUMN($O$1),FALSE)*VLOOKUP($D371,素材!$1:$1016,COLUMN($E$1),FALSE)/(LEN(VLOOKUP($D371,素材!$1:$1016,COLUMN($F$1),FALSE))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</f>
        <v>0</v>
      </c>
      <c r="AD371">
        <f>IF(ISNUMBER(SEARCH(SUBSTITUTE(AD$1,RIGHT(AD$1,2),""),VLOOKUP($D371,素材!$1:$1016,COLUMN($F$1),FALSE))),VLOOKUP($C371,武器!$1:$998,COLUMN($O$1),FALSE)*VLOOKUP($D371,素材!$1:$1016,COLUMN($E$1),FALSE)/(LEN(VLOOKUP($D371,素材!$1:$1016,COLUMN($F$1),FALSE))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</f>
        <v>0</v>
      </c>
      <c r="AE371">
        <f>IF(ISNUMBER(SEARCH(SUBSTITUTE(AE$1,RIGHT(AE$1,2),""),VLOOKUP($D371,素材!$1:$1016,COLUMN($F$1),FALSE))),VLOOKUP($C371,武器!$1:$998,COLUMN($O$1),FALSE)*VLOOKUP($D371,素材!$1:$1016,COLUMN($E$1),FALSE)/(LEN(VLOOKUP($D371,素材!$1:$1016,COLUMN($F$1),FALSE))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0)+IF($CJ371&lt;&gt;"",VLOOKUP($CJ371,装強!$A$1:AE$1005,COLUMN(装強!AE$1),FALSE),0)</f>
        <v>0</v>
      </c>
      <c r="AF371">
        <f>IF(ISNUMBER(SEARCH(SUBSTITUTE(AF$1,RIGHT(AF$1,2),""),VLOOKUP($D371,素材!$1:$1016,COLUMN($F$1),FALSE))),VLOOKUP($C371,武器!$1:$998,COLUMN($O$1),FALSE)*VLOOKUP($D371,素材!$1:$1016,COLUMN($E$1),FALSE)/(LEN(VLOOKUP($D371,素材!$1:$1016,COLUMN($F$1),FALSE))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0)+IF($CJ371&lt;&gt;"",VLOOKUP($CJ371,装強!$A$1:AF$1005,COLUMN(装強!AF$1),FALSE),0)</f>
        <v>0</v>
      </c>
      <c r="AG371">
        <f>IF(ISNUMBER(SEARCH(SUBSTITUTE(AG$1,RIGHT(AG$1,2),""),VLOOKUP($D371,素材!$1:$1016,COLUMN($F$1),FALSE))),VLOOKUP($C371,武器!$1:$998,COLUMN($O$1),FALSE)*VLOOKUP($D371,素材!$1:$1016,COLUMN($E$1),FALSE)/(LEN(VLOOKUP($D371,素材!$1:$1016,COLUMN($F$1),FALSE))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0)+IF($CJ371&lt;&gt;"",VLOOKUP($CJ371,装強!$A$1:AG$1005,COLUMN(装強!AG$1),FALSE),0)</f>
        <v>0</v>
      </c>
      <c r="AH371">
        <f>IF(ISNUMBER(SEARCH(SUBSTITUTE(AH$1,RIGHT(AH$1,2),""),VLOOKUP($D371,素材!$1:$1016,COLUMN($F$1),FALSE))),VLOOKUP($C371,武器!$1:$998,COLUMN($O$1),FALSE)*VLOOKUP($D371,素材!$1:$1016,COLUMN($E$1),FALSE)/(LEN(VLOOKUP($D371,素材!$1:$1016,COLUMN($F$1),FALSE))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0)+IF($CJ371&lt;&gt;"",VLOOKUP($CJ371,装強!$A$1:AH$1005,COLUMN(装強!AH$1),FALSE),0)</f>
        <v>0</v>
      </c>
      <c r="AI371">
        <f>IF(ISNUMBER(SEARCH(SUBSTITUTE(AI$1,RIGHT(AI$1,2),""),VLOOKUP($D371,素材!$1:$1016,COLUMN($F$1),FALSE))),VLOOKUP($C371,武器!$1:$998,COLUMN($O$1),FALSE)*VLOOKUP($D371,素材!$1:$1016,COLUMN($E$1),FALSE)/(LEN(VLOOKUP($D371,素材!$1:$1016,COLUMN($F$1),FALSE))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0)+IF($CJ371&lt;&gt;"",VLOOKUP($CJ371,装強!$A$1:AI$1005,COLUMN(装強!AI$1),FALSE),0)</f>
        <v>0</v>
      </c>
      <c r="AJ371">
        <f>IF(ISNUMBER(SEARCH(SUBSTITUTE(AJ$1,RIGHT(AJ$1,2),""),VLOOKUP($D371,素材!$1:$1016,COLUMN($F$1),FALSE))),VLOOKUP($C371,武器!$1:$998,COLUMN($O$1),FALSE)*VLOOKUP($D371,素材!$1:$1016,COLUMN($E$1),FALSE)/(LEN(VLOOKUP($D371,素材!$1:$1016,COLUMN($F$1),FALSE))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0)+IF($CJ371&lt;&gt;"",VLOOKUP($CJ371,装強!$A$1:AJ$1005,COLUMN(装強!AJ$1),FALSE),0)</f>
        <v>0</v>
      </c>
      <c r="AK371">
        <f>IF(ISNUMBER(SEARCH(SUBSTITUTE(AK$1,RIGHT(AK$1,2),""),VLOOKUP($D371,素材!$1:$1016,COLUMN($F$1),FALSE))),VLOOKUP($C371,武器!$1:$998,COLUMN($O$1),FALSE)*VLOOKUP($D371,素材!$1:$1016,COLUMN($E$1),FALSE)/(LEN(VLOOKUP($D371,素材!$1:$1016,COLUMN($F$1),FALSE))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0)+IF($CJ371&lt;&gt;"",VLOOKUP($CJ371,装強!$A$1:AK$1005,COLUMN(装強!AK$1),FALSE),0)</f>
        <v>0</v>
      </c>
      <c r="AL371">
        <f>IF(ISNUMBER(SEARCH(SUBSTITUTE(AL$1,RIGHT(AL$1,2),""),VLOOKUP($D371,素材!$1:$1016,COLUMN($F$1),FALSE))),VLOOKUP($C371,武器!$1:$998,COLUMN($O$1),FALSE)*VLOOKUP($D371,素材!$1:$1016,COLUMN($E$1),FALSE)/(LEN(VLOOKUP($D371,素材!$1:$1016,COLUMN($F$1),FALSE))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0)+IF($CJ371&lt;&gt;"",VLOOKUP($CJ371,装強!$A$1:AL$1005,COLUMN(装強!AL$1),FALSE),0)</f>
        <v>0</v>
      </c>
      <c r="AM371">
        <f>IF(ISNUMBER(SEARCH(SUBSTITUTE(AM$1,RIGHT(AM$1,2),""),VLOOKUP($D371,素材!$1:$1016,COLUMN($F$1),FALSE))),VLOOKUP($C371,武器!$1:$998,COLUMN($O$1),FALSE)*VLOOKUP($D371,素材!$1:$1016,COLUMN($E$1),FALSE)/(LEN(VLOOKUP($D371,素材!$1:$1016,COLUMN($F$1),FALSE))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0)+IF($CJ371&lt;&gt;"",VLOOKUP($CJ371,装強!$A$1:AM$1005,COLUMN(装強!AM$1),FALSE),0)</f>
        <v>0</v>
      </c>
      <c r="AN371">
        <f>IF(ISNUMBER(SEARCH(SUBSTITUTE(AN$1,RIGHT(AN$1,2),""),VLOOKUP($D371,素材!$1:$1016,COLUMN($F$1),FALSE))),VLOOKUP($C371,武器!$1:$998,COLUMN($O$1),FALSE)*VLOOKUP($D371,素材!$1:$1016,COLUMN($E$1),FALSE)/(LEN(VLOOKUP($D371,素材!$1:$1016,COLUMN($F$1),FALSE))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0)+IF($CJ371&lt;&gt;"",VLOOKUP($CJ371,装強!$A$1:AN$1005,COLUMN(装強!AN$1),FALSE),0)</f>
        <v>0</v>
      </c>
      <c r="AO371">
        <f>IF(ISNUMBER(SEARCH(SUBSTITUTE(AO$1,RIGHT(AO$1,2),""),VLOOKUP($D371,素材!$1:$1016,COLUMN($F$1),FALSE))),VLOOKUP($C371,武器!$1:$998,COLUMN($O$1),FALSE)*VLOOKUP($D371,素材!$1:$1016,COLUMN($E$1),FALSE)/(LEN(VLOOKUP($D371,素材!$1:$1016,COLUMN($F$1),FALSE))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0)+IF($CJ371&lt;&gt;"",VLOOKUP($CJ371,装強!$A$1:AO$1005,COLUMN(装強!AO$1),FALSE),0)</f>
        <v>0</v>
      </c>
      <c r="AP371">
        <f>IF(ISNUMBER(SEARCH(SUBSTITUTE(AP$1,RIGHT(AP$1,2),""),VLOOKUP($D371,素材!$1:$1016,COLUMN($F$1),FALSE))),VLOOKUP($C371,武器!$1:$998,COLUMN($O$1),FALSE)*VLOOKUP($D371,素材!$1:$1016,COLUMN($E$1),FALSE)/(LEN(VLOOKUP($D371,素材!$1:$1016,COLUMN($F$1),FALSE))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0)+IF($CJ371&lt;&gt;"",VLOOKUP($CJ371,装強!$A$1:AP$1005,COLUMN(装強!AP$1),FALSE),0)</f>
        <v>0</v>
      </c>
      <c r="AQ371">
        <f>IF(ISNUMBER(SEARCH(SUBSTITUTE(AQ$1,RIGHT(AQ$1,2),""),VLOOKUP($D371,素材!$1:$1016,COLUMN($F$1),FALSE))),VLOOKUP($C371,武器!$1:$998,COLUMN($O$1),FALSE)*VLOOKUP($D371,素材!$1:$1016,COLUMN($E$1),FALSE)/(LEN(VLOOKUP($D371,素材!$1:$1016,COLUMN($F$1),FALSE))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0)+IF($CJ371&lt;&gt;"",VLOOKUP($CJ371,装強!$A$1:AQ$1005,COLUMN(装強!AQ$1),FALSE),0)</f>
        <v>0</v>
      </c>
      <c r="AR371">
        <f>IF(ISNUMBER(SEARCH(SUBSTITUTE(AR$1,RIGHT(AR$1,2),""),VLOOKUP($D371,素材!$1:$1016,COLUMN($F$1),FALSE))),VLOOKUP($C371,武器!$1:$998,COLUMN($O$1),FALSE)*VLOOKUP($D371,素材!$1:$1016,COLUMN($E$1),FALSE)/(LEN(VLOOKUP($D371,素材!$1:$1016,COLUMN($F$1),FALSE))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0)+IF($CJ371&lt;&gt;"",VLOOKUP($CJ371,装強!$A$1:AR$1005,COLUMN(装強!AR$1),FALSE),0)</f>
        <v>0</v>
      </c>
      <c r="AS371">
        <f>IF(ISNUMBER(SEARCH(SUBSTITUTE(AS$1,RIGHT(AS$1,2),""),VLOOKUP($D371,素材!$1:$1016,COLUMN($F$1),FALSE))),VLOOKUP($C371,武器!$1:$998,COLUMN($O$1),FALSE)*VLOOKUP($D371,素材!$1:$1016,COLUMN($E$1),FALSE)/(LEN(VLOOKUP($D371,素材!$1:$1016,COLUMN($F$1),FALSE))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0)+IF($CJ371&lt;&gt;"",VLOOKUP($CJ371,装強!$A$1:AS$1005,COLUMN(装強!AS$1),FALSE),0)</f>
        <v>0</v>
      </c>
      <c r="AT371">
        <f>IF(ISNUMBER(SEARCH(SUBSTITUTE(AT$1,RIGHT(AT$1,2),""),VLOOKUP($D371,素材!$1:$1016,COLUMN($F$1),FALSE))),VLOOKUP($C371,武器!$1:$998,COLUMN($O$1),FALSE)*VLOOKUP($D371,素材!$1:$1016,COLUMN($E$1),FALSE)/(LEN(VLOOKUP($D371,素材!$1:$1016,COLUMN($F$1),FALSE))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0)+IF($CJ371&lt;&gt;"",VLOOKUP($CJ371,装強!$A$1:AT$1005,COLUMN(装強!AT$1),FALSE),0)</f>
        <v>0</v>
      </c>
      <c r="AU371">
        <f>IF(ISNUMBER(SEARCH(SUBSTITUTE(AU$1,RIGHT(AU$1,2),""),VLOOKUP($D371,素材!$1:$1016,COLUMN($F$1),FALSE))),VLOOKUP($C371,武器!$1:$998,COLUMN($O$1),FALSE)*VLOOKUP($D371,素材!$1:$1016,COLUMN($E$1),FALSE)/(LEN(VLOOKUP($D371,素材!$1:$1016,COLUMN($F$1),FALSE))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0)+IF($CJ371&lt;&gt;"",VLOOKUP($CJ371,装強!$A$1:AU$1005,COLUMN(装強!AU$1),FALSE),0)</f>
        <v>0</v>
      </c>
      <c r="AV371">
        <f>IF(ISNUMBER(SEARCH(SUBSTITUTE(AV$1,RIGHT(AV$1,2),""),VLOOKUP($D371,素材!$1:$1016,COLUMN($F$1),FALSE))),VLOOKUP($C371,武器!$1:$998,COLUMN($O$1),FALSE)*VLOOKUP($D371,素材!$1:$1016,COLUMN($E$1),FALSE)/(LEN(VLOOKUP($D371,素材!$1:$1016,COLUMN($F$1),FALSE))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0)+IF($CJ371&lt;&gt;"",VLOOKUP($CJ371,装強!$A$1:AV$1005,COLUMN(装強!AV$1),FALSE),0)</f>
        <v>0</v>
      </c>
      <c r="AW371">
        <f>IF(ISNUMBER(SEARCH(SUBSTITUTE(AW$1,RIGHT(AW$1,2),""),VLOOKUP($D371,素材!$1:$1016,COLUMN($F$1),FALSE))),VLOOKUP($C371,武器!$1:$998,COLUMN($O$1),FALSE)*VLOOKUP($D371,素材!$1:$1016,COLUMN($E$1),FALSE)/(LEN(VLOOKUP($D371,素材!$1:$1016,COLUMN($F$1),FALSE))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0)+IF($CJ371&lt;&gt;"",VLOOKUP($CJ371,装強!$A$1:AW$1005,COLUMN(装強!AW$1),FALSE),0)</f>
        <v>0</v>
      </c>
      <c r="AX371">
        <f>IF(ISNUMBER(SEARCH(SUBSTITUTE(AX$1,RIGHT(AX$1,2),""),VLOOKUP($D371,素材!$1:$1016,COLUMN($F$1),FALSE))),VLOOKUP($C371,武器!$1:$998,COLUMN($O$1),FALSE)*VLOOKUP($D371,素材!$1:$1016,COLUMN($E$1),FALSE)/(LEN(VLOOKUP($D371,素材!$1:$1016,COLUMN($F$1),FALSE))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0)+IF($CJ371&lt;&gt;"",VLOOKUP($CJ371,装強!$A$1:AX$1005,COLUMN(装強!AX$1),FALSE),0)</f>
        <v>0</v>
      </c>
      <c r="AY371">
        <f>IF(ISNUMBER(SEARCH(SUBSTITUTE(AY$1,RIGHT(AY$1,2),""),VLOOKUP($D371,素材!$1:$1016,COLUMN($F$1),FALSE))),VLOOKUP($C371,武器!$1:$998,COLUMN($O$1),FALSE)*VLOOKUP($D371,素材!$1:$1016,COLUMN($E$1),FALSE)/(LEN(VLOOKUP($D371,素材!$1:$1016,COLUMN($F$1),FALSE))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0)+IF($CJ371&lt;&gt;"",VLOOKUP($CJ371,装強!$A$1:AY$1005,COLUMN(装強!AY$1),FALSE),0)</f>
        <v>0</v>
      </c>
      <c r="AZ371">
        <f>IF(ISNUMBER(SEARCH(SUBSTITUTE(AZ$1,RIGHT(AZ$1,2),""),VLOOKUP($D371,素材!$1:$1016,COLUMN($F$1),FALSE))),VLOOKUP($C371,武器!$1:$998,COLUMN($O$1),FALSE)*VLOOKUP($D371,素材!$1:$1016,COLUMN($E$1),FALSE)/(LEN(VLOOKUP($D371,素材!$1:$1016,COLUMN($F$1),FALSE))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0)+IF($CJ371&lt;&gt;"",VLOOKUP($CJ371,装強!$A$1:AZ$1005,COLUMN(装強!AZ$1),FALSE),0)</f>
        <v>0</v>
      </c>
      <c r="BA371">
        <f>IF(ISNUMBER(SEARCH(SUBSTITUTE(BA$1,RIGHT(BA$1,2),""),VLOOKUP($D371,素材!$1:$1016,COLUMN($F$1),FALSE))),VLOOKUP($C371,武器!$1:$998,COLUMN($O$1),FALSE)*VLOOKUP($D371,素材!$1:$1016,COLUMN($E$1),FALSE)/(LEN(VLOOKUP($D371,素材!$1:$1016,COLUMN($F$1),FALSE))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0)+IF($CJ371&lt;&gt;"",VLOOKUP($CJ371,装強!$A$1:BA$1005,COLUMN(装強!BA$1),FALSE),0)</f>
        <v>0</v>
      </c>
      <c r="BB371">
        <f>IF(ISNUMBER(SEARCH(SUBSTITUTE(BB$1,RIGHT(BB$1,2),""),VLOOKUP($D371,素材!$1:$1016,COLUMN($F$1),FALSE))),VLOOKUP($C371,武器!$1:$998,COLUMN($O$1),FALSE)*VLOOKUP($D371,素材!$1:$1016,COLUMN($E$1),FALSE)/(LEN(VLOOKUP($D371,素材!$1:$1016,COLUMN($F$1),FALSE))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0)+IF($CJ371&lt;&gt;"",VLOOKUP($CJ371,装強!$A$1:BB$1005,COLUMN(装強!BB$1),FALSE),0)</f>
        <v>0</v>
      </c>
      <c r="BC371">
        <f>IF(ISNUMBER(SEARCH(SUBSTITUTE(BC$1,RIGHT(BC$1,2),""),VLOOKUP($D371,素材!$1:$1016,COLUMN($F$1),FALSE))),VLOOKUP($C371,武器!$1:$998,COLUMN($O$1),FALSE)*VLOOKUP($D371,素材!$1:$1016,COLUMN($E$1),FALSE)/(LEN(VLOOKUP($D371,素材!$1:$1016,COLUMN($F$1),FALSE))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0)+IF($CJ371&lt;&gt;"",VLOOKUP($CJ371,装強!$A$1:BC$1005,COLUMN(装強!BC$1),FALSE),0)</f>
        <v>0</v>
      </c>
      <c r="BD371">
        <f>IF(ISNUMBER(SEARCH(SUBSTITUTE(BD$1,RIGHT(BD$1,2),""),VLOOKUP($D371,素材!$1:$1016,COLUMN($F$1),FALSE))),VLOOKUP($C371,武器!$1:$998,COLUMN($O$1),FALSE)*VLOOKUP($D371,素材!$1:$1016,COLUMN($E$1),FALSE)/(LEN(VLOOKUP($D371,素材!$1:$1016,COLUMN($F$1),FALSE))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0)+IF($CJ371&lt;&gt;"",VLOOKUP($CJ371,装強!$A$1:BD$1005,COLUMN(装強!BD$1),FALSE),0)</f>
        <v>0</v>
      </c>
      <c r="BE371">
        <f>IF(ISNUMBER(SEARCH(SUBSTITUTE(BE$1,RIGHT(BE$1,2),""),VLOOKUP($D371,素材!$1:$1016,COLUMN($F$1),FALSE))),VLOOKUP($C371,武器!$1:$998,COLUMN($O$1),FALSE)*VLOOKUP($D371,素材!$1:$1016,COLUMN($E$1),FALSE)/(LEN(VLOOKUP($D371,素材!$1:$1016,COLUMN($F$1),FALSE))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0)+IF($CJ371&lt;&gt;"",VLOOKUP($CJ371,装強!$A$1:BE$1005,COLUMN(装強!BE$1),FALSE),0)</f>
        <v>0</v>
      </c>
      <c r="BF371">
        <f>IF(ISNUMBER(SEARCH(SUBSTITUTE(BF$1,RIGHT(BF$1,2),""),VLOOKUP($D371,素材!$1:$1016,COLUMN($F$1),FALSE))),VLOOKUP($C371,武器!$1:$998,COLUMN($O$1),FALSE)*VLOOKUP($D371,素材!$1:$1016,COLUMN($E$1),FALSE)/(LEN(VLOOKUP($D371,素材!$1:$1016,COLUMN($F$1),FALSE)) - LEN(SUBSTITUTE(VLOOKUP($D371,素材!$1:$1016,COLUMN($F$1),FALSE), "・", 0)) + 1), 0)+IF($CJ371&lt;&gt;"",VLOOKUP($CJ371,装強!$A$1:BF$1005,COLUMN(装強!BF$1),FALSE),0)</f>
        <v>0</v>
      </c>
      <c r="CM371">
        <f t="shared" si="44"/>
        <v>60</v>
      </c>
      <c r="CN371" s="22" t="str">
        <f>IF(E371="武器",IF(J371-1&gt;SUM(G371:I371),"盾",IF(MAX(G371:I371)=G371,"切断",IF(MAX(G371:I371)=H371,"貫通",IF(MAX(G371:I371)=I371,"打撃","射撃")))),E371)&amp;".webp"</f>
        <v>切断.webp</v>
      </c>
      <c r="CO371">
        <f>IFERROR(VLOOKUP($C371,武器!$1:$998,COLUMN(V$1),FALSE)*VLOOKUP($D371,素材!$1:$1016,COLUMN(N$1),FALSE)+IF(CJ371="",0,VLOOKUP($CJ371,装強!$1:$1008,COLUMN($CL$1),FALSE)),"")</f>
        <v>20000</v>
      </c>
      <c r="CP371">
        <f>VLOOKUP(D371,素材!$A:$O,COLUMN(素材!O$1),FALSE)</f>
        <v>0</v>
      </c>
      <c r="CQ371" t="str">
        <f>VLOOKUP(C371,武器!$A:$W,COLUMN(武器!W$1),FALSE)</f>
        <v>刀。切断力に優れた武器で、Cr威力が高い</v>
      </c>
      <c r="CS371" t="str">
        <f>"e_"&amp;ROW(CS371)</f>
        <v>e_371</v>
      </c>
      <c r="CT371">
        <f t="shared" si="45"/>
        <v>2000000</v>
      </c>
    </row>
    <row r="372" spans="1:98" outlineLevel="1" x14ac:dyDescent="0.4">
      <c r="A372" s="1" t="s">
        <v>1295</v>
      </c>
      <c r="B372" t="s">
        <v>1296</v>
      </c>
      <c r="C372" t="s">
        <v>1265</v>
      </c>
      <c r="D372" s="24" t="s">
        <v>1294</v>
      </c>
      <c r="E372" t="str">
        <f>IFERROR(VLOOKUP(C372,武器!$1:$998,COLUMN(C$1),FALSE),"")</f>
        <v>武器</v>
      </c>
      <c r="F372">
        <f>IFERROR(ROUNDDOWN((VLOOKUP($C372,武器!$1:$998,COLUMN(D$1),FALSE)+IFERROR(VLOOKUP($CJ372,装強!$1:$999,COLUMN(F$1),FALSE),0))*VLOOKUP($D372,素材!$1:$1016,COLUMN(D$1),FALSE),0),"")</f>
        <v>105</v>
      </c>
      <c r="G372">
        <f>IFERROR(ROUNDDOWN((VLOOKUP($C372,武器!$1:$998,COLUMN(E$1),FALSE)+IFERROR(VLOOKUP($CJ372,装強!$1:$999,COLUMN(G$1),FALSE),0))*VLOOKUP($D372,素材!$1:$1016,COLUMN($E$1),FALSE),0),"")</f>
        <v>17</v>
      </c>
      <c r="H372">
        <f>IFERROR(ROUNDDOWN((VLOOKUP($C372,武器!$1:$998,COLUMN(F$1),FALSE)+IFERROR(VLOOKUP($CJ372,装強!$1:$999,COLUMN(H$1),FALSE),0))*VLOOKUP($D372,素材!$1:$1016,COLUMN($E$1),FALSE),0),"")</f>
        <v>10</v>
      </c>
      <c r="I372">
        <f>IFERROR(ROUNDDOWN((VLOOKUP($C372,武器!$1:$998,COLUMN(G$1),FALSE)+IFERROR(VLOOKUP($CJ372,装強!$1:$999,COLUMN(I$1),FALSE),0))*VLOOKUP($D372,素材!$1:$1016,COLUMN($E$1),FALSE),0),"")</f>
        <v>2</v>
      </c>
      <c r="J372">
        <f>IFERROR(ROUNDDOWN((VLOOKUP($C372,武器!$1:$998,COLUMN(H$1),FALSE)+IFERROR(VLOOKUP($CJ372,装強!$1:$999,COLUMN(J$1),FALSE),0))*VLOOKUP($D372,素材!$1:$1016,COLUMN($E$1),FALSE),0),"")</f>
        <v>21</v>
      </c>
      <c r="K372">
        <f>IFERROR(ROUNDDOWN((VLOOKUP($C372,武器!$1:$998,COLUMN(I$1),FALSE)+IFERROR(VLOOKUP($CJ372,装強!$1:$999,COLUMN(K$1),FALSE),0))*VLOOKUP($D372,素材!$1:$1016,COLUMN($E$1),FALSE),0),"")</f>
        <v>0</v>
      </c>
      <c r="L372" t="str">
        <f>IFERROR(VLOOKUP($D372,素材!$1:$1016,COLUMN($F$1),FALSE),"")</f>
        <v>闇</v>
      </c>
      <c r="M372">
        <f>IFERROR(VLOOKUP($C372,武器!$1:$998,COLUMN(AA$1),FALSE)*VLOOKUP($D372,素材!$1:$1016,COLUMN($G$1),FALSE),"")</f>
        <v>48</v>
      </c>
      <c r="N372">
        <f>IFERROR(VLOOKUP($C372,武器!$1:$998,COLUMN(I$1),FALSE),"")</f>
        <v>0</v>
      </c>
      <c r="O372" s="23">
        <f>IFERROR((VLOOKUP($C372,武器!$1:$998,COLUMN(K$1),FALSE)+VLOOKUP($D372,素材!$1:$1016,COLUMN(H$1),FALSE))*100+IFERROR(VLOOKUP($CJ372,装強!$1:$999,COLUMN(O$1),FALSE),0),"")</f>
        <v>12.000000000000002</v>
      </c>
      <c r="P372" s="23">
        <f>IFERROR((VLOOKUP($C372,武器!$1:$998,COLUMN(L$1),FALSE)+VLOOKUP($D372,素材!$1:$1016,COLUMN(I$1),FALSE))*100+IFERROR(VLOOKUP($CJ372,装強!$1:$999,COLUMN(P$1),FALSE),0),"")</f>
        <v>180</v>
      </c>
      <c r="Q372">
        <f>IFERROR(ROUNDUP(VLOOKUP($C372,武器!$1:$998,COLUMN(M$1),FALSE)*(VLOOKUP($D372,素材!$1:$1002,COLUMN(D$1),FALSE)/100),1),"")</f>
        <v>0</v>
      </c>
      <c r="R372">
        <f>IFERROR(ROUNDUP(VLOOKUP($C372,武器!$1:$998,COLUMN(N$1),FALSE)*(VLOOKUP($D372,素材!$1:$1002,COLUMN(D$1),FALSE)/100),1),"")</f>
        <v>0</v>
      </c>
      <c r="S372">
        <f>IFERROR(VLOOKUP($C372,武器!$1:$998,COLUMN(P$1),FALSE),"")</f>
        <v>0</v>
      </c>
      <c r="T372">
        <f>IFERROR(VLOOKUP($C372,武器!$1:$998,COLUMN(Q$1),FALSE),"")</f>
        <v>0</v>
      </c>
      <c r="U372">
        <f>IFERROR(VLOOKUP($C372,武器!$1:$998,COLUMN(R$1),FALSE),"")</f>
        <v>0</v>
      </c>
      <c r="V372">
        <f>IFERROR(VLOOKUP($C372,武器!$1:$998,COLUMN(Q$1),FALSE),"")</f>
        <v>0</v>
      </c>
      <c r="W372" t="str">
        <f>IFERROR(VLOOKUP($C372,武器!$1:$998,COLUMN(T$1),FALSE),"")</f>
        <v>A</v>
      </c>
      <c r="Y372">
        <f>IFERROR(VLOOKUP($C372,武器!$1:$998,COLUMN(U$1),FALSE),"")</f>
        <v>0</v>
      </c>
      <c r="Z372">
        <f>IFERROR(ROUNDUP(VLOOKUP($C372,武器!$1:$998,COLUMN(O$1),FALSE)*VLOOKUP($D372,素材!$1:$1016,COLUMN(E$1),FALSE),1),"")</f>
        <v>0</v>
      </c>
      <c r="AA372">
        <f>IF(ISNUMBER(SEARCH(SUBSTITUTE(AA$1,RIGHT(AA$1,2),""),VLOOKUP($D372,素材!$1:$1016,COLUMN($F$1),FALSE))),VLOOKUP($C372,武器!$1:$998,COLUMN($O$1),FALSE)*VLOOKUP($D372,素材!$1:$1016,COLUMN($E$1),FALSE)/(LEN(VLOOKUP($D372,素材!$1:$1016,COLUMN($F$1),FALSE))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</f>
        <v>0</v>
      </c>
      <c r="AB372">
        <f>IF(ISNUMBER(SEARCH(SUBSTITUTE(AB$1,RIGHT(AB$1,2),""),VLOOKUP($D372,素材!$1:$1016,COLUMN($F$1),FALSE))),VLOOKUP($C372,武器!$1:$998,COLUMN($O$1),FALSE)*VLOOKUP($D372,素材!$1:$1016,COLUMN($E$1),FALSE)/(LEN(VLOOKUP($D372,素材!$1:$1016,COLUMN($F$1),FALSE))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</f>
        <v>0</v>
      </c>
      <c r="AC372">
        <f>IF(ISNUMBER(SEARCH(SUBSTITUTE(AC$1,RIGHT(AC$1,2),""),VLOOKUP($D372,素材!$1:$1016,COLUMN($F$1),FALSE))),VLOOKUP($C372,武器!$1:$998,COLUMN($O$1),FALSE)*VLOOKUP($D372,素材!$1:$1016,COLUMN($E$1),FALSE)/(LEN(VLOOKUP($D372,素材!$1:$1016,COLUMN($F$1),FALSE))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</f>
        <v>0</v>
      </c>
      <c r="AD372">
        <f>IF(ISNUMBER(SEARCH(SUBSTITUTE(AD$1,RIGHT(AD$1,2),""),VLOOKUP($D372,素材!$1:$1016,COLUMN($F$1),FALSE))),VLOOKUP($C372,武器!$1:$998,COLUMN($O$1),FALSE)*VLOOKUP($D372,素材!$1:$1016,COLUMN($E$1),FALSE)/(LEN(VLOOKUP($D372,素材!$1:$1016,COLUMN($F$1),FALSE))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</f>
        <v>0</v>
      </c>
      <c r="AE372">
        <f>IF(ISNUMBER(SEARCH(SUBSTITUTE(AE$1,RIGHT(AE$1,2),""),VLOOKUP($D372,素材!$1:$1016,COLUMN($F$1),FALSE))),VLOOKUP($C372,武器!$1:$998,COLUMN($O$1),FALSE)*VLOOKUP($D372,素材!$1:$1016,COLUMN($E$1),FALSE)/(LEN(VLOOKUP($D372,素材!$1:$1016,COLUMN($F$1),FALSE))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0)+IF($CJ372&lt;&gt;"",VLOOKUP($CJ372,装強!$A$1:AE$1005,COLUMN(装強!AE$1),FALSE),0)</f>
        <v>0</v>
      </c>
      <c r="AF372">
        <f>IF(ISNUMBER(SEARCH(SUBSTITUTE(AF$1,RIGHT(AF$1,2),""),VLOOKUP($D372,素材!$1:$1016,COLUMN($F$1),FALSE))),VLOOKUP($C372,武器!$1:$998,COLUMN($O$1),FALSE)*VLOOKUP($D372,素材!$1:$1016,COLUMN($E$1),FALSE)/(LEN(VLOOKUP($D372,素材!$1:$1016,COLUMN($F$1),FALSE))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0)+IF($CJ372&lt;&gt;"",VLOOKUP($CJ372,装強!$A$1:AF$1005,COLUMN(装強!AF$1),FALSE),0)</f>
        <v>0</v>
      </c>
      <c r="AG372">
        <f>IF(ISNUMBER(SEARCH(SUBSTITUTE(AG$1,RIGHT(AG$1,2),""),VLOOKUP($D372,素材!$1:$1016,COLUMN($F$1),FALSE))),VLOOKUP($C372,武器!$1:$998,COLUMN($O$1),FALSE)*VLOOKUP($D372,素材!$1:$1016,COLUMN($E$1),FALSE)/(LEN(VLOOKUP($D372,素材!$1:$1016,COLUMN($F$1),FALSE))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0)+IF($CJ372&lt;&gt;"",VLOOKUP($CJ372,装強!$A$1:AG$1005,COLUMN(装強!AG$1),FALSE),0)</f>
        <v>0</v>
      </c>
      <c r="AH372">
        <f>IF(ISNUMBER(SEARCH(SUBSTITUTE(AH$1,RIGHT(AH$1,2),""),VLOOKUP($D372,素材!$1:$1016,COLUMN($F$1),FALSE))),VLOOKUP($C372,武器!$1:$998,COLUMN($O$1),FALSE)*VLOOKUP($D372,素材!$1:$1016,COLUMN($E$1),FALSE)/(LEN(VLOOKUP($D372,素材!$1:$1016,COLUMN($F$1),FALSE))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0)+IF($CJ372&lt;&gt;"",VLOOKUP($CJ372,装強!$A$1:AH$1005,COLUMN(装強!AH$1),FALSE),0)</f>
        <v>0</v>
      </c>
      <c r="AI372">
        <f>IF(ISNUMBER(SEARCH(SUBSTITUTE(AI$1,RIGHT(AI$1,2),""),VLOOKUP($D372,素材!$1:$1016,COLUMN($F$1),FALSE))),VLOOKUP($C372,武器!$1:$998,COLUMN($O$1),FALSE)*VLOOKUP($D372,素材!$1:$1016,COLUMN($E$1),FALSE)/(LEN(VLOOKUP($D372,素材!$1:$1016,COLUMN($F$1),FALSE))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0)+IF($CJ372&lt;&gt;"",VLOOKUP($CJ372,装強!$A$1:AI$1005,COLUMN(装強!AI$1),FALSE),0)</f>
        <v>0</v>
      </c>
      <c r="AJ372">
        <f>IF(ISNUMBER(SEARCH(SUBSTITUTE(AJ$1,RIGHT(AJ$1,2),""),VLOOKUP($D372,素材!$1:$1016,COLUMN($F$1),FALSE))),VLOOKUP($C372,武器!$1:$998,COLUMN($O$1),FALSE)*VLOOKUP($D372,素材!$1:$1016,COLUMN($E$1),FALSE)/(LEN(VLOOKUP($D372,素材!$1:$1016,COLUMN($F$1),FALSE))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0)+IF($CJ372&lt;&gt;"",VLOOKUP($CJ372,装強!$A$1:AJ$1005,COLUMN(装強!AJ$1),FALSE),0)</f>
        <v>0</v>
      </c>
      <c r="AK372">
        <f>IF(ISNUMBER(SEARCH(SUBSTITUTE(AK$1,RIGHT(AK$1,2),""),VLOOKUP($D372,素材!$1:$1016,COLUMN($F$1),FALSE))),VLOOKUP($C372,武器!$1:$998,COLUMN($O$1),FALSE)*VLOOKUP($D372,素材!$1:$1016,COLUMN($E$1),FALSE)/(LEN(VLOOKUP($D372,素材!$1:$1016,COLUMN($F$1),FALSE))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0)+IF($CJ372&lt;&gt;"",VLOOKUP($CJ372,装強!$A$1:AK$1005,COLUMN(装強!AK$1),FALSE),0)</f>
        <v>0</v>
      </c>
      <c r="AL372">
        <f>IF(ISNUMBER(SEARCH(SUBSTITUTE(AL$1,RIGHT(AL$1,2),""),VLOOKUP($D372,素材!$1:$1016,COLUMN($F$1),FALSE))),VLOOKUP($C372,武器!$1:$998,COLUMN($O$1),FALSE)*VLOOKUP($D372,素材!$1:$1016,COLUMN($E$1),FALSE)/(LEN(VLOOKUP($D372,素材!$1:$1016,COLUMN($F$1),FALSE))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0)+IF($CJ372&lt;&gt;"",VLOOKUP($CJ372,装強!$A$1:AL$1005,COLUMN(装強!AL$1),FALSE),0)</f>
        <v>0</v>
      </c>
      <c r="AM372">
        <f>IF(ISNUMBER(SEARCH(SUBSTITUTE(AM$1,RIGHT(AM$1,2),""),VLOOKUP($D372,素材!$1:$1016,COLUMN($F$1),FALSE))),VLOOKUP($C372,武器!$1:$998,COLUMN($O$1),FALSE)*VLOOKUP($D372,素材!$1:$1016,COLUMN($E$1),FALSE)/(LEN(VLOOKUP($D372,素材!$1:$1016,COLUMN($F$1),FALSE))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0)+IF($CJ372&lt;&gt;"",VLOOKUP($CJ372,装強!$A$1:AM$1005,COLUMN(装強!AM$1),FALSE),0)</f>
        <v>0</v>
      </c>
      <c r="AN372">
        <f>IF(ISNUMBER(SEARCH(SUBSTITUTE(AN$1,RIGHT(AN$1,2),""),VLOOKUP($D372,素材!$1:$1016,COLUMN($F$1),FALSE))),VLOOKUP($C372,武器!$1:$998,COLUMN($O$1),FALSE)*VLOOKUP($D372,素材!$1:$1016,COLUMN($E$1),FALSE)/(LEN(VLOOKUP($D372,素材!$1:$1016,COLUMN($F$1),FALSE))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0)+IF($CJ372&lt;&gt;"",VLOOKUP($CJ372,装強!$A$1:AN$1005,COLUMN(装強!AN$1),FALSE),0)</f>
        <v>0</v>
      </c>
      <c r="AO372">
        <f>IF(ISNUMBER(SEARCH(SUBSTITUTE(AO$1,RIGHT(AO$1,2),""),VLOOKUP($D372,素材!$1:$1016,COLUMN($F$1),FALSE))),VLOOKUP($C372,武器!$1:$998,COLUMN($O$1),FALSE)*VLOOKUP($D372,素材!$1:$1016,COLUMN($E$1),FALSE)/(LEN(VLOOKUP($D372,素材!$1:$1016,COLUMN($F$1),FALSE))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0)+IF($CJ372&lt;&gt;"",VLOOKUP($CJ372,装強!$A$1:AO$1005,COLUMN(装強!AO$1),FALSE),0)</f>
        <v>0</v>
      </c>
      <c r="AP372">
        <f>IF(ISNUMBER(SEARCH(SUBSTITUTE(AP$1,RIGHT(AP$1,2),""),VLOOKUP($D372,素材!$1:$1016,COLUMN($F$1),FALSE))),VLOOKUP($C372,武器!$1:$998,COLUMN($O$1),FALSE)*VLOOKUP($D372,素材!$1:$1016,COLUMN($E$1),FALSE)/(LEN(VLOOKUP($D372,素材!$1:$1016,COLUMN($F$1),FALSE))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0)+IF($CJ372&lt;&gt;"",VLOOKUP($CJ372,装強!$A$1:AP$1005,COLUMN(装強!AP$1),FALSE),0)</f>
        <v>0</v>
      </c>
      <c r="AQ372">
        <f>IF(ISNUMBER(SEARCH(SUBSTITUTE(AQ$1,RIGHT(AQ$1,2),""),VLOOKUP($D372,素材!$1:$1016,COLUMN($F$1),FALSE))),VLOOKUP($C372,武器!$1:$998,COLUMN($O$1),FALSE)*VLOOKUP($D372,素材!$1:$1016,COLUMN($E$1),FALSE)/(LEN(VLOOKUP($D372,素材!$1:$1016,COLUMN($F$1),FALSE))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0)+IF($CJ372&lt;&gt;"",VLOOKUP($CJ372,装強!$A$1:AQ$1005,COLUMN(装強!AQ$1),FALSE),0)</f>
        <v>0</v>
      </c>
      <c r="AR372">
        <f>IF(ISNUMBER(SEARCH(SUBSTITUTE(AR$1,RIGHT(AR$1,2),""),VLOOKUP($D372,素材!$1:$1016,COLUMN($F$1),FALSE))),VLOOKUP($C372,武器!$1:$998,COLUMN($O$1),FALSE)*VLOOKUP($D372,素材!$1:$1016,COLUMN($E$1),FALSE)/(LEN(VLOOKUP($D372,素材!$1:$1016,COLUMN($F$1),FALSE))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0)+IF($CJ372&lt;&gt;"",VLOOKUP($CJ372,装強!$A$1:AR$1005,COLUMN(装強!AR$1),FALSE),0)</f>
        <v>0</v>
      </c>
      <c r="AS372">
        <f>IF(ISNUMBER(SEARCH(SUBSTITUTE(AS$1,RIGHT(AS$1,2),""),VLOOKUP($D372,素材!$1:$1016,COLUMN($F$1),FALSE))),VLOOKUP($C372,武器!$1:$998,COLUMN($O$1),FALSE)*VLOOKUP($D372,素材!$1:$1016,COLUMN($E$1),FALSE)/(LEN(VLOOKUP($D372,素材!$1:$1016,COLUMN($F$1),FALSE))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0)+IF($CJ372&lt;&gt;"",VLOOKUP($CJ372,装強!$A$1:AS$1005,COLUMN(装強!AS$1),FALSE),0)</f>
        <v>0</v>
      </c>
      <c r="AT372">
        <f>IF(ISNUMBER(SEARCH(SUBSTITUTE(AT$1,RIGHT(AT$1,2),""),VLOOKUP($D372,素材!$1:$1016,COLUMN($F$1),FALSE))),VLOOKUP($C372,武器!$1:$998,COLUMN($O$1),FALSE)*VLOOKUP($D372,素材!$1:$1016,COLUMN($E$1),FALSE)/(LEN(VLOOKUP($D372,素材!$1:$1016,COLUMN($F$1),FALSE))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0)+IF($CJ372&lt;&gt;"",VLOOKUP($CJ372,装強!$A$1:AT$1005,COLUMN(装強!AT$1),FALSE),0)</f>
        <v>0</v>
      </c>
      <c r="AU372">
        <f>IF(ISNUMBER(SEARCH(SUBSTITUTE(AU$1,RIGHT(AU$1,2),""),VLOOKUP($D372,素材!$1:$1016,COLUMN($F$1),FALSE))),VLOOKUP($C372,武器!$1:$998,COLUMN($O$1),FALSE)*VLOOKUP($D372,素材!$1:$1016,COLUMN($E$1),FALSE)/(LEN(VLOOKUP($D372,素材!$1:$1016,COLUMN($F$1),FALSE))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0)+IF($CJ372&lt;&gt;"",VLOOKUP($CJ372,装強!$A$1:AU$1005,COLUMN(装強!AU$1),FALSE),0)</f>
        <v>0</v>
      </c>
      <c r="AV372">
        <f>IF(ISNUMBER(SEARCH(SUBSTITUTE(AV$1,RIGHT(AV$1,2),""),VLOOKUP($D372,素材!$1:$1016,COLUMN($F$1),FALSE))),VLOOKUP($C372,武器!$1:$998,COLUMN($O$1),FALSE)*VLOOKUP($D372,素材!$1:$1016,COLUMN($E$1),FALSE)/(LEN(VLOOKUP($D372,素材!$1:$1016,COLUMN($F$1),FALSE))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0)+IF($CJ372&lt;&gt;"",VLOOKUP($CJ372,装強!$A$1:AV$1005,COLUMN(装強!AV$1),FALSE),0)</f>
        <v>0</v>
      </c>
      <c r="AW372">
        <f>IF(ISNUMBER(SEARCH(SUBSTITUTE(AW$1,RIGHT(AW$1,2),""),VLOOKUP($D372,素材!$1:$1016,COLUMN($F$1),FALSE))),VLOOKUP($C372,武器!$1:$998,COLUMN($O$1),FALSE)*VLOOKUP($D372,素材!$1:$1016,COLUMN($E$1),FALSE)/(LEN(VLOOKUP($D372,素材!$1:$1016,COLUMN($F$1),FALSE))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0)+IF($CJ372&lt;&gt;"",VLOOKUP($CJ372,装強!$A$1:AW$1005,COLUMN(装強!AW$1),FALSE),0)</f>
        <v>0</v>
      </c>
      <c r="AX372">
        <f>IF(ISNUMBER(SEARCH(SUBSTITUTE(AX$1,RIGHT(AX$1,2),""),VLOOKUP($D372,素材!$1:$1016,COLUMN($F$1),FALSE))),VLOOKUP($C372,武器!$1:$998,COLUMN($O$1),FALSE)*VLOOKUP($D372,素材!$1:$1016,COLUMN($E$1),FALSE)/(LEN(VLOOKUP($D372,素材!$1:$1016,COLUMN($F$1),FALSE))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0)+IF($CJ372&lt;&gt;"",VLOOKUP($CJ372,装強!$A$1:AX$1005,COLUMN(装強!AX$1),FALSE),0)</f>
        <v>0</v>
      </c>
      <c r="AY372">
        <f>IF(ISNUMBER(SEARCH(SUBSTITUTE(AY$1,RIGHT(AY$1,2),""),VLOOKUP($D372,素材!$1:$1016,COLUMN($F$1),FALSE))),VLOOKUP($C372,武器!$1:$998,COLUMN($O$1),FALSE)*VLOOKUP($D372,素材!$1:$1016,COLUMN($E$1),FALSE)/(LEN(VLOOKUP($D372,素材!$1:$1016,COLUMN($F$1),FALSE))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0)+IF($CJ372&lt;&gt;"",VLOOKUP($CJ372,装強!$A$1:AY$1005,COLUMN(装強!AY$1),FALSE),0)</f>
        <v>0</v>
      </c>
      <c r="AZ372">
        <f>IF(ISNUMBER(SEARCH(SUBSTITUTE(AZ$1,RIGHT(AZ$1,2),""),VLOOKUP($D372,素材!$1:$1016,COLUMN($F$1),FALSE))),VLOOKUP($C372,武器!$1:$998,COLUMN($O$1),FALSE)*VLOOKUP($D372,素材!$1:$1016,COLUMN($E$1),FALSE)/(LEN(VLOOKUP($D372,素材!$1:$1016,COLUMN($F$1),FALSE))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0)+IF($CJ372&lt;&gt;"",VLOOKUP($CJ372,装強!$A$1:AZ$1005,COLUMN(装強!AZ$1),FALSE),0)</f>
        <v>0</v>
      </c>
      <c r="BA372">
        <f>IF(ISNUMBER(SEARCH(SUBSTITUTE(BA$1,RIGHT(BA$1,2),""),VLOOKUP($D372,素材!$1:$1016,COLUMN($F$1),FALSE))),VLOOKUP($C372,武器!$1:$998,COLUMN($O$1),FALSE)*VLOOKUP($D372,素材!$1:$1016,COLUMN($E$1),FALSE)/(LEN(VLOOKUP($D372,素材!$1:$1016,COLUMN($F$1),FALSE))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0)+IF($CJ372&lt;&gt;"",VLOOKUP($CJ372,装強!$A$1:BA$1005,COLUMN(装強!BA$1),FALSE),0)</f>
        <v>0</v>
      </c>
      <c r="BB372">
        <f>IF(ISNUMBER(SEARCH(SUBSTITUTE(BB$1,RIGHT(BB$1,2),""),VLOOKUP($D372,素材!$1:$1016,COLUMN($F$1),FALSE))),VLOOKUP($C372,武器!$1:$998,COLUMN($O$1),FALSE)*VLOOKUP($D372,素材!$1:$1016,COLUMN($E$1),FALSE)/(LEN(VLOOKUP($D372,素材!$1:$1016,COLUMN($F$1),FALSE))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0)+IF($CJ372&lt;&gt;"",VLOOKUP($CJ372,装強!$A$1:BB$1005,COLUMN(装強!BB$1),FALSE),0)</f>
        <v>0</v>
      </c>
      <c r="BC372">
        <f>IF(ISNUMBER(SEARCH(SUBSTITUTE(BC$1,RIGHT(BC$1,2),""),VLOOKUP($D372,素材!$1:$1016,COLUMN($F$1),FALSE))),VLOOKUP($C372,武器!$1:$998,COLUMN($O$1),FALSE)*VLOOKUP($D372,素材!$1:$1016,COLUMN($E$1),FALSE)/(LEN(VLOOKUP($D372,素材!$1:$1016,COLUMN($F$1),FALSE))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0)+IF($CJ372&lt;&gt;"",VLOOKUP($CJ372,装強!$A$1:BC$1005,COLUMN(装強!BC$1),FALSE),0)</f>
        <v>0</v>
      </c>
      <c r="BD372">
        <f>IF(ISNUMBER(SEARCH(SUBSTITUTE(BD$1,RIGHT(BD$1,2),""),VLOOKUP($D372,素材!$1:$1016,COLUMN($F$1),FALSE))),VLOOKUP($C372,武器!$1:$998,COLUMN($O$1),FALSE)*VLOOKUP($D372,素材!$1:$1016,COLUMN($E$1),FALSE)/(LEN(VLOOKUP($D372,素材!$1:$1016,COLUMN($F$1),FALSE))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0)+IF($CJ372&lt;&gt;"",VLOOKUP($CJ372,装強!$A$1:BD$1005,COLUMN(装強!BD$1),FALSE),0)</f>
        <v>0</v>
      </c>
      <c r="BE372">
        <f>IF(ISNUMBER(SEARCH(SUBSTITUTE(BE$1,RIGHT(BE$1,2),""),VLOOKUP($D372,素材!$1:$1016,COLUMN($F$1),FALSE))),VLOOKUP($C372,武器!$1:$998,COLUMN($O$1),FALSE)*VLOOKUP($D372,素材!$1:$1016,COLUMN($E$1),FALSE)/(LEN(VLOOKUP($D372,素材!$1:$1016,COLUMN($F$1),FALSE))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0)+IF($CJ372&lt;&gt;"",VLOOKUP($CJ372,装強!$A$1:BE$1005,COLUMN(装強!BE$1),FALSE),0)</f>
        <v>0</v>
      </c>
      <c r="BF372">
        <f>IF(ISNUMBER(SEARCH(SUBSTITUTE(BF$1,RIGHT(BF$1,2),""),VLOOKUP($D372,素材!$1:$1016,COLUMN($F$1),FALSE))),VLOOKUP($C372,武器!$1:$998,COLUMN($O$1),FALSE)*VLOOKUP($D372,素材!$1:$1016,COLUMN($E$1),FALSE)/(LEN(VLOOKUP($D372,素材!$1:$1016,COLUMN($F$1),FALSE)) - LEN(SUBSTITUTE(VLOOKUP($D372,素材!$1:$1016,COLUMN($F$1),FALSE), "・", 0)) + 1), 0)+IF($CJ372&lt;&gt;"",VLOOKUP($CJ372,装強!$A$1:BF$1005,COLUMN(装強!BF$1),FALSE),0)</f>
        <v>0</v>
      </c>
      <c r="CM372">
        <f t="shared" ref="CM372" si="48">SUM(G372:I372)</f>
        <v>29</v>
      </c>
      <c r="CN372" s="22" t="str">
        <f>IF(E372="武器",IF(J372-1&gt;SUM(G372:I372),"盾",IF(MAX(G372:I372)=G372,"切断",IF(MAX(G372:I372)=H372,"貫通",IF(MAX(G372:I372)=I372,"打撃","射撃")))),E372)&amp;".webp"</f>
        <v>切断.webp</v>
      </c>
      <c r="CO372">
        <f>IFERROR(VLOOKUP($C372,武器!$1:$998,COLUMN(V$1),FALSE)*VLOOKUP($D372,素材!$1:$1016,COLUMN(N$1),FALSE)+IF(CJ372="",0,VLOOKUP($CJ372,装強!$1:$1008,COLUMN($CL$1),FALSE)),"")</f>
        <v>10000</v>
      </c>
      <c r="CP372">
        <f>VLOOKUP(D372,素材!$A:$O,COLUMN(素材!O$1),FALSE)</f>
        <v>0</v>
      </c>
      <c r="CQ372" t="str">
        <f>VLOOKUP(C372,武器!$A:$W,COLUMN(武器!W$1),FALSE)</f>
        <v>刀。切断力に優れた武器で、Cr威力が高い</v>
      </c>
      <c r="CS372" t="str">
        <f>"e_"&amp;ROW(CS372)</f>
        <v>e_372</v>
      </c>
      <c r="CT372">
        <f t="shared" ref="CT372" si="49">CO372*100</f>
        <v>1000000</v>
      </c>
    </row>
    <row r="373" spans="1:98" outlineLevel="1" x14ac:dyDescent="0.4">
      <c r="B373" t="str">
        <f>IFERROR(VLOOKUP($D373,素材!$1:$1016,COLUMN($B$1),FALSE)&amp;"・"&amp;VLOOKUP($C373,武器!$1:$998,COLUMN(B$1),FALSE),"")</f>
        <v/>
      </c>
      <c r="D373" s="24"/>
      <c r="E373" t="str">
        <f>IFERROR(VLOOKUP(C373,武器!$1:$998,COLUMN(C$1),FALSE),"")</f>
        <v/>
      </c>
      <c r="F373" t="str">
        <f>IFERROR(ROUNDDOWN((VLOOKUP($C373,武器!$1:$998,COLUMN(D$1),FALSE)+IFERROR(VLOOKUP($CJ373,装強!$1:$999,COLUMN(F$1),FALSE),0))*VLOOKUP($D373,素材!$1:$1016,COLUMN(D$1),FALSE),0),"")</f>
        <v/>
      </c>
      <c r="G373" t="str">
        <f>IFERROR(ROUNDDOWN((VLOOKUP($C373,武器!$1:$998,COLUMN(E$1),FALSE)+IFERROR(VLOOKUP($CJ373,装強!$1:$999,COLUMN(G$1),FALSE),0))*VLOOKUP($D373,素材!$1:$1016,COLUMN($E$1),FALSE),0),"")</f>
        <v/>
      </c>
      <c r="H373" t="str">
        <f>IFERROR(ROUNDDOWN((VLOOKUP($C373,武器!$1:$998,COLUMN(F$1),FALSE)+IFERROR(VLOOKUP($CJ373,装強!$1:$999,COLUMN(H$1),FALSE),0))*VLOOKUP($D373,素材!$1:$1016,COLUMN($E$1),FALSE),0),"")</f>
        <v/>
      </c>
      <c r="I373" t="str">
        <f>IFERROR(ROUNDDOWN((VLOOKUP($C373,武器!$1:$998,COLUMN(G$1),FALSE)+IFERROR(VLOOKUP($CJ373,装強!$1:$999,COLUMN(I$1),FALSE),0))*VLOOKUP($D373,素材!$1:$1016,COLUMN($E$1),FALSE),0),"")</f>
        <v/>
      </c>
      <c r="J373" t="str">
        <f>IFERROR(ROUNDDOWN((VLOOKUP($C373,武器!$1:$998,COLUMN(H$1),FALSE)+IFERROR(VLOOKUP($CJ373,装強!$1:$999,COLUMN(J$1),FALSE),0))*VLOOKUP($D373,素材!$1:$1016,COLUMN($E$1),FALSE),0),"")</f>
        <v/>
      </c>
      <c r="K373" t="str">
        <f>IFERROR(ROUNDDOWN((VLOOKUP($C373,武器!$1:$998,COLUMN(I$1),FALSE)+IFERROR(VLOOKUP($CJ373,装強!$1:$999,COLUMN(K$1),FALSE),0))*VLOOKUP($D373,素材!$1:$1016,COLUMN($E$1),FALSE),0),"")</f>
        <v/>
      </c>
      <c r="L373" t="str">
        <f>IFERROR(VLOOKUP($D373,素材!$1:$1016,COLUMN($F$1),FALSE),"")</f>
        <v/>
      </c>
      <c r="M373" t="str">
        <f>IFERROR(VLOOKUP($C373,武器!$1:$998,COLUMN(AA$1),FALSE)*VLOOKUP($D373,素材!$1:$1016,COLUMN($G$1),FALSE),"")</f>
        <v/>
      </c>
      <c r="N373" t="str">
        <f>IFERROR(VLOOKUP($C373,武器!$1:$998,COLUMN(I$1),FALSE),"")</f>
        <v/>
      </c>
      <c r="O373" s="23" t="str">
        <f>IFERROR((VLOOKUP($C373,武器!$1:$998,COLUMN(K$1),FALSE)+VLOOKUP($D373,素材!$1:$1016,COLUMN(H$1),FALSE))*100+IFERROR(VLOOKUP($CJ373,装強!$1:$999,COLUMN(O$1),FALSE),0),"")</f>
        <v/>
      </c>
      <c r="P373" s="23" t="str">
        <f>IFERROR((VLOOKUP($C373,武器!$1:$998,COLUMN(L$1),FALSE)+VLOOKUP($D373,素材!$1:$1016,COLUMN(I$1),FALSE))*100+IFERROR(VLOOKUP($CJ373,装強!$1:$999,COLUMN(P$1),FALSE),0),"")</f>
        <v/>
      </c>
      <c r="Q373" t="str">
        <f>IFERROR(ROUNDUP(VLOOKUP($C373,武器!$1:$998,COLUMN(M$1),FALSE)*(VLOOKUP($D373,素材!$1:$1002,COLUMN(D$1),FALSE)/100),1),"")</f>
        <v/>
      </c>
      <c r="R373" t="str">
        <f>IFERROR(ROUNDUP(VLOOKUP($C373,武器!$1:$998,COLUMN(N$1),FALSE)*(VLOOKUP($D373,素材!$1:$1002,COLUMN(D$1),FALSE)/100),1),"")</f>
        <v/>
      </c>
      <c r="S373" t="str">
        <f>IFERROR(VLOOKUP($C373,武器!$1:$998,COLUMN(P$1),FALSE),"")</f>
        <v/>
      </c>
      <c r="T373" t="str">
        <f>IFERROR(VLOOKUP($C373,武器!$1:$998,COLUMN(Q$1),FALSE),"")</f>
        <v/>
      </c>
      <c r="U373" t="str">
        <f>IFERROR(VLOOKUP($C373,武器!$1:$998,COLUMN(R$1),FALSE),"")</f>
        <v/>
      </c>
      <c r="V373" t="str">
        <f>IFERROR(VLOOKUP($C373,武器!$1:$998,COLUMN(Q$1),FALSE),"")</f>
        <v/>
      </c>
      <c r="W373" t="str">
        <f>IFERROR(VLOOKUP($C373,武器!$1:$998,COLUMN(T$1),FALSE),"")</f>
        <v/>
      </c>
      <c r="Y373" t="str">
        <f>IFERROR(VLOOKUP($C373,武器!$1:$998,COLUMN(U$1),FALSE),"")</f>
        <v/>
      </c>
      <c r="Z373" t="str">
        <f>IFERROR(ROUNDUP(VLOOKUP($C373,武器!$1:$998,COLUMN(O$1),FALSE)*VLOOKUP($D373,素材!$1:$1016,COLUMN(E$1),FALSE),1),"")</f>
        <v/>
      </c>
      <c r="AA373">
        <f>IF(ISNUMBER(SEARCH(SUBSTITUTE(AA$1,RIGHT(AA$1,2),""),VLOOKUP($D373,素材!$1:$1016,COLUMN($F$1),FALSE))),VLOOKUP($C373,武器!$1:$998,COLUMN($O$1),FALSE)*VLOOKUP($D373,素材!$1:$1016,COLUMN($E$1),FALSE)/(LEN(VLOOKUP($D373,素材!$1:$1016,COLUMN($F$1),FALSE))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</f>
        <v>0</v>
      </c>
      <c r="AB373">
        <f>IF(ISNUMBER(SEARCH(SUBSTITUTE(AB$1,RIGHT(AB$1,2),""),VLOOKUP($D373,素材!$1:$1016,COLUMN($F$1),FALSE))),VLOOKUP($C373,武器!$1:$998,COLUMN($O$1),FALSE)*VLOOKUP($D373,素材!$1:$1016,COLUMN($E$1),FALSE)/(LEN(VLOOKUP($D373,素材!$1:$1016,COLUMN($F$1),FALSE))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</f>
        <v>0</v>
      </c>
      <c r="AC373">
        <f>IF(ISNUMBER(SEARCH(SUBSTITUTE(AC$1,RIGHT(AC$1,2),""),VLOOKUP($D373,素材!$1:$1016,COLUMN($F$1),FALSE))),VLOOKUP($C373,武器!$1:$998,COLUMN($O$1),FALSE)*VLOOKUP($D373,素材!$1:$1016,COLUMN($E$1),FALSE)/(LEN(VLOOKUP($D373,素材!$1:$1016,COLUMN($F$1),FALSE))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</f>
        <v>0</v>
      </c>
      <c r="AD373">
        <f>IF(ISNUMBER(SEARCH(SUBSTITUTE(AD$1,RIGHT(AD$1,2),""),VLOOKUP($D373,素材!$1:$1016,COLUMN($F$1),FALSE))),VLOOKUP($C373,武器!$1:$998,COLUMN($O$1),FALSE)*VLOOKUP($D373,素材!$1:$1016,COLUMN($E$1),FALSE)/(LEN(VLOOKUP($D373,素材!$1:$1016,COLUMN($F$1),FALSE))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</f>
        <v>0</v>
      </c>
      <c r="AE373">
        <f>IF(ISNUMBER(SEARCH(SUBSTITUTE(AE$1,RIGHT(AE$1,2),""),VLOOKUP($D373,素材!$1:$1016,COLUMN($F$1),FALSE))),VLOOKUP($C373,武器!$1:$998,COLUMN($O$1),FALSE)*VLOOKUP($D373,素材!$1:$1016,COLUMN($E$1),FALSE)/(LEN(VLOOKUP($D373,素材!$1:$1016,COLUMN($F$1),FALSE))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0)+IF($CJ373&lt;&gt;"",VLOOKUP($CJ373,装強!$A$1:AE$1005,COLUMN(装強!AE$1),FALSE),0)</f>
        <v>0</v>
      </c>
      <c r="AF373">
        <f>IF(ISNUMBER(SEARCH(SUBSTITUTE(AF$1,RIGHT(AF$1,2),""),VLOOKUP($D373,素材!$1:$1016,COLUMN($F$1),FALSE))),VLOOKUP($C373,武器!$1:$998,COLUMN($O$1),FALSE)*VLOOKUP($D373,素材!$1:$1016,COLUMN($E$1),FALSE)/(LEN(VLOOKUP($D373,素材!$1:$1016,COLUMN($F$1),FALSE))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0)+IF($CJ373&lt;&gt;"",VLOOKUP($CJ373,装強!$A$1:AF$1005,COLUMN(装強!AF$1),FALSE),0)</f>
        <v>0</v>
      </c>
      <c r="AG373">
        <f>IF(ISNUMBER(SEARCH(SUBSTITUTE(AG$1,RIGHT(AG$1,2),""),VLOOKUP($D373,素材!$1:$1016,COLUMN($F$1),FALSE))),VLOOKUP($C373,武器!$1:$998,COLUMN($O$1),FALSE)*VLOOKUP($D373,素材!$1:$1016,COLUMN($E$1),FALSE)/(LEN(VLOOKUP($D373,素材!$1:$1016,COLUMN($F$1),FALSE))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0)+IF($CJ373&lt;&gt;"",VLOOKUP($CJ373,装強!$A$1:AG$1005,COLUMN(装強!AG$1),FALSE),0)</f>
        <v>0</v>
      </c>
      <c r="AH373">
        <f>IF(ISNUMBER(SEARCH(SUBSTITUTE(AH$1,RIGHT(AH$1,2),""),VLOOKUP($D373,素材!$1:$1016,COLUMN($F$1),FALSE))),VLOOKUP($C373,武器!$1:$998,COLUMN($O$1),FALSE)*VLOOKUP($D373,素材!$1:$1016,COLUMN($E$1),FALSE)/(LEN(VLOOKUP($D373,素材!$1:$1016,COLUMN($F$1),FALSE))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0)+IF($CJ373&lt;&gt;"",VLOOKUP($CJ373,装強!$A$1:AH$1005,COLUMN(装強!AH$1),FALSE),0)</f>
        <v>0</v>
      </c>
      <c r="AI373">
        <f>IF(ISNUMBER(SEARCH(SUBSTITUTE(AI$1,RIGHT(AI$1,2),""),VLOOKUP($D373,素材!$1:$1016,COLUMN($F$1),FALSE))),VLOOKUP($C373,武器!$1:$998,COLUMN($O$1),FALSE)*VLOOKUP($D373,素材!$1:$1016,COLUMN($E$1),FALSE)/(LEN(VLOOKUP($D373,素材!$1:$1016,COLUMN($F$1),FALSE))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0)+IF($CJ373&lt;&gt;"",VLOOKUP($CJ373,装強!$A$1:AI$1005,COLUMN(装強!AI$1),FALSE),0)</f>
        <v>0</v>
      </c>
      <c r="AJ373">
        <f>IF(ISNUMBER(SEARCH(SUBSTITUTE(AJ$1,RIGHT(AJ$1,2),""),VLOOKUP($D373,素材!$1:$1016,COLUMN($F$1),FALSE))),VLOOKUP($C373,武器!$1:$998,COLUMN($O$1),FALSE)*VLOOKUP($D373,素材!$1:$1016,COLUMN($E$1),FALSE)/(LEN(VLOOKUP($D373,素材!$1:$1016,COLUMN($F$1),FALSE))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0)+IF($CJ373&lt;&gt;"",VLOOKUP($CJ373,装強!$A$1:AJ$1005,COLUMN(装強!AJ$1),FALSE),0)</f>
        <v>0</v>
      </c>
      <c r="AK373">
        <f>IF(ISNUMBER(SEARCH(SUBSTITUTE(AK$1,RIGHT(AK$1,2),""),VLOOKUP($D373,素材!$1:$1016,COLUMN($F$1),FALSE))),VLOOKUP($C373,武器!$1:$998,COLUMN($O$1),FALSE)*VLOOKUP($D373,素材!$1:$1016,COLUMN($E$1),FALSE)/(LEN(VLOOKUP($D373,素材!$1:$1016,COLUMN($F$1),FALSE))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0)+IF($CJ373&lt;&gt;"",VLOOKUP($CJ373,装強!$A$1:AK$1005,COLUMN(装強!AK$1),FALSE),0)</f>
        <v>0</v>
      </c>
      <c r="AL373">
        <f>IF(ISNUMBER(SEARCH(SUBSTITUTE(AL$1,RIGHT(AL$1,2),""),VLOOKUP($D373,素材!$1:$1016,COLUMN($F$1),FALSE))),VLOOKUP($C373,武器!$1:$998,COLUMN($O$1),FALSE)*VLOOKUP($D373,素材!$1:$1016,COLUMN($E$1),FALSE)/(LEN(VLOOKUP($D373,素材!$1:$1016,COLUMN($F$1),FALSE))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0)+IF($CJ373&lt;&gt;"",VLOOKUP($CJ373,装強!$A$1:AL$1005,COLUMN(装強!AL$1),FALSE),0)</f>
        <v>0</v>
      </c>
      <c r="AM373">
        <f>IF(ISNUMBER(SEARCH(SUBSTITUTE(AM$1,RIGHT(AM$1,2),""),VLOOKUP($D373,素材!$1:$1016,COLUMN($F$1),FALSE))),VLOOKUP($C373,武器!$1:$998,COLUMN($O$1),FALSE)*VLOOKUP($D373,素材!$1:$1016,COLUMN($E$1),FALSE)/(LEN(VLOOKUP($D373,素材!$1:$1016,COLUMN($F$1),FALSE))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0)+IF($CJ373&lt;&gt;"",VLOOKUP($CJ373,装強!$A$1:AM$1005,COLUMN(装強!AM$1),FALSE),0)</f>
        <v>0</v>
      </c>
      <c r="AN373">
        <f>IF(ISNUMBER(SEARCH(SUBSTITUTE(AN$1,RIGHT(AN$1,2),""),VLOOKUP($D373,素材!$1:$1016,COLUMN($F$1),FALSE))),VLOOKUP($C373,武器!$1:$998,COLUMN($O$1),FALSE)*VLOOKUP($D373,素材!$1:$1016,COLUMN($E$1),FALSE)/(LEN(VLOOKUP($D373,素材!$1:$1016,COLUMN($F$1),FALSE))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0)+IF($CJ373&lt;&gt;"",VLOOKUP($CJ373,装強!$A$1:AN$1005,COLUMN(装強!AN$1),FALSE),0)</f>
        <v>0</v>
      </c>
      <c r="AO373">
        <f>IF(ISNUMBER(SEARCH(SUBSTITUTE(AO$1,RIGHT(AO$1,2),""),VLOOKUP($D373,素材!$1:$1016,COLUMN($F$1),FALSE))),VLOOKUP($C373,武器!$1:$998,COLUMN($O$1),FALSE)*VLOOKUP($D373,素材!$1:$1016,COLUMN($E$1),FALSE)/(LEN(VLOOKUP($D373,素材!$1:$1016,COLUMN($F$1),FALSE))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0)+IF($CJ373&lt;&gt;"",VLOOKUP($CJ373,装強!$A$1:AO$1005,COLUMN(装強!AO$1),FALSE),0)</f>
        <v>0</v>
      </c>
      <c r="AP373">
        <f>IF(ISNUMBER(SEARCH(SUBSTITUTE(AP$1,RIGHT(AP$1,2),""),VLOOKUP($D373,素材!$1:$1016,COLUMN($F$1),FALSE))),VLOOKUP($C373,武器!$1:$998,COLUMN($O$1),FALSE)*VLOOKUP($D373,素材!$1:$1016,COLUMN($E$1),FALSE)/(LEN(VLOOKUP($D373,素材!$1:$1016,COLUMN($F$1),FALSE))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0)+IF($CJ373&lt;&gt;"",VLOOKUP($CJ373,装強!$A$1:AP$1005,COLUMN(装強!AP$1),FALSE),0)</f>
        <v>0</v>
      </c>
      <c r="AQ373">
        <f>IF(ISNUMBER(SEARCH(SUBSTITUTE(AQ$1,RIGHT(AQ$1,2),""),VLOOKUP($D373,素材!$1:$1016,COLUMN($F$1),FALSE))),VLOOKUP($C373,武器!$1:$998,COLUMN($O$1),FALSE)*VLOOKUP($D373,素材!$1:$1016,COLUMN($E$1),FALSE)/(LEN(VLOOKUP($D373,素材!$1:$1016,COLUMN($F$1),FALSE))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0)+IF($CJ373&lt;&gt;"",VLOOKUP($CJ373,装強!$A$1:AQ$1005,COLUMN(装強!AQ$1),FALSE),0)</f>
        <v>0</v>
      </c>
      <c r="AR373">
        <f>IF(ISNUMBER(SEARCH(SUBSTITUTE(AR$1,RIGHT(AR$1,2),""),VLOOKUP($D373,素材!$1:$1016,COLUMN($F$1),FALSE))),VLOOKUP($C373,武器!$1:$998,COLUMN($O$1),FALSE)*VLOOKUP($D373,素材!$1:$1016,COLUMN($E$1),FALSE)/(LEN(VLOOKUP($D373,素材!$1:$1016,COLUMN($F$1),FALSE))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0)+IF($CJ373&lt;&gt;"",VLOOKUP($CJ373,装強!$A$1:AR$1005,COLUMN(装強!AR$1),FALSE),0)</f>
        <v>0</v>
      </c>
      <c r="AS373">
        <f>IF(ISNUMBER(SEARCH(SUBSTITUTE(AS$1,RIGHT(AS$1,2),""),VLOOKUP($D373,素材!$1:$1016,COLUMN($F$1),FALSE))),VLOOKUP($C373,武器!$1:$998,COLUMN($O$1),FALSE)*VLOOKUP($D373,素材!$1:$1016,COLUMN($E$1),FALSE)/(LEN(VLOOKUP($D373,素材!$1:$1016,COLUMN($F$1),FALSE))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0)+IF($CJ373&lt;&gt;"",VLOOKUP($CJ373,装強!$A$1:AS$1005,COLUMN(装強!AS$1),FALSE),0)</f>
        <v>0</v>
      </c>
      <c r="AT373">
        <f>IF(ISNUMBER(SEARCH(SUBSTITUTE(AT$1,RIGHT(AT$1,2),""),VLOOKUP($D373,素材!$1:$1016,COLUMN($F$1),FALSE))),VLOOKUP($C373,武器!$1:$998,COLUMN($O$1),FALSE)*VLOOKUP($D373,素材!$1:$1016,COLUMN($E$1),FALSE)/(LEN(VLOOKUP($D373,素材!$1:$1016,COLUMN($F$1),FALSE))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0)+IF($CJ373&lt;&gt;"",VLOOKUP($CJ373,装強!$A$1:AT$1005,COLUMN(装強!AT$1),FALSE),0)</f>
        <v>0</v>
      </c>
      <c r="AU373">
        <f>IF(ISNUMBER(SEARCH(SUBSTITUTE(AU$1,RIGHT(AU$1,2),""),VLOOKUP($D373,素材!$1:$1016,COLUMN($F$1),FALSE))),VLOOKUP($C373,武器!$1:$998,COLUMN($O$1),FALSE)*VLOOKUP($D373,素材!$1:$1016,COLUMN($E$1),FALSE)/(LEN(VLOOKUP($D373,素材!$1:$1016,COLUMN($F$1),FALSE))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0)+IF($CJ373&lt;&gt;"",VLOOKUP($CJ373,装強!$A$1:AU$1005,COLUMN(装強!AU$1),FALSE),0)</f>
        <v>0</v>
      </c>
      <c r="AV373">
        <f>IF(ISNUMBER(SEARCH(SUBSTITUTE(AV$1,RIGHT(AV$1,2),""),VLOOKUP($D373,素材!$1:$1016,COLUMN($F$1),FALSE))),VLOOKUP($C373,武器!$1:$998,COLUMN($O$1),FALSE)*VLOOKUP($D373,素材!$1:$1016,COLUMN($E$1),FALSE)/(LEN(VLOOKUP($D373,素材!$1:$1016,COLUMN($F$1),FALSE))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0)+IF($CJ373&lt;&gt;"",VLOOKUP($CJ373,装強!$A$1:AV$1005,COLUMN(装強!AV$1),FALSE),0)</f>
        <v>0</v>
      </c>
      <c r="AW373">
        <f>IF(ISNUMBER(SEARCH(SUBSTITUTE(AW$1,RIGHT(AW$1,2),""),VLOOKUP($D373,素材!$1:$1016,COLUMN($F$1),FALSE))),VLOOKUP($C373,武器!$1:$998,COLUMN($O$1),FALSE)*VLOOKUP($D373,素材!$1:$1016,COLUMN($E$1),FALSE)/(LEN(VLOOKUP($D373,素材!$1:$1016,COLUMN($F$1),FALSE))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0)+IF($CJ373&lt;&gt;"",VLOOKUP($CJ373,装強!$A$1:AW$1005,COLUMN(装強!AW$1),FALSE),0)</f>
        <v>0</v>
      </c>
      <c r="AX373">
        <f>IF(ISNUMBER(SEARCH(SUBSTITUTE(AX$1,RIGHT(AX$1,2),""),VLOOKUP($D373,素材!$1:$1016,COLUMN($F$1),FALSE))),VLOOKUP($C373,武器!$1:$998,COLUMN($O$1),FALSE)*VLOOKUP($D373,素材!$1:$1016,COLUMN($E$1),FALSE)/(LEN(VLOOKUP($D373,素材!$1:$1016,COLUMN($F$1),FALSE))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0)+IF($CJ373&lt;&gt;"",VLOOKUP($CJ373,装強!$A$1:AX$1005,COLUMN(装強!AX$1),FALSE),0)</f>
        <v>0</v>
      </c>
      <c r="AY373">
        <f>IF(ISNUMBER(SEARCH(SUBSTITUTE(AY$1,RIGHT(AY$1,2),""),VLOOKUP($D373,素材!$1:$1016,COLUMN($F$1),FALSE))),VLOOKUP($C373,武器!$1:$998,COLUMN($O$1),FALSE)*VLOOKUP($D373,素材!$1:$1016,COLUMN($E$1),FALSE)/(LEN(VLOOKUP($D373,素材!$1:$1016,COLUMN($F$1),FALSE))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0)+IF($CJ373&lt;&gt;"",VLOOKUP($CJ373,装強!$A$1:AY$1005,COLUMN(装強!AY$1),FALSE),0)</f>
        <v>0</v>
      </c>
      <c r="AZ373">
        <f>IF(ISNUMBER(SEARCH(SUBSTITUTE(AZ$1,RIGHT(AZ$1,2),""),VLOOKUP($D373,素材!$1:$1016,COLUMN($F$1),FALSE))),VLOOKUP($C373,武器!$1:$998,COLUMN($O$1),FALSE)*VLOOKUP($D373,素材!$1:$1016,COLUMN($E$1),FALSE)/(LEN(VLOOKUP($D373,素材!$1:$1016,COLUMN($F$1),FALSE))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0)+IF($CJ373&lt;&gt;"",VLOOKUP($CJ373,装強!$A$1:AZ$1005,COLUMN(装強!AZ$1),FALSE),0)</f>
        <v>0</v>
      </c>
      <c r="BA373">
        <f>IF(ISNUMBER(SEARCH(SUBSTITUTE(BA$1,RIGHT(BA$1,2),""),VLOOKUP($D373,素材!$1:$1016,COLUMN($F$1),FALSE))),VLOOKUP($C373,武器!$1:$998,COLUMN($O$1),FALSE)*VLOOKUP($D373,素材!$1:$1016,COLUMN($E$1),FALSE)/(LEN(VLOOKUP($D373,素材!$1:$1016,COLUMN($F$1),FALSE))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0)+IF($CJ373&lt;&gt;"",VLOOKUP($CJ373,装強!$A$1:BA$1005,COLUMN(装強!BA$1),FALSE),0)</f>
        <v>0</v>
      </c>
      <c r="BB373">
        <f>IF(ISNUMBER(SEARCH(SUBSTITUTE(BB$1,RIGHT(BB$1,2),""),VLOOKUP($D373,素材!$1:$1016,COLUMN($F$1),FALSE))),VLOOKUP($C373,武器!$1:$998,COLUMN($O$1),FALSE)*VLOOKUP($D373,素材!$1:$1016,COLUMN($E$1),FALSE)/(LEN(VLOOKUP($D373,素材!$1:$1016,COLUMN($F$1),FALSE))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0)+IF($CJ373&lt;&gt;"",VLOOKUP($CJ373,装強!$A$1:BB$1005,COLUMN(装強!BB$1),FALSE),0)</f>
        <v>0</v>
      </c>
      <c r="BC373">
        <f>IF(ISNUMBER(SEARCH(SUBSTITUTE(BC$1,RIGHT(BC$1,2),""),VLOOKUP($D373,素材!$1:$1016,COLUMN($F$1),FALSE))),VLOOKUP($C373,武器!$1:$998,COLUMN($O$1),FALSE)*VLOOKUP($D373,素材!$1:$1016,COLUMN($E$1),FALSE)/(LEN(VLOOKUP($D373,素材!$1:$1016,COLUMN($F$1),FALSE))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0)+IF($CJ373&lt;&gt;"",VLOOKUP($CJ373,装強!$A$1:BC$1005,COLUMN(装強!BC$1),FALSE),0)</f>
        <v>0</v>
      </c>
      <c r="BD373">
        <f>IF(ISNUMBER(SEARCH(SUBSTITUTE(BD$1,RIGHT(BD$1,2),""),VLOOKUP($D373,素材!$1:$1016,COLUMN($F$1),FALSE))),VLOOKUP($C373,武器!$1:$998,COLUMN($O$1),FALSE)*VLOOKUP($D373,素材!$1:$1016,COLUMN($E$1),FALSE)/(LEN(VLOOKUP($D373,素材!$1:$1016,COLUMN($F$1),FALSE))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0)+IF($CJ373&lt;&gt;"",VLOOKUP($CJ373,装強!$A$1:BD$1005,COLUMN(装強!BD$1),FALSE),0)</f>
        <v>0</v>
      </c>
      <c r="BE373">
        <f>IF(ISNUMBER(SEARCH(SUBSTITUTE(BE$1,RIGHT(BE$1,2),""),VLOOKUP($D373,素材!$1:$1016,COLUMN($F$1),FALSE))),VLOOKUP($C373,武器!$1:$998,COLUMN($O$1),FALSE)*VLOOKUP($D373,素材!$1:$1016,COLUMN($E$1),FALSE)/(LEN(VLOOKUP($D373,素材!$1:$1016,COLUMN($F$1),FALSE))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0)+IF($CJ373&lt;&gt;"",VLOOKUP($CJ373,装強!$A$1:BE$1005,COLUMN(装強!BE$1),FALSE),0)</f>
        <v>0</v>
      </c>
      <c r="BF373">
        <f>IF(ISNUMBER(SEARCH(SUBSTITUTE(BF$1,RIGHT(BF$1,2),""),VLOOKUP($D373,素材!$1:$1016,COLUMN($F$1),FALSE))),VLOOKUP($C373,武器!$1:$998,COLUMN($O$1),FALSE)*VLOOKUP($D373,素材!$1:$1016,COLUMN($E$1),FALSE)/(LEN(VLOOKUP($D373,素材!$1:$1016,COLUMN($F$1),FALSE)) - LEN(SUBSTITUTE(VLOOKUP($D373,素材!$1:$1016,COLUMN($F$1),FALSE), "・", 0)) + 1), 0)+IF($CJ373&lt;&gt;"",VLOOKUP($CJ373,装強!$A$1:BF$1005,COLUMN(装強!BF$1),FALSE),0)</f>
        <v>0</v>
      </c>
      <c r="CM373">
        <f t="shared" si="44"/>
        <v>0</v>
      </c>
      <c r="CN373" s="22" t="str">
        <f>IF(E373="武器",IF(J373-1&gt;SUM(G373:I373),"盾",IF(MAX(G373:I373)=G373,"切断",IF(MAX(G373:I373)=H373,"貫通",IF(MAX(G373:I373)=I373,"打撃","射撃")))),E373)&amp;".webp"</f>
        <v>.webp</v>
      </c>
      <c r="CO373" t="str">
        <f>IFERROR(VLOOKUP($C373,武器!$1:$998,COLUMN(V$1),FALSE)*VLOOKUP($D373,素材!$1:$1016,COLUMN(N$1),FALSE)+IF(CJ373="",0,VLOOKUP($CJ373,装強!$1:$1008,COLUMN($CL$1),FALSE)),"")</f>
        <v/>
      </c>
      <c r="CP373" t="e">
        <f>VLOOKUP(D373,素材!$A:$O,COLUMN(素材!O$1),FALSE)</f>
        <v>#N/A</v>
      </c>
      <c r="CQ373" t="e">
        <f>VLOOKUP(C373,武器!$A:$W,COLUMN(武器!W$1),FALSE)</f>
        <v>#N/A</v>
      </c>
      <c r="CS373" t="str">
        <f>"e_"&amp;ROW(CS373)</f>
        <v>e_373</v>
      </c>
      <c r="CT373" t="e">
        <f t="shared" si="45"/>
        <v>#VALUE!</v>
      </c>
    </row>
    <row r="374" spans="1:98" x14ac:dyDescent="0.4">
      <c r="B374" t="str">
        <f>IFERROR(VLOOKUP($D374,素材!$1:$1016,COLUMN($B$1),FALSE)&amp;"・"&amp;VLOOKUP($C374,武器!$1:$998,COLUMN(B$1),FALSE),"")</f>
        <v/>
      </c>
      <c r="D374" s="24"/>
      <c r="E374" t="str">
        <f>IFERROR(VLOOKUP(C374,武器!$1:$998,COLUMN(C$1),FALSE),"")</f>
        <v/>
      </c>
      <c r="F374" t="str">
        <f>IFERROR(ROUNDDOWN((VLOOKUP($C374,武器!$1:$998,COLUMN(D$1),FALSE)+IFERROR(VLOOKUP($CJ374,装強!$1:$999,COLUMN(F$1),FALSE),0))*VLOOKUP($D374,素材!$1:$1016,COLUMN(D$1),FALSE),0),"")</f>
        <v/>
      </c>
      <c r="G374" t="str">
        <f>IFERROR(ROUNDDOWN((VLOOKUP($C374,武器!$1:$998,COLUMN(E$1),FALSE)+IFERROR(VLOOKUP($CJ374,装強!$1:$999,COLUMN(G$1),FALSE),0))*VLOOKUP($D374,素材!$1:$1016,COLUMN($E$1),FALSE),0),"")</f>
        <v/>
      </c>
      <c r="H374" t="str">
        <f>IFERROR(ROUNDDOWN((VLOOKUP($C374,武器!$1:$998,COLUMN(F$1),FALSE)+IFERROR(VLOOKUP($CJ374,装強!$1:$999,COLUMN(H$1),FALSE),0))*VLOOKUP($D374,素材!$1:$1016,COLUMN($E$1),FALSE),0),"")</f>
        <v/>
      </c>
      <c r="I374" t="str">
        <f>IFERROR(ROUNDDOWN((VLOOKUP($C374,武器!$1:$998,COLUMN(G$1),FALSE)+IFERROR(VLOOKUP($CJ374,装強!$1:$999,COLUMN(I$1),FALSE),0))*VLOOKUP($D374,素材!$1:$1016,COLUMN($E$1),FALSE),0),"")</f>
        <v/>
      </c>
      <c r="J374" t="str">
        <f>IFERROR(ROUNDDOWN((VLOOKUP($C374,武器!$1:$998,COLUMN(H$1),FALSE)+IFERROR(VLOOKUP($CJ374,装強!$1:$999,COLUMN(J$1),FALSE),0))*VLOOKUP($D374,素材!$1:$1016,COLUMN($E$1),FALSE),0),"")</f>
        <v/>
      </c>
      <c r="K374" t="str">
        <f>IFERROR(ROUNDDOWN((VLOOKUP($C374,武器!$1:$998,COLUMN(I$1),FALSE)+IFERROR(VLOOKUP($CJ374,装強!$1:$999,COLUMN(K$1),FALSE),0))*VLOOKUP($D374,素材!$1:$1016,COLUMN($E$1),FALSE),0),"")</f>
        <v/>
      </c>
      <c r="L374" t="str">
        <f>IFERROR(VLOOKUP($D374,素材!$1:$1016,COLUMN($F$1),FALSE),"")</f>
        <v/>
      </c>
      <c r="M374" t="str">
        <f>IFERROR(VLOOKUP($C374,武器!$1:$998,COLUMN(AA$1),FALSE)*VLOOKUP($D374,素材!$1:$1016,COLUMN($G$1),FALSE),"")</f>
        <v/>
      </c>
      <c r="N374" t="str">
        <f>IFERROR(VLOOKUP($C374,武器!$1:$998,COLUMN(I$1),FALSE),"")</f>
        <v/>
      </c>
      <c r="O374" s="23" t="str">
        <f>IFERROR((VLOOKUP($C374,武器!$1:$998,COLUMN(K$1),FALSE)+VLOOKUP($D374,素材!$1:$1016,COLUMN(H$1),FALSE))*100+IFERROR(VLOOKUP($CJ374,装強!$1:$999,COLUMN(O$1),FALSE),0),"")</f>
        <v/>
      </c>
      <c r="P374" s="23" t="str">
        <f>IFERROR((VLOOKUP($C374,武器!$1:$998,COLUMN(L$1),FALSE)+VLOOKUP($D374,素材!$1:$1016,COLUMN(I$1),FALSE))*100+IFERROR(VLOOKUP($CJ374,装強!$1:$999,COLUMN(P$1),FALSE),0),"")</f>
        <v/>
      </c>
      <c r="Q374" t="str">
        <f>IFERROR(ROUNDUP(VLOOKUP($C374,武器!$1:$998,COLUMN(M$1),FALSE)*(VLOOKUP($D374,素材!$1:$1002,COLUMN(D$1),FALSE)/100),1),"")</f>
        <v/>
      </c>
      <c r="R374" t="str">
        <f>IFERROR(ROUNDUP(VLOOKUP($C374,武器!$1:$998,COLUMN(N$1),FALSE)*(VLOOKUP($D374,素材!$1:$1002,COLUMN(D$1),FALSE)/100),1),"")</f>
        <v/>
      </c>
      <c r="S374" t="str">
        <f>IFERROR(VLOOKUP($C374,武器!$1:$998,COLUMN(P$1),FALSE),"")</f>
        <v/>
      </c>
      <c r="T374" t="str">
        <f>IFERROR(VLOOKUP($C374,武器!$1:$998,COLUMN(Q$1),FALSE),"")</f>
        <v/>
      </c>
      <c r="U374" t="str">
        <f>IFERROR(VLOOKUP($C374,武器!$1:$998,COLUMN(R$1),FALSE),"")</f>
        <v/>
      </c>
      <c r="V374" t="str">
        <f>IFERROR(VLOOKUP($C374,武器!$1:$998,COLUMN(Q$1),FALSE),"")</f>
        <v/>
      </c>
      <c r="W374" t="str">
        <f>IFERROR(VLOOKUP($C374,武器!$1:$998,COLUMN(T$1),FALSE),"")</f>
        <v/>
      </c>
      <c r="Y374" t="str">
        <f>IFERROR(VLOOKUP($C374,武器!$1:$998,COLUMN(U$1),FALSE),"")</f>
        <v/>
      </c>
      <c r="Z374" t="str">
        <f>IFERROR(ROUNDUP(VLOOKUP($C374,武器!$1:$998,COLUMN(O$1),FALSE)*VLOOKUP($D374,素材!$1:$1016,COLUMN(E$1),FALSE),1),"")</f>
        <v/>
      </c>
      <c r="AA374">
        <f>IF(ISNUMBER(SEARCH(SUBSTITUTE(AA$1,RIGHT(AA$1,2),""),VLOOKUP($D374,素材!$1:$1016,COLUMN($F$1),FALSE))),VLOOKUP($C374,武器!$1:$998,COLUMN($O$1),FALSE)*VLOOKUP($D374,素材!$1:$1016,COLUMN($E$1),FALSE)/(LEN(VLOOKUP($D374,素材!$1:$1016,COLUMN($F$1),FALSE))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</f>
        <v>0</v>
      </c>
      <c r="AB374">
        <f>IF(ISNUMBER(SEARCH(SUBSTITUTE(AB$1,RIGHT(AB$1,2),""),VLOOKUP($D374,素材!$1:$1016,COLUMN($F$1),FALSE))),VLOOKUP($C374,武器!$1:$998,COLUMN($O$1),FALSE)*VLOOKUP($D374,素材!$1:$1016,COLUMN($E$1),FALSE)/(LEN(VLOOKUP($D374,素材!$1:$1016,COLUMN($F$1),FALSE))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</f>
        <v>0</v>
      </c>
      <c r="AC374">
        <f>IF(ISNUMBER(SEARCH(SUBSTITUTE(AC$1,RIGHT(AC$1,2),""),VLOOKUP($D374,素材!$1:$1016,COLUMN($F$1),FALSE))),VLOOKUP($C374,武器!$1:$998,COLUMN($O$1),FALSE)*VLOOKUP($D374,素材!$1:$1016,COLUMN($E$1),FALSE)/(LEN(VLOOKUP($D374,素材!$1:$1016,COLUMN($F$1),FALSE))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</f>
        <v>0</v>
      </c>
      <c r="AD374">
        <f>IF(ISNUMBER(SEARCH(SUBSTITUTE(AD$1,RIGHT(AD$1,2),""),VLOOKUP($D374,素材!$1:$1016,COLUMN($F$1),FALSE))),VLOOKUP($C374,武器!$1:$998,COLUMN($O$1),FALSE)*VLOOKUP($D374,素材!$1:$1016,COLUMN($E$1),FALSE)/(LEN(VLOOKUP($D374,素材!$1:$1016,COLUMN($F$1),FALSE))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</f>
        <v>0</v>
      </c>
      <c r="AE374">
        <f>IF(ISNUMBER(SEARCH(SUBSTITUTE(AE$1,RIGHT(AE$1,2),""),VLOOKUP($D374,素材!$1:$1016,COLUMN($F$1),FALSE))),VLOOKUP($C374,武器!$1:$998,COLUMN($O$1),FALSE)*VLOOKUP($D374,素材!$1:$1016,COLUMN($E$1),FALSE)/(LEN(VLOOKUP($D374,素材!$1:$1016,COLUMN($F$1),FALSE))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0)+IF($CJ374&lt;&gt;"",VLOOKUP($CJ374,装強!$A$1:AE$1005,COLUMN(装強!AE$1),FALSE),0)</f>
        <v>0</v>
      </c>
      <c r="AF374">
        <f>IF(ISNUMBER(SEARCH(SUBSTITUTE(AF$1,RIGHT(AF$1,2),""),VLOOKUP($D374,素材!$1:$1016,COLUMN($F$1),FALSE))),VLOOKUP($C374,武器!$1:$998,COLUMN($O$1),FALSE)*VLOOKUP($D374,素材!$1:$1016,COLUMN($E$1),FALSE)/(LEN(VLOOKUP($D374,素材!$1:$1016,COLUMN($F$1),FALSE))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0)+IF($CJ374&lt;&gt;"",VLOOKUP($CJ374,装強!$A$1:AF$1005,COLUMN(装強!AF$1),FALSE),0)</f>
        <v>0</v>
      </c>
      <c r="AG374">
        <f>IF(ISNUMBER(SEARCH(SUBSTITUTE(AG$1,RIGHT(AG$1,2),""),VLOOKUP($D374,素材!$1:$1016,COLUMN($F$1),FALSE))),VLOOKUP($C374,武器!$1:$998,COLUMN($O$1),FALSE)*VLOOKUP($D374,素材!$1:$1016,COLUMN($E$1),FALSE)/(LEN(VLOOKUP($D374,素材!$1:$1016,COLUMN($F$1),FALSE))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0)+IF($CJ374&lt;&gt;"",VLOOKUP($CJ374,装強!$A$1:AG$1005,COLUMN(装強!AG$1),FALSE),0)</f>
        <v>0</v>
      </c>
      <c r="AH374">
        <f>IF(ISNUMBER(SEARCH(SUBSTITUTE(AH$1,RIGHT(AH$1,2),""),VLOOKUP($D374,素材!$1:$1016,COLUMN($F$1),FALSE))),VLOOKUP($C374,武器!$1:$998,COLUMN($O$1),FALSE)*VLOOKUP($D374,素材!$1:$1016,COLUMN($E$1),FALSE)/(LEN(VLOOKUP($D374,素材!$1:$1016,COLUMN($F$1),FALSE))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0)+IF($CJ374&lt;&gt;"",VLOOKUP($CJ374,装強!$A$1:AH$1005,COLUMN(装強!AH$1),FALSE),0)</f>
        <v>0</v>
      </c>
      <c r="AI374">
        <f>IF(ISNUMBER(SEARCH(SUBSTITUTE(AI$1,RIGHT(AI$1,2),""),VLOOKUP($D374,素材!$1:$1016,COLUMN($F$1),FALSE))),VLOOKUP($C374,武器!$1:$998,COLUMN($O$1),FALSE)*VLOOKUP($D374,素材!$1:$1016,COLUMN($E$1),FALSE)/(LEN(VLOOKUP($D374,素材!$1:$1016,COLUMN($F$1),FALSE))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0)+IF($CJ374&lt;&gt;"",VLOOKUP($CJ374,装強!$A$1:AI$1005,COLUMN(装強!AI$1),FALSE),0)</f>
        <v>0</v>
      </c>
      <c r="AJ374">
        <f>IF(ISNUMBER(SEARCH(SUBSTITUTE(AJ$1,RIGHT(AJ$1,2),""),VLOOKUP($D374,素材!$1:$1016,COLUMN($F$1),FALSE))),VLOOKUP($C374,武器!$1:$998,COLUMN($O$1),FALSE)*VLOOKUP($D374,素材!$1:$1016,COLUMN($E$1),FALSE)/(LEN(VLOOKUP($D374,素材!$1:$1016,COLUMN($F$1),FALSE))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0)+IF($CJ374&lt;&gt;"",VLOOKUP($CJ374,装強!$A$1:AJ$1005,COLUMN(装強!AJ$1),FALSE),0)</f>
        <v>0</v>
      </c>
      <c r="AK374">
        <f>IF(ISNUMBER(SEARCH(SUBSTITUTE(AK$1,RIGHT(AK$1,2),""),VLOOKUP($D374,素材!$1:$1016,COLUMN($F$1),FALSE))),VLOOKUP($C374,武器!$1:$998,COLUMN($O$1),FALSE)*VLOOKUP($D374,素材!$1:$1016,COLUMN($E$1),FALSE)/(LEN(VLOOKUP($D374,素材!$1:$1016,COLUMN($F$1),FALSE))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0)+IF($CJ374&lt;&gt;"",VLOOKUP($CJ374,装強!$A$1:AK$1005,COLUMN(装強!AK$1),FALSE),0)</f>
        <v>0</v>
      </c>
      <c r="AL374">
        <f>IF(ISNUMBER(SEARCH(SUBSTITUTE(AL$1,RIGHT(AL$1,2),""),VLOOKUP($D374,素材!$1:$1016,COLUMN($F$1),FALSE))),VLOOKUP($C374,武器!$1:$998,COLUMN($O$1),FALSE)*VLOOKUP($D374,素材!$1:$1016,COLUMN($E$1),FALSE)/(LEN(VLOOKUP($D374,素材!$1:$1016,COLUMN($F$1),FALSE))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0)+IF($CJ374&lt;&gt;"",VLOOKUP($CJ374,装強!$A$1:AL$1005,COLUMN(装強!AL$1),FALSE),0)</f>
        <v>0</v>
      </c>
      <c r="AM374">
        <f>IF(ISNUMBER(SEARCH(SUBSTITUTE(AM$1,RIGHT(AM$1,2),""),VLOOKUP($D374,素材!$1:$1016,COLUMN($F$1),FALSE))),VLOOKUP($C374,武器!$1:$998,COLUMN($O$1),FALSE)*VLOOKUP($D374,素材!$1:$1016,COLUMN($E$1),FALSE)/(LEN(VLOOKUP($D374,素材!$1:$1016,COLUMN($F$1),FALSE))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0)+IF($CJ374&lt;&gt;"",VLOOKUP($CJ374,装強!$A$1:AM$1005,COLUMN(装強!AM$1),FALSE),0)</f>
        <v>0</v>
      </c>
      <c r="AN374">
        <f>IF(ISNUMBER(SEARCH(SUBSTITUTE(AN$1,RIGHT(AN$1,2),""),VLOOKUP($D374,素材!$1:$1016,COLUMN($F$1),FALSE))),VLOOKUP($C374,武器!$1:$998,COLUMN($O$1),FALSE)*VLOOKUP($D374,素材!$1:$1016,COLUMN($E$1),FALSE)/(LEN(VLOOKUP($D374,素材!$1:$1016,COLUMN($F$1),FALSE))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0)+IF($CJ374&lt;&gt;"",VLOOKUP($CJ374,装強!$A$1:AN$1005,COLUMN(装強!AN$1),FALSE),0)</f>
        <v>0</v>
      </c>
      <c r="AO374">
        <f>IF(ISNUMBER(SEARCH(SUBSTITUTE(AO$1,RIGHT(AO$1,2),""),VLOOKUP($D374,素材!$1:$1016,COLUMN($F$1),FALSE))),VLOOKUP($C374,武器!$1:$998,COLUMN($O$1),FALSE)*VLOOKUP($D374,素材!$1:$1016,COLUMN($E$1),FALSE)/(LEN(VLOOKUP($D374,素材!$1:$1016,COLUMN($F$1),FALSE))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0)+IF($CJ374&lt;&gt;"",VLOOKUP($CJ374,装強!$A$1:AO$1005,COLUMN(装強!AO$1),FALSE),0)</f>
        <v>0</v>
      </c>
      <c r="AP374">
        <f>IF(ISNUMBER(SEARCH(SUBSTITUTE(AP$1,RIGHT(AP$1,2),""),VLOOKUP($D374,素材!$1:$1016,COLUMN($F$1),FALSE))),VLOOKUP($C374,武器!$1:$998,COLUMN($O$1),FALSE)*VLOOKUP($D374,素材!$1:$1016,COLUMN($E$1),FALSE)/(LEN(VLOOKUP($D374,素材!$1:$1016,COLUMN($F$1),FALSE))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0)+IF($CJ374&lt;&gt;"",VLOOKUP($CJ374,装強!$A$1:AP$1005,COLUMN(装強!AP$1),FALSE),0)</f>
        <v>0</v>
      </c>
      <c r="AQ374">
        <f>IF(ISNUMBER(SEARCH(SUBSTITUTE(AQ$1,RIGHT(AQ$1,2),""),VLOOKUP($D374,素材!$1:$1016,COLUMN($F$1),FALSE))),VLOOKUP($C374,武器!$1:$998,COLUMN($O$1),FALSE)*VLOOKUP($D374,素材!$1:$1016,COLUMN($E$1),FALSE)/(LEN(VLOOKUP($D374,素材!$1:$1016,COLUMN($F$1),FALSE))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0)+IF($CJ374&lt;&gt;"",VLOOKUP($CJ374,装強!$A$1:AQ$1005,COLUMN(装強!AQ$1),FALSE),0)</f>
        <v>0</v>
      </c>
      <c r="AR374">
        <f>IF(ISNUMBER(SEARCH(SUBSTITUTE(AR$1,RIGHT(AR$1,2),""),VLOOKUP($D374,素材!$1:$1016,COLUMN($F$1),FALSE))),VLOOKUP($C374,武器!$1:$998,COLUMN($O$1),FALSE)*VLOOKUP($D374,素材!$1:$1016,COLUMN($E$1),FALSE)/(LEN(VLOOKUP($D374,素材!$1:$1016,COLUMN($F$1),FALSE))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0)+IF($CJ374&lt;&gt;"",VLOOKUP($CJ374,装強!$A$1:AR$1005,COLUMN(装強!AR$1),FALSE),0)</f>
        <v>0</v>
      </c>
      <c r="AS374">
        <f>IF(ISNUMBER(SEARCH(SUBSTITUTE(AS$1,RIGHT(AS$1,2),""),VLOOKUP($D374,素材!$1:$1016,COLUMN($F$1),FALSE))),VLOOKUP($C374,武器!$1:$998,COLUMN($O$1),FALSE)*VLOOKUP($D374,素材!$1:$1016,COLUMN($E$1),FALSE)/(LEN(VLOOKUP($D374,素材!$1:$1016,COLUMN($F$1),FALSE))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0)+IF($CJ374&lt;&gt;"",VLOOKUP($CJ374,装強!$A$1:AS$1005,COLUMN(装強!AS$1),FALSE),0)</f>
        <v>0</v>
      </c>
      <c r="AT374">
        <f>IF(ISNUMBER(SEARCH(SUBSTITUTE(AT$1,RIGHT(AT$1,2),""),VLOOKUP($D374,素材!$1:$1016,COLUMN($F$1),FALSE))),VLOOKUP($C374,武器!$1:$998,COLUMN($O$1),FALSE)*VLOOKUP($D374,素材!$1:$1016,COLUMN($E$1),FALSE)/(LEN(VLOOKUP($D374,素材!$1:$1016,COLUMN($F$1),FALSE))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0)+IF($CJ374&lt;&gt;"",VLOOKUP($CJ374,装強!$A$1:AT$1005,COLUMN(装強!AT$1),FALSE),0)</f>
        <v>0</v>
      </c>
      <c r="AU374">
        <f>IF(ISNUMBER(SEARCH(SUBSTITUTE(AU$1,RIGHT(AU$1,2),""),VLOOKUP($D374,素材!$1:$1016,COLUMN($F$1),FALSE))),VLOOKUP($C374,武器!$1:$998,COLUMN($O$1),FALSE)*VLOOKUP($D374,素材!$1:$1016,COLUMN($E$1),FALSE)/(LEN(VLOOKUP($D374,素材!$1:$1016,COLUMN($F$1),FALSE))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0)+IF($CJ374&lt;&gt;"",VLOOKUP($CJ374,装強!$A$1:AU$1005,COLUMN(装強!AU$1),FALSE),0)</f>
        <v>0</v>
      </c>
      <c r="AV374">
        <f>IF(ISNUMBER(SEARCH(SUBSTITUTE(AV$1,RIGHT(AV$1,2),""),VLOOKUP($D374,素材!$1:$1016,COLUMN($F$1),FALSE))),VLOOKUP($C374,武器!$1:$998,COLUMN($O$1),FALSE)*VLOOKUP($D374,素材!$1:$1016,COLUMN($E$1),FALSE)/(LEN(VLOOKUP($D374,素材!$1:$1016,COLUMN($F$1),FALSE))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0)+IF($CJ374&lt;&gt;"",VLOOKUP($CJ374,装強!$A$1:AV$1005,COLUMN(装強!AV$1),FALSE),0)</f>
        <v>0</v>
      </c>
      <c r="AW374">
        <f>IF(ISNUMBER(SEARCH(SUBSTITUTE(AW$1,RIGHT(AW$1,2),""),VLOOKUP($D374,素材!$1:$1016,COLUMN($F$1),FALSE))),VLOOKUP($C374,武器!$1:$998,COLUMN($O$1),FALSE)*VLOOKUP($D374,素材!$1:$1016,COLUMN($E$1),FALSE)/(LEN(VLOOKUP($D374,素材!$1:$1016,COLUMN($F$1),FALSE))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0)+IF($CJ374&lt;&gt;"",VLOOKUP($CJ374,装強!$A$1:AW$1005,COLUMN(装強!AW$1),FALSE),0)</f>
        <v>0</v>
      </c>
      <c r="AX374">
        <f>IF(ISNUMBER(SEARCH(SUBSTITUTE(AX$1,RIGHT(AX$1,2),""),VLOOKUP($D374,素材!$1:$1016,COLUMN($F$1),FALSE))),VLOOKUP($C374,武器!$1:$998,COLUMN($O$1),FALSE)*VLOOKUP($D374,素材!$1:$1016,COLUMN($E$1),FALSE)/(LEN(VLOOKUP($D374,素材!$1:$1016,COLUMN($F$1),FALSE))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0)+IF($CJ374&lt;&gt;"",VLOOKUP($CJ374,装強!$A$1:AX$1005,COLUMN(装強!AX$1),FALSE),0)</f>
        <v>0</v>
      </c>
      <c r="AY374">
        <f>IF(ISNUMBER(SEARCH(SUBSTITUTE(AY$1,RIGHT(AY$1,2),""),VLOOKUP($D374,素材!$1:$1016,COLUMN($F$1),FALSE))),VLOOKUP($C374,武器!$1:$998,COLUMN($O$1),FALSE)*VLOOKUP($D374,素材!$1:$1016,COLUMN($E$1),FALSE)/(LEN(VLOOKUP($D374,素材!$1:$1016,COLUMN($F$1),FALSE))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0)+IF($CJ374&lt;&gt;"",VLOOKUP($CJ374,装強!$A$1:AY$1005,COLUMN(装強!AY$1),FALSE),0)</f>
        <v>0</v>
      </c>
      <c r="AZ374">
        <f>IF(ISNUMBER(SEARCH(SUBSTITUTE(AZ$1,RIGHT(AZ$1,2),""),VLOOKUP($D374,素材!$1:$1016,COLUMN($F$1),FALSE))),VLOOKUP($C374,武器!$1:$998,COLUMN($O$1),FALSE)*VLOOKUP($D374,素材!$1:$1016,COLUMN($E$1),FALSE)/(LEN(VLOOKUP($D374,素材!$1:$1016,COLUMN($F$1),FALSE))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0)+IF($CJ374&lt;&gt;"",VLOOKUP($CJ374,装強!$A$1:AZ$1005,COLUMN(装強!AZ$1),FALSE),0)</f>
        <v>0</v>
      </c>
      <c r="BA374">
        <f>IF(ISNUMBER(SEARCH(SUBSTITUTE(BA$1,RIGHT(BA$1,2),""),VLOOKUP($D374,素材!$1:$1016,COLUMN($F$1),FALSE))),VLOOKUP($C374,武器!$1:$998,COLUMN($O$1),FALSE)*VLOOKUP($D374,素材!$1:$1016,COLUMN($E$1),FALSE)/(LEN(VLOOKUP($D374,素材!$1:$1016,COLUMN($F$1),FALSE))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0)+IF($CJ374&lt;&gt;"",VLOOKUP($CJ374,装強!$A$1:BA$1005,COLUMN(装強!BA$1),FALSE),0)</f>
        <v>0</v>
      </c>
      <c r="BB374">
        <f>IF(ISNUMBER(SEARCH(SUBSTITUTE(BB$1,RIGHT(BB$1,2),""),VLOOKUP($D374,素材!$1:$1016,COLUMN($F$1),FALSE))),VLOOKUP($C374,武器!$1:$998,COLUMN($O$1),FALSE)*VLOOKUP($D374,素材!$1:$1016,COLUMN($E$1),FALSE)/(LEN(VLOOKUP($D374,素材!$1:$1016,COLUMN($F$1),FALSE))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0)+IF($CJ374&lt;&gt;"",VLOOKUP($CJ374,装強!$A$1:BB$1005,COLUMN(装強!BB$1),FALSE),0)</f>
        <v>0</v>
      </c>
      <c r="BC374">
        <f>IF(ISNUMBER(SEARCH(SUBSTITUTE(BC$1,RIGHT(BC$1,2),""),VLOOKUP($D374,素材!$1:$1016,COLUMN($F$1),FALSE))),VLOOKUP($C374,武器!$1:$998,COLUMN($O$1),FALSE)*VLOOKUP($D374,素材!$1:$1016,COLUMN($E$1),FALSE)/(LEN(VLOOKUP($D374,素材!$1:$1016,COLUMN($F$1),FALSE))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0)+IF($CJ374&lt;&gt;"",VLOOKUP($CJ374,装強!$A$1:BC$1005,COLUMN(装強!BC$1),FALSE),0)</f>
        <v>0</v>
      </c>
      <c r="BD374">
        <f>IF(ISNUMBER(SEARCH(SUBSTITUTE(BD$1,RIGHT(BD$1,2),""),VLOOKUP($D374,素材!$1:$1016,COLUMN($F$1),FALSE))),VLOOKUP($C374,武器!$1:$998,COLUMN($O$1),FALSE)*VLOOKUP($D374,素材!$1:$1016,COLUMN($E$1),FALSE)/(LEN(VLOOKUP($D374,素材!$1:$1016,COLUMN($F$1),FALSE))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0)+IF($CJ374&lt;&gt;"",VLOOKUP($CJ374,装強!$A$1:BD$1005,COLUMN(装強!BD$1),FALSE),0)</f>
        <v>0</v>
      </c>
      <c r="BE374">
        <f>IF(ISNUMBER(SEARCH(SUBSTITUTE(BE$1,RIGHT(BE$1,2),""),VLOOKUP($D374,素材!$1:$1016,COLUMN($F$1),FALSE))),VLOOKUP($C374,武器!$1:$998,COLUMN($O$1),FALSE)*VLOOKUP($D374,素材!$1:$1016,COLUMN($E$1),FALSE)/(LEN(VLOOKUP($D374,素材!$1:$1016,COLUMN($F$1),FALSE))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0)+IF($CJ374&lt;&gt;"",VLOOKUP($CJ374,装強!$A$1:BE$1005,COLUMN(装強!BE$1),FALSE),0)</f>
        <v>0</v>
      </c>
      <c r="BF374">
        <f>IF(ISNUMBER(SEARCH(SUBSTITUTE(BF$1,RIGHT(BF$1,2),""),VLOOKUP($D374,素材!$1:$1016,COLUMN($F$1),FALSE))),VLOOKUP($C374,武器!$1:$998,COLUMN($O$1),FALSE)*VLOOKUP($D374,素材!$1:$1016,COLUMN($E$1),FALSE)/(LEN(VLOOKUP($D374,素材!$1:$1016,COLUMN($F$1),FALSE)) - LEN(SUBSTITUTE(VLOOKUP($D374,素材!$1:$1016,COLUMN($F$1),FALSE), "・", 0)) + 1), 0)+IF($CJ374&lt;&gt;"",VLOOKUP($CJ374,装強!$A$1:BF$1005,COLUMN(装強!BF$1),FALSE),0)</f>
        <v>0</v>
      </c>
      <c r="CM374">
        <f t="shared" si="44"/>
        <v>0</v>
      </c>
      <c r="CN374" s="22" t="str">
        <f>IF(E374="武器",IF(J374-1&gt;SUM(G374:I374),"盾",IF(MAX(G374:I374)=G374,"切断",IF(MAX(G374:I374)=H374,"貫通",IF(MAX(G374:I374)=I374,"打撃","射撃")))),E374)&amp;".webp"</f>
        <v>.webp</v>
      </c>
      <c r="CO374" t="str">
        <f>IFERROR(VLOOKUP($C374,武器!$1:$998,COLUMN(V$1),FALSE)*VLOOKUP($D374,素材!$1:$1016,COLUMN(N$1),FALSE)+IF(CJ374="",0,VLOOKUP($CJ374,装強!$1:$1008,COLUMN($CL$1),FALSE)),"")</f>
        <v/>
      </c>
      <c r="CP374" t="e">
        <f>VLOOKUP(D374,素材!$A:$O,COLUMN(素材!O$1),FALSE)</f>
        <v>#N/A</v>
      </c>
      <c r="CQ374" t="e">
        <f>VLOOKUP(C374,武器!$A:$W,COLUMN(武器!W$1),FALSE)</f>
        <v>#N/A</v>
      </c>
      <c r="CS374" t="str">
        <f>"e_"&amp;ROW(CS374)</f>
        <v>e_374</v>
      </c>
      <c r="CT374" t="e">
        <f t="shared" si="45"/>
        <v>#VALUE!</v>
      </c>
    </row>
    <row r="375" spans="1:98" x14ac:dyDescent="0.4">
      <c r="B375" t="str">
        <f>IFERROR(VLOOKUP($D375,素材!$1:$1016,COLUMN($B$1),FALSE)&amp;"・"&amp;VLOOKUP($C375,武器!$1:$998,COLUMN(B$1),FALSE),"")</f>
        <v/>
      </c>
      <c r="D375" s="24"/>
      <c r="E375" t="str">
        <f>IFERROR(VLOOKUP(C375,武器!$1:$998,COLUMN(C$1),FALSE),"")</f>
        <v/>
      </c>
      <c r="F375" t="str">
        <f>IFERROR(ROUNDDOWN((VLOOKUP($C375,武器!$1:$998,COLUMN(D$1),FALSE)+IFERROR(VLOOKUP($CJ375,装強!$1:$999,COLUMN(F$1),FALSE),0))*VLOOKUP($D375,素材!$1:$1016,COLUMN(D$1),FALSE),0),"")</f>
        <v/>
      </c>
      <c r="G375" t="str">
        <f>IFERROR(ROUNDDOWN((VLOOKUP($C375,武器!$1:$998,COLUMN(E$1),FALSE)+IFERROR(VLOOKUP($CJ375,装強!$1:$999,COLUMN(G$1),FALSE),0))*VLOOKUP($D375,素材!$1:$1016,COLUMN($E$1),FALSE),0),"")</f>
        <v/>
      </c>
      <c r="H375" t="str">
        <f>IFERROR(ROUNDDOWN((VLOOKUP($C375,武器!$1:$998,COLUMN(F$1),FALSE)+IFERROR(VLOOKUP($CJ375,装強!$1:$999,COLUMN(H$1),FALSE),0))*VLOOKUP($D375,素材!$1:$1016,COLUMN($E$1),FALSE),0),"")</f>
        <v/>
      </c>
      <c r="I375" t="str">
        <f>IFERROR(ROUNDDOWN((VLOOKUP($C375,武器!$1:$998,COLUMN(G$1),FALSE)+IFERROR(VLOOKUP($CJ375,装強!$1:$999,COLUMN(I$1),FALSE),0))*VLOOKUP($D375,素材!$1:$1016,COLUMN($E$1),FALSE),0),"")</f>
        <v/>
      </c>
      <c r="J375" t="str">
        <f>IFERROR(ROUNDDOWN((VLOOKUP($C375,武器!$1:$998,COLUMN(H$1),FALSE)+IFERROR(VLOOKUP($CJ375,装強!$1:$999,COLUMN(J$1),FALSE),0))*VLOOKUP($D375,素材!$1:$1016,COLUMN($E$1),FALSE),0),"")</f>
        <v/>
      </c>
      <c r="K375" t="str">
        <f>IFERROR(ROUNDDOWN((VLOOKUP($C375,武器!$1:$998,COLUMN(I$1),FALSE)+IFERROR(VLOOKUP($CJ375,装強!$1:$999,COLUMN(K$1),FALSE),0))*VLOOKUP($D375,素材!$1:$1016,COLUMN($E$1),FALSE),0),"")</f>
        <v/>
      </c>
      <c r="L375" t="str">
        <f>IFERROR(VLOOKUP($D375,素材!$1:$1016,COLUMN($F$1),FALSE),"")</f>
        <v/>
      </c>
      <c r="M375" t="str">
        <f>IFERROR(VLOOKUP($C375,武器!$1:$998,COLUMN(AA$1),FALSE)*VLOOKUP($D375,素材!$1:$1016,COLUMN($G$1),FALSE),"")</f>
        <v/>
      </c>
      <c r="N375" t="str">
        <f>IFERROR(VLOOKUP($C375,武器!$1:$998,COLUMN(I$1),FALSE),"")</f>
        <v/>
      </c>
      <c r="O375" s="23" t="str">
        <f>IFERROR((VLOOKUP($C375,武器!$1:$998,COLUMN(K$1),FALSE)+VLOOKUP($D375,素材!$1:$1016,COLUMN(H$1),FALSE))*100+IFERROR(VLOOKUP($CJ375,装強!$1:$999,COLUMN(O$1),FALSE),0),"")</f>
        <v/>
      </c>
      <c r="P375" s="23" t="str">
        <f>IFERROR((VLOOKUP($C375,武器!$1:$998,COLUMN(L$1),FALSE)+VLOOKUP($D375,素材!$1:$1016,COLUMN(I$1),FALSE))*100+IFERROR(VLOOKUP($CJ375,装強!$1:$999,COLUMN(P$1),FALSE),0),"")</f>
        <v/>
      </c>
      <c r="Q375" t="str">
        <f>IFERROR(ROUNDUP(VLOOKUP($C375,武器!$1:$998,COLUMN(M$1),FALSE)*(VLOOKUP($D375,素材!$1:$1002,COLUMN(D$1),FALSE)/100),1),"")</f>
        <v/>
      </c>
      <c r="R375" t="str">
        <f>IFERROR(ROUNDUP(VLOOKUP($C375,武器!$1:$998,COLUMN(N$1),FALSE)*(VLOOKUP($D375,素材!$1:$1002,COLUMN(D$1),FALSE)/100),1),"")</f>
        <v/>
      </c>
      <c r="S375" t="str">
        <f>IFERROR(VLOOKUP($C375,武器!$1:$998,COLUMN(P$1),FALSE),"")</f>
        <v/>
      </c>
      <c r="T375" t="str">
        <f>IFERROR(VLOOKUP($C375,武器!$1:$998,COLUMN(Q$1),FALSE),"")</f>
        <v/>
      </c>
      <c r="U375" t="str">
        <f>IFERROR(VLOOKUP($C375,武器!$1:$998,COLUMN(R$1),FALSE),"")</f>
        <v/>
      </c>
      <c r="V375" t="str">
        <f>IFERROR(VLOOKUP($C375,武器!$1:$998,COLUMN(Q$1),FALSE),"")</f>
        <v/>
      </c>
      <c r="W375" t="str">
        <f>IFERROR(VLOOKUP($C375,武器!$1:$998,COLUMN(T$1),FALSE),"")</f>
        <v/>
      </c>
      <c r="Y375" t="str">
        <f>IFERROR(VLOOKUP($C375,武器!$1:$998,COLUMN(U$1),FALSE),"")</f>
        <v/>
      </c>
      <c r="Z375" t="str">
        <f>IFERROR(ROUNDUP(VLOOKUP($C375,武器!$1:$998,COLUMN(O$1),FALSE)*VLOOKUP($D375,素材!$1:$1016,COLUMN(E$1),FALSE),1),"")</f>
        <v/>
      </c>
      <c r="AA375">
        <f>IF(ISNUMBER(SEARCH(SUBSTITUTE(AA$1,RIGHT(AA$1,2),""),VLOOKUP($D375,素材!$1:$1016,COLUMN($F$1),FALSE))),VLOOKUP($C375,武器!$1:$998,COLUMN($O$1),FALSE)*VLOOKUP($D375,素材!$1:$1016,COLUMN($E$1),FALSE)/(LEN(VLOOKUP($D375,素材!$1:$1016,COLUMN($F$1),FALSE))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</f>
        <v>0</v>
      </c>
      <c r="AB375">
        <f>IF(ISNUMBER(SEARCH(SUBSTITUTE(AB$1,RIGHT(AB$1,2),""),VLOOKUP($D375,素材!$1:$1016,COLUMN($F$1),FALSE))),VLOOKUP($C375,武器!$1:$998,COLUMN($O$1),FALSE)*VLOOKUP($D375,素材!$1:$1016,COLUMN($E$1),FALSE)/(LEN(VLOOKUP($D375,素材!$1:$1016,COLUMN($F$1),FALSE))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</f>
        <v>0</v>
      </c>
      <c r="AC375">
        <f>IF(ISNUMBER(SEARCH(SUBSTITUTE(AC$1,RIGHT(AC$1,2),""),VLOOKUP($D375,素材!$1:$1016,COLUMN($F$1),FALSE))),VLOOKUP($C375,武器!$1:$998,COLUMN($O$1),FALSE)*VLOOKUP($D375,素材!$1:$1016,COLUMN($E$1),FALSE)/(LEN(VLOOKUP($D375,素材!$1:$1016,COLUMN($F$1),FALSE))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</f>
        <v>0</v>
      </c>
      <c r="AD375">
        <f>IF(ISNUMBER(SEARCH(SUBSTITUTE(AD$1,RIGHT(AD$1,2),""),VLOOKUP($D375,素材!$1:$1016,COLUMN($F$1),FALSE))),VLOOKUP($C375,武器!$1:$998,COLUMN($O$1),FALSE)*VLOOKUP($D375,素材!$1:$1016,COLUMN($E$1),FALSE)/(LEN(VLOOKUP($D375,素材!$1:$1016,COLUMN($F$1),FALSE))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</f>
        <v>0</v>
      </c>
      <c r="AE375">
        <f>IF(ISNUMBER(SEARCH(SUBSTITUTE(AE$1,RIGHT(AE$1,2),""),VLOOKUP($D375,素材!$1:$1016,COLUMN($F$1),FALSE))),VLOOKUP($C375,武器!$1:$998,COLUMN($O$1),FALSE)*VLOOKUP($D375,素材!$1:$1016,COLUMN($E$1),FALSE)/(LEN(VLOOKUP($D375,素材!$1:$1016,COLUMN($F$1),FALSE))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0)+IF($CJ375&lt;&gt;"",VLOOKUP($CJ375,装強!$A$1:AE$1005,COLUMN(装強!AE$1),FALSE),0)</f>
        <v>0</v>
      </c>
      <c r="AF375">
        <f>IF(ISNUMBER(SEARCH(SUBSTITUTE(AF$1,RIGHT(AF$1,2),""),VLOOKUP($D375,素材!$1:$1016,COLUMN($F$1),FALSE))),VLOOKUP($C375,武器!$1:$998,COLUMN($O$1),FALSE)*VLOOKUP($D375,素材!$1:$1016,COLUMN($E$1),FALSE)/(LEN(VLOOKUP($D375,素材!$1:$1016,COLUMN($F$1),FALSE))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0)+IF($CJ375&lt;&gt;"",VLOOKUP($CJ375,装強!$A$1:AF$1005,COLUMN(装強!AF$1),FALSE),0)</f>
        <v>0</v>
      </c>
      <c r="AG375">
        <f>IF(ISNUMBER(SEARCH(SUBSTITUTE(AG$1,RIGHT(AG$1,2),""),VLOOKUP($D375,素材!$1:$1016,COLUMN($F$1),FALSE))),VLOOKUP($C375,武器!$1:$998,COLUMN($O$1),FALSE)*VLOOKUP($D375,素材!$1:$1016,COLUMN($E$1),FALSE)/(LEN(VLOOKUP($D375,素材!$1:$1016,COLUMN($F$1),FALSE))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0)+IF($CJ375&lt;&gt;"",VLOOKUP($CJ375,装強!$A$1:AG$1005,COLUMN(装強!AG$1),FALSE),0)</f>
        <v>0</v>
      </c>
      <c r="AH375">
        <f>IF(ISNUMBER(SEARCH(SUBSTITUTE(AH$1,RIGHT(AH$1,2),""),VLOOKUP($D375,素材!$1:$1016,COLUMN($F$1),FALSE))),VLOOKUP($C375,武器!$1:$998,COLUMN($O$1),FALSE)*VLOOKUP($D375,素材!$1:$1016,COLUMN($E$1),FALSE)/(LEN(VLOOKUP($D375,素材!$1:$1016,COLUMN($F$1),FALSE))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0)+IF($CJ375&lt;&gt;"",VLOOKUP($CJ375,装強!$A$1:AH$1005,COLUMN(装強!AH$1),FALSE),0)</f>
        <v>0</v>
      </c>
      <c r="AI375">
        <f>IF(ISNUMBER(SEARCH(SUBSTITUTE(AI$1,RIGHT(AI$1,2),""),VLOOKUP($D375,素材!$1:$1016,COLUMN($F$1),FALSE))),VLOOKUP($C375,武器!$1:$998,COLUMN($O$1),FALSE)*VLOOKUP($D375,素材!$1:$1016,COLUMN($E$1),FALSE)/(LEN(VLOOKUP($D375,素材!$1:$1016,COLUMN($F$1),FALSE))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0)+IF($CJ375&lt;&gt;"",VLOOKUP($CJ375,装強!$A$1:AI$1005,COLUMN(装強!AI$1),FALSE),0)</f>
        <v>0</v>
      </c>
      <c r="AJ375">
        <f>IF(ISNUMBER(SEARCH(SUBSTITUTE(AJ$1,RIGHT(AJ$1,2),""),VLOOKUP($D375,素材!$1:$1016,COLUMN($F$1),FALSE))),VLOOKUP($C375,武器!$1:$998,COLUMN($O$1),FALSE)*VLOOKUP($D375,素材!$1:$1016,COLUMN($E$1),FALSE)/(LEN(VLOOKUP($D375,素材!$1:$1016,COLUMN($F$1),FALSE))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0)+IF($CJ375&lt;&gt;"",VLOOKUP($CJ375,装強!$A$1:AJ$1005,COLUMN(装強!AJ$1),FALSE),0)</f>
        <v>0</v>
      </c>
      <c r="AK375">
        <f>IF(ISNUMBER(SEARCH(SUBSTITUTE(AK$1,RIGHT(AK$1,2),""),VLOOKUP($D375,素材!$1:$1016,COLUMN($F$1),FALSE))),VLOOKUP($C375,武器!$1:$998,COLUMN($O$1),FALSE)*VLOOKUP($D375,素材!$1:$1016,COLUMN($E$1),FALSE)/(LEN(VLOOKUP($D375,素材!$1:$1016,COLUMN($F$1),FALSE))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0)+IF($CJ375&lt;&gt;"",VLOOKUP($CJ375,装強!$A$1:AK$1005,COLUMN(装強!AK$1),FALSE),0)</f>
        <v>0</v>
      </c>
      <c r="AL375">
        <f>IF(ISNUMBER(SEARCH(SUBSTITUTE(AL$1,RIGHT(AL$1,2),""),VLOOKUP($D375,素材!$1:$1016,COLUMN($F$1),FALSE))),VLOOKUP($C375,武器!$1:$998,COLUMN($O$1),FALSE)*VLOOKUP($D375,素材!$1:$1016,COLUMN($E$1),FALSE)/(LEN(VLOOKUP($D375,素材!$1:$1016,COLUMN($F$1),FALSE))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0)+IF($CJ375&lt;&gt;"",VLOOKUP($CJ375,装強!$A$1:AL$1005,COLUMN(装強!AL$1),FALSE),0)</f>
        <v>0</v>
      </c>
      <c r="AM375">
        <f>IF(ISNUMBER(SEARCH(SUBSTITUTE(AM$1,RIGHT(AM$1,2),""),VLOOKUP($D375,素材!$1:$1016,COLUMN($F$1),FALSE))),VLOOKUP($C375,武器!$1:$998,COLUMN($O$1),FALSE)*VLOOKUP($D375,素材!$1:$1016,COLUMN($E$1),FALSE)/(LEN(VLOOKUP($D375,素材!$1:$1016,COLUMN($F$1),FALSE))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0)+IF($CJ375&lt;&gt;"",VLOOKUP($CJ375,装強!$A$1:AM$1005,COLUMN(装強!AM$1),FALSE),0)</f>
        <v>0</v>
      </c>
      <c r="AN375">
        <f>IF(ISNUMBER(SEARCH(SUBSTITUTE(AN$1,RIGHT(AN$1,2),""),VLOOKUP($D375,素材!$1:$1016,COLUMN($F$1),FALSE))),VLOOKUP($C375,武器!$1:$998,COLUMN($O$1),FALSE)*VLOOKUP($D375,素材!$1:$1016,COLUMN($E$1),FALSE)/(LEN(VLOOKUP($D375,素材!$1:$1016,COLUMN($F$1),FALSE))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0)+IF($CJ375&lt;&gt;"",VLOOKUP($CJ375,装強!$A$1:AN$1005,COLUMN(装強!AN$1),FALSE),0)</f>
        <v>0</v>
      </c>
      <c r="AO375">
        <f>IF(ISNUMBER(SEARCH(SUBSTITUTE(AO$1,RIGHT(AO$1,2),""),VLOOKUP($D375,素材!$1:$1016,COLUMN($F$1),FALSE))),VLOOKUP($C375,武器!$1:$998,COLUMN($O$1),FALSE)*VLOOKUP($D375,素材!$1:$1016,COLUMN($E$1),FALSE)/(LEN(VLOOKUP($D375,素材!$1:$1016,COLUMN($F$1),FALSE))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0)+IF($CJ375&lt;&gt;"",VLOOKUP($CJ375,装強!$A$1:AO$1005,COLUMN(装強!AO$1),FALSE),0)</f>
        <v>0</v>
      </c>
      <c r="AP375">
        <f>IF(ISNUMBER(SEARCH(SUBSTITUTE(AP$1,RIGHT(AP$1,2),""),VLOOKUP($D375,素材!$1:$1016,COLUMN($F$1),FALSE))),VLOOKUP($C375,武器!$1:$998,COLUMN($O$1),FALSE)*VLOOKUP($D375,素材!$1:$1016,COLUMN($E$1),FALSE)/(LEN(VLOOKUP($D375,素材!$1:$1016,COLUMN($F$1),FALSE))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0)+IF($CJ375&lt;&gt;"",VLOOKUP($CJ375,装強!$A$1:AP$1005,COLUMN(装強!AP$1),FALSE),0)</f>
        <v>0</v>
      </c>
      <c r="AQ375">
        <f>IF(ISNUMBER(SEARCH(SUBSTITUTE(AQ$1,RIGHT(AQ$1,2),""),VLOOKUP($D375,素材!$1:$1016,COLUMN($F$1),FALSE))),VLOOKUP($C375,武器!$1:$998,COLUMN($O$1),FALSE)*VLOOKUP($D375,素材!$1:$1016,COLUMN($E$1),FALSE)/(LEN(VLOOKUP($D375,素材!$1:$1016,COLUMN($F$1),FALSE))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0)+IF($CJ375&lt;&gt;"",VLOOKUP($CJ375,装強!$A$1:AQ$1005,COLUMN(装強!AQ$1),FALSE),0)</f>
        <v>0</v>
      </c>
      <c r="AR375">
        <f>IF(ISNUMBER(SEARCH(SUBSTITUTE(AR$1,RIGHT(AR$1,2),""),VLOOKUP($D375,素材!$1:$1016,COLUMN($F$1),FALSE))),VLOOKUP($C375,武器!$1:$998,COLUMN($O$1),FALSE)*VLOOKUP($D375,素材!$1:$1016,COLUMN($E$1),FALSE)/(LEN(VLOOKUP($D375,素材!$1:$1016,COLUMN($F$1),FALSE))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0)+IF($CJ375&lt;&gt;"",VLOOKUP($CJ375,装強!$A$1:AR$1005,COLUMN(装強!AR$1),FALSE),0)</f>
        <v>0</v>
      </c>
      <c r="AS375">
        <f>IF(ISNUMBER(SEARCH(SUBSTITUTE(AS$1,RIGHT(AS$1,2),""),VLOOKUP($D375,素材!$1:$1016,COLUMN($F$1),FALSE))),VLOOKUP($C375,武器!$1:$998,COLUMN($O$1),FALSE)*VLOOKUP($D375,素材!$1:$1016,COLUMN($E$1),FALSE)/(LEN(VLOOKUP($D375,素材!$1:$1016,COLUMN($F$1),FALSE))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0)+IF($CJ375&lt;&gt;"",VLOOKUP($CJ375,装強!$A$1:AS$1005,COLUMN(装強!AS$1),FALSE),0)</f>
        <v>0</v>
      </c>
      <c r="AT375">
        <f>IF(ISNUMBER(SEARCH(SUBSTITUTE(AT$1,RIGHT(AT$1,2),""),VLOOKUP($D375,素材!$1:$1016,COLUMN($F$1),FALSE))),VLOOKUP($C375,武器!$1:$998,COLUMN($O$1),FALSE)*VLOOKUP($D375,素材!$1:$1016,COLUMN($E$1),FALSE)/(LEN(VLOOKUP($D375,素材!$1:$1016,COLUMN($F$1),FALSE))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0)+IF($CJ375&lt;&gt;"",VLOOKUP($CJ375,装強!$A$1:AT$1005,COLUMN(装強!AT$1),FALSE),0)</f>
        <v>0</v>
      </c>
      <c r="AU375">
        <f>IF(ISNUMBER(SEARCH(SUBSTITUTE(AU$1,RIGHT(AU$1,2),""),VLOOKUP($D375,素材!$1:$1016,COLUMN($F$1),FALSE))),VLOOKUP($C375,武器!$1:$998,COLUMN($O$1),FALSE)*VLOOKUP($D375,素材!$1:$1016,COLUMN($E$1),FALSE)/(LEN(VLOOKUP($D375,素材!$1:$1016,COLUMN($F$1),FALSE))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0)+IF($CJ375&lt;&gt;"",VLOOKUP($CJ375,装強!$A$1:AU$1005,COLUMN(装強!AU$1),FALSE),0)</f>
        <v>0</v>
      </c>
      <c r="AV375">
        <f>IF(ISNUMBER(SEARCH(SUBSTITUTE(AV$1,RIGHT(AV$1,2),""),VLOOKUP($D375,素材!$1:$1016,COLUMN($F$1),FALSE))),VLOOKUP($C375,武器!$1:$998,COLUMN($O$1),FALSE)*VLOOKUP($D375,素材!$1:$1016,COLUMN($E$1),FALSE)/(LEN(VLOOKUP($D375,素材!$1:$1016,COLUMN($F$1),FALSE))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0)+IF($CJ375&lt;&gt;"",VLOOKUP($CJ375,装強!$A$1:AV$1005,COLUMN(装強!AV$1),FALSE),0)</f>
        <v>0</v>
      </c>
      <c r="AW375">
        <f>IF(ISNUMBER(SEARCH(SUBSTITUTE(AW$1,RIGHT(AW$1,2),""),VLOOKUP($D375,素材!$1:$1016,COLUMN($F$1),FALSE))),VLOOKUP($C375,武器!$1:$998,COLUMN($O$1),FALSE)*VLOOKUP($D375,素材!$1:$1016,COLUMN($E$1),FALSE)/(LEN(VLOOKUP($D375,素材!$1:$1016,COLUMN($F$1),FALSE))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0)+IF($CJ375&lt;&gt;"",VLOOKUP($CJ375,装強!$A$1:AW$1005,COLUMN(装強!AW$1),FALSE),0)</f>
        <v>0</v>
      </c>
      <c r="AX375">
        <f>IF(ISNUMBER(SEARCH(SUBSTITUTE(AX$1,RIGHT(AX$1,2),""),VLOOKUP($D375,素材!$1:$1016,COLUMN($F$1),FALSE))),VLOOKUP($C375,武器!$1:$998,COLUMN($O$1),FALSE)*VLOOKUP($D375,素材!$1:$1016,COLUMN($E$1),FALSE)/(LEN(VLOOKUP($D375,素材!$1:$1016,COLUMN($F$1),FALSE))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0)+IF($CJ375&lt;&gt;"",VLOOKUP($CJ375,装強!$A$1:AX$1005,COLUMN(装強!AX$1),FALSE),0)</f>
        <v>0</v>
      </c>
      <c r="AY375">
        <f>IF(ISNUMBER(SEARCH(SUBSTITUTE(AY$1,RIGHT(AY$1,2),""),VLOOKUP($D375,素材!$1:$1016,COLUMN($F$1),FALSE))),VLOOKUP($C375,武器!$1:$998,COLUMN($O$1),FALSE)*VLOOKUP($D375,素材!$1:$1016,COLUMN($E$1),FALSE)/(LEN(VLOOKUP($D375,素材!$1:$1016,COLUMN($F$1),FALSE))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0)+IF($CJ375&lt;&gt;"",VLOOKUP($CJ375,装強!$A$1:AY$1005,COLUMN(装強!AY$1),FALSE),0)</f>
        <v>0</v>
      </c>
      <c r="AZ375">
        <f>IF(ISNUMBER(SEARCH(SUBSTITUTE(AZ$1,RIGHT(AZ$1,2),""),VLOOKUP($D375,素材!$1:$1016,COLUMN($F$1),FALSE))),VLOOKUP($C375,武器!$1:$998,COLUMN($O$1),FALSE)*VLOOKUP($D375,素材!$1:$1016,COLUMN($E$1),FALSE)/(LEN(VLOOKUP($D375,素材!$1:$1016,COLUMN($F$1),FALSE))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0)+IF($CJ375&lt;&gt;"",VLOOKUP($CJ375,装強!$A$1:AZ$1005,COLUMN(装強!AZ$1),FALSE),0)</f>
        <v>0</v>
      </c>
      <c r="BA375">
        <f>IF(ISNUMBER(SEARCH(SUBSTITUTE(BA$1,RIGHT(BA$1,2),""),VLOOKUP($D375,素材!$1:$1016,COLUMN($F$1),FALSE))),VLOOKUP($C375,武器!$1:$998,COLUMN($O$1),FALSE)*VLOOKUP($D375,素材!$1:$1016,COLUMN($E$1),FALSE)/(LEN(VLOOKUP($D375,素材!$1:$1016,COLUMN($F$1),FALSE))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0)+IF($CJ375&lt;&gt;"",VLOOKUP($CJ375,装強!$A$1:BA$1005,COLUMN(装強!BA$1),FALSE),0)</f>
        <v>0</v>
      </c>
      <c r="BB375">
        <f>IF(ISNUMBER(SEARCH(SUBSTITUTE(BB$1,RIGHT(BB$1,2),""),VLOOKUP($D375,素材!$1:$1016,COLUMN($F$1),FALSE))),VLOOKUP($C375,武器!$1:$998,COLUMN($O$1),FALSE)*VLOOKUP($D375,素材!$1:$1016,COLUMN($E$1),FALSE)/(LEN(VLOOKUP($D375,素材!$1:$1016,COLUMN($F$1),FALSE))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0)+IF($CJ375&lt;&gt;"",VLOOKUP($CJ375,装強!$A$1:BB$1005,COLUMN(装強!BB$1),FALSE),0)</f>
        <v>0</v>
      </c>
      <c r="BC375">
        <f>IF(ISNUMBER(SEARCH(SUBSTITUTE(BC$1,RIGHT(BC$1,2),""),VLOOKUP($D375,素材!$1:$1016,COLUMN($F$1),FALSE))),VLOOKUP($C375,武器!$1:$998,COLUMN($O$1),FALSE)*VLOOKUP($D375,素材!$1:$1016,COLUMN($E$1),FALSE)/(LEN(VLOOKUP($D375,素材!$1:$1016,COLUMN($F$1),FALSE))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0)+IF($CJ375&lt;&gt;"",VLOOKUP($CJ375,装強!$A$1:BC$1005,COLUMN(装強!BC$1),FALSE),0)</f>
        <v>0</v>
      </c>
      <c r="BD375">
        <f>IF(ISNUMBER(SEARCH(SUBSTITUTE(BD$1,RIGHT(BD$1,2),""),VLOOKUP($D375,素材!$1:$1016,COLUMN($F$1),FALSE))),VLOOKUP($C375,武器!$1:$998,COLUMN($O$1),FALSE)*VLOOKUP($D375,素材!$1:$1016,COLUMN($E$1),FALSE)/(LEN(VLOOKUP($D375,素材!$1:$1016,COLUMN($F$1),FALSE))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0)+IF($CJ375&lt;&gt;"",VLOOKUP($CJ375,装強!$A$1:BD$1005,COLUMN(装強!BD$1),FALSE),0)</f>
        <v>0</v>
      </c>
      <c r="BE375">
        <f>IF(ISNUMBER(SEARCH(SUBSTITUTE(BE$1,RIGHT(BE$1,2),""),VLOOKUP($D375,素材!$1:$1016,COLUMN($F$1),FALSE))),VLOOKUP($C375,武器!$1:$998,COLUMN($O$1),FALSE)*VLOOKUP($D375,素材!$1:$1016,COLUMN($E$1),FALSE)/(LEN(VLOOKUP($D375,素材!$1:$1016,COLUMN($F$1),FALSE))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0)+IF($CJ375&lt;&gt;"",VLOOKUP($CJ375,装強!$A$1:BE$1005,COLUMN(装強!BE$1),FALSE),0)</f>
        <v>0</v>
      </c>
      <c r="BF375">
        <f>IF(ISNUMBER(SEARCH(SUBSTITUTE(BF$1,RIGHT(BF$1,2),""),VLOOKUP($D375,素材!$1:$1016,COLUMN($F$1),FALSE))),VLOOKUP($C375,武器!$1:$998,COLUMN($O$1),FALSE)*VLOOKUP($D375,素材!$1:$1016,COLUMN($E$1),FALSE)/(LEN(VLOOKUP($D375,素材!$1:$1016,COLUMN($F$1),FALSE)) - LEN(SUBSTITUTE(VLOOKUP($D375,素材!$1:$1016,COLUMN($F$1),FALSE), "・", 0)) + 1), 0)+IF($CJ375&lt;&gt;"",VLOOKUP($CJ375,装強!$A$1:BF$1005,COLUMN(装強!BF$1),FALSE),0)</f>
        <v>0</v>
      </c>
      <c r="CM375">
        <f t="shared" si="44"/>
        <v>0</v>
      </c>
      <c r="CN375" s="22" t="str">
        <f>IF(E375="武器",IF(J375-1&gt;SUM(G375:I375),"盾",IF(MAX(G375:I375)=G375,"切断",IF(MAX(G375:I375)=H375,"貫通",IF(MAX(G375:I375)=I375,"打撃","射撃")))),E375)&amp;".webp"</f>
        <v>.webp</v>
      </c>
      <c r="CO375" t="str">
        <f>IFERROR(VLOOKUP($C375,武器!$1:$998,COLUMN(V$1),FALSE)*VLOOKUP($D375,素材!$1:$1016,COLUMN(N$1),FALSE)+IF(CJ375="",0,VLOOKUP($CJ375,装強!$1:$1008,COLUMN($CL$1),FALSE)),"")</f>
        <v/>
      </c>
      <c r="CP375" t="e">
        <f>VLOOKUP(D375,素材!$A:$O,COLUMN(素材!O$1),FALSE)</f>
        <v>#N/A</v>
      </c>
      <c r="CQ375" t="e">
        <f>VLOOKUP(C375,武器!$A:$W,COLUMN(武器!W$1),FALSE)</f>
        <v>#N/A</v>
      </c>
      <c r="CS375" t="str">
        <f>"e_"&amp;ROW(CS375)</f>
        <v>e_375</v>
      </c>
      <c r="CT375" t="e">
        <f t="shared" si="45"/>
        <v>#VALUE!</v>
      </c>
    </row>
    <row r="376" spans="1:98" x14ac:dyDescent="0.4">
      <c r="B376" t="str">
        <f>IFERROR(VLOOKUP($D376,素材!$1:$1016,COLUMN($B$1),FALSE)&amp;"・"&amp;VLOOKUP($C376,武器!$1:$998,COLUMN(B$1),FALSE),"")</f>
        <v/>
      </c>
      <c r="D376" s="24"/>
      <c r="E376" t="str">
        <f>IFERROR(VLOOKUP(C376,武器!$1:$998,COLUMN(C$1),FALSE),"")</f>
        <v/>
      </c>
      <c r="F376" t="str">
        <f>IFERROR(ROUNDDOWN((VLOOKUP($C376,武器!$1:$998,COLUMN(D$1),FALSE)+IFERROR(VLOOKUP($CJ376,装強!$1:$999,COLUMN(F$1),FALSE),0))*VLOOKUP($D376,素材!$1:$1016,COLUMN(D$1),FALSE),0),"")</f>
        <v/>
      </c>
      <c r="G376" t="str">
        <f>IFERROR(ROUNDDOWN((VLOOKUP($C376,武器!$1:$998,COLUMN(E$1),FALSE)+IFERROR(VLOOKUP($CJ376,装強!$1:$999,COLUMN(G$1),FALSE),0))*VLOOKUP($D376,素材!$1:$1016,COLUMN($E$1),FALSE),0),"")</f>
        <v/>
      </c>
      <c r="H376" t="str">
        <f>IFERROR(ROUNDDOWN((VLOOKUP($C376,武器!$1:$998,COLUMN(F$1),FALSE)+IFERROR(VLOOKUP($CJ376,装強!$1:$999,COLUMN(H$1),FALSE),0))*VLOOKUP($D376,素材!$1:$1016,COLUMN($E$1),FALSE),0),"")</f>
        <v/>
      </c>
      <c r="I376" t="str">
        <f>IFERROR(ROUNDDOWN((VLOOKUP($C376,武器!$1:$998,COLUMN(G$1),FALSE)+IFERROR(VLOOKUP($CJ376,装強!$1:$999,COLUMN(I$1),FALSE),0))*VLOOKUP($D376,素材!$1:$1016,COLUMN($E$1),FALSE),0),"")</f>
        <v/>
      </c>
      <c r="J376" t="str">
        <f>IFERROR(ROUNDDOWN((VLOOKUP($C376,武器!$1:$998,COLUMN(H$1),FALSE)+IFERROR(VLOOKUP($CJ376,装強!$1:$999,COLUMN(J$1),FALSE),0))*VLOOKUP($D376,素材!$1:$1016,COLUMN($E$1),FALSE),0),"")</f>
        <v/>
      </c>
      <c r="K376" t="str">
        <f>IFERROR(ROUNDDOWN((VLOOKUP($C376,武器!$1:$998,COLUMN(I$1),FALSE)+IFERROR(VLOOKUP($CJ376,装強!$1:$999,COLUMN(K$1),FALSE),0))*VLOOKUP($D376,素材!$1:$1016,COLUMN($E$1),FALSE),0),"")</f>
        <v/>
      </c>
      <c r="L376" t="str">
        <f>IFERROR(VLOOKUP($D376,素材!$1:$1016,COLUMN($F$1),FALSE),"")</f>
        <v/>
      </c>
      <c r="M376" t="str">
        <f>IFERROR(VLOOKUP($C376,武器!$1:$998,COLUMN(AA$1),FALSE)*VLOOKUP($D376,素材!$1:$1016,COLUMN($G$1),FALSE),"")</f>
        <v/>
      </c>
      <c r="N376" t="str">
        <f>IFERROR(VLOOKUP($C376,武器!$1:$998,COLUMN(I$1),FALSE),"")</f>
        <v/>
      </c>
      <c r="O376" s="23" t="str">
        <f>IFERROR((VLOOKUP($C376,武器!$1:$998,COLUMN(K$1),FALSE)+VLOOKUP($D376,素材!$1:$1016,COLUMN(H$1),FALSE))*100+IFERROR(VLOOKUP($CJ376,装強!$1:$999,COLUMN(O$1),FALSE),0),"")</f>
        <v/>
      </c>
      <c r="P376" s="23" t="str">
        <f>IFERROR((VLOOKUP($C376,武器!$1:$998,COLUMN(L$1),FALSE)+VLOOKUP($D376,素材!$1:$1016,COLUMN(I$1),FALSE))*100+IFERROR(VLOOKUP($CJ376,装強!$1:$999,COLUMN(P$1),FALSE),0),"")</f>
        <v/>
      </c>
      <c r="Q376" t="str">
        <f>IFERROR(ROUNDUP(VLOOKUP($C376,武器!$1:$998,COLUMN(M$1),FALSE)*(VLOOKUP($D376,素材!$1:$1002,COLUMN(D$1),FALSE)/100),1),"")</f>
        <v/>
      </c>
      <c r="R376" t="str">
        <f>IFERROR(ROUNDUP(VLOOKUP($C376,武器!$1:$998,COLUMN(N$1),FALSE)*(VLOOKUP($D376,素材!$1:$1002,COLUMN(D$1),FALSE)/100),1),"")</f>
        <v/>
      </c>
      <c r="S376" t="str">
        <f>IFERROR(VLOOKUP($C376,武器!$1:$998,COLUMN(P$1),FALSE),"")</f>
        <v/>
      </c>
      <c r="T376" t="str">
        <f>IFERROR(VLOOKUP($C376,武器!$1:$998,COLUMN(Q$1),FALSE),"")</f>
        <v/>
      </c>
      <c r="U376" t="str">
        <f>IFERROR(VLOOKUP($C376,武器!$1:$998,COLUMN(R$1),FALSE),"")</f>
        <v/>
      </c>
      <c r="V376" t="str">
        <f>IFERROR(VLOOKUP($C376,武器!$1:$998,COLUMN(Q$1),FALSE),"")</f>
        <v/>
      </c>
      <c r="W376" t="str">
        <f>IFERROR(VLOOKUP($C376,武器!$1:$998,COLUMN(T$1),FALSE),"")</f>
        <v/>
      </c>
      <c r="Y376" t="str">
        <f>IFERROR(VLOOKUP($C376,武器!$1:$998,COLUMN(U$1),FALSE),"")</f>
        <v/>
      </c>
      <c r="Z376" t="str">
        <f>IFERROR(ROUNDUP(VLOOKUP($C376,武器!$1:$998,COLUMN(O$1),FALSE)*VLOOKUP($D376,素材!$1:$1016,COLUMN(E$1),FALSE),1),"")</f>
        <v/>
      </c>
      <c r="AA376">
        <f>IF(ISNUMBER(SEARCH(SUBSTITUTE(AA$1,RIGHT(AA$1,2),""),VLOOKUP($D376,素材!$1:$1016,COLUMN($F$1),FALSE))),VLOOKUP($C376,武器!$1:$998,COLUMN($O$1),FALSE)*VLOOKUP($D376,素材!$1:$1016,COLUMN($E$1),FALSE)/(LEN(VLOOKUP($D376,素材!$1:$1016,COLUMN($F$1),FALSE))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</f>
        <v>0</v>
      </c>
      <c r="AB376">
        <f>IF(ISNUMBER(SEARCH(SUBSTITUTE(AB$1,RIGHT(AB$1,2),""),VLOOKUP($D376,素材!$1:$1016,COLUMN($F$1),FALSE))),VLOOKUP($C376,武器!$1:$998,COLUMN($O$1),FALSE)*VLOOKUP($D376,素材!$1:$1016,COLUMN($E$1),FALSE)/(LEN(VLOOKUP($D376,素材!$1:$1016,COLUMN($F$1),FALSE))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</f>
        <v>0</v>
      </c>
      <c r="AC376">
        <f>IF(ISNUMBER(SEARCH(SUBSTITUTE(AC$1,RIGHT(AC$1,2),""),VLOOKUP($D376,素材!$1:$1016,COLUMN($F$1),FALSE))),VLOOKUP($C376,武器!$1:$998,COLUMN($O$1),FALSE)*VLOOKUP($D376,素材!$1:$1016,COLUMN($E$1),FALSE)/(LEN(VLOOKUP($D376,素材!$1:$1016,COLUMN($F$1),FALSE))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</f>
        <v>0</v>
      </c>
      <c r="AD376">
        <f>IF(ISNUMBER(SEARCH(SUBSTITUTE(AD$1,RIGHT(AD$1,2),""),VLOOKUP($D376,素材!$1:$1016,COLUMN($F$1),FALSE))),VLOOKUP($C376,武器!$1:$998,COLUMN($O$1),FALSE)*VLOOKUP($D376,素材!$1:$1016,COLUMN($E$1),FALSE)/(LEN(VLOOKUP($D376,素材!$1:$1016,COLUMN($F$1),FALSE))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</f>
        <v>0</v>
      </c>
      <c r="AE376">
        <f>IF(ISNUMBER(SEARCH(SUBSTITUTE(AE$1,RIGHT(AE$1,2),""),VLOOKUP($D376,素材!$1:$1016,COLUMN($F$1),FALSE))),VLOOKUP($C376,武器!$1:$998,COLUMN($O$1),FALSE)*VLOOKUP($D376,素材!$1:$1016,COLUMN($E$1),FALSE)/(LEN(VLOOKUP($D376,素材!$1:$1016,COLUMN($F$1),FALSE))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0)+IF($CJ376&lt;&gt;"",VLOOKUP($CJ376,装強!$A$1:AE$1005,COLUMN(装強!AE$1),FALSE),0)</f>
        <v>0</v>
      </c>
      <c r="AF376">
        <f>IF(ISNUMBER(SEARCH(SUBSTITUTE(AF$1,RIGHT(AF$1,2),""),VLOOKUP($D376,素材!$1:$1016,COLUMN($F$1),FALSE))),VLOOKUP($C376,武器!$1:$998,COLUMN($O$1),FALSE)*VLOOKUP($D376,素材!$1:$1016,COLUMN($E$1),FALSE)/(LEN(VLOOKUP($D376,素材!$1:$1016,COLUMN($F$1),FALSE))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0)+IF($CJ376&lt;&gt;"",VLOOKUP($CJ376,装強!$A$1:AF$1005,COLUMN(装強!AF$1),FALSE),0)</f>
        <v>0</v>
      </c>
      <c r="AG376">
        <f>IF(ISNUMBER(SEARCH(SUBSTITUTE(AG$1,RIGHT(AG$1,2),""),VLOOKUP($D376,素材!$1:$1016,COLUMN($F$1),FALSE))),VLOOKUP($C376,武器!$1:$998,COLUMN($O$1),FALSE)*VLOOKUP($D376,素材!$1:$1016,COLUMN($E$1),FALSE)/(LEN(VLOOKUP($D376,素材!$1:$1016,COLUMN($F$1),FALSE))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0)+IF($CJ376&lt;&gt;"",VLOOKUP($CJ376,装強!$A$1:AG$1005,COLUMN(装強!AG$1),FALSE),0)</f>
        <v>0</v>
      </c>
      <c r="AH376">
        <f>IF(ISNUMBER(SEARCH(SUBSTITUTE(AH$1,RIGHT(AH$1,2),""),VLOOKUP($D376,素材!$1:$1016,COLUMN($F$1),FALSE))),VLOOKUP($C376,武器!$1:$998,COLUMN($O$1),FALSE)*VLOOKUP($D376,素材!$1:$1016,COLUMN($E$1),FALSE)/(LEN(VLOOKUP($D376,素材!$1:$1016,COLUMN($F$1),FALSE))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0)+IF($CJ376&lt;&gt;"",VLOOKUP($CJ376,装強!$A$1:AH$1005,COLUMN(装強!AH$1),FALSE),0)</f>
        <v>0</v>
      </c>
      <c r="AI376">
        <f>IF(ISNUMBER(SEARCH(SUBSTITUTE(AI$1,RIGHT(AI$1,2),""),VLOOKUP($D376,素材!$1:$1016,COLUMN($F$1),FALSE))),VLOOKUP($C376,武器!$1:$998,COLUMN($O$1),FALSE)*VLOOKUP($D376,素材!$1:$1016,COLUMN($E$1),FALSE)/(LEN(VLOOKUP($D376,素材!$1:$1016,COLUMN($F$1),FALSE))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0)+IF($CJ376&lt;&gt;"",VLOOKUP($CJ376,装強!$A$1:AI$1005,COLUMN(装強!AI$1),FALSE),0)</f>
        <v>0</v>
      </c>
      <c r="AJ376">
        <f>IF(ISNUMBER(SEARCH(SUBSTITUTE(AJ$1,RIGHT(AJ$1,2),""),VLOOKUP($D376,素材!$1:$1016,COLUMN($F$1),FALSE))),VLOOKUP($C376,武器!$1:$998,COLUMN($O$1),FALSE)*VLOOKUP($D376,素材!$1:$1016,COLUMN($E$1),FALSE)/(LEN(VLOOKUP($D376,素材!$1:$1016,COLUMN($F$1),FALSE))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0)+IF($CJ376&lt;&gt;"",VLOOKUP($CJ376,装強!$A$1:AJ$1005,COLUMN(装強!AJ$1),FALSE),0)</f>
        <v>0</v>
      </c>
      <c r="AK376">
        <f>IF(ISNUMBER(SEARCH(SUBSTITUTE(AK$1,RIGHT(AK$1,2),""),VLOOKUP($D376,素材!$1:$1016,COLUMN($F$1),FALSE))),VLOOKUP($C376,武器!$1:$998,COLUMN($O$1),FALSE)*VLOOKUP($D376,素材!$1:$1016,COLUMN($E$1),FALSE)/(LEN(VLOOKUP($D376,素材!$1:$1016,COLUMN($F$1),FALSE))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0)+IF($CJ376&lt;&gt;"",VLOOKUP($CJ376,装強!$A$1:AK$1005,COLUMN(装強!AK$1),FALSE),0)</f>
        <v>0</v>
      </c>
      <c r="AL376">
        <f>IF(ISNUMBER(SEARCH(SUBSTITUTE(AL$1,RIGHT(AL$1,2),""),VLOOKUP($D376,素材!$1:$1016,COLUMN($F$1),FALSE))),VLOOKUP($C376,武器!$1:$998,COLUMN($O$1),FALSE)*VLOOKUP($D376,素材!$1:$1016,COLUMN($E$1),FALSE)/(LEN(VLOOKUP($D376,素材!$1:$1016,COLUMN($F$1),FALSE))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0)+IF($CJ376&lt;&gt;"",VLOOKUP($CJ376,装強!$A$1:AL$1005,COLUMN(装強!AL$1),FALSE),0)</f>
        <v>0</v>
      </c>
      <c r="AM376">
        <f>IF(ISNUMBER(SEARCH(SUBSTITUTE(AM$1,RIGHT(AM$1,2),""),VLOOKUP($D376,素材!$1:$1016,COLUMN($F$1),FALSE))),VLOOKUP($C376,武器!$1:$998,COLUMN($O$1),FALSE)*VLOOKUP($D376,素材!$1:$1016,COLUMN($E$1),FALSE)/(LEN(VLOOKUP($D376,素材!$1:$1016,COLUMN($F$1),FALSE))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0)+IF($CJ376&lt;&gt;"",VLOOKUP($CJ376,装強!$A$1:AM$1005,COLUMN(装強!AM$1),FALSE),0)</f>
        <v>0</v>
      </c>
      <c r="AN376">
        <f>IF(ISNUMBER(SEARCH(SUBSTITUTE(AN$1,RIGHT(AN$1,2),""),VLOOKUP($D376,素材!$1:$1016,COLUMN($F$1),FALSE))),VLOOKUP($C376,武器!$1:$998,COLUMN($O$1),FALSE)*VLOOKUP($D376,素材!$1:$1016,COLUMN($E$1),FALSE)/(LEN(VLOOKUP($D376,素材!$1:$1016,COLUMN($F$1),FALSE))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0)+IF($CJ376&lt;&gt;"",VLOOKUP($CJ376,装強!$A$1:AN$1005,COLUMN(装強!AN$1),FALSE),0)</f>
        <v>0</v>
      </c>
      <c r="AO376">
        <f>IF(ISNUMBER(SEARCH(SUBSTITUTE(AO$1,RIGHT(AO$1,2),""),VLOOKUP($D376,素材!$1:$1016,COLUMN($F$1),FALSE))),VLOOKUP($C376,武器!$1:$998,COLUMN($O$1),FALSE)*VLOOKUP($D376,素材!$1:$1016,COLUMN($E$1),FALSE)/(LEN(VLOOKUP($D376,素材!$1:$1016,COLUMN($F$1),FALSE))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0)+IF($CJ376&lt;&gt;"",VLOOKUP($CJ376,装強!$A$1:AO$1005,COLUMN(装強!AO$1),FALSE),0)</f>
        <v>0</v>
      </c>
      <c r="AP376">
        <f>IF(ISNUMBER(SEARCH(SUBSTITUTE(AP$1,RIGHT(AP$1,2),""),VLOOKUP($D376,素材!$1:$1016,COLUMN($F$1),FALSE))),VLOOKUP($C376,武器!$1:$998,COLUMN($O$1),FALSE)*VLOOKUP($D376,素材!$1:$1016,COLUMN($E$1),FALSE)/(LEN(VLOOKUP($D376,素材!$1:$1016,COLUMN($F$1),FALSE))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0)+IF($CJ376&lt;&gt;"",VLOOKUP($CJ376,装強!$A$1:AP$1005,COLUMN(装強!AP$1),FALSE),0)</f>
        <v>0</v>
      </c>
      <c r="AQ376">
        <f>IF(ISNUMBER(SEARCH(SUBSTITUTE(AQ$1,RIGHT(AQ$1,2),""),VLOOKUP($D376,素材!$1:$1016,COLUMN($F$1),FALSE))),VLOOKUP($C376,武器!$1:$998,COLUMN($O$1),FALSE)*VLOOKUP($D376,素材!$1:$1016,COLUMN($E$1),FALSE)/(LEN(VLOOKUP($D376,素材!$1:$1016,COLUMN($F$1),FALSE))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0)+IF($CJ376&lt;&gt;"",VLOOKUP($CJ376,装強!$A$1:AQ$1005,COLUMN(装強!AQ$1),FALSE),0)</f>
        <v>0</v>
      </c>
      <c r="AR376">
        <f>IF(ISNUMBER(SEARCH(SUBSTITUTE(AR$1,RIGHT(AR$1,2),""),VLOOKUP($D376,素材!$1:$1016,COLUMN($F$1),FALSE))),VLOOKUP($C376,武器!$1:$998,COLUMN($O$1),FALSE)*VLOOKUP($D376,素材!$1:$1016,COLUMN($E$1),FALSE)/(LEN(VLOOKUP($D376,素材!$1:$1016,COLUMN($F$1),FALSE))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0)+IF($CJ376&lt;&gt;"",VLOOKUP($CJ376,装強!$A$1:AR$1005,COLUMN(装強!AR$1),FALSE),0)</f>
        <v>0</v>
      </c>
      <c r="AS376">
        <f>IF(ISNUMBER(SEARCH(SUBSTITUTE(AS$1,RIGHT(AS$1,2),""),VLOOKUP($D376,素材!$1:$1016,COLUMN($F$1),FALSE))),VLOOKUP($C376,武器!$1:$998,COLUMN($O$1),FALSE)*VLOOKUP($D376,素材!$1:$1016,COLUMN($E$1),FALSE)/(LEN(VLOOKUP($D376,素材!$1:$1016,COLUMN($F$1),FALSE))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0)+IF($CJ376&lt;&gt;"",VLOOKUP($CJ376,装強!$A$1:AS$1005,COLUMN(装強!AS$1),FALSE),0)</f>
        <v>0</v>
      </c>
      <c r="AT376">
        <f>IF(ISNUMBER(SEARCH(SUBSTITUTE(AT$1,RIGHT(AT$1,2),""),VLOOKUP($D376,素材!$1:$1016,COLUMN($F$1),FALSE))),VLOOKUP($C376,武器!$1:$998,COLUMN($O$1),FALSE)*VLOOKUP($D376,素材!$1:$1016,COLUMN($E$1),FALSE)/(LEN(VLOOKUP($D376,素材!$1:$1016,COLUMN($F$1),FALSE))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0)+IF($CJ376&lt;&gt;"",VLOOKUP($CJ376,装強!$A$1:AT$1005,COLUMN(装強!AT$1),FALSE),0)</f>
        <v>0</v>
      </c>
      <c r="AU376">
        <f>IF(ISNUMBER(SEARCH(SUBSTITUTE(AU$1,RIGHT(AU$1,2),""),VLOOKUP($D376,素材!$1:$1016,COLUMN($F$1),FALSE))),VLOOKUP($C376,武器!$1:$998,COLUMN($O$1),FALSE)*VLOOKUP($D376,素材!$1:$1016,COLUMN($E$1),FALSE)/(LEN(VLOOKUP($D376,素材!$1:$1016,COLUMN($F$1),FALSE))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0)+IF($CJ376&lt;&gt;"",VLOOKUP($CJ376,装強!$A$1:AU$1005,COLUMN(装強!AU$1),FALSE),0)</f>
        <v>0</v>
      </c>
      <c r="AV376">
        <f>IF(ISNUMBER(SEARCH(SUBSTITUTE(AV$1,RIGHT(AV$1,2),""),VLOOKUP($D376,素材!$1:$1016,COLUMN($F$1),FALSE))),VLOOKUP($C376,武器!$1:$998,COLUMN($O$1),FALSE)*VLOOKUP($D376,素材!$1:$1016,COLUMN($E$1),FALSE)/(LEN(VLOOKUP($D376,素材!$1:$1016,COLUMN($F$1),FALSE))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0)+IF($CJ376&lt;&gt;"",VLOOKUP($CJ376,装強!$A$1:AV$1005,COLUMN(装強!AV$1),FALSE),0)</f>
        <v>0</v>
      </c>
      <c r="AW376">
        <f>IF(ISNUMBER(SEARCH(SUBSTITUTE(AW$1,RIGHT(AW$1,2),""),VLOOKUP($D376,素材!$1:$1016,COLUMN($F$1),FALSE))),VLOOKUP($C376,武器!$1:$998,COLUMN($O$1),FALSE)*VLOOKUP($D376,素材!$1:$1016,COLUMN($E$1),FALSE)/(LEN(VLOOKUP($D376,素材!$1:$1016,COLUMN($F$1),FALSE))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0)+IF($CJ376&lt;&gt;"",VLOOKUP($CJ376,装強!$A$1:AW$1005,COLUMN(装強!AW$1),FALSE),0)</f>
        <v>0</v>
      </c>
      <c r="AX376">
        <f>IF(ISNUMBER(SEARCH(SUBSTITUTE(AX$1,RIGHT(AX$1,2),""),VLOOKUP($D376,素材!$1:$1016,COLUMN($F$1),FALSE))),VLOOKUP($C376,武器!$1:$998,COLUMN($O$1),FALSE)*VLOOKUP($D376,素材!$1:$1016,COLUMN($E$1),FALSE)/(LEN(VLOOKUP($D376,素材!$1:$1016,COLUMN($F$1),FALSE))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0)+IF($CJ376&lt;&gt;"",VLOOKUP($CJ376,装強!$A$1:AX$1005,COLUMN(装強!AX$1),FALSE),0)</f>
        <v>0</v>
      </c>
      <c r="AY376">
        <f>IF(ISNUMBER(SEARCH(SUBSTITUTE(AY$1,RIGHT(AY$1,2),""),VLOOKUP($D376,素材!$1:$1016,COLUMN($F$1),FALSE))),VLOOKUP($C376,武器!$1:$998,COLUMN($O$1),FALSE)*VLOOKUP($D376,素材!$1:$1016,COLUMN($E$1),FALSE)/(LEN(VLOOKUP($D376,素材!$1:$1016,COLUMN($F$1),FALSE))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0)+IF($CJ376&lt;&gt;"",VLOOKUP($CJ376,装強!$A$1:AY$1005,COLUMN(装強!AY$1),FALSE),0)</f>
        <v>0</v>
      </c>
      <c r="AZ376">
        <f>IF(ISNUMBER(SEARCH(SUBSTITUTE(AZ$1,RIGHT(AZ$1,2),""),VLOOKUP($D376,素材!$1:$1016,COLUMN($F$1),FALSE))),VLOOKUP($C376,武器!$1:$998,COLUMN($O$1),FALSE)*VLOOKUP($D376,素材!$1:$1016,COLUMN($E$1),FALSE)/(LEN(VLOOKUP($D376,素材!$1:$1016,COLUMN($F$1),FALSE))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0)+IF($CJ376&lt;&gt;"",VLOOKUP($CJ376,装強!$A$1:AZ$1005,COLUMN(装強!AZ$1),FALSE),0)</f>
        <v>0</v>
      </c>
      <c r="BA376">
        <f>IF(ISNUMBER(SEARCH(SUBSTITUTE(BA$1,RIGHT(BA$1,2),""),VLOOKUP($D376,素材!$1:$1016,COLUMN($F$1),FALSE))),VLOOKUP($C376,武器!$1:$998,COLUMN($O$1),FALSE)*VLOOKUP($D376,素材!$1:$1016,COLUMN($E$1),FALSE)/(LEN(VLOOKUP($D376,素材!$1:$1016,COLUMN($F$1),FALSE))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0)+IF($CJ376&lt;&gt;"",VLOOKUP($CJ376,装強!$A$1:BA$1005,COLUMN(装強!BA$1),FALSE),0)</f>
        <v>0</v>
      </c>
      <c r="BB376">
        <f>IF(ISNUMBER(SEARCH(SUBSTITUTE(BB$1,RIGHT(BB$1,2),""),VLOOKUP($D376,素材!$1:$1016,COLUMN($F$1),FALSE))),VLOOKUP($C376,武器!$1:$998,COLUMN($O$1),FALSE)*VLOOKUP($D376,素材!$1:$1016,COLUMN($E$1),FALSE)/(LEN(VLOOKUP($D376,素材!$1:$1016,COLUMN($F$1),FALSE))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0)+IF($CJ376&lt;&gt;"",VLOOKUP($CJ376,装強!$A$1:BB$1005,COLUMN(装強!BB$1),FALSE),0)</f>
        <v>0</v>
      </c>
      <c r="BC376">
        <f>IF(ISNUMBER(SEARCH(SUBSTITUTE(BC$1,RIGHT(BC$1,2),""),VLOOKUP($D376,素材!$1:$1016,COLUMN($F$1),FALSE))),VLOOKUP($C376,武器!$1:$998,COLUMN($O$1),FALSE)*VLOOKUP($D376,素材!$1:$1016,COLUMN($E$1),FALSE)/(LEN(VLOOKUP($D376,素材!$1:$1016,COLUMN($F$1),FALSE))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0)+IF($CJ376&lt;&gt;"",VLOOKUP($CJ376,装強!$A$1:BC$1005,COLUMN(装強!BC$1),FALSE),0)</f>
        <v>0</v>
      </c>
      <c r="BD376">
        <f>IF(ISNUMBER(SEARCH(SUBSTITUTE(BD$1,RIGHT(BD$1,2),""),VLOOKUP($D376,素材!$1:$1016,COLUMN($F$1),FALSE))),VLOOKUP($C376,武器!$1:$998,COLUMN($O$1),FALSE)*VLOOKUP($D376,素材!$1:$1016,COLUMN($E$1),FALSE)/(LEN(VLOOKUP($D376,素材!$1:$1016,COLUMN($F$1),FALSE))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0)+IF($CJ376&lt;&gt;"",VLOOKUP($CJ376,装強!$A$1:BD$1005,COLUMN(装強!BD$1),FALSE),0)</f>
        <v>0</v>
      </c>
      <c r="BE376">
        <f>IF(ISNUMBER(SEARCH(SUBSTITUTE(BE$1,RIGHT(BE$1,2),""),VLOOKUP($D376,素材!$1:$1016,COLUMN($F$1),FALSE))),VLOOKUP($C376,武器!$1:$998,COLUMN($O$1),FALSE)*VLOOKUP($D376,素材!$1:$1016,COLUMN($E$1),FALSE)/(LEN(VLOOKUP($D376,素材!$1:$1016,COLUMN($F$1),FALSE))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0)+IF($CJ376&lt;&gt;"",VLOOKUP($CJ376,装強!$A$1:BE$1005,COLUMN(装強!BE$1),FALSE),0)</f>
        <v>0</v>
      </c>
      <c r="BF376">
        <f>IF(ISNUMBER(SEARCH(SUBSTITUTE(BF$1,RIGHT(BF$1,2),""),VLOOKUP($D376,素材!$1:$1016,COLUMN($F$1),FALSE))),VLOOKUP($C376,武器!$1:$998,COLUMN($O$1),FALSE)*VLOOKUP($D376,素材!$1:$1016,COLUMN($E$1),FALSE)/(LEN(VLOOKUP($D376,素材!$1:$1016,COLUMN($F$1),FALSE)) - LEN(SUBSTITUTE(VLOOKUP($D376,素材!$1:$1016,COLUMN($F$1),FALSE), "・", 0)) + 1), 0)+IF($CJ376&lt;&gt;"",VLOOKUP($CJ376,装強!$A$1:BF$1005,COLUMN(装強!BF$1),FALSE),0)</f>
        <v>0</v>
      </c>
      <c r="CM376">
        <f t="shared" si="44"/>
        <v>0</v>
      </c>
      <c r="CN376" s="22" t="str">
        <f>IF(E376="武器",IF(J376-1&gt;SUM(G376:I376),"盾",IF(MAX(G376:I376)=G376,"切断",IF(MAX(G376:I376)=H376,"貫通",IF(MAX(G376:I376)=I376,"打撃","射撃")))),E376)&amp;".webp"</f>
        <v>.webp</v>
      </c>
      <c r="CO376" t="str">
        <f>IFERROR(VLOOKUP($C376,武器!$1:$998,COLUMN(V$1),FALSE)*VLOOKUP($D376,素材!$1:$1016,COLUMN(N$1),FALSE)+IF(CJ376="",0,VLOOKUP($CJ376,装強!$1:$1008,COLUMN($CL$1),FALSE)),"")</f>
        <v/>
      </c>
      <c r="CP376" t="e">
        <f>VLOOKUP(D376,素材!$A:$O,COLUMN(素材!O$1),FALSE)</f>
        <v>#N/A</v>
      </c>
      <c r="CQ376" t="e">
        <f>VLOOKUP(C376,武器!$A:$W,COLUMN(武器!W$1),FALSE)</f>
        <v>#N/A</v>
      </c>
      <c r="CS376" t="str">
        <f>"e_"&amp;ROW(CS376)</f>
        <v>e_376</v>
      </c>
      <c r="CT376" t="e">
        <f t="shared" si="45"/>
        <v>#VALUE!</v>
      </c>
    </row>
    <row r="377" spans="1:98" x14ac:dyDescent="0.4">
      <c r="B377" t="str">
        <f>IFERROR(VLOOKUP($D377,素材!$1:$1016,COLUMN($B$1),FALSE)&amp;"・"&amp;VLOOKUP($C377,武器!$1:$998,COLUMN(B$1),FALSE),"")</f>
        <v/>
      </c>
      <c r="D377" s="24"/>
      <c r="E377" t="str">
        <f>IFERROR(VLOOKUP(C377,武器!$1:$998,COLUMN(C$1),FALSE),"")</f>
        <v/>
      </c>
      <c r="F377" t="str">
        <f>IFERROR(ROUNDDOWN((VLOOKUP($C377,武器!$1:$998,COLUMN(D$1),FALSE)+IFERROR(VLOOKUP($CJ377,装強!$1:$999,COLUMN(F$1),FALSE),0))*VLOOKUP($D377,素材!$1:$1016,COLUMN(D$1),FALSE),0),"")</f>
        <v/>
      </c>
      <c r="G377" t="str">
        <f>IFERROR(ROUNDDOWN((VLOOKUP($C377,武器!$1:$998,COLUMN(E$1),FALSE)+IFERROR(VLOOKUP($CJ377,装強!$1:$999,COLUMN(G$1),FALSE),0))*VLOOKUP($D377,素材!$1:$1016,COLUMN($E$1),FALSE),0),"")</f>
        <v/>
      </c>
      <c r="H377" t="str">
        <f>IFERROR(ROUNDDOWN((VLOOKUP($C377,武器!$1:$998,COLUMN(F$1),FALSE)+IFERROR(VLOOKUP($CJ377,装強!$1:$999,COLUMN(H$1),FALSE),0))*VLOOKUP($D377,素材!$1:$1016,COLUMN($E$1),FALSE),0),"")</f>
        <v/>
      </c>
      <c r="I377" t="str">
        <f>IFERROR(ROUNDDOWN((VLOOKUP($C377,武器!$1:$998,COLUMN(G$1),FALSE)+IFERROR(VLOOKUP($CJ377,装強!$1:$999,COLUMN(I$1),FALSE),0))*VLOOKUP($D377,素材!$1:$1016,COLUMN($E$1),FALSE),0),"")</f>
        <v/>
      </c>
      <c r="J377" t="str">
        <f>IFERROR(ROUNDDOWN((VLOOKUP($C377,武器!$1:$998,COLUMN(H$1),FALSE)+IFERROR(VLOOKUP($CJ377,装強!$1:$999,COLUMN(J$1),FALSE),0))*VLOOKUP($D377,素材!$1:$1016,COLUMN($E$1),FALSE),0),"")</f>
        <v/>
      </c>
      <c r="K377" t="str">
        <f>IFERROR(ROUNDDOWN((VLOOKUP($C377,武器!$1:$998,COLUMN(I$1),FALSE)+IFERROR(VLOOKUP($CJ377,装強!$1:$999,COLUMN(K$1),FALSE),0))*VLOOKUP($D377,素材!$1:$1016,COLUMN($E$1),FALSE),0),"")</f>
        <v/>
      </c>
      <c r="L377" t="str">
        <f>IFERROR(VLOOKUP($D377,素材!$1:$1016,COLUMN($F$1),FALSE),"")</f>
        <v/>
      </c>
      <c r="M377" t="str">
        <f>IFERROR(VLOOKUP($C377,武器!$1:$998,COLUMN(AA$1),FALSE)*VLOOKUP($D377,素材!$1:$1016,COLUMN($G$1),FALSE),"")</f>
        <v/>
      </c>
      <c r="N377" t="str">
        <f>IFERROR(VLOOKUP($C377,武器!$1:$998,COLUMN(I$1),FALSE),"")</f>
        <v/>
      </c>
      <c r="O377" s="23" t="str">
        <f>IFERROR((VLOOKUP($C377,武器!$1:$998,COLUMN(K$1),FALSE)+VLOOKUP($D377,素材!$1:$1016,COLUMN(H$1),FALSE))*100+IFERROR(VLOOKUP($CJ377,装強!$1:$999,COLUMN(O$1),FALSE),0),"")</f>
        <v/>
      </c>
      <c r="P377" s="23" t="str">
        <f>IFERROR((VLOOKUP($C377,武器!$1:$998,COLUMN(L$1),FALSE)+VLOOKUP($D377,素材!$1:$1016,COLUMN(I$1),FALSE))*100+IFERROR(VLOOKUP($CJ377,装強!$1:$999,COLUMN(P$1),FALSE),0),"")</f>
        <v/>
      </c>
      <c r="Q377" t="str">
        <f>IFERROR(ROUNDUP(VLOOKUP($C377,武器!$1:$998,COLUMN(M$1),FALSE)*(VLOOKUP($D377,素材!$1:$1002,COLUMN(D$1),FALSE)/100),1),"")</f>
        <v/>
      </c>
      <c r="R377" t="str">
        <f>IFERROR(ROUNDUP(VLOOKUP($C377,武器!$1:$998,COLUMN(N$1),FALSE)*(VLOOKUP($D377,素材!$1:$1002,COLUMN(D$1),FALSE)/100),1),"")</f>
        <v/>
      </c>
      <c r="S377" t="str">
        <f>IFERROR(VLOOKUP($C377,武器!$1:$998,COLUMN(P$1),FALSE),"")</f>
        <v/>
      </c>
      <c r="T377" t="str">
        <f>IFERROR(VLOOKUP($C377,武器!$1:$998,COLUMN(Q$1),FALSE),"")</f>
        <v/>
      </c>
      <c r="U377" t="str">
        <f>IFERROR(VLOOKUP($C377,武器!$1:$998,COLUMN(R$1),FALSE),"")</f>
        <v/>
      </c>
      <c r="V377" t="str">
        <f>IFERROR(VLOOKUP($C377,武器!$1:$998,COLUMN(Q$1),FALSE),"")</f>
        <v/>
      </c>
      <c r="W377" t="str">
        <f>IFERROR(VLOOKUP($C377,武器!$1:$998,COLUMN(T$1),FALSE),"")</f>
        <v/>
      </c>
      <c r="Y377" t="str">
        <f>IFERROR(VLOOKUP($C377,武器!$1:$998,COLUMN(U$1),FALSE),"")</f>
        <v/>
      </c>
      <c r="Z377" t="str">
        <f>IFERROR(ROUNDUP(VLOOKUP($C377,武器!$1:$998,COLUMN(O$1),FALSE)*VLOOKUP($D377,素材!$1:$1016,COLUMN(E$1),FALSE),1),"")</f>
        <v/>
      </c>
      <c r="AA377">
        <f>IF(ISNUMBER(SEARCH(SUBSTITUTE(AA$1,RIGHT(AA$1,2),""),VLOOKUP($D377,素材!$1:$1016,COLUMN($F$1),FALSE))),VLOOKUP($C377,武器!$1:$998,COLUMN($O$1),FALSE)*VLOOKUP($D377,素材!$1:$1016,COLUMN($E$1),FALSE)/(LEN(VLOOKUP($D377,素材!$1:$1016,COLUMN($F$1),FALSE))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</f>
        <v>0</v>
      </c>
      <c r="AB377">
        <f>IF(ISNUMBER(SEARCH(SUBSTITUTE(AB$1,RIGHT(AB$1,2),""),VLOOKUP($D377,素材!$1:$1016,COLUMN($F$1),FALSE))),VLOOKUP($C377,武器!$1:$998,COLUMN($O$1),FALSE)*VLOOKUP($D377,素材!$1:$1016,COLUMN($E$1),FALSE)/(LEN(VLOOKUP($D377,素材!$1:$1016,COLUMN($F$1),FALSE))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</f>
        <v>0</v>
      </c>
      <c r="AC377">
        <f>IF(ISNUMBER(SEARCH(SUBSTITUTE(AC$1,RIGHT(AC$1,2),""),VLOOKUP($D377,素材!$1:$1016,COLUMN($F$1),FALSE))),VLOOKUP($C377,武器!$1:$998,COLUMN($O$1),FALSE)*VLOOKUP($D377,素材!$1:$1016,COLUMN($E$1),FALSE)/(LEN(VLOOKUP($D377,素材!$1:$1016,COLUMN($F$1),FALSE))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</f>
        <v>0</v>
      </c>
      <c r="AD377">
        <f>IF(ISNUMBER(SEARCH(SUBSTITUTE(AD$1,RIGHT(AD$1,2),""),VLOOKUP($D377,素材!$1:$1016,COLUMN($F$1),FALSE))),VLOOKUP($C377,武器!$1:$998,COLUMN($O$1),FALSE)*VLOOKUP($D377,素材!$1:$1016,COLUMN($E$1),FALSE)/(LEN(VLOOKUP($D377,素材!$1:$1016,COLUMN($F$1),FALSE))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</f>
        <v>0</v>
      </c>
      <c r="AE377">
        <f>IF(ISNUMBER(SEARCH(SUBSTITUTE(AE$1,RIGHT(AE$1,2),""),VLOOKUP($D377,素材!$1:$1016,COLUMN($F$1),FALSE))),VLOOKUP($C377,武器!$1:$998,COLUMN($O$1),FALSE)*VLOOKUP($D377,素材!$1:$1016,COLUMN($E$1),FALSE)/(LEN(VLOOKUP($D377,素材!$1:$1016,COLUMN($F$1),FALSE))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0)+IF($CJ377&lt;&gt;"",VLOOKUP($CJ377,装強!$A$1:AE$1005,COLUMN(装強!AE$1),FALSE),0)</f>
        <v>0</v>
      </c>
      <c r="AF377">
        <f>IF(ISNUMBER(SEARCH(SUBSTITUTE(AF$1,RIGHT(AF$1,2),""),VLOOKUP($D377,素材!$1:$1016,COLUMN($F$1),FALSE))),VLOOKUP($C377,武器!$1:$998,COLUMN($O$1),FALSE)*VLOOKUP($D377,素材!$1:$1016,COLUMN($E$1),FALSE)/(LEN(VLOOKUP($D377,素材!$1:$1016,COLUMN($F$1),FALSE))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0)+IF($CJ377&lt;&gt;"",VLOOKUP($CJ377,装強!$A$1:AF$1005,COLUMN(装強!AF$1),FALSE),0)</f>
        <v>0</v>
      </c>
      <c r="AG377">
        <f>IF(ISNUMBER(SEARCH(SUBSTITUTE(AG$1,RIGHT(AG$1,2),""),VLOOKUP($D377,素材!$1:$1016,COLUMN($F$1),FALSE))),VLOOKUP($C377,武器!$1:$998,COLUMN($O$1),FALSE)*VLOOKUP($D377,素材!$1:$1016,COLUMN($E$1),FALSE)/(LEN(VLOOKUP($D377,素材!$1:$1016,COLUMN($F$1),FALSE))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0)+IF($CJ377&lt;&gt;"",VLOOKUP($CJ377,装強!$A$1:AG$1005,COLUMN(装強!AG$1),FALSE),0)</f>
        <v>0</v>
      </c>
      <c r="AH377">
        <f>IF(ISNUMBER(SEARCH(SUBSTITUTE(AH$1,RIGHT(AH$1,2),""),VLOOKUP($D377,素材!$1:$1016,COLUMN($F$1),FALSE))),VLOOKUP($C377,武器!$1:$998,COLUMN($O$1),FALSE)*VLOOKUP($D377,素材!$1:$1016,COLUMN($E$1),FALSE)/(LEN(VLOOKUP($D377,素材!$1:$1016,COLUMN($F$1),FALSE))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0)+IF($CJ377&lt;&gt;"",VLOOKUP($CJ377,装強!$A$1:AH$1005,COLUMN(装強!AH$1),FALSE),0)</f>
        <v>0</v>
      </c>
      <c r="AI377">
        <f>IF(ISNUMBER(SEARCH(SUBSTITUTE(AI$1,RIGHT(AI$1,2),""),VLOOKUP($D377,素材!$1:$1016,COLUMN($F$1),FALSE))),VLOOKUP($C377,武器!$1:$998,COLUMN($O$1),FALSE)*VLOOKUP($D377,素材!$1:$1016,COLUMN($E$1),FALSE)/(LEN(VLOOKUP($D377,素材!$1:$1016,COLUMN($F$1),FALSE))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0)+IF($CJ377&lt;&gt;"",VLOOKUP($CJ377,装強!$A$1:AI$1005,COLUMN(装強!AI$1),FALSE),0)</f>
        <v>0</v>
      </c>
      <c r="AJ377">
        <f>IF(ISNUMBER(SEARCH(SUBSTITUTE(AJ$1,RIGHT(AJ$1,2),""),VLOOKUP($D377,素材!$1:$1016,COLUMN($F$1),FALSE))),VLOOKUP($C377,武器!$1:$998,COLUMN($O$1),FALSE)*VLOOKUP($D377,素材!$1:$1016,COLUMN($E$1),FALSE)/(LEN(VLOOKUP($D377,素材!$1:$1016,COLUMN($F$1),FALSE))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0)+IF($CJ377&lt;&gt;"",VLOOKUP($CJ377,装強!$A$1:AJ$1005,COLUMN(装強!AJ$1),FALSE),0)</f>
        <v>0</v>
      </c>
      <c r="AK377">
        <f>IF(ISNUMBER(SEARCH(SUBSTITUTE(AK$1,RIGHT(AK$1,2),""),VLOOKUP($D377,素材!$1:$1016,COLUMN($F$1),FALSE))),VLOOKUP($C377,武器!$1:$998,COLUMN($O$1),FALSE)*VLOOKUP($D377,素材!$1:$1016,COLUMN($E$1),FALSE)/(LEN(VLOOKUP($D377,素材!$1:$1016,COLUMN($F$1),FALSE))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0)+IF($CJ377&lt;&gt;"",VLOOKUP($CJ377,装強!$A$1:AK$1005,COLUMN(装強!AK$1),FALSE),0)</f>
        <v>0</v>
      </c>
      <c r="AL377">
        <f>IF(ISNUMBER(SEARCH(SUBSTITUTE(AL$1,RIGHT(AL$1,2),""),VLOOKUP($D377,素材!$1:$1016,COLUMN($F$1),FALSE))),VLOOKUP($C377,武器!$1:$998,COLUMN($O$1),FALSE)*VLOOKUP($D377,素材!$1:$1016,COLUMN($E$1),FALSE)/(LEN(VLOOKUP($D377,素材!$1:$1016,COLUMN($F$1),FALSE))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0)+IF($CJ377&lt;&gt;"",VLOOKUP($CJ377,装強!$A$1:AL$1005,COLUMN(装強!AL$1),FALSE),0)</f>
        <v>0</v>
      </c>
      <c r="AM377">
        <f>IF(ISNUMBER(SEARCH(SUBSTITUTE(AM$1,RIGHT(AM$1,2),""),VLOOKUP($D377,素材!$1:$1016,COLUMN($F$1),FALSE))),VLOOKUP($C377,武器!$1:$998,COLUMN($O$1),FALSE)*VLOOKUP($D377,素材!$1:$1016,COLUMN($E$1),FALSE)/(LEN(VLOOKUP($D377,素材!$1:$1016,COLUMN($F$1),FALSE))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0)+IF($CJ377&lt;&gt;"",VLOOKUP($CJ377,装強!$A$1:AM$1005,COLUMN(装強!AM$1),FALSE),0)</f>
        <v>0</v>
      </c>
      <c r="AN377">
        <f>IF(ISNUMBER(SEARCH(SUBSTITUTE(AN$1,RIGHT(AN$1,2),""),VLOOKUP($D377,素材!$1:$1016,COLUMN($F$1),FALSE))),VLOOKUP($C377,武器!$1:$998,COLUMN($O$1),FALSE)*VLOOKUP($D377,素材!$1:$1016,COLUMN($E$1),FALSE)/(LEN(VLOOKUP($D377,素材!$1:$1016,COLUMN($F$1),FALSE))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0)+IF($CJ377&lt;&gt;"",VLOOKUP($CJ377,装強!$A$1:AN$1005,COLUMN(装強!AN$1),FALSE),0)</f>
        <v>0</v>
      </c>
      <c r="AO377">
        <f>IF(ISNUMBER(SEARCH(SUBSTITUTE(AO$1,RIGHT(AO$1,2),""),VLOOKUP($D377,素材!$1:$1016,COLUMN($F$1),FALSE))),VLOOKUP($C377,武器!$1:$998,COLUMN($O$1),FALSE)*VLOOKUP($D377,素材!$1:$1016,COLUMN($E$1),FALSE)/(LEN(VLOOKUP($D377,素材!$1:$1016,COLUMN($F$1),FALSE))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0)+IF($CJ377&lt;&gt;"",VLOOKUP($CJ377,装強!$A$1:AO$1005,COLUMN(装強!AO$1),FALSE),0)</f>
        <v>0</v>
      </c>
      <c r="AP377">
        <f>IF(ISNUMBER(SEARCH(SUBSTITUTE(AP$1,RIGHT(AP$1,2),""),VLOOKUP($D377,素材!$1:$1016,COLUMN($F$1),FALSE))),VLOOKUP($C377,武器!$1:$998,COLUMN($O$1),FALSE)*VLOOKUP($D377,素材!$1:$1016,COLUMN($E$1),FALSE)/(LEN(VLOOKUP($D377,素材!$1:$1016,COLUMN($F$1),FALSE))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0)+IF($CJ377&lt;&gt;"",VLOOKUP($CJ377,装強!$A$1:AP$1005,COLUMN(装強!AP$1),FALSE),0)</f>
        <v>0</v>
      </c>
      <c r="AQ377">
        <f>IF(ISNUMBER(SEARCH(SUBSTITUTE(AQ$1,RIGHT(AQ$1,2),""),VLOOKUP($D377,素材!$1:$1016,COLUMN($F$1),FALSE))),VLOOKUP($C377,武器!$1:$998,COLUMN($O$1),FALSE)*VLOOKUP($D377,素材!$1:$1016,COLUMN($E$1),FALSE)/(LEN(VLOOKUP($D377,素材!$1:$1016,COLUMN($F$1),FALSE))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0)+IF($CJ377&lt;&gt;"",VLOOKUP($CJ377,装強!$A$1:AQ$1005,COLUMN(装強!AQ$1),FALSE),0)</f>
        <v>0</v>
      </c>
      <c r="AR377">
        <f>IF(ISNUMBER(SEARCH(SUBSTITUTE(AR$1,RIGHT(AR$1,2),""),VLOOKUP($D377,素材!$1:$1016,COLUMN($F$1),FALSE))),VLOOKUP($C377,武器!$1:$998,COLUMN($O$1),FALSE)*VLOOKUP($D377,素材!$1:$1016,COLUMN($E$1),FALSE)/(LEN(VLOOKUP($D377,素材!$1:$1016,COLUMN($F$1),FALSE))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0)+IF($CJ377&lt;&gt;"",VLOOKUP($CJ377,装強!$A$1:AR$1005,COLUMN(装強!AR$1),FALSE),0)</f>
        <v>0</v>
      </c>
      <c r="AS377">
        <f>IF(ISNUMBER(SEARCH(SUBSTITUTE(AS$1,RIGHT(AS$1,2),""),VLOOKUP($D377,素材!$1:$1016,COLUMN($F$1),FALSE))),VLOOKUP($C377,武器!$1:$998,COLUMN($O$1),FALSE)*VLOOKUP($D377,素材!$1:$1016,COLUMN($E$1),FALSE)/(LEN(VLOOKUP($D377,素材!$1:$1016,COLUMN($F$1),FALSE))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0)+IF($CJ377&lt;&gt;"",VLOOKUP($CJ377,装強!$A$1:AS$1005,COLUMN(装強!AS$1),FALSE),0)</f>
        <v>0</v>
      </c>
      <c r="AT377">
        <f>IF(ISNUMBER(SEARCH(SUBSTITUTE(AT$1,RIGHT(AT$1,2),""),VLOOKUP($D377,素材!$1:$1016,COLUMN($F$1),FALSE))),VLOOKUP($C377,武器!$1:$998,COLUMN($O$1),FALSE)*VLOOKUP($D377,素材!$1:$1016,COLUMN($E$1),FALSE)/(LEN(VLOOKUP($D377,素材!$1:$1016,COLUMN($F$1),FALSE))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0)+IF($CJ377&lt;&gt;"",VLOOKUP($CJ377,装強!$A$1:AT$1005,COLUMN(装強!AT$1),FALSE),0)</f>
        <v>0</v>
      </c>
      <c r="AU377">
        <f>IF(ISNUMBER(SEARCH(SUBSTITUTE(AU$1,RIGHT(AU$1,2),""),VLOOKUP($D377,素材!$1:$1016,COLUMN($F$1),FALSE))),VLOOKUP($C377,武器!$1:$998,COLUMN($O$1),FALSE)*VLOOKUP($D377,素材!$1:$1016,COLUMN($E$1),FALSE)/(LEN(VLOOKUP($D377,素材!$1:$1016,COLUMN($F$1),FALSE))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0)+IF($CJ377&lt;&gt;"",VLOOKUP($CJ377,装強!$A$1:AU$1005,COLUMN(装強!AU$1),FALSE),0)</f>
        <v>0</v>
      </c>
      <c r="AV377">
        <f>IF(ISNUMBER(SEARCH(SUBSTITUTE(AV$1,RIGHT(AV$1,2),""),VLOOKUP($D377,素材!$1:$1016,COLUMN($F$1),FALSE))),VLOOKUP($C377,武器!$1:$998,COLUMN($O$1),FALSE)*VLOOKUP($D377,素材!$1:$1016,COLUMN($E$1),FALSE)/(LEN(VLOOKUP($D377,素材!$1:$1016,COLUMN($F$1),FALSE))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0)+IF($CJ377&lt;&gt;"",VLOOKUP($CJ377,装強!$A$1:AV$1005,COLUMN(装強!AV$1),FALSE),0)</f>
        <v>0</v>
      </c>
      <c r="AW377">
        <f>IF(ISNUMBER(SEARCH(SUBSTITUTE(AW$1,RIGHT(AW$1,2),""),VLOOKUP($D377,素材!$1:$1016,COLUMN($F$1),FALSE))),VLOOKUP($C377,武器!$1:$998,COLUMN($O$1),FALSE)*VLOOKUP($D377,素材!$1:$1016,COLUMN($E$1),FALSE)/(LEN(VLOOKUP($D377,素材!$1:$1016,COLUMN($F$1),FALSE))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0)+IF($CJ377&lt;&gt;"",VLOOKUP($CJ377,装強!$A$1:AW$1005,COLUMN(装強!AW$1),FALSE),0)</f>
        <v>0</v>
      </c>
      <c r="AX377">
        <f>IF(ISNUMBER(SEARCH(SUBSTITUTE(AX$1,RIGHT(AX$1,2),""),VLOOKUP($D377,素材!$1:$1016,COLUMN($F$1),FALSE))),VLOOKUP($C377,武器!$1:$998,COLUMN($O$1),FALSE)*VLOOKUP($D377,素材!$1:$1016,COLUMN($E$1),FALSE)/(LEN(VLOOKUP($D377,素材!$1:$1016,COLUMN($F$1),FALSE))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0)+IF($CJ377&lt;&gt;"",VLOOKUP($CJ377,装強!$A$1:AX$1005,COLUMN(装強!AX$1),FALSE),0)</f>
        <v>0</v>
      </c>
      <c r="AY377">
        <f>IF(ISNUMBER(SEARCH(SUBSTITUTE(AY$1,RIGHT(AY$1,2),""),VLOOKUP($D377,素材!$1:$1016,COLUMN($F$1),FALSE))),VLOOKUP($C377,武器!$1:$998,COLUMN($O$1),FALSE)*VLOOKUP($D377,素材!$1:$1016,COLUMN($E$1),FALSE)/(LEN(VLOOKUP($D377,素材!$1:$1016,COLUMN($F$1),FALSE))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0)+IF($CJ377&lt;&gt;"",VLOOKUP($CJ377,装強!$A$1:AY$1005,COLUMN(装強!AY$1),FALSE),0)</f>
        <v>0</v>
      </c>
      <c r="AZ377">
        <f>IF(ISNUMBER(SEARCH(SUBSTITUTE(AZ$1,RIGHT(AZ$1,2),""),VLOOKUP($D377,素材!$1:$1016,COLUMN($F$1),FALSE))),VLOOKUP($C377,武器!$1:$998,COLUMN($O$1),FALSE)*VLOOKUP($D377,素材!$1:$1016,COLUMN($E$1),FALSE)/(LEN(VLOOKUP($D377,素材!$1:$1016,COLUMN($F$1),FALSE))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0)+IF($CJ377&lt;&gt;"",VLOOKUP($CJ377,装強!$A$1:AZ$1005,COLUMN(装強!AZ$1),FALSE),0)</f>
        <v>0</v>
      </c>
      <c r="BA377">
        <f>IF(ISNUMBER(SEARCH(SUBSTITUTE(BA$1,RIGHT(BA$1,2),""),VLOOKUP($D377,素材!$1:$1016,COLUMN($F$1),FALSE))),VLOOKUP($C377,武器!$1:$998,COLUMN($O$1),FALSE)*VLOOKUP($D377,素材!$1:$1016,COLUMN($E$1),FALSE)/(LEN(VLOOKUP($D377,素材!$1:$1016,COLUMN($F$1),FALSE))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0)+IF($CJ377&lt;&gt;"",VLOOKUP($CJ377,装強!$A$1:BA$1005,COLUMN(装強!BA$1),FALSE),0)</f>
        <v>0</v>
      </c>
      <c r="BB377">
        <f>IF(ISNUMBER(SEARCH(SUBSTITUTE(BB$1,RIGHT(BB$1,2),""),VLOOKUP($D377,素材!$1:$1016,COLUMN($F$1),FALSE))),VLOOKUP($C377,武器!$1:$998,COLUMN($O$1),FALSE)*VLOOKUP($D377,素材!$1:$1016,COLUMN($E$1),FALSE)/(LEN(VLOOKUP($D377,素材!$1:$1016,COLUMN($F$1),FALSE))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0)+IF($CJ377&lt;&gt;"",VLOOKUP($CJ377,装強!$A$1:BB$1005,COLUMN(装強!BB$1),FALSE),0)</f>
        <v>0</v>
      </c>
      <c r="BC377">
        <f>IF(ISNUMBER(SEARCH(SUBSTITUTE(BC$1,RIGHT(BC$1,2),""),VLOOKUP($D377,素材!$1:$1016,COLUMN($F$1),FALSE))),VLOOKUP($C377,武器!$1:$998,COLUMN($O$1),FALSE)*VLOOKUP($D377,素材!$1:$1016,COLUMN($E$1),FALSE)/(LEN(VLOOKUP($D377,素材!$1:$1016,COLUMN($F$1),FALSE))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0)+IF($CJ377&lt;&gt;"",VLOOKUP($CJ377,装強!$A$1:BC$1005,COLUMN(装強!BC$1),FALSE),0)</f>
        <v>0</v>
      </c>
      <c r="BD377">
        <f>IF(ISNUMBER(SEARCH(SUBSTITUTE(BD$1,RIGHT(BD$1,2),""),VLOOKUP($D377,素材!$1:$1016,COLUMN($F$1),FALSE))),VLOOKUP($C377,武器!$1:$998,COLUMN($O$1),FALSE)*VLOOKUP($D377,素材!$1:$1016,COLUMN($E$1),FALSE)/(LEN(VLOOKUP($D377,素材!$1:$1016,COLUMN($F$1),FALSE))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0)+IF($CJ377&lt;&gt;"",VLOOKUP($CJ377,装強!$A$1:BD$1005,COLUMN(装強!BD$1),FALSE),0)</f>
        <v>0</v>
      </c>
      <c r="BE377">
        <f>IF(ISNUMBER(SEARCH(SUBSTITUTE(BE$1,RIGHT(BE$1,2),""),VLOOKUP($D377,素材!$1:$1016,COLUMN($F$1),FALSE))),VLOOKUP($C377,武器!$1:$998,COLUMN($O$1),FALSE)*VLOOKUP($D377,素材!$1:$1016,COLUMN($E$1),FALSE)/(LEN(VLOOKUP($D377,素材!$1:$1016,COLUMN($F$1),FALSE))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0)+IF($CJ377&lt;&gt;"",VLOOKUP($CJ377,装強!$A$1:BE$1005,COLUMN(装強!BE$1),FALSE),0)</f>
        <v>0</v>
      </c>
      <c r="BF377">
        <f>IF(ISNUMBER(SEARCH(SUBSTITUTE(BF$1,RIGHT(BF$1,2),""),VLOOKUP($D377,素材!$1:$1016,COLUMN($F$1),FALSE))),VLOOKUP($C377,武器!$1:$998,COLUMN($O$1),FALSE)*VLOOKUP($D377,素材!$1:$1016,COLUMN($E$1),FALSE)/(LEN(VLOOKUP($D377,素材!$1:$1016,COLUMN($F$1),FALSE)) - LEN(SUBSTITUTE(VLOOKUP($D377,素材!$1:$1016,COLUMN($F$1),FALSE), "・", 0)) + 1), 0)+IF($CJ377&lt;&gt;"",VLOOKUP($CJ377,装強!$A$1:BF$1005,COLUMN(装強!BF$1),FALSE),0)</f>
        <v>0</v>
      </c>
      <c r="CM377">
        <f t="shared" si="44"/>
        <v>0</v>
      </c>
      <c r="CN377" s="22" t="str">
        <f>IF(E377="武器",IF(J377-1&gt;SUM(G377:I377),"盾",IF(MAX(G377:I377)=G377,"切断",IF(MAX(G377:I377)=H377,"貫通",IF(MAX(G377:I377)=I377,"打撃","射撃")))),E377)&amp;".webp"</f>
        <v>.webp</v>
      </c>
      <c r="CO377" t="str">
        <f>IFERROR(VLOOKUP($C377,武器!$1:$998,COLUMN(V$1),FALSE)*VLOOKUP($D377,素材!$1:$1016,COLUMN(N$1),FALSE)+IF(CJ377="",0,VLOOKUP($CJ377,装強!$1:$1008,COLUMN($CL$1),FALSE)),"")</f>
        <v/>
      </c>
      <c r="CP377" t="e">
        <f>VLOOKUP(D377,素材!$A:$O,COLUMN(素材!O$1),FALSE)</f>
        <v>#N/A</v>
      </c>
      <c r="CQ377" t="e">
        <f>VLOOKUP(C377,武器!$A:$W,COLUMN(武器!W$1),FALSE)</f>
        <v>#N/A</v>
      </c>
      <c r="CS377" t="str">
        <f>"e_"&amp;ROW(CS377)</f>
        <v>e_377</v>
      </c>
      <c r="CT377" t="e">
        <f t="shared" si="45"/>
        <v>#VALUE!</v>
      </c>
    </row>
    <row r="378" spans="1:98" x14ac:dyDescent="0.4">
      <c r="B378" t="str">
        <f>IFERROR(VLOOKUP($D378,素材!$1:$1016,COLUMN($B$1),FALSE)&amp;"・"&amp;VLOOKUP($C378,武器!$1:$998,COLUMN(B$1),FALSE),"")</f>
        <v/>
      </c>
      <c r="D378" s="24"/>
      <c r="E378" t="str">
        <f>IFERROR(VLOOKUP(C378,武器!$1:$998,COLUMN(C$1),FALSE),"")</f>
        <v/>
      </c>
      <c r="F378" t="str">
        <f>IFERROR(ROUNDDOWN((VLOOKUP($C378,武器!$1:$998,COLUMN(D$1),FALSE)+IFERROR(VLOOKUP($CJ378,装強!$1:$999,COLUMN(F$1),FALSE),0))*VLOOKUP($D378,素材!$1:$1016,COLUMN(D$1),FALSE),0),"")</f>
        <v/>
      </c>
      <c r="G378" t="str">
        <f>IFERROR(ROUNDDOWN((VLOOKUP($C378,武器!$1:$998,COLUMN(E$1),FALSE)+IFERROR(VLOOKUP($CJ378,装強!$1:$999,COLUMN(G$1),FALSE),0))*VLOOKUP($D378,素材!$1:$1016,COLUMN($E$1),FALSE),0),"")</f>
        <v/>
      </c>
      <c r="H378" t="str">
        <f>IFERROR(ROUNDDOWN((VLOOKUP($C378,武器!$1:$998,COLUMN(F$1),FALSE)+IFERROR(VLOOKUP($CJ378,装強!$1:$999,COLUMN(H$1),FALSE),0))*VLOOKUP($D378,素材!$1:$1016,COLUMN($E$1),FALSE),0),"")</f>
        <v/>
      </c>
      <c r="I378" t="str">
        <f>IFERROR(ROUNDDOWN((VLOOKUP($C378,武器!$1:$998,COLUMN(G$1),FALSE)+IFERROR(VLOOKUP($CJ378,装強!$1:$999,COLUMN(I$1),FALSE),0))*VLOOKUP($D378,素材!$1:$1016,COLUMN($E$1),FALSE),0),"")</f>
        <v/>
      </c>
      <c r="J378" t="str">
        <f>IFERROR(ROUNDDOWN((VLOOKUP($C378,武器!$1:$998,COLUMN(H$1),FALSE)+IFERROR(VLOOKUP($CJ378,装強!$1:$999,COLUMN(J$1),FALSE),0))*VLOOKUP($D378,素材!$1:$1016,COLUMN($E$1),FALSE),0),"")</f>
        <v/>
      </c>
      <c r="K378" t="str">
        <f>IFERROR(ROUNDDOWN((VLOOKUP($C378,武器!$1:$998,COLUMN(I$1),FALSE)+IFERROR(VLOOKUP($CJ378,装強!$1:$999,COLUMN(K$1),FALSE),0))*VLOOKUP($D378,素材!$1:$1016,COLUMN($E$1),FALSE),0),"")</f>
        <v/>
      </c>
      <c r="L378" t="str">
        <f>IFERROR(VLOOKUP($D378,素材!$1:$1016,COLUMN($F$1),FALSE),"")</f>
        <v/>
      </c>
      <c r="M378" t="str">
        <f>IFERROR(VLOOKUP($C378,武器!$1:$998,COLUMN(AA$1),FALSE)*VLOOKUP($D378,素材!$1:$1016,COLUMN($G$1),FALSE),"")</f>
        <v/>
      </c>
      <c r="N378" t="str">
        <f>IFERROR(VLOOKUP($C378,武器!$1:$998,COLUMN(I$1),FALSE),"")</f>
        <v/>
      </c>
      <c r="O378" s="23" t="str">
        <f>IFERROR((VLOOKUP($C378,武器!$1:$998,COLUMN(K$1),FALSE)+VLOOKUP($D378,素材!$1:$1016,COLUMN(H$1),FALSE))*100+IFERROR(VLOOKUP($CJ378,装強!$1:$999,COLUMN(O$1),FALSE),0),"")</f>
        <v/>
      </c>
      <c r="P378" s="23" t="str">
        <f>IFERROR((VLOOKUP($C378,武器!$1:$998,COLUMN(L$1),FALSE)+VLOOKUP($D378,素材!$1:$1016,COLUMN(I$1),FALSE))*100+IFERROR(VLOOKUP($CJ378,装強!$1:$999,COLUMN(P$1),FALSE),0),"")</f>
        <v/>
      </c>
      <c r="Q378" t="str">
        <f>IFERROR(ROUNDUP(VLOOKUP($C378,武器!$1:$998,COLUMN(M$1),FALSE)*(VLOOKUP($D378,素材!$1:$1002,COLUMN(D$1),FALSE)/100),1),"")</f>
        <v/>
      </c>
      <c r="R378" t="str">
        <f>IFERROR(ROUNDUP(VLOOKUP($C378,武器!$1:$998,COLUMN(N$1),FALSE)*(VLOOKUP($D378,素材!$1:$1002,COLUMN(D$1),FALSE)/100),1),"")</f>
        <v/>
      </c>
      <c r="S378" t="str">
        <f>IFERROR(VLOOKUP($C378,武器!$1:$998,COLUMN(P$1),FALSE),"")</f>
        <v/>
      </c>
      <c r="T378" t="str">
        <f>IFERROR(VLOOKUP($C378,武器!$1:$998,COLUMN(Q$1),FALSE),"")</f>
        <v/>
      </c>
      <c r="U378" t="str">
        <f>IFERROR(VLOOKUP($C378,武器!$1:$998,COLUMN(R$1),FALSE),"")</f>
        <v/>
      </c>
      <c r="V378" t="str">
        <f>IFERROR(VLOOKUP($C378,武器!$1:$998,COLUMN(Q$1),FALSE),"")</f>
        <v/>
      </c>
      <c r="W378" t="str">
        <f>IFERROR(VLOOKUP($C378,武器!$1:$998,COLUMN(T$1),FALSE),"")</f>
        <v/>
      </c>
      <c r="Y378" t="str">
        <f>IFERROR(VLOOKUP($C378,武器!$1:$998,COLUMN(U$1),FALSE),"")</f>
        <v/>
      </c>
      <c r="Z378" t="str">
        <f>IFERROR(ROUNDUP(VLOOKUP($C378,武器!$1:$998,COLUMN(O$1),FALSE)*VLOOKUP($D378,素材!$1:$1016,COLUMN(E$1),FALSE),1),"")</f>
        <v/>
      </c>
      <c r="AA378">
        <f>IF(ISNUMBER(SEARCH(SUBSTITUTE(AA$1,RIGHT(AA$1,2),""),VLOOKUP($D378,素材!$1:$1016,COLUMN($F$1),FALSE))),VLOOKUP($C378,武器!$1:$998,COLUMN($O$1),FALSE)*VLOOKUP($D378,素材!$1:$1016,COLUMN($E$1),FALSE)/(LEN(VLOOKUP($D378,素材!$1:$1016,COLUMN($F$1),FALSE))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</f>
        <v>0</v>
      </c>
      <c r="AB378">
        <f>IF(ISNUMBER(SEARCH(SUBSTITUTE(AB$1,RIGHT(AB$1,2),""),VLOOKUP($D378,素材!$1:$1016,COLUMN($F$1),FALSE))),VLOOKUP($C378,武器!$1:$998,COLUMN($O$1),FALSE)*VLOOKUP($D378,素材!$1:$1016,COLUMN($E$1),FALSE)/(LEN(VLOOKUP($D378,素材!$1:$1016,COLUMN($F$1),FALSE))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</f>
        <v>0</v>
      </c>
      <c r="AC378">
        <f>IF(ISNUMBER(SEARCH(SUBSTITUTE(AC$1,RIGHT(AC$1,2),""),VLOOKUP($D378,素材!$1:$1016,COLUMN($F$1),FALSE))),VLOOKUP($C378,武器!$1:$998,COLUMN($O$1),FALSE)*VLOOKUP($D378,素材!$1:$1016,COLUMN($E$1),FALSE)/(LEN(VLOOKUP($D378,素材!$1:$1016,COLUMN($F$1),FALSE))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</f>
        <v>0</v>
      </c>
      <c r="AD378">
        <f>IF(ISNUMBER(SEARCH(SUBSTITUTE(AD$1,RIGHT(AD$1,2),""),VLOOKUP($D378,素材!$1:$1016,COLUMN($F$1),FALSE))),VLOOKUP($C378,武器!$1:$998,COLUMN($O$1),FALSE)*VLOOKUP($D378,素材!$1:$1016,COLUMN($E$1),FALSE)/(LEN(VLOOKUP($D378,素材!$1:$1016,COLUMN($F$1),FALSE))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</f>
        <v>0</v>
      </c>
      <c r="AE378">
        <f>IF(ISNUMBER(SEARCH(SUBSTITUTE(AE$1,RIGHT(AE$1,2),""),VLOOKUP($D378,素材!$1:$1016,COLUMN($F$1),FALSE))),VLOOKUP($C378,武器!$1:$998,COLUMN($O$1),FALSE)*VLOOKUP($D378,素材!$1:$1016,COLUMN($E$1),FALSE)/(LEN(VLOOKUP($D378,素材!$1:$1016,COLUMN($F$1),FALSE))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0)+IF($CJ378&lt;&gt;"",VLOOKUP($CJ378,装強!$A$1:AE$1005,COLUMN(装強!AE$1),FALSE),0)</f>
        <v>0</v>
      </c>
      <c r="AF378">
        <f>IF(ISNUMBER(SEARCH(SUBSTITUTE(AF$1,RIGHT(AF$1,2),""),VLOOKUP($D378,素材!$1:$1016,COLUMN($F$1),FALSE))),VLOOKUP($C378,武器!$1:$998,COLUMN($O$1),FALSE)*VLOOKUP($D378,素材!$1:$1016,COLUMN($E$1),FALSE)/(LEN(VLOOKUP($D378,素材!$1:$1016,COLUMN($F$1),FALSE))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0)+IF($CJ378&lt;&gt;"",VLOOKUP($CJ378,装強!$A$1:AF$1005,COLUMN(装強!AF$1),FALSE),0)</f>
        <v>0</v>
      </c>
      <c r="AG378">
        <f>IF(ISNUMBER(SEARCH(SUBSTITUTE(AG$1,RIGHT(AG$1,2),""),VLOOKUP($D378,素材!$1:$1016,COLUMN($F$1),FALSE))),VLOOKUP($C378,武器!$1:$998,COLUMN($O$1),FALSE)*VLOOKUP($D378,素材!$1:$1016,COLUMN($E$1),FALSE)/(LEN(VLOOKUP($D378,素材!$1:$1016,COLUMN($F$1),FALSE))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0)+IF($CJ378&lt;&gt;"",VLOOKUP($CJ378,装強!$A$1:AG$1005,COLUMN(装強!AG$1),FALSE),0)</f>
        <v>0</v>
      </c>
      <c r="AH378">
        <f>IF(ISNUMBER(SEARCH(SUBSTITUTE(AH$1,RIGHT(AH$1,2),""),VLOOKUP($D378,素材!$1:$1016,COLUMN($F$1),FALSE))),VLOOKUP($C378,武器!$1:$998,COLUMN($O$1),FALSE)*VLOOKUP($D378,素材!$1:$1016,COLUMN($E$1),FALSE)/(LEN(VLOOKUP($D378,素材!$1:$1016,COLUMN($F$1),FALSE))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0)+IF($CJ378&lt;&gt;"",VLOOKUP($CJ378,装強!$A$1:AH$1005,COLUMN(装強!AH$1),FALSE),0)</f>
        <v>0</v>
      </c>
      <c r="AI378">
        <f>IF(ISNUMBER(SEARCH(SUBSTITUTE(AI$1,RIGHT(AI$1,2),""),VLOOKUP($D378,素材!$1:$1016,COLUMN($F$1),FALSE))),VLOOKUP($C378,武器!$1:$998,COLUMN($O$1),FALSE)*VLOOKUP($D378,素材!$1:$1016,COLUMN($E$1),FALSE)/(LEN(VLOOKUP($D378,素材!$1:$1016,COLUMN($F$1),FALSE))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0)+IF($CJ378&lt;&gt;"",VLOOKUP($CJ378,装強!$A$1:AI$1005,COLUMN(装強!AI$1),FALSE),0)</f>
        <v>0</v>
      </c>
      <c r="AJ378">
        <f>IF(ISNUMBER(SEARCH(SUBSTITUTE(AJ$1,RIGHT(AJ$1,2),""),VLOOKUP($D378,素材!$1:$1016,COLUMN($F$1),FALSE))),VLOOKUP($C378,武器!$1:$998,COLUMN($O$1),FALSE)*VLOOKUP($D378,素材!$1:$1016,COLUMN($E$1),FALSE)/(LEN(VLOOKUP($D378,素材!$1:$1016,COLUMN($F$1),FALSE))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0)+IF($CJ378&lt;&gt;"",VLOOKUP($CJ378,装強!$A$1:AJ$1005,COLUMN(装強!AJ$1),FALSE),0)</f>
        <v>0</v>
      </c>
      <c r="AK378">
        <f>IF(ISNUMBER(SEARCH(SUBSTITUTE(AK$1,RIGHT(AK$1,2),""),VLOOKUP($D378,素材!$1:$1016,COLUMN($F$1),FALSE))),VLOOKUP($C378,武器!$1:$998,COLUMN($O$1),FALSE)*VLOOKUP($D378,素材!$1:$1016,COLUMN($E$1),FALSE)/(LEN(VLOOKUP($D378,素材!$1:$1016,COLUMN($F$1),FALSE))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0)+IF($CJ378&lt;&gt;"",VLOOKUP($CJ378,装強!$A$1:AK$1005,COLUMN(装強!AK$1),FALSE),0)</f>
        <v>0</v>
      </c>
      <c r="AL378">
        <f>IF(ISNUMBER(SEARCH(SUBSTITUTE(AL$1,RIGHT(AL$1,2),""),VLOOKUP($D378,素材!$1:$1016,COLUMN($F$1),FALSE))),VLOOKUP($C378,武器!$1:$998,COLUMN($O$1),FALSE)*VLOOKUP($D378,素材!$1:$1016,COLUMN($E$1),FALSE)/(LEN(VLOOKUP($D378,素材!$1:$1016,COLUMN($F$1),FALSE))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0)+IF($CJ378&lt;&gt;"",VLOOKUP($CJ378,装強!$A$1:AL$1005,COLUMN(装強!AL$1),FALSE),0)</f>
        <v>0</v>
      </c>
      <c r="AM378">
        <f>IF(ISNUMBER(SEARCH(SUBSTITUTE(AM$1,RIGHT(AM$1,2),""),VLOOKUP($D378,素材!$1:$1016,COLUMN($F$1),FALSE))),VLOOKUP($C378,武器!$1:$998,COLUMN($O$1),FALSE)*VLOOKUP($D378,素材!$1:$1016,COLUMN($E$1),FALSE)/(LEN(VLOOKUP($D378,素材!$1:$1016,COLUMN($F$1),FALSE))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0)+IF($CJ378&lt;&gt;"",VLOOKUP($CJ378,装強!$A$1:AM$1005,COLUMN(装強!AM$1),FALSE),0)</f>
        <v>0</v>
      </c>
      <c r="AN378">
        <f>IF(ISNUMBER(SEARCH(SUBSTITUTE(AN$1,RIGHT(AN$1,2),""),VLOOKUP($D378,素材!$1:$1016,COLUMN($F$1),FALSE))),VLOOKUP($C378,武器!$1:$998,COLUMN($O$1),FALSE)*VLOOKUP($D378,素材!$1:$1016,COLUMN($E$1),FALSE)/(LEN(VLOOKUP($D378,素材!$1:$1016,COLUMN($F$1),FALSE))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0)+IF($CJ378&lt;&gt;"",VLOOKUP($CJ378,装強!$A$1:AN$1005,COLUMN(装強!AN$1),FALSE),0)</f>
        <v>0</v>
      </c>
      <c r="AO378">
        <f>IF(ISNUMBER(SEARCH(SUBSTITUTE(AO$1,RIGHT(AO$1,2),""),VLOOKUP($D378,素材!$1:$1016,COLUMN($F$1),FALSE))),VLOOKUP($C378,武器!$1:$998,COLUMN($O$1),FALSE)*VLOOKUP($D378,素材!$1:$1016,COLUMN($E$1),FALSE)/(LEN(VLOOKUP($D378,素材!$1:$1016,COLUMN($F$1),FALSE))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0)+IF($CJ378&lt;&gt;"",VLOOKUP($CJ378,装強!$A$1:AO$1005,COLUMN(装強!AO$1),FALSE),0)</f>
        <v>0</v>
      </c>
      <c r="AP378">
        <f>IF(ISNUMBER(SEARCH(SUBSTITUTE(AP$1,RIGHT(AP$1,2),""),VLOOKUP($D378,素材!$1:$1016,COLUMN($F$1),FALSE))),VLOOKUP($C378,武器!$1:$998,COLUMN($O$1),FALSE)*VLOOKUP($D378,素材!$1:$1016,COLUMN($E$1),FALSE)/(LEN(VLOOKUP($D378,素材!$1:$1016,COLUMN($F$1),FALSE))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0)+IF($CJ378&lt;&gt;"",VLOOKUP($CJ378,装強!$A$1:AP$1005,COLUMN(装強!AP$1),FALSE),0)</f>
        <v>0</v>
      </c>
      <c r="AQ378">
        <f>IF(ISNUMBER(SEARCH(SUBSTITUTE(AQ$1,RIGHT(AQ$1,2),""),VLOOKUP($D378,素材!$1:$1016,COLUMN($F$1),FALSE))),VLOOKUP($C378,武器!$1:$998,COLUMN($O$1),FALSE)*VLOOKUP($D378,素材!$1:$1016,COLUMN($E$1),FALSE)/(LEN(VLOOKUP($D378,素材!$1:$1016,COLUMN($F$1),FALSE))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0)+IF($CJ378&lt;&gt;"",VLOOKUP($CJ378,装強!$A$1:AQ$1005,COLUMN(装強!AQ$1),FALSE),0)</f>
        <v>0</v>
      </c>
      <c r="AR378">
        <f>IF(ISNUMBER(SEARCH(SUBSTITUTE(AR$1,RIGHT(AR$1,2),""),VLOOKUP($D378,素材!$1:$1016,COLUMN($F$1),FALSE))),VLOOKUP($C378,武器!$1:$998,COLUMN($O$1),FALSE)*VLOOKUP($D378,素材!$1:$1016,COLUMN($E$1),FALSE)/(LEN(VLOOKUP($D378,素材!$1:$1016,COLUMN($F$1),FALSE))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0)+IF($CJ378&lt;&gt;"",VLOOKUP($CJ378,装強!$A$1:AR$1005,COLUMN(装強!AR$1),FALSE),0)</f>
        <v>0</v>
      </c>
      <c r="AS378">
        <f>IF(ISNUMBER(SEARCH(SUBSTITUTE(AS$1,RIGHT(AS$1,2),""),VLOOKUP($D378,素材!$1:$1016,COLUMN($F$1),FALSE))),VLOOKUP($C378,武器!$1:$998,COLUMN($O$1),FALSE)*VLOOKUP($D378,素材!$1:$1016,COLUMN($E$1),FALSE)/(LEN(VLOOKUP($D378,素材!$1:$1016,COLUMN($F$1),FALSE))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0)+IF($CJ378&lt;&gt;"",VLOOKUP($CJ378,装強!$A$1:AS$1005,COLUMN(装強!AS$1),FALSE),0)</f>
        <v>0</v>
      </c>
      <c r="AT378">
        <f>IF(ISNUMBER(SEARCH(SUBSTITUTE(AT$1,RIGHT(AT$1,2),""),VLOOKUP($D378,素材!$1:$1016,COLUMN($F$1),FALSE))),VLOOKUP($C378,武器!$1:$998,COLUMN($O$1),FALSE)*VLOOKUP($D378,素材!$1:$1016,COLUMN($E$1),FALSE)/(LEN(VLOOKUP($D378,素材!$1:$1016,COLUMN($F$1),FALSE))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0)+IF($CJ378&lt;&gt;"",VLOOKUP($CJ378,装強!$A$1:AT$1005,COLUMN(装強!AT$1),FALSE),0)</f>
        <v>0</v>
      </c>
      <c r="AU378">
        <f>IF(ISNUMBER(SEARCH(SUBSTITUTE(AU$1,RIGHT(AU$1,2),""),VLOOKUP($D378,素材!$1:$1016,COLUMN($F$1),FALSE))),VLOOKUP($C378,武器!$1:$998,COLUMN($O$1),FALSE)*VLOOKUP($D378,素材!$1:$1016,COLUMN($E$1),FALSE)/(LEN(VLOOKUP($D378,素材!$1:$1016,COLUMN($F$1),FALSE))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0)+IF($CJ378&lt;&gt;"",VLOOKUP($CJ378,装強!$A$1:AU$1005,COLUMN(装強!AU$1),FALSE),0)</f>
        <v>0</v>
      </c>
      <c r="AV378">
        <f>IF(ISNUMBER(SEARCH(SUBSTITUTE(AV$1,RIGHT(AV$1,2),""),VLOOKUP($D378,素材!$1:$1016,COLUMN($F$1),FALSE))),VLOOKUP($C378,武器!$1:$998,COLUMN($O$1),FALSE)*VLOOKUP($D378,素材!$1:$1016,COLUMN($E$1),FALSE)/(LEN(VLOOKUP($D378,素材!$1:$1016,COLUMN($F$1),FALSE))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0)+IF($CJ378&lt;&gt;"",VLOOKUP($CJ378,装強!$A$1:AV$1005,COLUMN(装強!AV$1),FALSE),0)</f>
        <v>0</v>
      </c>
      <c r="AW378">
        <f>IF(ISNUMBER(SEARCH(SUBSTITUTE(AW$1,RIGHT(AW$1,2),""),VLOOKUP($D378,素材!$1:$1016,COLUMN($F$1),FALSE))),VLOOKUP($C378,武器!$1:$998,COLUMN($O$1),FALSE)*VLOOKUP($D378,素材!$1:$1016,COLUMN($E$1),FALSE)/(LEN(VLOOKUP($D378,素材!$1:$1016,COLUMN($F$1),FALSE))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0)+IF($CJ378&lt;&gt;"",VLOOKUP($CJ378,装強!$A$1:AW$1005,COLUMN(装強!AW$1),FALSE),0)</f>
        <v>0</v>
      </c>
      <c r="AX378">
        <f>IF(ISNUMBER(SEARCH(SUBSTITUTE(AX$1,RIGHT(AX$1,2),""),VLOOKUP($D378,素材!$1:$1016,COLUMN($F$1),FALSE))),VLOOKUP($C378,武器!$1:$998,COLUMN($O$1),FALSE)*VLOOKUP($D378,素材!$1:$1016,COLUMN($E$1),FALSE)/(LEN(VLOOKUP($D378,素材!$1:$1016,COLUMN($F$1),FALSE))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0)+IF($CJ378&lt;&gt;"",VLOOKUP($CJ378,装強!$A$1:AX$1005,COLUMN(装強!AX$1),FALSE),0)</f>
        <v>0</v>
      </c>
      <c r="AY378">
        <f>IF(ISNUMBER(SEARCH(SUBSTITUTE(AY$1,RIGHT(AY$1,2),""),VLOOKUP($D378,素材!$1:$1016,COLUMN($F$1),FALSE))),VLOOKUP($C378,武器!$1:$998,COLUMN($O$1),FALSE)*VLOOKUP($D378,素材!$1:$1016,COLUMN($E$1),FALSE)/(LEN(VLOOKUP($D378,素材!$1:$1016,COLUMN($F$1),FALSE))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0)+IF($CJ378&lt;&gt;"",VLOOKUP($CJ378,装強!$A$1:AY$1005,COLUMN(装強!AY$1),FALSE),0)</f>
        <v>0</v>
      </c>
      <c r="AZ378">
        <f>IF(ISNUMBER(SEARCH(SUBSTITUTE(AZ$1,RIGHT(AZ$1,2),""),VLOOKUP($D378,素材!$1:$1016,COLUMN($F$1),FALSE))),VLOOKUP($C378,武器!$1:$998,COLUMN($O$1),FALSE)*VLOOKUP($D378,素材!$1:$1016,COLUMN($E$1),FALSE)/(LEN(VLOOKUP($D378,素材!$1:$1016,COLUMN($F$1),FALSE))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0)+IF($CJ378&lt;&gt;"",VLOOKUP($CJ378,装強!$A$1:AZ$1005,COLUMN(装強!AZ$1),FALSE),0)</f>
        <v>0</v>
      </c>
      <c r="BA378">
        <f>IF(ISNUMBER(SEARCH(SUBSTITUTE(BA$1,RIGHT(BA$1,2),""),VLOOKUP($D378,素材!$1:$1016,COLUMN($F$1),FALSE))),VLOOKUP($C378,武器!$1:$998,COLUMN($O$1),FALSE)*VLOOKUP($D378,素材!$1:$1016,COLUMN($E$1),FALSE)/(LEN(VLOOKUP($D378,素材!$1:$1016,COLUMN($F$1),FALSE))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0)+IF($CJ378&lt;&gt;"",VLOOKUP($CJ378,装強!$A$1:BA$1005,COLUMN(装強!BA$1),FALSE),0)</f>
        <v>0</v>
      </c>
      <c r="BB378">
        <f>IF(ISNUMBER(SEARCH(SUBSTITUTE(BB$1,RIGHT(BB$1,2),""),VLOOKUP($D378,素材!$1:$1016,COLUMN($F$1),FALSE))),VLOOKUP($C378,武器!$1:$998,COLUMN($O$1),FALSE)*VLOOKUP($D378,素材!$1:$1016,COLUMN($E$1),FALSE)/(LEN(VLOOKUP($D378,素材!$1:$1016,COLUMN($F$1),FALSE))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0)+IF($CJ378&lt;&gt;"",VLOOKUP($CJ378,装強!$A$1:BB$1005,COLUMN(装強!BB$1),FALSE),0)</f>
        <v>0</v>
      </c>
      <c r="BC378">
        <f>IF(ISNUMBER(SEARCH(SUBSTITUTE(BC$1,RIGHT(BC$1,2),""),VLOOKUP($D378,素材!$1:$1016,COLUMN($F$1),FALSE))),VLOOKUP($C378,武器!$1:$998,COLUMN($O$1),FALSE)*VLOOKUP($D378,素材!$1:$1016,COLUMN($E$1),FALSE)/(LEN(VLOOKUP($D378,素材!$1:$1016,COLUMN($F$1),FALSE))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0)+IF($CJ378&lt;&gt;"",VLOOKUP($CJ378,装強!$A$1:BC$1005,COLUMN(装強!BC$1),FALSE),0)</f>
        <v>0</v>
      </c>
      <c r="BD378">
        <f>IF(ISNUMBER(SEARCH(SUBSTITUTE(BD$1,RIGHT(BD$1,2),""),VLOOKUP($D378,素材!$1:$1016,COLUMN($F$1),FALSE))),VLOOKUP($C378,武器!$1:$998,COLUMN($O$1),FALSE)*VLOOKUP($D378,素材!$1:$1016,COLUMN($E$1),FALSE)/(LEN(VLOOKUP($D378,素材!$1:$1016,COLUMN($F$1),FALSE))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0)+IF($CJ378&lt;&gt;"",VLOOKUP($CJ378,装強!$A$1:BD$1005,COLUMN(装強!BD$1),FALSE),0)</f>
        <v>0</v>
      </c>
      <c r="BE378">
        <f>IF(ISNUMBER(SEARCH(SUBSTITUTE(BE$1,RIGHT(BE$1,2),""),VLOOKUP($D378,素材!$1:$1016,COLUMN($F$1),FALSE))),VLOOKUP($C378,武器!$1:$998,COLUMN($O$1),FALSE)*VLOOKUP($D378,素材!$1:$1016,COLUMN($E$1),FALSE)/(LEN(VLOOKUP($D378,素材!$1:$1016,COLUMN($F$1),FALSE))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0)+IF($CJ378&lt;&gt;"",VLOOKUP($CJ378,装強!$A$1:BE$1005,COLUMN(装強!BE$1),FALSE),0)</f>
        <v>0</v>
      </c>
      <c r="BF378">
        <f>IF(ISNUMBER(SEARCH(SUBSTITUTE(BF$1,RIGHT(BF$1,2),""),VLOOKUP($D378,素材!$1:$1016,COLUMN($F$1),FALSE))),VLOOKUP($C378,武器!$1:$998,COLUMN($O$1),FALSE)*VLOOKUP($D378,素材!$1:$1016,COLUMN($E$1),FALSE)/(LEN(VLOOKUP($D378,素材!$1:$1016,COLUMN($F$1),FALSE)) - LEN(SUBSTITUTE(VLOOKUP($D378,素材!$1:$1016,COLUMN($F$1),FALSE), "・", 0)) + 1), 0)+IF($CJ378&lt;&gt;"",VLOOKUP($CJ378,装強!$A$1:BF$1005,COLUMN(装強!BF$1),FALSE),0)</f>
        <v>0</v>
      </c>
      <c r="CM378">
        <f t="shared" si="44"/>
        <v>0</v>
      </c>
      <c r="CN378" s="22" t="str">
        <f>IF(E378="武器",IF(J378-1&gt;SUM(G378:I378),"盾",IF(MAX(G378:I378)=G378,"切断",IF(MAX(G378:I378)=H378,"貫通",IF(MAX(G378:I378)=I378,"打撃","射撃")))),E378)&amp;".webp"</f>
        <v>.webp</v>
      </c>
      <c r="CO378" t="str">
        <f>IFERROR(VLOOKUP($C378,武器!$1:$998,COLUMN(V$1),FALSE)*VLOOKUP($D378,素材!$1:$1016,COLUMN(N$1),FALSE)+IF(CJ378="",0,VLOOKUP($CJ378,装強!$1:$1008,COLUMN($CL$1),FALSE)),"")</f>
        <v/>
      </c>
      <c r="CP378" t="e">
        <f>VLOOKUP(D378,素材!$A:$O,COLUMN(素材!O$1),FALSE)</f>
        <v>#N/A</v>
      </c>
      <c r="CQ378" t="e">
        <f>VLOOKUP(C378,武器!$A:$W,COLUMN(武器!W$1),FALSE)</f>
        <v>#N/A</v>
      </c>
      <c r="CS378" t="str">
        <f>"e_"&amp;ROW(CS378)</f>
        <v>e_378</v>
      </c>
      <c r="CT378" t="e">
        <f t="shared" si="45"/>
        <v>#VALUE!</v>
      </c>
    </row>
    <row r="379" spans="1:98" x14ac:dyDescent="0.4">
      <c r="B379" t="str">
        <f>IFERROR(VLOOKUP($D379,素材!$1:$1016,COLUMN($B$1),FALSE)&amp;"・"&amp;VLOOKUP($C379,武器!$1:$998,COLUMN(B$1),FALSE),"")</f>
        <v/>
      </c>
      <c r="D379" s="24"/>
      <c r="E379" t="str">
        <f>IFERROR(VLOOKUP(C379,武器!$1:$998,COLUMN(C$1),FALSE),"")</f>
        <v/>
      </c>
      <c r="F379" t="str">
        <f>IFERROR(ROUNDDOWN((VLOOKUP($C379,武器!$1:$998,COLUMN(D$1),FALSE)+IFERROR(VLOOKUP($CJ379,装強!$1:$999,COLUMN(F$1),FALSE),0))*VLOOKUP($D379,素材!$1:$1016,COLUMN(D$1),FALSE),0),"")</f>
        <v/>
      </c>
      <c r="G379" t="str">
        <f>IFERROR(ROUNDDOWN((VLOOKUP($C379,武器!$1:$998,COLUMN(E$1),FALSE)+IFERROR(VLOOKUP($CJ379,装強!$1:$999,COLUMN(G$1),FALSE),0))*VLOOKUP($D379,素材!$1:$1016,COLUMN($E$1),FALSE),0),"")</f>
        <v/>
      </c>
      <c r="H379" t="str">
        <f>IFERROR(ROUNDDOWN((VLOOKUP($C379,武器!$1:$998,COLUMN(F$1),FALSE)+IFERROR(VLOOKUP($CJ379,装強!$1:$999,COLUMN(H$1),FALSE),0))*VLOOKUP($D379,素材!$1:$1016,COLUMN($E$1),FALSE),0),"")</f>
        <v/>
      </c>
      <c r="I379" t="str">
        <f>IFERROR(ROUNDDOWN((VLOOKUP($C379,武器!$1:$998,COLUMN(G$1),FALSE)+IFERROR(VLOOKUP($CJ379,装強!$1:$999,COLUMN(I$1),FALSE),0))*VLOOKUP($D379,素材!$1:$1016,COLUMN($E$1),FALSE),0),"")</f>
        <v/>
      </c>
      <c r="J379" t="str">
        <f>IFERROR(ROUNDDOWN((VLOOKUP($C379,武器!$1:$998,COLUMN(H$1),FALSE)+IFERROR(VLOOKUP($CJ379,装強!$1:$999,COLUMN(J$1),FALSE),0))*VLOOKUP($D379,素材!$1:$1016,COLUMN($E$1),FALSE),0),"")</f>
        <v/>
      </c>
      <c r="K379" t="str">
        <f>IFERROR(ROUNDDOWN((VLOOKUP($C379,武器!$1:$998,COLUMN(I$1),FALSE)+IFERROR(VLOOKUP($CJ379,装強!$1:$999,COLUMN(K$1),FALSE),0))*VLOOKUP($D379,素材!$1:$1016,COLUMN($E$1),FALSE),0),"")</f>
        <v/>
      </c>
      <c r="L379" t="str">
        <f>IFERROR(VLOOKUP($D379,素材!$1:$1016,COLUMN($F$1),FALSE),"")</f>
        <v/>
      </c>
      <c r="M379" t="str">
        <f>IFERROR(VLOOKUP($C379,武器!$1:$998,COLUMN(AA$1),FALSE)*VLOOKUP($D379,素材!$1:$1016,COLUMN($G$1),FALSE),"")</f>
        <v/>
      </c>
      <c r="N379" t="str">
        <f>IFERROR(VLOOKUP($C379,武器!$1:$998,COLUMN(I$1),FALSE),"")</f>
        <v/>
      </c>
      <c r="O379" s="23" t="str">
        <f>IFERROR((VLOOKUP($C379,武器!$1:$998,COLUMN(K$1),FALSE)+VLOOKUP($D379,素材!$1:$1016,COLUMN(H$1),FALSE))*100+IFERROR(VLOOKUP($CJ379,装強!$1:$999,COLUMN(O$1),FALSE),0),"")</f>
        <v/>
      </c>
      <c r="P379" s="23" t="str">
        <f>IFERROR((VLOOKUP($C379,武器!$1:$998,COLUMN(L$1),FALSE)+VLOOKUP($D379,素材!$1:$1016,COLUMN(I$1),FALSE))*100+IFERROR(VLOOKUP($CJ379,装強!$1:$999,COLUMN(P$1),FALSE),0),"")</f>
        <v/>
      </c>
      <c r="Q379" t="str">
        <f>IFERROR(ROUNDUP(VLOOKUP($C379,武器!$1:$998,COLUMN(M$1),FALSE)*(VLOOKUP($D379,素材!$1:$1002,COLUMN(D$1),FALSE)/100),1),"")</f>
        <v/>
      </c>
      <c r="R379" t="str">
        <f>IFERROR(ROUNDUP(VLOOKUP($C379,武器!$1:$998,COLUMN(N$1),FALSE)*(VLOOKUP($D379,素材!$1:$1002,COLUMN(D$1),FALSE)/100),1),"")</f>
        <v/>
      </c>
      <c r="S379" t="str">
        <f>IFERROR(VLOOKUP($C379,武器!$1:$998,COLUMN(P$1),FALSE),"")</f>
        <v/>
      </c>
      <c r="T379" t="str">
        <f>IFERROR(VLOOKUP($C379,武器!$1:$998,COLUMN(Q$1),FALSE),"")</f>
        <v/>
      </c>
      <c r="U379" t="str">
        <f>IFERROR(VLOOKUP($C379,武器!$1:$998,COLUMN(R$1),FALSE),"")</f>
        <v/>
      </c>
      <c r="V379" t="str">
        <f>IFERROR(VLOOKUP($C379,武器!$1:$998,COLUMN(Q$1),FALSE),"")</f>
        <v/>
      </c>
      <c r="W379" t="str">
        <f>IFERROR(VLOOKUP($C379,武器!$1:$998,COLUMN(T$1),FALSE),"")</f>
        <v/>
      </c>
      <c r="Y379" t="str">
        <f>IFERROR(VLOOKUP($C379,武器!$1:$998,COLUMN(U$1),FALSE),"")</f>
        <v/>
      </c>
      <c r="Z379" t="str">
        <f>IFERROR(ROUNDUP(VLOOKUP($C379,武器!$1:$998,COLUMN(O$1),FALSE)*VLOOKUP($D379,素材!$1:$1016,COLUMN(E$1),FALSE),1),"")</f>
        <v/>
      </c>
      <c r="AA379">
        <f>IF(ISNUMBER(SEARCH(SUBSTITUTE(AA$1,RIGHT(AA$1,2),""),VLOOKUP($D379,素材!$1:$1016,COLUMN($F$1),FALSE))),VLOOKUP($C379,武器!$1:$998,COLUMN($O$1),FALSE)*VLOOKUP($D379,素材!$1:$1016,COLUMN($E$1),FALSE)/(LEN(VLOOKUP($D379,素材!$1:$1016,COLUMN($F$1),FALSE))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</f>
        <v>0</v>
      </c>
      <c r="AB379">
        <f>IF(ISNUMBER(SEARCH(SUBSTITUTE(AB$1,RIGHT(AB$1,2),""),VLOOKUP($D379,素材!$1:$1016,COLUMN($F$1),FALSE))),VLOOKUP($C379,武器!$1:$998,COLUMN($O$1),FALSE)*VLOOKUP($D379,素材!$1:$1016,COLUMN($E$1),FALSE)/(LEN(VLOOKUP($D379,素材!$1:$1016,COLUMN($F$1),FALSE))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</f>
        <v>0</v>
      </c>
      <c r="AC379">
        <f>IF(ISNUMBER(SEARCH(SUBSTITUTE(AC$1,RIGHT(AC$1,2),""),VLOOKUP($D379,素材!$1:$1016,COLUMN($F$1),FALSE))),VLOOKUP($C379,武器!$1:$998,COLUMN($O$1),FALSE)*VLOOKUP($D379,素材!$1:$1016,COLUMN($E$1),FALSE)/(LEN(VLOOKUP($D379,素材!$1:$1016,COLUMN($F$1),FALSE))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</f>
        <v>0</v>
      </c>
      <c r="AD379">
        <f>IF(ISNUMBER(SEARCH(SUBSTITUTE(AD$1,RIGHT(AD$1,2),""),VLOOKUP($D379,素材!$1:$1016,COLUMN($F$1),FALSE))),VLOOKUP($C379,武器!$1:$998,COLUMN($O$1),FALSE)*VLOOKUP($D379,素材!$1:$1016,COLUMN($E$1),FALSE)/(LEN(VLOOKUP($D379,素材!$1:$1016,COLUMN($F$1),FALSE))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</f>
        <v>0</v>
      </c>
      <c r="AE379">
        <f>IF(ISNUMBER(SEARCH(SUBSTITUTE(AE$1,RIGHT(AE$1,2),""),VLOOKUP($D379,素材!$1:$1016,COLUMN($F$1),FALSE))),VLOOKUP($C379,武器!$1:$998,COLUMN($O$1),FALSE)*VLOOKUP($D379,素材!$1:$1016,COLUMN($E$1),FALSE)/(LEN(VLOOKUP($D379,素材!$1:$1016,COLUMN($F$1),FALSE))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0)+IF($CJ379&lt;&gt;"",VLOOKUP($CJ379,装強!$A$1:AE$1005,COLUMN(装強!AE$1),FALSE),0)</f>
        <v>0</v>
      </c>
      <c r="AF379">
        <f>IF(ISNUMBER(SEARCH(SUBSTITUTE(AF$1,RIGHT(AF$1,2),""),VLOOKUP($D379,素材!$1:$1016,COLUMN($F$1),FALSE))),VLOOKUP($C379,武器!$1:$998,COLUMN($O$1),FALSE)*VLOOKUP($D379,素材!$1:$1016,COLUMN($E$1),FALSE)/(LEN(VLOOKUP($D379,素材!$1:$1016,COLUMN($F$1),FALSE))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0)+IF($CJ379&lt;&gt;"",VLOOKUP($CJ379,装強!$A$1:AF$1005,COLUMN(装強!AF$1),FALSE),0)</f>
        <v>0</v>
      </c>
      <c r="AG379">
        <f>IF(ISNUMBER(SEARCH(SUBSTITUTE(AG$1,RIGHT(AG$1,2),""),VLOOKUP($D379,素材!$1:$1016,COLUMN($F$1),FALSE))),VLOOKUP($C379,武器!$1:$998,COLUMN($O$1),FALSE)*VLOOKUP($D379,素材!$1:$1016,COLUMN($E$1),FALSE)/(LEN(VLOOKUP($D379,素材!$1:$1016,COLUMN($F$1),FALSE))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0)+IF($CJ379&lt;&gt;"",VLOOKUP($CJ379,装強!$A$1:AG$1005,COLUMN(装強!AG$1),FALSE),0)</f>
        <v>0</v>
      </c>
      <c r="AH379">
        <f>IF(ISNUMBER(SEARCH(SUBSTITUTE(AH$1,RIGHT(AH$1,2),""),VLOOKUP($D379,素材!$1:$1016,COLUMN($F$1),FALSE))),VLOOKUP($C379,武器!$1:$998,COLUMN($O$1),FALSE)*VLOOKUP($D379,素材!$1:$1016,COLUMN($E$1),FALSE)/(LEN(VLOOKUP($D379,素材!$1:$1016,COLUMN($F$1),FALSE))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0)+IF($CJ379&lt;&gt;"",VLOOKUP($CJ379,装強!$A$1:AH$1005,COLUMN(装強!AH$1),FALSE),0)</f>
        <v>0</v>
      </c>
      <c r="AI379">
        <f>IF(ISNUMBER(SEARCH(SUBSTITUTE(AI$1,RIGHT(AI$1,2),""),VLOOKUP($D379,素材!$1:$1016,COLUMN($F$1),FALSE))),VLOOKUP($C379,武器!$1:$998,COLUMN($O$1),FALSE)*VLOOKUP($D379,素材!$1:$1016,COLUMN($E$1),FALSE)/(LEN(VLOOKUP($D379,素材!$1:$1016,COLUMN($F$1),FALSE))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0)+IF($CJ379&lt;&gt;"",VLOOKUP($CJ379,装強!$A$1:AI$1005,COLUMN(装強!AI$1),FALSE),0)</f>
        <v>0</v>
      </c>
      <c r="AJ379">
        <f>IF(ISNUMBER(SEARCH(SUBSTITUTE(AJ$1,RIGHT(AJ$1,2),""),VLOOKUP($D379,素材!$1:$1016,COLUMN($F$1),FALSE))),VLOOKUP($C379,武器!$1:$998,COLUMN($O$1),FALSE)*VLOOKUP($D379,素材!$1:$1016,COLUMN($E$1),FALSE)/(LEN(VLOOKUP($D379,素材!$1:$1016,COLUMN($F$1),FALSE))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0)+IF($CJ379&lt;&gt;"",VLOOKUP($CJ379,装強!$A$1:AJ$1005,COLUMN(装強!AJ$1),FALSE),0)</f>
        <v>0</v>
      </c>
      <c r="AK379">
        <f>IF(ISNUMBER(SEARCH(SUBSTITUTE(AK$1,RIGHT(AK$1,2),""),VLOOKUP($D379,素材!$1:$1016,COLUMN($F$1),FALSE))),VLOOKUP($C379,武器!$1:$998,COLUMN($O$1),FALSE)*VLOOKUP($D379,素材!$1:$1016,COLUMN($E$1),FALSE)/(LEN(VLOOKUP($D379,素材!$1:$1016,COLUMN($F$1),FALSE))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0)+IF($CJ379&lt;&gt;"",VLOOKUP($CJ379,装強!$A$1:AK$1005,COLUMN(装強!AK$1),FALSE),0)</f>
        <v>0</v>
      </c>
      <c r="AL379">
        <f>IF(ISNUMBER(SEARCH(SUBSTITUTE(AL$1,RIGHT(AL$1,2),""),VLOOKUP($D379,素材!$1:$1016,COLUMN($F$1),FALSE))),VLOOKUP($C379,武器!$1:$998,COLUMN($O$1),FALSE)*VLOOKUP($D379,素材!$1:$1016,COLUMN($E$1),FALSE)/(LEN(VLOOKUP($D379,素材!$1:$1016,COLUMN($F$1),FALSE))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0)+IF($CJ379&lt;&gt;"",VLOOKUP($CJ379,装強!$A$1:AL$1005,COLUMN(装強!AL$1),FALSE),0)</f>
        <v>0</v>
      </c>
      <c r="AM379">
        <f>IF(ISNUMBER(SEARCH(SUBSTITUTE(AM$1,RIGHT(AM$1,2),""),VLOOKUP($D379,素材!$1:$1016,COLUMN($F$1),FALSE))),VLOOKUP($C379,武器!$1:$998,COLUMN($O$1),FALSE)*VLOOKUP($D379,素材!$1:$1016,COLUMN($E$1),FALSE)/(LEN(VLOOKUP($D379,素材!$1:$1016,COLUMN($F$1),FALSE))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0)+IF($CJ379&lt;&gt;"",VLOOKUP($CJ379,装強!$A$1:AM$1005,COLUMN(装強!AM$1),FALSE),0)</f>
        <v>0</v>
      </c>
      <c r="AN379">
        <f>IF(ISNUMBER(SEARCH(SUBSTITUTE(AN$1,RIGHT(AN$1,2),""),VLOOKUP($D379,素材!$1:$1016,COLUMN($F$1),FALSE))),VLOOKUP($C379,武器!$1:$998,COLUMN($O$1),FALSE)*VLOOKUP($D379,素材!$1:$1016,COLUMN($E$1),FALSE)/(LEN(VLOOKUP($D379,素材!$1:$1016,COLUMN($F$1),FALSE))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0)+IF($CJ379&lt;&gt;"",VLOOKUP($CJ379,装強!$A$1:AN$1005,COLUMN(装強!AN$1),FALSE),0)</f>
        <v>0</v>
      </c>
      <c r="AO379">
        <f>IF(ISNUMBER(SEARCH(SUBSTITUTE(AO$1,RIGHT(AO$1,2),""),VLOOKUP($D379,素材!$1:$1016,COLUMN($F$1),FALSE))),VLOOKUP($C379,武器!$1:$998,COLUMN($O$1),FALSE)*VLOOKUP($D379,素材!$1:$1016,COLUMN($E$1),FALSE)/(LEN(VLOOKUP($D379,素材!$1:$1016,COLUMN($F$1),FALSE))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0)+IF($CJ379&lt;&gt;"",VLOOKUP($CJ379,装強!$A$1:AO$1005,COLUMN(装強!AO$1),FALSE),0)</f>
        <v>0</v>
      </c>
      <c r="AP379">
        <f>IF(ISNUMBER(SEARCH(SUBSTITUTE(AP$1,RIGHT(AP$1,2),""),VLOOKUP($D379,素材!$1:$1016,COLUMN($F$1),FALSE))),VLOOKUP($C379,武器!$1:$998,COLUMN($O$1),FALSE)*VLOOKUP($D379,素材!$1:$1016,COLUMN($E$1),FALSE)/(LEN(VLOOKUP($D379,素材!$1:$1016,COLUMN($F$1),FALSE))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0)+IF($CJ379&lt;&gt;"",VLOOKUP($CJ379,装強!$A$1:AP$1005,COLUMN(装強!AP$1),FALSE),0)</f>
        <v>0</v>
      </c>
      <c r="AQ379">
        <f>IF(ISNUMBER(SEARCH(SUBSTITUTE(AQ$1,RIGHT(AQ$1,2),""),VLOOKUP($D379,素材!$1:$1016,COLUMN($F$1),FALSE))),VLOOKUP($C379,武器!$1:$998,COLUMN($O$1),FALSE)*VLOOKUP($D379,素材!$1:$1016,COLUMN($E$1),FALSE)/(LEN(VLOOKUP($D379,素材!$1:$1016,COLUMN($F$1),FALSE))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0)+IF($CJ379&lt;&gt;"",VLOOKUP($CJ379,装強!$A$1:AQ$1005,COLUMN(装強!AQ$1),FALSE),0)</f>
        <v>0</v>
      </c>
      <c r="AR379">
        <f>IF(ISNUMBER(SEARCH(SUBSTITUTE(AR$1,RIGHT(AR$1,2),""),VLOOKUP($D379,素材!$1:$1016,COLUMN($F$1),FALSE))),VLOOKUP($C379,武器!$1:$998,COLUMN($O$1),FALSE)*VLOOKUP($D379,素材!$1:$1016,COLUMN($E$1),FALSE)/(LEN(VLOOKUP($D379,素材!$1:$1016,COLUMN($F$1),FALSE))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0)+IF($CJ379&lt;&gt;"",VLOOKUP($CJ379,装強!$A$1:AR$1005,COLUMN(装強!AR$1),FALSE),0)</f>
        <v>0</v>
      </c>
      <c r="AS379">
        <f>IF(ISNUMBER(SEARCH(SUBSTITUTE(AS$1,RIGHT(AS$1,2),""),VLOOKUP($D379,素材!$1:$1016,COLUMN($F$1),FALSE))),VLOOKUP($C379,武器!$1:$998,COLUMN($O$1),FALSE)*VLOOKUP($D379,素材!$1:$1016,COLUMN($E$1),FALSE)/(LEN(VLOOKUP($D379,素材!$1:$1016,COLUMN($F$1),FALSE))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0)+IF($CJ379&lt;&gt;"",VLOOKUP($CJ379,装強!$A$1:AS$1005,COLUMN(装強!AS$1),FALSE),0)</f>
        <v>0</v>
      </c>
      <c r="AT379">
        <f>IF(ISNUMBER(SEARCH(SUBSTITUTE(AT$1,RIGHT(AT$1,2),""),VLOOKUP($D379,素材!$1:$1016,COLUMN($F$1),FALSE))),VLOOKUP($C379,武器!$1:$998,COLUMN($O$1),FALSE)*VLOOKUP($D379,素材!$1:$1016,COLUMN($E$1),FALSE)/(LEN(VLOOKUP($D379,素材!$1:$1016,COLUMN($F$1),FALSE))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0)+IF($CJ379&lt;&gt;"",VLOOKUP($CJ379,装強!$A$1:AT$1005,COLUMN(装強!AT$1),FALSE),0)</f>
        <v>0</v>
      </c>
      <c r="AU379">
        <f>IF(ISNUMBER(SEARCH(SUBSTITUTE(AU$1,RIGHT(AU$1,2),""),VLOOKUP($D379,素材!$1:$1016,COLUMN($F$1),FALSE))),VLOOKUP($C379,武器!$1:$998,COLUMN($O$1),FALSE)*VLOOKUP($D379,素材!$1:$1016,COLUMN($E$1),FALSE)/(LEN(VLOOKUP($D379,素材!$1:$1016,COLUMN($F$1),FALSE))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0)+IF($CJ379&lt;&gt;"",VLOOKUP($CJ379,装強!$A$1:AU$1005,COLUMN(装強!AU$1),FALSE),0)</f>
        <v>0</v>
      </c>
      <c r="AV379">
        <f>IF(ISNUMBER(SEARCH(SUBSTITUTE(AV$1,RIGHT(AV$1,2),""),VLOOKUP($D379,素材!$1:$1016,COLUMN($F$1),FALSE))),VLOOKUP($C379,武器!$1:$998,COLUMN($O$1),FALSE)*VLOOKUP($D379,素材!$1:$1016,COLUMN($E$1),FALSE)/(LEN(VLOOKUP($D379,素材!$1:$1016,COLUMN($F$1),FALSE))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0)+IF($CJ379&lt;&gt;"",VLOOKUP($CJ379,装強!$A$1:AV$1005,COLUMN(装強!AV$1),FALSE),0)</f>
        <v>0</v>
      </c>
      <c r="AW379">
        <f>IF(ISNUMBER(SEARCH(SUBSTITUTE(AW$1,RIGHT(AW$1,2),""),VLOOKUP($D379,素材!$1:$1016,COLUMN($F$1),FALSE))),VLOOKUP($C379,武器!$1:$998,COLUMN($O$1),FALSE)*VLOOKUP($D379,素材!$1:$1016,COLUMN($E$1),FALSE)/(LEN(VLOOKUP($D379,素材!$1:$1016,COLUMN($F$1),FALSE))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0)+IF($CJ379&lt;&gt;"",VLOOKUP($CJ379,装強!$A$1:AW$1005,COLUMN(装強!AW$1),FALSE),0)</f>
        <v>0</v>
      </c>
      <c r="AX379">
        <f>IF(ISNUMBER(SEARCH(SUBSTITUTE(AX$1,RIGHT(AX$1,2),""),VLOOKUP($D379,素材!$1:$1016,COLUMN($F$1),FALSE))),VLOOKUP($C379,武器!$1:$998,COLUMN($O$1),FALSE)*VLOOKUP($D379,素材!$1:$1016,COLUMN($E$1),FALSE)/(LEN(VLOOKUP($D379,素材!$1:$1016,COLUMN($F$1),FALSE))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0)+IF($CJ379&lt;&gt;"",VLOOKUP($CJ379,装強!$A$1:AX$1005,COLUMN(装強!AX$1),FALSE),0)</f>
        <v>0</v>
      </c>
      <c r="AY379">
        <f>IF(ISNUMBER(SEARCH(SUBSTITUTE(AY$1,RIGHT(AY$1,2),""),VLOOKUP($D379,素材!$1:$1016,COLUMN($F$1),FALSE))),VLOOKUP($C379,武器!$1:$998,COLUMN($O$1),FALSE)*VLOOKUP($D379,素材!$1:$1016,COLUMN($E$1),FALSE)/(LEN(VLOOKUP($D379,素材!$1:$1016,COLUMN($F$1),FALSE))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0)+IF($CJ379&lt;&gt;"",VLOOKUP($CJ379,装強!$A$1:AY$1005,COLUMN(装強!AY$1),FALSE),0)</f>
        <v>0</v>
      </c>
      <c r="AZ379">
        <f>IF(ISNUMBER(SEARCH(SUBSTITUTE(AZ$1,RIGHT(AZ$1,2),""),VLOOKUP($D379,素材!$1:$1016,COLUMN($F$1),FALSE))),VLOOKUP($C379,武器!$1:$998,COLUMN($O$1),FALSE)*VLOOKUP($D379,素材!$1:$1016,COLUMN($E$1),FALSE)/(LEN(VLOOKUP($D379,素材!$1:$1016,COLUMN($F$1),FALSE))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0)+IF($CJ379&lt;&gt;"",VLOOKUP($CJ379,装強!$A$1:AZ$1005,COLUMN(装強!AZ$1),FALSE),0)</f>
        <v>0</v>
      </c>
      <c r="BA379">
        <f>IF(ISNUMBER(SEARCH(SUBSTITUTE(BA$1,RIGHT(BA$1,2),""),VLOOKUP($D379,素材!$1:$1016,COLUMN($F$1),FALSE))),VLOOKUP($C379,武器!$1:$998,COLUMN($O$1),FALSE)*VLOOKUP($D379,素材!$1:$1016,COLUMN($E$1),FALSE)/(LEN(VLOOKUP($D379,素材!$1:$1016,COLUMN($F$1),FALSE))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0)+IF($CJ379&lt;&gt;"",VLOOKUP($CJ379,装強!$A$1:BA$1005,COLUMN(装強!BA$1),FALSE),0)</f>
        <v>0</v>
      </c>
      <c r="BB379">
        <f>IF(ISNUMBER(SEARCH(SUBSTITUTE(BB$1,RIGHT(BB$1,2),""),VLOOKUP($D379,素材!$1:$1016,COLUMN($F$1),FALSE))),VLOOKUP($C379,武器!$1:$998,COLUMN($O$1),FALSE)*VLOOKUP($D379,素材!$1:$1016,COLUMN($E$1),FALSE)/(LEN(VLOOKUP($D379,素材!$1:$1016,COLUMN($F$1),FALSE))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0)+IF($CJ379&lt;&gt;"",VLOOKUP($CJ379,装強!$A$1:BB$1005,COLUMN(装強!BB$1),FALSE),0)</f>
        <v>0</v>
      </c>
      <c r="BC379">
        <f>IF(ISNUMBER(SEARCH(SUBSTITUTE(BC$1,RIGHT(BC$1,2),""),VLOOKUP($D379,素材!$1:$1016,COLUMN($F$1),FALSE))),VLOOKUP($C379,武器!$1:$998,COLUMN($O$1),FALSE)*VLOOKUP($D379,素材!$1:$1016,COLUMN($E$1),FALSE)/(LEN(VLOOKUP($D379,素材!$1:$1016,COLUMN($F$1),FALSE))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0)+IF($CJ379&lt;&gt;"",VLOOKUP($CJ379,装強!$A$1:BC$1005,COLUMN(装強!BC$1),FALSE),0)</f>
        <v>0</v>
      </c>
      <c r="BD379">
        <f>IF(ISNUMBER(SEARCH(SUBSTITUTE(BD$1,RIGHT(BD$1,2),""),VLOOKUP($D379,素材!$1:$1016,COLUMN($F$1),FALSE))),VLOOKUP($C379,武器!$1:$998,COLUMN($O$1),FALSE)*VLOOKUP($D379,素材!$1:$1016,COLUMN($E$1),FALSE)/(LEN(VLOOKUP($D379,素材!$1:$1016,COLUMN($F$1),FALSE))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0)+IF($CJ379&lt;&gt;"",VLOOKUP($CJ379,装強!$A$1:BD$1005,COLUMN(装強!BD$1),FALSE),0)</f>
        <v>0</v>
      </c>
      <c r="BE379">
        <f>IF(ISNUMBER(SEARCH(SUBSTITUTE(BE$1,RIGHT(BE$1,2),""),VLOOKUP($D379,素材!$1:$1016,COLUMN($F$1),FALSE))),VLOOKUP($C379,武器!$1:$998,COLUMN($O$1),FALSE)*VLOOKUP($D379,素材!$1:$1016,COLUMN($E$1),FALSE)/(LEN(VLOOKUP($D379,素材!$1:$1016,COLUMN($F$1),FALSE))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0)+IF($CJ379&lt;&gt;"",VLOOKUP($CJ379,装強!$A$1:BE$1005,COLUMN(装強!BE$1),FALSE),0)</f>
        <v>0</v>
      </c>
      <c r="BF379">
        <f>IF(ISNUMBER(SEARCH(SUBSTITUTE(BF$1,RIGHT(BF$1,2),""),VLOOKUP($D379,素材!$1:$1016,COLUMN($F$1),FALSE))),VLOOKUP($C379,武器!$1:$998,COLUMN($O$1),FALSE)*VLOOKUP($D379,素材!$1:$1016,COLUMN($E$1),FALSE)/(LEN(VLOOKUP($D379,素材!$1:$1016,COLUMN($F$1),FALSE)) - LEN(SUBSTITUTE(VLOOKUP($D379,素材!$1:$1016,COLUMN($F$1),FALSE), "・", 0)) + 1), 0)+IF($CJ379&lt;&gt;"",VLOOKUP($CJ379,装強!$A$1:BF$1005,COLUMN(装強!BF$1),FALSE),0)</f>
        <v>0</v>
      </c>
      <c r="CM379">
        <f t="shared" si="44"/>
        <v>0</v>
      </c>
      <c r="CN379" s="22" t="str">
        <f>IF(E379="武器",IF(J379-1&gt;SUM(G379:I379),"盾",IF(MAX(G379:I379)=G379,"切断",IF(MAX(G379:I379)=H379,"貫通",IF(MAX(G379:I379)=I379,"打撃","射撃")))),E379)&amp;".webp"</f>
        <v>.webp</v>
      </c>
      <c r="CO379" t="str">
        <f>IFERROR(VLOOKUP($C379,武器!$1:$998,COLUMN(V$1),FALSE)*VLOOKUP($D379,素材!$1:$1016,COLUMN(N$1),FALSE)+IF(CJ379="",0,VLOOKUP($CJ379,装強!$1:$1008,COLUMN($CL$1),FALSE)),"")</f>
        <v/>
      </c>
      <c r="CP379" t="e">
        <f>VLOOKUP(D379,素材!$A:$O,COLUMN(素材!O$1),FALSE)</f>
        <v>#N/A</v>
      </c>
      <c r="CQ379" t="e">
        <f>VLOOKUP(C379,武器!$A:$W,COLUMN(武器!W$1),FALSE)</f>
        <v>#N/A</v>
      </c>
      <c r="CS379" t="str">
        <f>"e_"&amp;ROW(CS379)</f>
        <v>e_379</v>
      </c>
      <c r="CT379" t="e">
        <f t="shared" si="45"/>
        <v>#VALUE!</v>
      </c>
    </row>
    <row r="380" spans="1:98" x14ac:dyDescent="0.4">
      <c r="B380" t="str">
        <f>IFERROR(VLOOKUP($D380,素材!$1:$1016,COLUMN($B$1),FALSE)&amp;"・"&amp;VLOOKUP($C380,武器!$1:$998,COLUMN(B$1),FALSE),"")</f>
        <v/>
      </c>
      <c r="D380" s="24"/>
      <c r="E380" t="str">
        <f>IFERROR(VLOOKUP(C380,武器!$1:$998,COLUMN(C$1),FALSE),"")</f>
        <v/>
      </c>
      <c r="F380" t="str">
        <f>IFERROR(ROUNDDOWN((VLOOKUP($C380,武器!$1:$998,COLUMN(D$1),FALSE)+IFERROR(VLOOKUP($CJ380,装強!$1:$999,COLUMN(F$1),FALSE),0))*VLOOKUP($D380,素材!$1:$1016,COLUMN(D$1),FALSE),0),"")</f>
        <v/>
      </c>
      <c r="G380" t="str">
        <f>IFERROR(ROUNDDOWN((VLOOKUP($C380,武器!$1:$998,COLUMN(E$1),FALSE)+IFERROR(VLOOKUP($CJ380,装強!$1:$999,COLUMN(G$1),FALSE),0))*VLOOKUP($D380,素材!$1:$1016,COLUMN($E$1),FALSE),0),"")</f>
        <v/>
      </c>
      <c r="H380" t="str">
        <f>IFERROR(ROUNDDOWN((VLOOKUP($C380,武器!$1:$998,COLUMN(F$1),FALSE)+IFERROR(VLOOKUP($CJ380,装強!$1:$999,COLUMN(H$1),FALSE),0))*VLOOKUP($D380,素材!$1:$1016,COLUMN($E$1),FALSE),0),"")</f>
        <v/>
      </c>
      <c r="I380" t="str">
        <f>IFERROR(ROUNDDOWN((VLOOKUP($C380,武器!$1:$998,COLUMN(G$1),FALSE)+IFERROR(VLOOKUP($CJ380,装強!$1:$999,COLUMN(I$1),FALSE),0))*VLOOKUP($D380,素材!$1:$1016,COLUMN($E$1),FALSE),0),"")</f>
        <v/>
      </c>
      <c r="J380" t="str">
        <f>IFERROR(ROUNDDOWN((VLOOKUP($C380,武器!$1:$998,COLUMN(H$1),FALSE)+IFERROR(VLOOKUP($CJ380,装強!$1:$999,COLUMN(J$1),FALSE),0))*VLOOKUP($D380,素材!$1:$1016,COLUMN($E$1),FALSE),0),"")</f>
        <v/>
      </c>
      <c r="K380" t="str">
        <f>IFERROR(ROUNDDOWN((VLOOKUP($C380,武器!$1:$998,COLUMN(I$1),FALSE)+IFERROR(VLOOKUP($CJ380,装強!$1:$999,COLUMN(K$1),FALSE),0))*VLOOKUP($D380,素材!$1:$1016,COLUMN($E$1),FALSE),0),"")</f>
        <v/>
      </c>
      <c r="L380" t="str">
        <f>IFERROR(VLOOKUP($D380,素材!$1:$1016,COLUMN($F$1),FALSE),"")</f>
        <v/>
      </c>
      <c r="M380" t="str">
        <f>IFERROR(VLOOKUP($C380,武器!$1:$998,COLUMN(AA$1),FALSE)*VLOOKUP($D380,素材!$1:$1016,COLUMN($G$1),FALSE),"")</f>
        <v/>
      </c>
      <c r="N380" t="str">
        <f>IFERROR(VLOOKUP($C380,武器!$1:$998,COLUMN(I$1),FALSE),"")</f>
        <v/>
      </c>
      <c r="O380" s="23" t="str">
        <f>IFERROR((VLOOKUP($C380,武器!$1:$998,COLUMN(K$1),FALSE)+VLOOKUP($D380,素材!$1:$1016,COLUMN(H$1),FALSE))*100+IFERROR(VLOOKUP($CJ380,装強!$1:$999,COLUMN(O$1),FALSE),0),"")</f>
        <v/>
      </c>
      <c r="P380" s="23" t="str">
        <f>IFERROR((VLOOKUP($C380,武器!$1:$998,COLUMN(L$1),FALSE)+VLOOKUP($D380,素材!$1:$1016,COLUMN(I$1),FALSE))*100+IFERROR(VLOOKUP($CJ380,装強!$1:$999,COLUMN(P$1),FALSE),0),"")</f>
        <v/>
      </c>
      <c r="Q380" t="str">
        <f>IFERROR(ROUNDUP(VLOOKUP($C380,武器!$1:$998,COLUMN(M$1),FALSE)*(VLOOKUP($D380,素材!$1:$1002,COLUMN(D$1),FALSE)/100),1),"")</f>
        <v/>
      </c>
      <c r="R380" t="str">
        <f>IFERROR(ROUNDUP(VLOOKUP($C380,武器!$1:$998,COLUMN(N$1),FALSE)*(VLOOKUP($D380,素材!$1:$1002,COLUMN(D$1),FALSE)/100),1),"")</f>
        <v/>
      </c>
      <c r="S380" t="str">
        <f>IFERROR(VLOOKUP($C380,武器!$1:$998,COLUMN(P$1),FALSE),"")</f>
        <v/>
      </c>
      <c r="T380" t="str">
        <f>IFERROR(VLOOKUP($C380,武器!$1:$998,COLUMN(Q$1),FALSE),"")</f>
        <v/>
      </c>
      <c r="U380" t="str">
        <f>IFERROR(VLOOKUP($C380,武器!$1:$998,COLUMN(R$1),FALSE),"")</f>
        <v/>
      </c>
      <c r="V380" t="str">
        <f>IFERROR(VLOOKUP($C380,武器!$1:$998,COLUMN(Q$1),FALSE),"")</f>
        <v/>
      </c>
      <c r="W380" t="str">
        <f>IFERROR(VLOOKUP($C380,武器!$1:$998,COLUMN(T$1),FALSE),"")</f>
        <v/>
      </c>
      <c r="Y380" t="str">
        <f>IFERROR(VLOOKUP($C380,武器!$1:$998,COLUMN(U$1),FALSE),"")</f>
        <v/>
      </c>
      <c r="Z380" t="str">
        <f>IFERROR(ROUNDUP(VLOOKUP($C380,武器!$1:$998,COLUMN(O$1),FALSE)*VLOOKUP($D380,素材!$1:$1016,COLUMN(E$1),FALSE),1),"")</f>
        <v/>
      </c>
      <c r="AA380">
        <f>IF(ISNUMBER(SEARCH(SUBSTITUTE(AA$1,RIGHT(AA$1,2),""),VLOOKUP($D380,素材!$1:$1016,COLUMN($F$1),FALSE))),VLOOKUP($C380,武器!$1:$998,COLUMN($O$1),FALSE)*VLOOKUP($D380,素材!$1:$1016,COLUMN($E$1),FALSE)/(LEN(VLOOKUP($D380,素材!$1:$1016,COLUMN($F$1),FALSE))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</f>
        <v>0</v>
      </c>
      <c r="AB380">
        <f>IF(ISNUMBER(SEARCH(SUBSTITUTE(AB$1,RIGHT(AB$1,2),""),VLOOKUP($D380,素材!$1:$1016,COLUMN($F$1),FALSE))),VLOOKUP($C380,武器!$1:$998,COLUMN($O$1),FALSE)*VLOOKUP($D380,素材!$1:$1016,COLUMN($E$1),FALSE)/(LEN(VLOOKUP($D380,素材!$1:$1016,COLUMN($F$1),FALSE))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</f>
        <v>0</v>
      </c>
      <c r="AC380">
        <f>IF(ISNUMBER(SEARCH(SUBSTITUTE(AC$1,RIGHT(AC$1,2),""),VLOOKUP($D380,素材!$1:$1016,COLUMN($F$1),FALSE))),VLOOKUP($C380,武器!$1:$998,COLUMN($O$1),FALSE)*VLOOKUP($D380,素材!$1:$1016,COLUMN($E$1),FALSE)/(LEN(VLOOKUP($D380,素材!$1:$1016,COLUMN($F$1),FALSE))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</f>
        <v>0</v>
      </c>
      <c r="AD380">
        <f>IF(ISNUMBER(SEARCH(SUBSTITUTE(AD$1,RIGHT(AD$1,2),""),VLOOKUP($D380,素材!$1:$1016,COLUMN($F$1),FALSE))),VLOOKUP($C380,武器!$1:$998,COLUMN($O$1),FALSE)*VLOOKUP($D380,素材!$1:$1016,COLUMN($E$1),FALSE)/(LEN(VLOOKUP($D380,素材!$1:$1016,COLUMN($F$1),FALSE))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</f>
        <v>0</v>
      </c>
      <c r="AE380">
        <f>IF(ISNUMBER(SEARCH(SUBSTITUTE(AE$1,RIGHT(AE$1,2),""),VLOOKUP($D380,素材!$1:$1016,COLUMN($F$1),FALSE))),VLOOKUP($C380,武器!$1:$998,COLUMN($O$1),FALSE)*VLOOKUP($D380,素材!$1:$1016,COLUMN($E$1),FALSE)/(LEN(VLOOKUP($D380,素材!$1:$1016,COLUMN($F$1),FALSE))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0)+IF($CJ380&lt;&gt;"",VLOOKUP($CJ380,装強!$A$1:AE$1005,COLUMN(装強!AE$1),FALSE),0)</f>
        <v>0</v>
      </c>
      <c r="AF380">
        <f>IF(ISNUMBER(SEARCH(SUBSTITUTE(AF$1,RIGHT(AF$1,2),""),VLOOKUP($D380,素材!$1:$1016,COLUMN($F$1),FALSE))),VLOOKUP($C380,武器!$1:$998,COLUMN($O$1),FALSE)*VLOOKUP($D380,素材!$1:$1016,COLUMN($E$1),FALSE)/(LEN(VLOOKUP($D380,素材!$1:$1016,COLUMN($F$1),FALSE))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0)+IF($CJ380&lt;&gt;"",VLOOKUP($CJ380,装強!$A$1:AF$1005,COLUMN(装強!AF$1),FALSE),0)</f>
        <v>0</v>
      </c>
      <c r="AG380">
        <f>IF(ISNUMBER(SEARCH(SUBSTITUTE(AG$1,RIGHT(AG$1,2),""),VLOOKUP($D380,素材!$1:$1016,COLUMN($F$1),FALSE))),VLOOKUP($C380,武器!$1:$998,COLUMN($O$1),FALSE)*VLOOKUP($D380,素材!$1:$1016,COLUMN($E$1),FALSE)/(LEN(VLOOKUP($D380,素材!$1:$1016,COLUMN($F$1),FALSE))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0)+IF($CJ380&lt;&gt;"",VLOOKUP($CJ380,装強!$A$1:AG$1005,COLUMN(装強!AG$1),FALSE),0)</f>
        <v>0</v>
      </c>
      <c r="AH380">
        <f>IF(ISNUMBER(SEARCH(SUBSTITUTE(AH$1,RIGHT(AH$1,2),""),VLOOKUP($D380,素材!$1:$1016,COLUMN($F$1),FALSE))),VLOOKUP($C380,武器!$1:$998,COLUMN($O$1),FALSE)*VLOOKUP($D380,素材!$1:$1016,COLUMN($E$1),FALSE)/(LEN(VLOOKUP($D380,素材!$1:$1016,COLUMN($F$1),FALSE))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0)+IF($CJ380&lt;&gt;"",VLOOKUP($CJ380,装強!$A$1:AH$1005,COLUMN(装強!AH$1),FALSE),0)</f>
        <v>0</v>
      </c>
      <c r="AI380">
        <f>IF(ISNUMBER(SEARCH(SUBSTITUTE(AI$1,RIGHT(AI$1,2),""),VLOOKUP($D380,素材!$1:$1016,COLUMN($F$1),FALSE))),VLOOKUP($C380,武器!$1:$998,COLUMN($O$1),FALSE)*VLOOKUP($D380,素材!$1:$1016,COLUMN($E$1),FALSE)/(LEN(VLOOKUP($D380,素材!$1:$1016,COLUMN($F$1),FALSE))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0)+IF($CJ380&lt;&gt;"",VLOOKUP($CJ380,装強!$A$1:AI$1005,COLUMN(装強!AI$1),FALSE),0)</f>
        <v>0</v>
      </c>
      <c r="AJ380">
        <f>IF(ISNUMBER(SEARCH(SUBSTITUTE(AJ$1,RIGHT(AJ$1,2),""),VLOOKUP($D380,素材!$1:$1016,COLUMN($F$1),FALSE))),VLOOKUP($C380,武器!$1:$998,COLUMN($O$1),FALSE)*VLOOKUP($D380,素材!$1:$1016,COLUMN($E$1),FALSE)/(LEN(VLOOKUP($D380,素材!$1:$1016,COLUMN($F$1),FALSE))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0)+IF($CJ380&lt;&gt;"",VLOOKUP($CJ380,装強!$A$1:AJ$1005,COLUMN(装強!AJ$1),FALSE),0)</f>
        <v>0</v>
      </c>
      <c r="AK380">
        <f>IF(ISNUMBER(SEARCH(SUBSTITUTE(AK$1,RIGHT(AK$1,2),""),VLOOKUP($D380,素材!$1:$1016,COLUMN($F$1),FALSE))),VLOOKUP($C380,武器!$1:$998,COLUMN($O$1),FALSE)*VLOOKUP($D380,素材!$1:$1016,COLUMN($E$1),FALSE)/(LEN(VLOOKUP($D380,素材!$1:$1016,COLUMN($F$1),FALSE))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0)+IF($CJ380&lt;&gt;"",VLOOKUP($CJ380,装強!$A$1:AK$1005,COLUMN(装強!AK$1),FALSE),0)</f>
        <v>0</v>
      </c>
      <c r="AL380">
        <f>IF(ISNUMBER(SEARCH(SUBSTITUTE(AL$1,RIGHT(AL$1,2),""),VLOOKUP($D380,素材!$1:$1016,COLUMN($F$1),FALSE))),VLOOKUP($C380,武器!$1:$998,COLUMN($O$1),FALSE)*VLOOKUP($D380,素材!$1:$1016,COLUMN($E$1),FALSE)/(LEN(VLOOKUP($D380,素材!$1:$1016,COLUMN($F$1),FALSE))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0)+IF($CJ380&lt;&gt;"",VLOOKUP($CJ380,装強!$A$1:AL$1005,COLUMN(装強!AL$1),FALSE),0)</f>
        <v>0</v>
      </c>
      <c r="AM380">
        <f>IF(ISNUMBER(SEARCH(SUBSTITUTE(AM$1,RIGHT(AM$1,2),""),VLOOKUP($D380,素材!$1:$1016,COLUMN($F$1),FALSE))),VLOOKUP($C380,武器!$1:$998,COLUMN($O$1),FALSE)*VLOOKUP($D380,素材!$1:$1016,COLUMN($E$1),FALSE)/(LEN(VLOOKUP($D380,素材!$1:$1016,COLUMN($F$1),FALSE))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0)+IF($CJ380&lt;&gt;"",VLOOKUP($CJ380,装強!$A$1:AM$1005,COLUMN(装強!AM$1),FALSE),0)</f>
        <v>0</v>
      </c>
      <c r="AN380">
        <f>IF(ISNUMBER(SEARCH(SUBSTITUTE(AN$1,RIGHT(AN$1,2),""),VLOOKUP($D380,素材!$1:$1016,COLUMN($F$1),FALSE))),VLOOKUP($C380,武器!$1:$998,COLUMN($O$1),FALSE)*VLOOKUP($D380,素材!$1:$1016,COLUMN($E$1),FALSE)/(LEN(VLOOKUP($D380,素材!$1:$1016,COLUMN($F$1),FALSE))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0)+IF($CJ380&lt;&gt;"",VLOOKUP($CJ380,装強!$A$1:AN$1005,COLUMN(装強!AN$1),FALSE),0)</f>
        <v>0</v>
      </c>
      <c r="AO380">
        <f>IF(ISNUMBER(SEARCH(SUBSTITUTE(AO$1,RIGHT(AO$1,2),""),VLOOKUP($D380,素材!$1:$1016,COLUMN($F$1),FALSE))),VLOOKUP($C380,武器!$1:$998,COLUMN($O$1),FALSE)*VLOOKUP($D380,素材!$1:$1016,COLUMN($E$1),FALSE)/(LEN(VLOOKUP($D380,素材!$1:$1016,COLUMN($F$1),FALSE))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0)+IF($CJ380&lt;&gt;"",VLOOKUP($CJ380,装強!$A$1:AO$1005,COLUMN(装強!AO$1),FALSE),0)</f>
        <v>0</v>
      </c>
      <c r="AP380">
        <f>IF(ISNUMBER(SEARCH(SUBSTITUTE(AP$1,RIGHT(AP$1,2),""),VLOOKUP($D380,素材!$1:$1016,COLUMN($F$1),FALSE))),VLOOKUP($C380,武器!$1:$998,COLUMN($O$1),FALSE)*VLOOKUP($D380,素材!$1:$1016,COLUMN($E$1),FALSE)/(LEN(VLOOKUP($D380,素材!$1:$1016,COLUMN($F$1),FALSE))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0)+IF($CJ380&lt;&gt;"",VLOOKUP($CJ380,装強!$A$1:AP$1005,COLUMN(装強!AP$1),FALSE),0)</f>
        <v>0</v>
      </c>
      <c r="AQ380">
        <f>IF(ISNUMBER(SEARCH(SUBSTITUTE(AQ$1,RIGHT(AQ$1,2),""),VLOOKUP($D380,素材!$1:$1016,COLUMN($F$1),FALSE))),VLOOKUP($C380,武器!$1:$998,COLUMN($O$1),FALSE)*VLOOKUP($D380,素材!$1:$1016,COLUMN($E$1),FALSE)/(LEN(VLOOKUP($D380,素材!$1:$1016,COLUMN($F$1),FALSE))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0)+IF($CJ380&lt;&gt;"",VLOOKUP($CJ380,装強!$A$1:AQ$1005,COLUMN(装強!AQ$1),FALSE),0)</f>
        <v>0</v>
      </c>
      <c r="AR380">
        <f>IF(ISNUMBER(SEARCH(SUBSTITUTE(AR$1,RIGHT(AR$1,2),""),VLOOKUP($D380,素材!$1:$1016,COLUMN($F$1),FALSE))),VLOOKUP($C380,武器!$1:$998,COLUMN($O$1),FALSE)*VLOOKUP($D380,素材!$1:$1016,COLUMN($E$1),FALSE)/(LEN(VLOOKUP($D380,素材!$1:$1016,COLUMN($F$1),FALSE))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0)+IF($CJ380&lt;&gt;"",VLOOKUP($CJ380,装強!$A$1:AR$1005,COLUMN(装強!AR$1),FALSE),0)</f>
        <v>0</v>
      </c>
      <c r="AS380">
        <f>IF(ISNUMBER(SEARCH(SUBSTITUTE(AS$1,RIGHT(AS$1,2),""),VLOOKUP($D380,素材!$1:$1016,COLUMN($F$1),FALSE))),VLOOKUP($C380,武器!$1:$998,COLUMN($O$1),FALSE)*VLOOKUP($D380,素材!$1:$1016,COLUMN($E$1),FALSE)/(LEN(VLOOKUP($D380,素材!$1:$1016,COLUMN($F$1),FALSE))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0)+IF($CJ380&lt;&gt;"",VLOOKUP($CJ380,装強!$A$1:AS$1005,COLUMN(装強!AS$1),FALSE),0)</f>
        <v>0</v>
      </c>
      <c r="AT380">
        <f>IF(ISNUMBER(SEARCH(SUBSTITUTE(AT$1,RIGHT(AT$1,2),""),VLOOKUP($D380,素材!$1:$1016,COLUMN($F$1),FALSE))),VLOOKUP($C380,武器!$1:$998,COLUMN($O$1),FALSE)*VLOOKUP($D380,素材!$1:$1016,COLUMN($E$1),FALSE)/(LEN(VLOOKUP($D380,素材!$1:$1016,COLUMN($F$1),FALSE))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0)+IF($CJ380&lt;&gt;"",VLOOKUP($CJ380,装強!$A$1:AT$1005,COLUMN(装強!AT$1),FALSE),0)</f>
        <v>0</v>
      </c>
      <c r="AU380">
        <f>IF(ISNUMBER(SEARCH(SUBSTITUTE(AU$1,RIGHT(AU$1,2),""),VLOOKUP($D380,素材!$1:$1016,COLUMN($F$1),FALSE))),VLOOKUP($C380,武器!$1:$998,COLUMN($O$1),FALSE)*VLOOKUP($D380,素材!$1:$1016,COLUMN($E$1),FALSE)/(LEN(VLOOKUP($D380,素材!$1:$1016,COLUMN($F$1),FALSE))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0)+IF($CJ380&lt;&gt;"",VLOOKUP($CJ380,装強!$A$1:AU$1005,COLUMN(装強!AU$1),FALSE),0)</f>
        <v>0</v>
      </c>
      <c r="AV380">
        <f>IF(ISNUMBER(SEARCH(SUBSTITUTE(AV$1,RIGHT(AV$1,2),""),VLOOKUP($D380,素材!$1:$1016,COLUMN($F$1),FALSE))),VLOOKUP($C380,武器!$1:$998,COLUMN($O$1),FALSE)*VLOOKUP($D380,素材!$1:$1016,COLUMN($E$1),FALSE)/(LEN(VLOOKUP($D380,素材!$1:$1016,COLUMN($F$1),FALSE))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0)+IF($CJ380&lt;&gt;"",VLOOKUP($CJ380,装強!$A$1:AV$1005,COLUMN(装強!AV$1),FALSE),0)</f>
        <v>0</v>
      </c>
      <c r="AW380">
        <f>IF(ISNUMBER(SEARCH(SUBSTITUTE(AW$1,RIGHT(AW$1,2),""),VLOOKUP($D380,素材!$1:$1016,COLUMN($F$1),FALSE))),VLOOKUP($C380,武器!$1:$998,COLUMN($O$1),FALSE)*VLOOKUP($D380,素材!$1:$1016,COLUMN($E$1),FALSE)/(LEN(VLOOKUP($D380,素材!$1:$1016,COLUMN($F$1),FALSE))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0)+IF($CJ380&lt;&gt;"",VLOOKUP($CJ380,装強!$A$1:AW$1005,COLUMN(装強!AW$1),FALSE),0)</f>
        <v>0</v>
      </c>
      <c r="AX380">
        <f>IF(ISNUMBER(SEARCH(SUBSTITUTE(AX$1,RIGHT(AX$1,2),""),VLOOKUP($D380,素材!$1:$1016,COLUMN($F$1),FALSE))),VLOOKUP($C380,武器!$1:$998,COLUMN($O$1),FALSE)*VLOOKUP($D380,素材!$1:$1016,COLUMN($E$1),FALSE)/(LEN(VLOOKUP($D380,素材!$1:$1016,COLUMN($F$1),FALSE))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0)+IF($CJ380&lt;&gt;"",VLOOKUP($CJ380,装強!$A$1:AX$1005,COLUMN(装強!AX$1),FALSE),0)</f>
        <v>0</v>
      </c>
      <c r="AY380">
        <f>IF(ISNUMBER(SEARCH(SUBSTITUTE(AY$1,RIGHT(AY$1,2),""),VLOOKUP($D380,素材!$1:$1016,COLUMN($F$1),FALSE))),VLOOKUP($C380,武器!$1:$998,COLUMN($O$1),FALSE)*VLOOKUP($D380,素材!$1:$1016,COLUMN($E$1),FALSE)/(LEN(VLOOKUP($D380,素材!$1:$1016,COLUMN($F$1),FALSE))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0)+IF($CJ380&lt;&gt;"",VLOOKUP($CJ380,装強!$A$1:AY$1005,COLUMN(装強!AY$1),FALSE),0)</f>
        <v>0</v>
      </c>
      <c r="AZ380">
        <f>IF(ISNUMBER(SEARCH(SUBSTITUTE(AZ$1,RIGHT(AZ$1,2),""),VLOOKUP($D380,素材!$1:$1016,COLUMN($F$1),FALSE))),VLOOKUP($C380,武器!$1:$998,COLUMN($O$1),FALSE)*VLOOKUP($D380,素材!$1:$1016,COLUMN($E$1),FALSE)/(LEN(VLOOKUP($D380,素材!$1:$1016,COLUMN($F$1),FALSE))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0)+IF($CJ380&lt;&gt;"",VLOOKUP($CJ380,装強!$A$1:AZ$1005,COLUMN(装強!AZ$1),FALSE),0)</f>
        <v>0</v>
      </c>
      <c r="BA380">
        <f>IF(ISNUMBER(SEARCH(SUBSTITUTE(BA$1,RIGHT(BA$1,2),""),VLOOKUP($D380,素材!$1:$1016,COLUMN($F$1),FALSE))),VLOOKUP($C380,武器!$1:$998,COLUMN($O$1),FALSE)*VLOOKUP($D380,素材!$1:$1016,COLUMN($E$1),FALSE)/(LEN(VLOOKUP($D380,素材!$1:$1016,COLUMN($F$1),FALSE))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0)+IF($CJ380&lt;&gt;"",VLOOKUP($CJ380,装強!$A$1:BA$1005,COLUMN(装強!BA$1),FALSE),0)</f>
        <v>0</v>
      </c>
      <c r="BB380">
        <f>IF(ISNUMBER(SEARCH(SUBSTITUTE(BB$1,RIGHT(BB$1,2),""),VLOOKUP($D380,素材!$1:$1016,COLUMN($F$1),FALSE))),VLOOKUP($C380,武器!$1:$998,COLUMN($O$1),FALSE)*VLOOKUP($D380,素材!$1:$1016,COLUMN($E$1),FALSE)/(LEN(VLOOKUP($D380,素材!$1:$1016,COLUMN($F$1),FALSE))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0)+IF($CJ380&lt;&gt;"",VLOOKUP($CJ380,装強!$A$1:BB$1005,COLUMN(装強!BB$1),FALSE),0)</f>
        <v>0</v>
      </c>
      <c r="BC380">
        <f>IF(ISNUMBER(SEARCH(SUBSTITUTE(BC$1,RIGHT(BC$1,2),""),VLOOKUP($D380,素材!$1:$1016,COLUMN($F$1),FALSE))),VLOOKUP($C380,武器!$1:$998,COLUMN($O$1),FALSE)*VLOOKUP($D380,素材!$1:$1016,COLUMN($E$1),FALSE)/(LEN(VLOOKUP($D380,素材!$1:$1016,COLUMN($F$1),FALSE))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0)+IF($CJ380&lt;&gt;"",VLOOKUP($CJ380,装強!$A$1:BC$1005,COLUMN(装強!BC$1),FALSE),0)</f>
        <v>0</v>
      </c>
      <c r="BD380">
        <f>IF(ISNUMBER(SEARCH(SUBSTITUTE(BD$1,RIGHT(BD$1,2),""),VLOOKUP($D380,素材!$1:$1016,COLUMN($F$1),FALSE))),VLOOKUP($C380,武器!$1:$998,COLUMN($O$1),FALSE)*VLOOKUP($D380,素材!$1:$1016,COLUMN($E$1),FALSE)/(LEN(VLOOKUP($D380,素材!$1:$1016,COLUMN($F$1),FALSE))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0)+IF($CJ380&lt;&gt;"",VLOOKUP($CJ380,装強!$A$1:BD$1005,COLUMN(装強!BD$1),FALSE),0)</f>
        <v>0</v>
      </c>
      <c r="BE380">
        <f>IF(ISNUMBER(SEARCH(SUBSTITUTE(BE$1,RIGHT(BE$1,2),""),VLOOKUP($D380,素材!$1:$1016,COLUMN($F$1),FALSE))),VLOOKUP($C380,武器!$1:$998,COLUMN($O$1),FALSE)*VLOOKUP($D380,素材!$1:$1016,COLUMN($E$1),FALSE)/(LEN(VLOOKUP($D380,素材!$1:$1016,COLUMN($F$1),FALSE))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0)+IF($CJ380&lt;&gt;"",VLOOKUP($CJ380,装強!$A$1:BE$1005,COLUMN(装強!BE$1),FALSE),0)</f>
        <v>0</v>
      </c>
      <c r="BF380">
        <f>IF(ISNUMBER(SEARCH(SUBSTITUTE(BF$1,RIGHT(BF$1,2),""),VLOOKUP($D380,素材!$1:$1016,COLUMN($F$1),FALSE))),VLOOKUP($C380,武器!$1:$998,COLUMN($O$1),FALSE)*VLOOKUP($D380,素材!$1:$1016,COLUMN($E$1),FALSE)/(LEN(VLOOKUP($D380,素材!$1:$1016,COLUMN($F$1),FALSE)) - LEN(SUBSTITUTE(VLOOKUP($D380,素材!$1:$1016,COLUMN($F$1),FALSE), "・", 0)) + 1), 0)+IF($CJ380&lt;&gt;"",VLOOKUP($CJ380,装強!$A$1:BF$1005,COLUMN(装強!BF$1),FALSE),0)</f>
        <v>0</v>
      </c>
      <c r="CM380">
        <f t="shared" si="44"/>
        <v>0</v>
      </c>
      <c r="CN380" s="22" t="str">
        <f>IF(E380="武器",IF(J380-1&gt;SUM(G380:I380),"盾",IF(MAX(G380:I380)=G380,"切断",IF(MAX(G380:I380)=H380,"貫通",IF(MAX(G380:I380)=I380,"打撃","射撃")))),E380)&amp;".webp"</f>
        <v>.webp</v>
      </c>
      <c r="CO380" t="str">
        <f>IFERROR(VLOOKUP($C380,武器!$1:$998,COLUMN(V$1),FALSE)*VLOOKUP($D380,素材!$1:$1016,COLUMN(N$1),FALSE)+IF(CJ380="",0,VLOOKUP($CJ380,装強!$1:$1008,COLUMN($CL$1),FALSE)),"")</f>
        <v/>
      </c>
      <c r="CP380" t="e">
        <f>VLOOKUP(D380,素材!$A:$O,COLUMN(素材!O$1),FALSE)</f>
        <v>#N/A</v>
      </c>
      <c r="CQ380" t="e">
        <f>VLOOKUP(C380,武器!$A:$W,COLUMN(武器!W$1),FALSE)</f>
        <v>#N/A</v>
      </c>
      <c r="CS380" t="str">
        <f>"e_"&amp;ROW(CS380)</f>
        <v>e_380</v>
      </c>
      <c r="CT380" t="e">
        <f t="shared" si="45"/>
        <v>#VALUE!</v>
      </c>
    </row>
    <row r="381" spans="1:98" x14ac:dyDescent="0.4">
      <c r="B381" t="str">
        <f>IFERROR(VLOOKUP($D381,素材!$1:$1016,COLUMN($B$1),FALSE)&amp;"・"&amp;VLOOKUP($C381,武器!$1:$998,COLUMN(B$1),FALSE),"")</f>
        <v/>
      </c>
      <c r="D381" s="24"/>
      <c r="E381" t="str">
        <f>IFERROR(VLOOKUP(C381,武器!$1:$998,COLUMN(C$1),FALSE),"")</f>
        <v/>
      </c>
      <c r="F381" t="str">
        <f>IFERROR(ROUNDDOWN((VLOOKUP($C381,武器!$1:$998,COLUMN(D$1),FALSE)+IFERROR(VLOOKUP($CJ381,装強!$1:$999,COLUMN(F$1),FALSE),0))*VLOOKUP($D381,素材!$1:$1016,COLUMN(D$1),FALSE),0),"")</f>
        <v/>
      </c>
      <c r="G381" t="str">
        <f>IFERROR(ROUNDDOWN((VLOOKUP($C381,武器!$1:$998,COLUMN(E$1),FALSE)+IFERROR(VLOOKUP($CJ381,装強!$1:$999,COLUMN(G$1),FALSE),0))*VLOOKUP($D381,素材!$1:$1016,COLUMN($E$1),FALSE),0),"")</f>
        <v/>
      </c>
      <c r="H381" t="str">
        <f>IFERROR(ROUNDDOWN((VLOOKUP($C381,武器!$1:$998,COLUMN(F$1),FALSE)+IFERROR(VLOOKUP($CJ381,装強!$1:$999,COLUMN(H$1),FALSE),0))*VLOOKUP($D381,素材!$1:$1016,COLUMN($E$1),FALSE),0),"")</f>
        <v/>
      </c>
      <c r="I381" t="str">
        <f>IFERROR(ROUNDDOWN((VLOOKUP($C381,武器!$1:$998,COLUMN(G$1),FALSE)+IFERROR(VLOOKUP($CJ381,装強!$1:$999,COLUMN(I$1),FALSE),0))*VLOOKUP($D381,素材!$1:$1016,COLUMN($E$1),FALSE),0),"")</f>
        <v/>
      </c>
      <c r="J381" t="str">
        <f>IFERROR(ROUNDDOWN((VLOOKUP($C381,武器!$1:$998,COLUMN(H$1),FALSE)+IFERROR(VLOOKUP($CJ381,装強!$1:$999,COLUMN(J$1),FALSE),0))*VLOOKUP($D381,素材!$1:$1016,COLUMN($E$1),FALSE),0),"")</f>
        <v/>
      </c>
      <c r="K381" t="str">
        <f>IFERROR(ROUNDDOWN((VLOOKUP($C381,武器!$1:$998,COLUMN(I$1),FALSE)+IFERROR(VLOOKUP($CJ381,装強!$1:$999,COLUMN(K$1),FALSE),0))*VLOOKUP($D381,素材!$1:$1016,COLUMN($E$1),FALSE),0),"")</f>
        <v/>
      </c>
      <c r="L381" t="str">
        <f>IFERROR(VLOOKUP($D381,素材!$1:$1016,COLUMN($F$1),FALSE),"")</f>
        <v/>
      </c>
      <c r="M381" t="str">
        <f>IFERROR(VLOOKUP($C381,武器!$1:$998,COLUMN(AA$1),FALSE)*VLOOKUP($D381,素材!$1:$1016,COLUMN($G$1),FALSE),"")</f>
        <v/>
      </c>
      <c r="N381" t="str">
        <f>IFERROR(VLOOKUP($C381,武器!$1:$998,COLUMN(I$1),FALSE),"")</f>
        <v/>
      </c>
      <c r="O381" s="23" t="str">
        <f>IFERROR((VLOOKUP($C381,武器!$1:$998,COLUMN(K$1),FALSE)+VLOOKUP($D381,素材!$1:$1016,COLUMN(H$1),FALSE))*100+IFERROR(VLOOKUP($CJ381,装強!$1:$999,COLUMN(O$1),FALSE),0),"")</f>
        <v/>
      </c>
      <c r="P381" s="23" t="str">
        <f>IFERROR((VLOOKUP($C381,武器!$1:$998,COLUMN(L$1),FALSE)+VLOOKUP($D381,素材!$1:$1016,COLUMN(I$1),FALSE))*100+IFERROR(VLOOKUP($CJ381,装強!$1:$999,COLUMN(P$1),FALSE),0),"")</f>
        <v/>
      </c>
      <c r="Q381" t="str">
        <f>IFERROR(ROUNDUP(VLOOKUP($C381,武器!$1:$998,COLUMN(M$1),FALSE)*(VLOOKUP($D381,素材!$1:$1002,COLUMN(D$1),FALSE)/100),1),"")</f>
        <v/>
      </c>
      <c r="R381" t="str">
        <f>IFERROR(ROUNDUP(VLOOKUP($C381,武器!$1:$998,COLUMN(N$1),FALSE)*(VLOOKUP($D381,素材!$1:$1002,COLUMN(D$1),FALSE)/100),1),"")</f>
        <v/>
      </c>
      <c r="S381" t="str">
        <f>IFERROR(VLOOKUP($C381,武器!$1:$998,COLUMN(P$1),FALSE),"")</f>
        <v/>
      </c>
      <c r="T381" t="str">
        <f>IFERROR(VLOOKUP($C381,武器!$1:$998,COLUMN(Q$1),FALSE),"")</f>
        <v/>
      </c>
      <c r="U381" t="str">
        <f>IFERROR(VLOOKUP($C381,武器!$1:$998,COLUMN(R$1),FALSE),"")</f>
        <v/>
      </c>
      <c r="V381" t="str">
        <f>IFERROR(VLOOKUP($C381,武器!$1:$998,COLUMN(Q$1),FALSE),"")</f>
        <v/>
      </c>
      <c r="W381" t="str">
        <f>IFERROR(VLOOKUP($C381,武器!$1:$998,COLUMN(T$1),FALSE),"")</f>
        <v/>
      </c>
      <c r="Y381" t="str">
        <f>IFERROR(VLOOKUP($C381,武器!$1:$998,COLUMN(U$1),FALSE),"")</f>
        <v/>
      </c>
      <c r="Z381" t="str">
        <f>IFERROR(ROUNDUP(VLOOKUP($C381,武器!$1:$998,COLUMN(O$1),FALSE)*VLOOKUP($D381,素材!$1:$1016,COLUMN(E$1),FALSE),1),"")</f>
        <v/>
      </c>
      <c r="AA381">
        <f>IF(ISNUMBER(SEARCH(SUBSTITUTE(AA$1,RIGHT(AA$1,2),""),VLOOKUP($D381,素材!$1:$1016,COLUMN($F$1),FALSE))),VLOOKUP($C381,武器!$1:$998,COLUMN($O$1),FALSE)*VLOOKUP($D381,素材!$1:$1016,COLUMN($E$1),FALSE)/(LEN(VLOOKUP($D381,素材!$1:$1016,COLUMN($F$1),FALSE))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</f>
        <v>0</v>
      </c>
      <c r="AB381">
        <f>IF(ISNUMBER(SEARCH(SUBSTITUTE(AB$1,RIGHT(AB$1,2),""),VLOOKUP($D381,素材!$1:$1016,COLUMN($F$1),FALSE))),VLOOKUP($C381,武器!$1:$998,COLUMN($O$1),FALSE)*VLOOKUP($D381,素材!$1:$1016,COLUMN($E$1),FALSE)/(LEN(VLOOKUP($D381,素材!$1:$1016,COLUMN($F$1),FALSE))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</f>
        <v>0</v>
      </c>
      <c r="AC381">
        <f>IF(ISNUMBER(SEARCH(SUBSTITUTE(AC$1,RIGHT(AC$1,2),""),VLOOKUP($D381,素材!$1:$1016,COLUMN($F$1),FALSE))),VLOOKUP($C381,武器!$1:$998,COLUMN($O$1),FALSE)*VLOOKUP($D381,素材!$1:$1016,COLUMN($E$1),FALSE)/(LEN(VLOOKUP($D381,素材!$1:$1016,COLUMN($F$1),FALSE))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</f>
        <v>0</v>
      </c>
      <c r="AD381">
        <f>IF(ISNUMBER(SEARCH(SUBSTITUTE(AD$1,RIGHT(AD$1,2),""),VLOOKUP($D381,素材!$1:$1016,COLUMN($F$1),FALSE))),VLOOKUP($C381,武器!$1:$998,COLUMN($O$1),FALSE)*VLOOKUP($D381,素材!$1:$1016,COLUMN($E$1),FALSE)/(LEN(VLOOKUP($D381,素材!$1:$1016,COLUMN($F$1),FALSE))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</f>
        <v>0</v>
      </c>
      <c r="AE381">
        <f>IF(ISNUMBER(SEARCH(SUBSTITUTE(AE$1,RIGHT(AE$1,2),""),VLOOKUP($D381,素材!$1:$1016,COLUMN($F$1),FALSE))),VLOOKUP($C381,武器!$1:$998,COLUMN($O$1),FALSE)*VLOOKUP($D381,素材!$1:$1016,COLUMN($E$1),FALSE)/(LEN(VLOOKUP($D381,素材!$1:$1016,COLUMN($F$1),FALSE))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0)+IF($CJ381&lt;&gt;"",VLOOKUP($CJ381,装強!$A$1:AE$1005,COLUMN(装強!AE$1),FALSE),0)</f>
        <v>0</v>
      </c>
      <c r="AF381">
        <f>IF(ISNUMBER(SEARCH(SUBSTITUTE(AF$1,RIGHT(AF$1,2),""),VLOOKUP($D381,素材!$1:$1016,COLUMN($F$1),FALSE))),VLOOKUP($C381,武器!$1:$998,COLUMN($O$1),FALSE)*VLOOKUP($D381,素材!$1:$1016,COLUMN($E$1),FALSE)/(LEN(VLOOKUP($D381,素材!$1:$1016,COLUMN($F$1),FALSE))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0)+IF($CJ381&lt;&gt;"",VLOOKUP($CJ381,装強!$A$1:AF$1005,COLUMN(装強!AF$1),FALSE),0)</f>
        <v>0</v>
      </c>
      <c r="AG381">
        <f>IF(ISNUMBER(SEARCH(SUBSTITUTE(AG$1,RIGHT(AG$1,2),""),VLOOKUP($D381,素材!$1:$1016,COLUMN($F$1),FALSE))),VLOOKUP($C381,武器!$1:$998,COLUMN($O$1),FALSE)*VLOOKUP($D381,素材!$1:$1016,COLUMN($E$1),FALSE)/(LEN(VLOOKUP($D381,素材!$1:$1016,COLUMN($F$1),FALSE))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0)+IF($CJ381&lt;&gt;"",VLOOKUP($CJ381,装強!$A$1:AG$1005,COLUMN(装強!AG$1),FALSE),0)</f>
        <v>0</v>
      </c>
      <c r="AH381">
        <f>IF(ISNUMBER(SEARCH(SUBSTITUTE(AH$1,RIGHT(AH$1,2),""),VLOOKUP($D381,素材!$1:$1016,COLUMN($F$1),FALSE))),VLOOKUP($C381,武器!$1:$998,COLUMN($O$1),FALSE)*VLOOKUP($D381,素材!$1:$1016,COLUMN($E$1),FALSE)/(LEN(VLOOKUP($D381,素材!$1:$1016,COLUMN($F$1),FALSE))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0)+IF($CJ381&lt;&gt;"",VLOOKUP($CJ381,装強!$A$1:AH$1005,COLUMN(装強!AH$1),FALSE),0)</f>
        <v>0</v>
      </c>
      <c r="AI381">
        <f>IF(ISNUMBER(SEARCH(SUBSTITUTE(AI$1,RIGHT(AI$1,2),""),VLOOKUP($D381,素材!$1:$1016,COLUMN($F$1),FALSE))),VLOOKUP($C381,武器!$1:$998,COLUMN($O$1),FALSE)*VLOOKUP($D381,素材!$1:$1016,COLUMN($E$1),FALSE)/(LEN(VLOOKUP($D381,素材!$1:$1016,COLUMN($F$1),FALSE))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0)+IF($CJ381&lt;&gt;"",VLOOKUP($CJ381,装強!$A$1:AI$1005,COLUMN(装強!AI$1),FALSE),0)</f>
        <v>0</v>
      </c>
      <c r="AJ381">
        <f>IF(ISNUMBER(SEARCH(SUBSTITUTE(AJ$1,RIGHT(AJ$1,2),""),VLOOKUP($D381,素材!$1:$1016,COLUMN($F$1),FALSE))),VLOOKUP($C381,武器!$1:$998,COLUMN($O$1),FALSE)*VLOOKUP($D381,素材!$1:$1016,COLUMN($E$1),FALSE)/(LEN(VLOOKUP($D381,素材!$1:$1016,COLUMN($F$1),FALSE))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0)+IF($CJ381&lt;&gt;"",VLOOKUP($CJ381,装強!$A$1:AJ$1005,COLUMN(装強!AJ$1),FALSE),0)</f>
        <v>0</v>
      </c>
      <c r="AK381">
        <f>IF(ISNUMBER(SEARCH(SUBSTITUTE(AK$1,RIGHT(AK$1,2),""),VLOOKUP($D381,素材!$1:$1016,COLUMN($F$1),FALSE))),VLOOKUP($C381,武器!$1:$998,COLUMN($O$1),FALSE)*VLOOKUP($D381,素材!$1:$1016,COLUMN($E$1),FALSE)/(LEN(VLOOKUP($D381,素材!$1:$1016,COLUMN($F$1),FALSE))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0)+IF($CJ381&lt;&gt;"",VLOOKUP($CJ381,装強!$A$1:AK$1005,COLUMN(装強!AK$1),FALSE),0)</f>
        <v>0</v>
      </c>
      <c r="AL381">
        <f>IF(ISNUMBER(SEARCH(SUBSTITUTE(AL$1,RIGHT(AL$1,2),""),VLOOKUP($D381,素材!$1:$1016,COLUMN($F$1),FALSE))),VLOOKUP($C381,武器!$1:$998,COLUMN($O$1),FALSE)*VLOOKUP($D381,素材!$1:$1016,COLUMN($E$1),FALSE)/(LEN(VLOOKUP($D381,素材!$1:$1016,COLUMN($F$1),FALSE))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0)+IF($CJ381&lt;&gt;"",VLOOKUP($CJ381,装強!$A$1:AL$1005,COLUMN(装強!AL$1),FALSE),0)</f>
        <v>0</v>
      </c>
      <c r="AM381">
        <f>IF(ISNUMBER(SEARCH(SUBSTITUTE(AM$1,RIGHT(AM$1,2),""),VLOOKUP($D381,素材!$1:$1016,COLUMN($F$1),FALSE))),VLOOKUP($C381,武器!$1:$998,COLUMN($O$1),FALSE)*VLOOKUP($D381,素材!$1:$1016,COLUMN($E$1),FALSE)/(LEN(VLOOKUP($D381,素材!$1:$1016,COLUMN($F$1),FALSE))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0)+IF($CJ381&lt;&gt;"",VLOOKUP($CJ381,装強!$A$1:AM$1005,COLUMN(装強!AM$1),FALSE),0)</f>
        <v>0</v>
      </c>
      <c r="AN381">
        <f>IF(ISNUMBER(SEARCH(SUBSTITUTE(AN$1,RIGHT(AN$1,2),""),VLOOKUP($D381,素材!$1:$1016,COLUMN($F$1),FALSE))),VLOOKUP($C381,武器!$1:$998,COLUMN($O$1),FALSE)*VLOOKUP($D381,素材!$1:$1016,COLUMN($E$1),FALSE)/(LEN(VLOOKUP($D381,素材!$1:$1016,COLUMN($F$1),FALSE))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0)+IF($CJ381&lt;&gt;"",VLOOKUP($CJ381,装強!$A$1:AN$1005,COLUMN(装強!AN$1),FALSE),0)</f>
        <v>0</v>
      </c>
      <c r="AO381">
        <f>IF(ISNUMBER(SEARCH(SUBSTITUTE(AO$1,RIGHT(AO$1,2),""),VLOOKUP($D381,素材!$1:$1016,COLUMN($F$1),FALSE))),VLOOKUP($C381,武器!$1:$998,COLUMN($O$1),FALSE)*VLOOKUP($D381,素材!$1:$1016,COLUMN($E$1),FALSE)/(LEN(VLOOKUP($D381,素材!$1:$1016,COLUMN($F$1),FALSE))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0)+IF($CJ381&lt;&gt;"",VLOOKUP($CJ381,装強!$A$1:AO$1005,COLUMN(装強!AO$1),FALSE),0)</f>
        <v>0</v>
      </c>
      <c r="AP381">
        <f>IF(ISNUMBER(SEARCH(SUBSTITUTE(AP$1,RIGHT(AP$1,2),""),VLOOKUP($D381,素材!$1:$1016,COLUMN($F$1),FALSE))),VLOOKUP($C381,武器!$1:$998,COLUMN($O$1),FALSE)*VLOOKUP($D381,素材!$1:$1016,COLUMN($E$1),FALSE)/(LEN(VLOOKUP($D381,素材!$1:$1016,COLUMN($F$1),FALSE))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0)+IF($CJ381&lt;&gt;"",VLOOKUP($CJ381,装強!$A$1:AP$1005,COLUMN(装強!AP$1),FALSE),0)</f>
        <v>0</v>
      </c>
      <c r="AQ381">
        <f>IF(ISNUMBER(SEARCH(SUBSTITUTE(AQ$1,RIGHT(AQ$1,2),""),VLOOKUP($D381,素材!$1:$1016,COLUMN($F$1),FALSE))),VLOOKUP($C381,武器!$1:$998,COLUMN($O$1),FALSE)*VLOOKUP($D381,素材!$1:$1016,COLUMN($E$1),FALSE)/(LEN(VLOOKUP($D381,素材!$1:$1016,COLUMN($F$1),FALSE))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0)+IF($CJ381&lt;&gt;"",VLOOKUP($CJ381,装強!$A$1:AQ$1005,COLUMN(装強!AQ$1),FALSE),0)</f>
        <v>0</v>
      </c>
      <c r="AR381">
        <f>IF(ISNUMBER(SEARCH(SUBSTITUTE(AR$1,RIGHT(AR$1,2),""),VLOOKUP($D381,素材!$1:$1016,COLUMN($F$1),FALSE))),VLOOKUP($C381,武器!$1:$998,COLUMN($O$1),FALSE)*VLOOKUP($D381,素材!$1:$1016,COLUMN($E$1),FALSE)/(LEN(VLOOKUP($D381,素材!$1:$1016,COLUMN($F$1),FALSE))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0)+IF($CJ381&lt;&gt;"",VLOOKUP($CJ381,装強!$A$1:AR$1005,COLUMN(装強!AR$1),FALSE),0)</f>
        <v>0</v>
      </c>
      <c r="AS381">
        <f>IF(ISNUMBER(SEARCH(SUBSTITUTE(AS$1,RIGHT(AS$1,2),""),VLOOKUP($D381,素材!$1:$1016,COLUMN($F$1),FALSE))),VLOOKUP($C381,武器!$1:$998,COLUMN($O$1),FALSE)*VLOOKUP($D381,素材!$1:$1016,COLUMN($E$1),FALSE)/(LEN(VLOOKUP($D381,素材!$1:$1016,COLUMN($F$1),FALSE))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0)+IF($CJ381&lt;&gt;"",VLOOKUP($CJ381,装強!$A$1:AS$1005,COLUMN(装強!AS$1),FALSE),0)</f>
        <v>0</v>
      </c>
      <c r="AT381">
        <f>IF(ISNUMBER(SEARCH(SUBSTITUTE(AT$1,RIGHT(AT$1,2),""),VLOOKUP($D381,素材!$1:$1016,COLUMN($F$1),FALSE))),VLOOKUP($C381,武器!$1:$998,COLUMN($O$1),FALSE)*VLOOKUP($D381,素材!$1:$1016,COLUMN($E$1),FALSE)/(LEN(VLOOKUP($D381,素材!$1:$1016,COLUMN($F$1),FALSE))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0)+IF($CJ381&lt;&gt;"",VLOOKUP($CJ381,装強!$A$1:AT$1005,COLUMN(装強!AT$1),FALSE),0)</f>
        <v>0</v>
      </c>
      <c r="AU381">
        <f>IF(ISNUMBER(SEARCH(SUBSTITUTE(AU$1,RIGHT(AU$1,2),""),VLOOKUP($D381,素材!$1:$1016,COLUMN($F$1),FALSE))),VLOOKUP($C381,武器!$1:$998,COLUMN($O$1),FALSE)*VLOOKUP($D381,素材!$1:$1016,COLUMN($E$1),FALSE)/(LEN(VLOOKUP($D381,素材!$1:$1016,COLUMN($F$1),FALSE))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0)+IF($CJ381&lt;&gt;"",VLOOKUP($CJ381,装強!$A$1:AU$1005,COLUMN(装強!AU$1),FALSE),0)</f>
        <v>0</v>
      </c>
      <c r="AV381">
        <f>IF(ISNUMBER(SEARCH(SUBSTITUTE(AV$1,RIGHT(AV$1,2),""),VLOOKUP($D381,素材!$1:$1016,COLUMN($F$1),FALSE))),VLOOKUP($C381,武器!$1:$998,COLUMN($O$1),FALSE)*VLOOKUP($D381,素材!$1:$1016,COLUMN($E$1),FALSE)/(LEN(VLOOKUP($D381,素材!$1:$1016,COLUMN($F$1),FALSE))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0)+IF($CJ381&lt;&gt;"",VLOOKUP($CJ381,装強!$A$1:AV$1005,COLUMN(装強!AV$1),FALSE),0)</f>
        <v>0</v>
      </c>
      <c r="AW381">
        <f>IF(ISNUMBER(SEARCH(SUBSTITUTE(AW$1,RIGHT(AW$1,2),""),VLOOKUP($D381,素材!$1:$1016,COLUMN($F$1),FALSE))),VLOOKUP($C381,武器!$1:$998,COLUMN($O$1),FALSE)*VLOOKUP($D381,素材!$1:$1016,COLUMN($E$1),FALSE)/(LEN(VLOOKUP($D381,素材!$1:$1016,COLUMN($F$1),FALSE))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0)+IF($CJ381&lt;&gt;"",VLOOKUP($CJ381,装強!$A$1:AW$1005,COLUMN(装強!AW$1),FALSE),0)</f>
        <v>0</v>
      </c>
      <c r="AX381">
        <f>IF(ISNUMBER(SEARCH(SUBSTITUTE(AX$1,RIGHT(AX$1,2),""),VLOOKUP($D381,素材!$1:$1016,COLUMN($F$1),FALSE))),VLOOKUP($C381,武器!$1:$998,COLUMN($O$1),FALSE)*VLOOKUP($D381,素材!$1:$1016,COLUMN($E$1),FALSE)/(LEN(VLOOKUP($D381,素材!$1:$1016,COLUMN($F$1),FALSE))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0)+IF($CJ381&lt;&gt;"",VLOOKUP($CJ381,装強!$A$1:AX$1005,COLUMN(装強!AX$1),FALSE),0)</f>
        <v>0</v>
      </c>
      <c r="AY381">
        <f>IF(ISNUMBER(SEARCH(SUBSTITUTE(AY$1,RIGHT(AY$1,2),""),VLOOKUP($D381,素材!$1:$1016,COLUMN($F$1),FALSE))),VLOOKUP($C381,武器!$1:$998,COLUMN($O$1),FALSE)*VLOOKUP($D381,素材!$1:$1016,COLUMN($E$1),FALSE)/(LEN(VLOOKUP($D381,素材!$1:$1016,COLUMN($F$1),FALSE))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0)+IF($CJ381&lt;&gt;"",VLOOKUP($CJ381,装強!$A$1:AY$1005,COLUMN(装強!AY$1),FALSE),0)</f>
        <v>0</v>
      </c>
      <c r="AZ381">
        <f>IF(ISNUMBER(SEARCH(SUBSTITUTE(AZ$1,RIGHT(AZ$1,2),""),VLOOKUP($D381,素材!$1:$1016,COLUMN($F$1),FALSE))),VLOOKUP($C381,武器!$1:$998,COLUMN($O$1),FALSE)*VLOOKUP($D381,素材!$1:$1016,COLUMN($E$1),FALSE)/(LEN(VLOOKUP($D381,素材!$1:$1016,COLUMN($F$1),FALSE))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0)+IF($CJ381&lt;&gt;"",VLOOKUP($CJ381,装強!$A$1:AZ$1005,COLUMN(装強!AZ$1),FALSE),0)</f>
        <v>0</v>
      </c>
      <c r="BA381">
        <f>IF(ISNUMBER(SEARCH(SUBSTITUTE(BA$1,RIGHT(BA$1,2),""),VLOOKUP($D381,素材!$1:$1016,COLUMN($F$1),FALSE))),VLOOKUP($C381,武器!$1:$998,COLUMN($O$1),FALSE)*VLOOKUP($D381,素材!$1:$1016,COLUMN($E$1),FALSE)/(LEN(VLOOKUP($D381,素材!$1:$1016,COLUMN($F$1),FALSE))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0)+IF($CJ381&lt;&gt;"",VLOOKUP($CJ381,装強!$A$1:BA$1005,COLUMN(装強!BA$1),FALSE),0)</f>
        <v>0</v>
      </c>
      <c r="BB381">
        <f>IF(ISNUMBER(SEARCH(SUBSTITUTE(BB$1,RIGHT(BB$1,2),""),VLOOKUP($D381,素材!$1:$1016,COLUMN($F$1),FALSE))),VLOOKUP($C381,武器!$1:$998,COLUMN($O$1),FALSE)*VLOOKUP($D381,素材!$1:$1016,COLUMN($E$1),FALSE)/(LEN(VLOOKUP($D381,素材!$1:$1016,COLUMN($F$1),FALSE))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0)+IF($CJ381&lt;&gt;"",VLOOKUP($CJ381,装強!$A$1:BB$1005,COLUMN(装強!BB$1),FALSE),0)</f>
        <v>0</v>
      </c>
      <c r="BC381">
        <f>IF(ISNUMBER(SEARCH(SUBSTITUTE(BC$1,RIGHT(BC$1,2),""),VLOOKUP($D381,素材!$1:$1016,COLUMN($F$1),FALSE))),VLOOKUP($C381,武器!$1:$998,COLUMN($O$1),FALSE)*VLOOKUP($D381,素材!$1:$1016,COLUMN($E$1),FALSE)/(LEN(VLOOKUP($D381,素材!$1:$1016,COLUMN($F$1),FALSE))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0)+IF($CJ381&lt;&gt;"",VLOOKUP($CJ381,装強!$A$1:BC$1005,COLUMN(装強!BC$1),FALSE),0)</f>
        <v>0</v>
      </c>
      <c r="BD381">
        <f>IF(ISNUMBER(SEARCH(SUBSTITUTE(BD$1,RIGHT(BD$1,2),""),VLOOKUP($D381,素材!$1:$1016,COLUMN($F$1),FALSE))),VLOOKUP($C381,武器!$1:$998,COLUMN($O$1),FALSE)*VLOOKUP($D381,素材!$1:$1016,COLUMN($E$1),FALSE)/(LEN(VLOOKUP($D381,素材!$1:$1016,COLUMN($F$1),FALSE))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0)+IF($CJ381&lt;&gt;"",VLOOKUP($CJ381,装強!$A$1:BD$1005,COLUMN(装強!BD$1),FALSE),0)</f>
        <v>0</v>
      </c>
      <c r="BE381">
        <f>IF(ISNUMBER(SEARCH(SUBSTITUTE(BE$1,RIGHT(BE$1,2),""),VLOOKUP($D381,素材!$1:$1016,COLUMN($F$1),FALSE))),VLOOKUP($C381,武器!$1:$998,COLUMN($O$1),FALSE)*VLOOKUP($D381,素材!$1:$1016,COLUMN($E$1),FALSE)/(LEN(VLOOKUP($D381,素材!$1:$1016,COLUMN($F$1),FALSE))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0)+IF($CJ381&lt;&gt;"",VLOOKUP($CJ381,装強!$A$1:BE$1005,COLUMN(装強!BE$1),FALSE),0)</f>
        <v>0</v>
      </c>
      <c r="BF381">
        <f>IF(ISNUMBER(SEARCH(SUBSTITUTE(BF$1,RIGHT(BF$1,2),""),VLOOKUP($D381,素材!$1:$1016,COLUMN($F$1),FALSE))),VLOOKUP($C381,武器!$1:$998,COLUMN($O$1),FALSE)*VLOOKUP($D381,素材!$1:$1016,COLUMN($E$1),FALSE)/(LEN(VLOOKUP($D381,素材!$1:$1016,COLUMN($F$1),FALSE)) - LEN(SUBSTITUTE(VLOOKUP($D381,素材!$1:$1016,COLUMN($F$1),FALSE), "・", 0)) + 1), 0)+IF($CJ381&lt;&gt;"",VLOOKUP($CJ381,装強!$A$1:BF$1005,COLUMN(装強!BF$1),FALSE),0)</f>
        <v>0</v>
      </c>
      <c r="CM381">
        <f t="shared" si="44"/>
        <v>0</v>
      </c>
      <c r="CN381" s="22" t="str">
        <f>IF(E381="武器",IF(J381-1&gt;SUM(G381:I381),"盾",IF(MAX(G381:I381)=G381,"切断",IF(MAX(G381:I381)=H381,"貫通",IF(MAX(G381:I381)=I381,"打撃","射撃")))),E381)&amp;".webp"</f>
        <v>.webp</v>
      </c>
      <c r="CO381" t="str">
        <f>IFERROR(VLOOKUP($C381,武器!$1:$998,COLUMN(V$1),FALSE)*VLOOKUP($D381,素材!$1:$1016,COLUMN(N$1),FALSE)+IF(CJ381="",0,VLOOKUP($CJ381,装強!$1:$1008,COLUMN($CL$1),FALSE)),"")</f>
        <v/>
      </c>
      <c r="CP381" t="e">
        <f>VLOOKUP(D381,素材!$A:$O,COLUMN(素材!O$1),FALSE)</f>
        <v>#N/A</v>
      </c>
      <c r="CQ381" t="e">
        <f>VLOOKUP(C381,武器!$A:$W,COLUMN(武器!W$1),FALSE)</f>
        <v>#N/A</v>
      </c>
      <c r="CS381" t="str">
        <f>"e_"&amp;ROW(CS381)</f>
        <v>e_381</v>
      </c>
      <c r="CT381" t="e">
        <f t="shared" si="45"/>
        <v>#VALUE!</v>
      </c>
    </row>
    <row r="382" spans="1:98" x14ac:dyDescent="0.4">
      <c r="B382" t="str">
        <f>IFERROR(VLOOKUP($D382,素材!$1:$1016,COLUMN($B$1),FALSE)&amp;"・"&amp;VLOOKUP($C382,武器!$1:$998,COLUMN(B$1),FALSE),"")</f>
        <v/>
      </c>
      <c r="D382" s="24"/>
      <c r="E382" t="str">
        <f>IFERROR(VLOOKUP(C382,武器!$1:$998,COLUMN(C$1),FALSE),"")</f>
        <v/>
      </c>
      <c r="F382" t="str">
        <f>IFERROR(ROUNDDOWN((VLOOKUP($C382,武器!$1:$998,COLUMN(D$1),FALSE)+IFERROR(VLOOKUP($CJ382,装強!$1:$999,COLUMN(F$1),FALSE),0))*VLOOKUP($D382,素材!$1:$1016,COLUMN(D$1),FALSE),0),"")</f>
        <v/>
      </c>
      <c r="G382" t="str">
        <f>IFERROR(ROUNDDOWN((VLOOKUP($C382,武器!$1:$998,COLUMN(E$1),FALSE)+IFERROR(VLOOKUP($CJ382,装強!$1:$999,COLUMN(G$1),FALSE),0))*VLOOKUP($D382,素材!$1:$1016,COLUMN($E$1),FALSE),0),"")</f>
        <v/>
      </c>
      <c r="H382" t="str">
        <f>IFERROR(ROUNDDOWN((VLOOKUP($C382,武器!$1:$998,COLUMN(F$1),FALSE)+IFERROR(VLOOKUP($CJ382,装強!$1:$999,COLUMN(H$1),FALSE),0))*VLOOKUP($D382,素材!$1:$1016,COLUMN($E$1),FALSE),0),"")</f>
        <v/>
      </c>
      <c r="I382" t="str">
        <f>IFERROR(ROUNDDOWN((VLOOKUP($C382,武器!$1:$998,COLUMN(G$1),FALSE)+IFERROR(VLOOKUP($CJ382,装強!$1:$999,COLUMN(I$1),FALSE),0))*VLOOKUP($D382,素材!$1:$1016,COLUMN($E$1),FALSE),0),"")</f>
        <v/>
      </c>
      <c r="J382" t="str">
        <f>IFERROR(ROUNDDOWN((VLOOKUP($C382,武器!$1:$998,COLUMN(H$1),FALSE)+IFERROR(VLOOKUP($CJ382,装強!$1:$999,COLUMN(J$1),FALSE),0))*VLOOKUP($D382,素材!$1:$1016,COLUMN($E$1),FALSE),0),"")</f>
        <v/>
      </c>
      <c r="K382" t="str">
        <f>IFERROR(ROUNDDOWN((VLOOKUP($C382,武器!$1:$998,COLUMN(I$1),FALSE)+IFERROR(VLOOKUP($CJ382,装強!$1:$999,COLUMN(K$1),FALSE),0))*VLOOKUP($D382,素材!$1:$1016,COLUMN($E$1),FALSE),0),"")</f>
        <v/>
      </c>
      <c r="L382" t="str">
        <f>IFERROR(VLOOKUP($D382,素材!$1:$1016,COLUMN($F$1),FALSE),"")</f>
        <v/>
      </c>
      <c r="M382" t="str">
        <f>IFERROR(VLOOKUP($C382,武器!$1:$998,COLUMN(AA$1),FALSE)*VLOOKUP($D382,素材!$1:$1016,COLUMN($G$1),FALSE),"")</f>
        <v/>
      </c>
      <c r="N382" t="str">
        <f>IFERROR(VLOOKUP($C382,武器!$1:$998,COLUMN(I$1),FALSE),"")</f>
        <v/>
      </c>
      <c r="O382" s="23" t="str">
        <f>IFERROR((VLOOKUP($C382,武器!$1:$998,COLUMN(K$1),FALSE)+VLOOKUP($D382,素材!$1:$1016,COLUMN(H$1),FALSE))*100+IFERROR(VLOOKUP($CJ382,装強!$1:$999,COLUMN(O$1),FALSE),0),"")</f>
        <v/>
      </c>
      <c r="P382" s="23" t="str">
        <f>IFERROR((VLOOKUP($C382,武器!$1:$998,COLUMN(L$1),FALSE)+VLOOKUP($D382,素材!$1:$1016,COLUMN(I$1),FALSE))*100+IFERROR(VLOOKUP($CJ382,装強!$1:$999,COLUMN(P$1),FALSE),0),"")</f>
        <v/>
      </c>
      <c r="Q382" t="str">
        <f>IFERROR(ROUNDUP(VLOOKUP($C382,武器!$1:$998,COLUMN(M$1),FALSE)*(VLOOKUP($D382,素材!$1:$1002,COLUMN(D$1),FALSE)/100),1),"")</f>
        <v/>
      </c>
      <c r="R382" t="str">
        <f>IFERROR(ROUNDUP(VLOOKUP($C382,武器!$1:$998,COLUMN(N$1),FALSE)*(VLOOKUP($D382,素材!$1:$1002,COLUMN(D$1),FALSE)/100),1),"")</f>
        <v/>
      </c>
      <c r="S382" t="str">
        <f>IFERROR(VLOOKUP($C382,武器!$1:$998,COLUMN(P$1),FALSE),"")</f>
        <v/>
      </c>
      <c r="T382" t="str">
        <f>IFERROR(VLOOKUP($C382,武器!$1:$998,COLUMN(Q$1),FALSE),"")</f>
        <v/>
      </c>
      <c r="U382" t="str">
        <f>IFERROR(VLOOKUP($C382,武器!$1:$998,COLUMN(R$1),FALSE),"")</f>
        <v/>
      </c>
      <c r="V382" t="str">
        <f>IFERROR(VLOOKUP($C382,武器!$1:$998,COLUMN(Q$1),FALSE),"")</f>
        <v/>
      </c>
      <c r="W382" t="str">
        <f>IFERROR(VLOOKUP($C382,武器!$1:$998,COLUMN(T$1),FALSE),"")</f>
        <v/>
      </c>
      <c r="Y382" t="str">
        <f>IFERROR(VLOOKUP($C382,武器!$1:$998,COLUMN(U$1),FALSE),"")</f>
        <v/>
      </c>
      <c r="Z382" t="str">
        <f>IFERROR(ROUNDUP(VLOOKUP($C382,武器!$1:$998,COLUMN(O$1),FALSE)*VLOOKUP($D382,素材!$1:$1016,COLUMN(E$1),FALSE),1),"")</f>
        <v/>
      </c>
      <c r="AA382">
        <f>IF(ISNUMBER(SEARCH(SUBSTITUTE(AA$1,RIGHT(AA$1,2),""),VLOOKUP($D382,素材!$1:$1016,COLUMN($F$1),FALSE))),VLOOKUP($C382,武器!$1:$998,COLUMN($O$1),FALSE)*VLOOKUP($D382,素材!$1:$1016,COLUMN($E$1),FALSE)/(LEN(VLOOKUP($D382,素材!$1:$1016,COLUMN($F$1),FALSE))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</f>
        <v>0</v>
      </c>
      <c r="AB382">
        <f>IF(ISNUMBER(SEARCH(SUBSTITUTE(AB$1,RIGHT(AB$1,2),""),VLOOKUP($D382,素材!$1:$1016,COLUMN($F$1),FALSE))),VLOOKUP($C382,武器!$1:$998,COLUMN($O$1),FALSE)*VLOOKUP($D382,素材!$1:$1016,COLUMN($E$1),FALSE)/(LEN(VLOOKUP($D382,素材!$1:$1016,COLUMN($F$1),FALSE))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</f>
        <v>0</v>
      </c>
      <c r="AC382">
        <f>IF(ISNUMBER(SEARCH(SUBSTITUTE(AC$1,RIGHT(AC$1,2),""),VLOOKUP($D382,素材!$1:$1016,COLUMN($F$1),FALSE))),VLOOKUP($C382,武器!$1:$998,COLUMN($O$1),FALSE)*VLOOKUP($D382,素材!$1:$1016,COLUMN($E$1),FALSE)/(LEN(VLOOKUP($D382,素材!$1:$1016,COLUMN($F$1),FALSE))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</f>
        <v>0</v>
      </c>
      <c r="AD382">
        <f>IF(ISNUMBER(SEARCH(SUBSTITUTE(AD$1,RIGHT(AD$1,2),""),VLOOKUP($D382,素材!$1:$1016,COLUMN($F$1),FALSE))),VLOOKUP($C382,武器!$1:$998,COLUMN($O$1),FALSE)*VLOOKUP($D382,素材!$1:$1016,COLUMN($E$1),FALSE)/(LEN(VLOOKUP($D382,素材!$1:$1016,COLUMN($F$1),FALSE))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</f>
        <v>0</v>
      </c>
      <c r="AE382">
        <f>IF(ISNUMBER(SEARCH(SUBSTITUTE(AE$1,RIGHT(AE$1,2),""),VLOOKUP($D382,素材!$1:$1016,COLUMN($F$1),FALSE))),VLOOKUP($C382,武器!$1:$998,COLUMN($O$1),FALSE)*VLOOKUP($D382,素材!$1:$1016,COLUMN($E$1),FALSE)/(LEN(VLOOKUP($D382,素材!$1:$1016,COLUMN($F$1),FALSE))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0)+IF($CJ382&lt;&gt;"",VLOOKUP($CJ382,装強!$A$1:AE$1005,COLUMN(装強!AE$1),FALSE),0)</f>
        <v>0</v>
      </c>
      <c r="AF382">
        <f>IF(ISNUMBER(SEARCH(SUBSTITUTE(AF$1,RIGHT(AF$1,2),""),VLOOKUP($D382,素材!$1:$1016,COLUMN($F$1),FALSE))),VLOOKUP($C382,武器!$1:$998,COLUMN($O$1),FALSE)*VLOOKUP($D382,素材!$1:$1016,COLUMN($E$1),FALSE)/(LEN(VLOOKUP($D382,素材!$1:$1016,COLUMN($F$1),FALSE))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0)+IF($CJ382&lt;&gt;"",VLOOKUP($CJ382,装強!$A$1:AF$1005,COLUMN(装強!AF$1),FALSE),0)</f>
        <v>0</v>
      </c>
      <c r="AG382">
        <f>IF(ISNUMBER(SEARCH(SUBSTITUTE(AG$1,RIGHT(AG$1,2),""),VLOOKUP($D382,素材!$1:$1016,COLUMN($F$1),FALSE))),VLOOKUP($C382,武器!$1:$998,COLUMN($O$1),FALSE)*VLOOKUP($D382,素材!$1:$1016,COLUMN($E$1),FALSE)/(LEN(VLOOKUP($D382,素材!$1:$1016,COLUMN($F$1),FALSE))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0)+IF($CJ382&lt;&gt;"",VLOOKUP($CJ382,装強!$A$1:AG$1005,COLUMN(装強!AG$1),FALSE),0)</f>
        <v>0</v>
      </c>
      <c r="AH382">
        <f>IF(ISNUMBER(SEARCH(SUBSTITUTE(AH$1,RIGHT(AH$1,2),""),VLOOKUP($D382,素材!$1:$1016,COLUMN($F$1),FALSE))),VLOOKUP($C382,武器!$1:$998,COLUMN($O$1),FALSE)*VLOOKUP($D382,素材!$1:$1016,COLUMN($E$1),FALSE)/(LEN(VLOOKUP($D382,素材!$1:$1016,COLUMN($F$1),FALSE))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0)+IF($CJ382&lt;&gt;"",VLOOKUP($CJ382,装強!$A$1:AH$1005,COLUMN(装強!AH$1),FALSE),0)</f>
        <v>0</v>
      </c>
      <c r="AI382">
        <f>IF(ISNUMBER(SEARCH(SUBSTITUTE(AI$1,RIGHT(AI$1,2),""),VLOOKUP($D382,素材!$1:$1016,COLUMN($F$1),FALSE))),VLOOKUP($C382,武器!$1:$998,COLUMN($O$1),FALSE)*VLOOKUP($D382,素材!$1:$1016,COLUMN($E$1),FALSE)/(LEN(VLOOKUP($D382,素材!$1:$1016,COLUMN($F$1),FALSE))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0)+IF($CJ382&lt;&gt;"",VLOOKUP($CJ382,装強!$A$1:AI$1005,COLUMN(装強!AI$1),FALSE),0)</f>
        <v>0</v>
      </c>
      <c r="AJ382">
        <f>IF(ISNUMBER(SEARCH(SUBSTITUTE(AJ$1,RIGHT(AJ$1,2),""),VLOOKUP($D382,素材!$1:$1016,COLUMN($F$1),FALSE))),VLOOKUP($C382,武器!$1:$998,COLUMN($O$1),FALSE)*VLOOKUP($D382,素材!$1:$1016,COLUMN($E$1),FALSE)/(LEN(VLOOKUP($D382,素材!$1:$1016,COLUMN($F$1),FALSE))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0)+IF($CJ382&lt;&gt;"",VLOOKUP($CJ382,装強!$A$1:AJ$1005,COLUMN(装強!AJ$1),FALSE),0)</f>
        <v>0</v>
      </c>
      <c r="AK382">
        <f>IF(ISNUMBER(SEARCH(SUBSTITUTE(AK$1,RIGHT(AK$1,2),""),VLOOKUP($D382,素材!$1:$1016,COLUMN($F$1),FALSE))),VLOOKUP($C382,武器!$1:$998,COLUMN($O$1),FALSE)*VLOOKUP($D382,素材!$1:$1016,COLUMN($E$1),FALSE)/(LEN(VLOOKUP($D382,素材!$1:$1016,COLUMN($F$1),FALSE))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0)+IF($CJ382&lt;&gt;"",VLOOKUP($CJ382,装強!$A$1:AK$1005,COLUMN(装強!AK$1),FALSE),0)</f>
        <v>0</v>
      </c>
      <c r="AL382">
        <f>IF(ISNUMBER(SEARCH(SUBSTITUTE(AL$1,RIGHT(AL$1,2),""),VLOOKUP($D382,素材!$1:$1016,COLUMN($F$1),FALSE))),VLOOKUP($C382,武器!$1:$998,COLUMN($O$1),FALSE)*VLOOKUP($D382,素材!$1:$1016,COLUMN($E$1),FALSE)/(LEN(VLOOKUP($D382,素材!$1:$1016,COLUMN($F$1),FALSE))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0)+IF($CJ382&lt;&gt;"",VLOOKUP($CJ382,装強!$A$1:AL$1005,COLUMN(装強!AL$1),FALSE),0)</f>
        <v>0</v>
      </c>
      <c r="AM382">
        <f>IF(ISNUMBER(SEARCH(SUBSTITUTE(AM$1,RIGHT(AM$1,2),""),VLOOKUP($D382,素材!$1:$1016,COLUMN($F$1),FALSE))),VLOOKUP($C382,武器!$1:$998,COLUMN($O$1),FALSE)*VLOOKUP($D382,素材!$1:$1016,COLUMN($E$1),FALSE)/(LEN(VLOOKUP($D382,素材!$1:$1016,COLUMN($F$1),FALSE))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0)+IF($CJ382&lt;&gt;"",VLOOKUP($CJ382,装強!$A$1:AM$1005,COLUMN(装強!AM$1),FALSE),0)</f>
        <v>0</v>
      </c>
      <c r="AN382">
        <f>IF(ISNUMBER(SEARCH(SUBSTITUTE(AN$1,RIGHT(AN$1,2),""),VLOOKUP($D382,素材!$1:$1016,COLUMN($F$1),FALSE))),VLOOKUP($C382,武器!$1:$998,COLUMN($O$1),FALSE)*VLOOKUP($D382,素材!$1:$1016,COLUMN($E$1),FALSE)/(LEN(VLOOKUP($D382,素材!$1:$1016,COLUMN($F$1),FALSE))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0)+IF($CJ382&lt;&gt;"",VLOOKUP($CJ382,装強!$A$1:AN$1005,COLUMN(装強!AN$1),FALSE),0)</f>
        <v>0</v>
      </c>
      <c r="AO382">
        <f>IF(ISNUMBER(SEARCH(SUBSTITUTE(AO$1,RIGHT(AO$1,2),""),VLOOKUP($D382,素材!$1:$1016,COLUMN($F$1),FALSE))),VLOOKUP($C382,武器!$1:$998,COLUMN($O$1),FALSE)*VLOOKUP($D382,素材!$1:$1016,COLUMN($E$1),FALSE)/(LEN(VLOOKUP($D382,素材!$1:$1016,COLUMN($F$1),FALSE))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0)+IF($CJ382&lt;&gt;"",VLOOKUP($CJ382,装強!$A$1:AO$1005,COLUMN(装強!AO$1),FALSE),0)</f>
        <v>0</v>
      </c>
      <c r="AP382">
        <f>IF(ISNUMBER(SEARCH(SUBSTITUTE(AP$1,RIGHT(AP$1,2),""),VLOOKUP($D382,素材!$1:$1016,COLUMN($F$1),FALSE))),VLOOKUP($C382,武器!$1:$998,COLUMN($O$1),FALSE)*VLOOKUP($D382,素材!$1:$1016,COLUMN($E$1),FALSE)/(LEN(VLOOKUP($D382,素材!$1:$1016,COLUMN($F$1),FALSE))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0)+IF($CJ382&lt;&gt;"",VLOOKUP($CJ382,装強!$A$1:AP$1005,COLUMN(装強!AP$1),FALSE),0)</f>
        <v>0</v>
      </c>
      <c r="AQ382">
        <f>IF(ISNUMBER(SEARCH(SUBSTITUTE(AQ$1,RIGHT(AQ$1,2),""),VLOOKUP($D382,素材!$1:$1016,COLUMN($F$1),FALSE))),VLOOKUP($C382,武器!$1:$998,COLUMN($O$1),FALSE)*VLOOKUP($D382,素材!$1:$1016,COLUMN($E$1),FALSE)/(LEN(VLOOKUP($D382,素材!$1:$1016,COLUMN($F$1),FALSE))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0)+IF($CJ382&lt;&gt;"",VLOOKUP($CJ382,装強!$A$1:AQ$1005,COLUMN(装強!AQ$1),FALSE),0)</f>
        <v>0</v>
      </c>
      <c r="AR382">
        <f>IF(ISNUMBER(SEARCH(SUBSTITUTE(AR$1,RIGHT(AR$1,2),""),VLOOKUP($D382,素材!$1:$1016,COLUMN($F$1),FALSE))),VLOOKUP($C382,武器!$1:$998,COLUMN($O$1),FALSE)*VLOOKUP($D382,素材!$1:$1016,COLUMN($E$1),FALSE)/(LEN(VLOOKUP($D382,素材!$1:$1016,COLUMN($F$1),FALSE))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0)+IF($CJ382&lt;&gt;"",VLOOKUP($CJ382,装強!$A$1:AR$1005,COLUMN(装強!AR$1),FALSE),0)</f>
        <v>0</v>
      </c>
      <c r="AS382">
        <f>IF(ISNUMBER(SEARCH(SUBSTITUTE(AS$1,RIGHT(AS$1,2),""),VLOOKUP($D382,素材!$1:$1016,COLUMN($F$1),FALSE))),VLOOKUP($C382,武器!$1:$998,COLUMN($O$1),FALSE)*VLOOKUP($D382,素材!$1:$1016,COLUMN($E$1),FALSE)/(LEN(VLOOKUP($D382,素材!$1:$1016,COLUMN($F$1),FALSE))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0)+IF($CJ382&lt;&gt;"",VLOOKUP($CJ382,装強!$A$1:AS$1005,COLUMN(装強!AS$1),FALSE),0)</f>
        <v>0</v>
      </c>
      <c r="AT382">
        <f>IF(ISNUMBER(SEARCH(SUBSTITUTE(AT$1,RIGHT(AT$1,2),""),VLOOKUP($D382,素材!$1:$1016,COLUMN($F$1),FALSE))),VLOOKUP($C382,武器!$1:$998,COLUMN($O$1),FALSE)*VLOOKUP($D382,素材!$1:$1016,COLUMN($E$1),FALSE)/(LEN(VLOOKUP($D382,素材!$1:$1016,COLUMN($F$1),FALSE))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0)+IF($CJ382&lt;&gt;"",VLOOKUP($CJ382,装強!$A$1:AT$1005,COLUMN(装強!AT$1),FALSE),0)</f>
        <v>0</v>
      </c>
      <c r="AU382">
        <f>IF(ISNUMBER(SEARCH(SUBSTITUTE(AU$1,RIGHT(AU$1,2),""),VLOOKUP($D382,素材!$1:$1016,COLUMN($F$1),FALSE))),VLOOKUP($C382,武器!$1:$998,COLUMN($O$1),FALSE)*VLOOKUP($D382,素材!$1:$1016,COLUMN($E$1),FALSE)/(LEN(VLOOKUP($D382,素材!$1:$1016,COLUMN($F$1),FALSE))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0)+IF($CJ382&lt;&gt;"",VLOOKUP($CJ382,装強!$A$1:AU$1005,COLUMN(装強!AU$1),FALSE),0)</f>
        <v>0</v>
      </c>
      <c r="AV382">
        <f>IF(ISNUMBER(SEARCH(SUBSTITUTE(AV$1,RIGHT(AV$1,2),""),VLOOKUP($D382,素材!$1:$1016,COLUMN($F$1),FALSE))),VLOOKUP($C382,武器!$1:$998,COLUMN($O$1),FALSE)*VLOOKUP($D382,素材!$1:$1016,COLUMN($E$1),FALSE)/(LEN(VLOOKUP($D382,素材!$1:$1016,COLUMN($F$1),FALSE))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0)+IF($CJ382&lt;&gt;"",VLOOKUP($CJ382,装強!$A$1:AV$1005,COLUMN(装強!AV$1),FALSE),0)</f>
        <v>0</v>
      </c>
      <c r="AW382">
        <f>IF(ISNUMBER(SEARCH(SUBSTITUTE(AW$1,RIGHT(AW$1,2),""),VLOOKUP($D382,素材!$1:$1016,COLUMN($F$1),FALSE))),VLOOKUP($C382,武器!$1:$998,COLUMN($O$1),FALSE)*VLOOKUP($D382,素材!$1:$1016,COLUMN($E$1),FALSE)/(LEN(VLOOKUP($D382,素材!$1:$1016,COLUMN($F$1),FALSE))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0)+IF($CJ382&lt;&gt;"",VLOOKUP($CJ382,装強!$A$1:AW$1005,COLUMN(装強!AW$1),FALSE),0)</f>
        <v>0</v>
      </c>
      <c r="AX382">
        <f>IF(ISNUMBER(SEARCH(SUBSTITUTE(AX$1,RIGHT(AX$1,2),""),VLOOKUP($D382,素材!$1:$1016,COLUMN($F$1),FALSE))),VLOOKUP($C382,武器!$1:$998,COLUMN($O$1),FALSE)*VLOOKUP($D382,素材!$1:$1016,COLUMN($E$1),FALSE)/(LEN(VLOOKUP($D382,素材!$1:$1016,COLUMN($F$1),FALSE))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0)+IF($CJ382&lt;&gt;"",VLOOKUP($CJ382,装強!$A$1:AX$1005,COLUMN(装強!AX$1),FALSE),0)</f>
        <v>0</v>
      </c>
      <c r="AY382">
        <f>IF(ISNUMBER(SEARCH(SUBSTITUTE(AY$1,RIGHT(AY$1,2),""),VLOOKUP($D382,素材!$1:$1016,COLUMN($F$1),FALSE))),VLOOKUP($C382,武器!$1:$998,COLUMN($O$1),FALSE)*VLOOKUP($D382,素材!$1:$1016,COLUMN($E$1),FALSE)/(LEN(VLOOKUP($D382,素材!$1:$1016,COLUMN($F$1),FALSE))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0)+IF($CJ382&lt;&gt;"",VLOOKUP($CJ382,装強!$A$1:AY$1005,COLUMN(装強!AY$1),FALSE),0)</f>
        <v>0</v>
      </c>
      <c r="AZ382">
        <f>IF(ISNUMBER(SEARCH(SUBSTITUTE(AZ$1,RIGHT(AZ$1,2),""),VLOOKUP($D382,素材!$1:$1016,COLUMN($F$1),FALSE))),VLOOKUP($C382,武器!$1:$998,COLUMN($O$1),FALSE)*VLOOKUP($D382,素材!$1:$1016,COLUMN($E$1),FALSE)/(LEN(VLOOKUP($D382,素材!$1:$1016,COLUMN($F$1),FALSE))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0)+IF($CJ382&lt;&gt;"",VLOOKUP($CJ382,装強!$A$1:AZ$1005,COLUMN(装強!AZ$1),FALSE),0)</f>
        <v>0</v>
      </c>
      <c r="BA382">
        <f>IF(ISNUMBER(SEARCH(SUBSTITUTE(BA$1,RIGHT(BA$1,2),""),VLOOKUP($D382,素材!$1:$1016,COLUMN($F$1),FALSE))),VLOOKUP($C382,武器!$1:$998,COLUMN($O$1),FALSE)*VLOOKUP($D382,素材!$1:$1016,COLUMN($E$1),FALSE)/(LEN(VLOOKUP($D382,素材!$1:$1016,COLUMN($F$1),FALSE))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0)+IF($CJ382&lt;&gt;"",VLOOKUP($CJ382,装強!$A$1:BA$1005,COLUMN(装強!BA$1),FALSE),0)</f>
        <v>0</v>
      </c>
      <c r="BB382">
        <f>IF(ISNUMBER(SEARCH(SUBSTITUTE(BB$1,RIGHT(BB$1,2),""),VLOOKUP($D382,素材!$1:$1016,COLUMN($F$1),FALSE))),VLOOKUP($C382,武器!$1:$998,COLUMN($O$1),FALSE)*VLOOKUP($D382,素材!$1:$1016,COLUMN($E$1),FALSE)/(LEN(VLOOKUP($D382,素材!$1:$1016,COLUMN($F$1),FALSE))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0)+IF($CJ382&lt;&gt;"",VLOOKUP($CJ382,装強!$A$1:BB$1005,COLUMN(装強!BB$1),FALSE),0)</f>
        <v>0</v>
      </c>
      <c r="BC382">
        <f>IF(ISNUMBER(SEARCH(SUBSTITUTE(BC$1,RIGHT(BC$1,2),""),VLOOKUP($D382,素材!$1:$1016,COLUMN($F$1),FALSE))),VLOOKUP($C382,武器!$1:$998,COLUMN($O$1),FALSE)*VLOOKUP($D382,素材!$1:$1016,COLUMN($E$1),FALSE)/(LEN(VLOOKUP($D382,素材!$1:$1016,COLUMN($F$1),FALSE))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0)+IF($CJ382&lt;&gt;"",VLOOKUP($CJ382,装強!$A$1:BC$1005,COLUMN(装強!BC$1),FALSE),0)</f>
        <v>0</v>
      </c>
      <c r="BD382">
        <f>IF(ISNUMBER(SEARCH(SUBSTITUTE(BD$1,RIGHT(BD$1,2),""),VLOOKUP($D382,素材!$1:$1016,COLUMN($F$1),FALSE))),VLOOKUP($C382,武器!$1:$998,COLUMN($O$1),FALSE)*VLOOKUP($D382,素材!$1:$1016,COLUMN($E$1),FALSE)/(LEN(VLOOKUP($D382,素材!$1:$1016,COLUMN($F$1),FALSE))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0)+IF($CJ382&lt;&gt;"",VLOOKUP($CJ382,装強!$A$1:BD$1005,COLUMN(装強!BD$1),FALSE),0)</f>
        <v>0</v>
      </c>
      <c r="BE382">
        <f>IF(ISNUMBER(SEARCH(SUBSTITUTE(BE$1,RIGHT(BE$1,2),""),VLOOKUP($D382,素材!$1:$1016,COLUMN($F$1),FALSE))),VLOOKUP($C382,武器!$1:$998,COLUMN($O$1),FALSE)*VLOOKUP($D382,素材!$1:$1016,COLUMN($E$1),FALSE)/(LEN(VLOOKUP($D382,素材!$1:$1016,COLUMN($F$1),FALSE))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0)+IF($CJ382&lt;&gt;"",VLOOKUP($CJ382,装強!$A$1:BE$1005,COLUMN(装強!BE$1),FALSE),0)</f>
        <v>0</v>
      </c>
      <c r="BF382">
        <f>IF(ISNUMBER(SEARCH(SUBSTITUTE(BF$1,RIGHT(BF$1,2),""),VLOOKUP($D382,素材!$1:$1016,COLUMN($F$1),FALSE))),VLOOKUP($C382,武器!$1:$998,COLUMN($O$1),FALSE)*VLOOKUP($D382,素材!$1:$1016,COLUMN($E$1),FALSE)/(LEN(VLOOKUP($D382,素材!$1:$1016,COLUMN($F$1),FALSE)) - LEN(SUBSTITUTE(VLOOKUP($D382,素材!$1:$1016,COLUMN($F$1),FALSE), "・", 0)) + 1), 0)+IF($CJ382&lt;&gt;"",VLOOKUP($CJ382,装強!$A$1:BF$1005,COLUMN(装強!BF$1),FALSE),0)</f>
        <v>0</v>
      </c>
      <c r="CM382">
        <f t="shared" si="44"/>
        <v>0</v>
      </c>
      <c r="CN382" s="22" t="str">
        <f>IF(E382="武器",IF(J382-1&gt;SUM(G382:I382),"盾",IF(MAX(G382:I382)=G382,"切断",IF(MAX(G382:I382)=H382,"貫通",IF(MAX(G382:I382)=I382,"打撃","射撃")))),E382)&amp;".webp"</f>
        <v>.webp</v>
      </c>
      <c r="CO382" t="str">
        <f>IFERROR(VLOOKUP($C382,武器!$1:$998,COLUMN(V$1),FALSE)*VLOOKUP($D382,素材!$1:$1016,COLUMN(N$1),FALSE)+IF(CJ382="",0,VLOOKUP($CJ382,装強!$1:$1008,COLUMN($CL$1),FALSE)),"")</f>
        <v/>
      </c>
      <c r="CP382" t="e">
        <f>VLOOKUP(D382,素材!$A:$O,COLUMN(素材!O$1),FALSE)</f>
        <v>#N/A</v>
      </c>
      <c r="CQ382" t="e">
        <f>VLOOKUP(C382,武器!$A:$W,COLUMN(武器!W$1),FALSE)</f>
        <v>#N/A</v>
      </c>
      <c r="CS382" t="str">
        <f>"e_"&amp;ROW(CS382)</f>
        <v>e_382</v>
      </c>
      <c r="CT382" t="e">
        <f t="shared" si="45"/>
        <v>#VALUE!</v>
      </c>
    </row>
    <row r="383" spans="1:98" x14ac:dyDescent="0.4">
      <c r="B383" t="str">
        <f>IFERROR(VLOOKUP($D383,素材!$1:$1016,COLUMN($B$1),FALSE)&amp;"・"&amp;VLOOKUP($C383,武器!$1:$998,COLUMN(B$1),FALSE),"")</f>
        <v/>
      </c>
      <c r="D383" s="24"/>
      <c r="E383" t="str">
        <f>IFERROR(VLOOKUP(C383,武器!$1:$998,COLUMN(C$1),FALSE),"")</f>
        <v/>
      </c>
      <c r="F383" t="str">
        <f>IFERROR(ROUNDDOWN((VLOOKUP($C383,武器!$1:$998,COLUMN(D$1),FALSE)+IFERROR(VLOOKUP($CJ383,装強!$1:$999,COLUMN(F$1),FALSE),0))*VLOOKUP($D383,素材!$1:$1016,COLUMN(D$1),FALSE),0),"")</f>
        <v/>
      </c>
      <c r="G383" t="str">
        <f>IFERROR(ROUNDDOWN((VLOOKUP($C383,武器!$1:$998,COLUMN(E$1),FALSE)+IFERROR(VLOOKUP($CJ383,装強!$1:$999,COLUMN(G$1),FALSE),0))*VLOOKUP($D383,素材!$1:$1016,COLUMN($E$1),FALSE),0),"")</f>
        <v/>
      </c>
      <c r="H383" t="str">
        <f>IFERROR(ROUNDDOWN((VLOOKUP($C383,武器!$1:$998,COLUMN(F$1),FALSE)+IFERROR(VLOOKUP($CJ383,装強!$1:$999,COLUMN(H$1),FALSE),0))*VLOOKUP($D383,素材!$1:$1016,COLUMN($E$1),FALSE),0),"")</f>
        <v/>
      </c>
      <c r="I383" t="str">
        <f>IFERROR(ROUNDDOWN((VLOOKUP($C383,武器!$1:$998,COLUMN(G$1),FALSE)+IFERROR(VLOOKUP($CJ383,装強!$1:$999,COLUMN(I$1),FALSE),0))*VLOOKUP($D383,素材!$1:$1016,COLUMN($E$1),FALSE),0),"")</f>
        <v/>
      </c>
      <c r="J383" t="str">
        <f>IFERROR(ROUNDDOWN((VLOOKUP($C383,武器!$1:$998,COLUMN(H$1),FALSE)+IFERROR(VLOOKUP($CJ383,装強!$1:$999,COLUMN(J$1),FALSE),0))*VLOOKUP($D383,素材!$1:$1016,COLUMN($E$1),FALSE),0),"")</f>
        <v/>
      </c>
      <c r="K383" t="str">
        <f>IFERROR(ROUNDDOWN((VLOOKUP($C383,武器!$1:$998,COLUMN(I$1),FALSE)+IFERROR(VLOOKUP($CJ383,装強!$1:$999,COLUMN(K$1),FALSE),0))*VLOOKUP($D383,素材!$1:$1016,COLUMN($E$1),FALSE),0),"")</f>
        <v/>
      </c>
      <c r="L383" t="str">
        <f>IFERROR(VLOOKUP($D383,素材!$1:$1016,COLUMN($F$1),FALSE),"")</f>
        <v/>
      </c>
      <c r="M383" t="str">
        <f>IFERROR(VLOOKUP($C383,武器!$1:$998,COLUMN(AA$1),FALSE)*VLOOKUP($D383,素材!$1:$1016,COLUMN($G$1),FALSE),"")</f>
        <v/>
      </c>
      <c r="N383" t="str">
        <f>IFERROR(VLOOKUP($C383,武器!$1:$998,COLUMN(I$1),FALSE),"")</f>
        <v/>
      </c>
      <c r="O383" s="23" t="str">
        <f>IFERROR((VLOOKUP($C383,武器!$1:$998,COLUMN(K$1),FALSE)+VLOOKUP($D383,素材!$1:$1016,COLUMN(H$1),FALSE))*100+IFERROR(VLOOKUP($CJ383,装強!$1:$999,COLUMN(O$1),FALSE),0),"")</f>
        <v/>
      </c>
      <c r="P383" s="23" t="str">
        <f>IFERROR((VLOOKUP($C383,武器!$1:$998,COLUMN(L$1),FALSE)+VLOOKUP($D383,素材!$1:$1016,COLUMN(I$1),FALSE))*100+IFERROR(VLOOKUP($CJ383,装強!$1:$999,COLUMN(P$1),FALSE),0),"")</f>
        <v/>
      </c>
      <c r="Q383" t="str">
        <f>IFERROR(ROUNDUP(VLOOKUP($C383,武器!$1:$998,COLUMN(M$1),FALSE)*(VLOOKUP($D383,素材!$1:$1002,COLUMN(D$1),FALSE)/100),1),"")</f>
        <v/>
      </c>
      <c r="R383" t="str">
        <f>IFERROR(ROUNDUP(VLOOKUP($C383,武器!$1:$998,COLUMN(N$1),FALSE)*(VLOOKUP($D383,素材!$1:$1002,COLUMN(D$1),FALSE)/100),1),"")</f>
        <v/>
      </c>
      <c r="S383" t="str">
        <f>IFERROR(VLOOKUP($C383,武器!$1:$998,COLUMN(P$1),FALSE),"")</f>
        <v/>
      </c>
      <c r="T383" t="str">
        <f>IFERROR(VLOOKUP($C383,武器!$1:$998,COLUMN(Q$1),FALSE),"")</f>
        <v/>
      </c>
      <c r="U383" t="str">
        <f>IFERROR(VLOOKUP($C383,武器!$1:$998,COLUMN(R$1),FALSE),"")</f>
        <v/>
      </c>
      <c r="V383" t="str">
        <f>IFERROR(VLOOKUP($C383,武器!$1:$998,COLUMN(Q$1),FALSE),"")</f>
        <v/>
      </c>
      <c r="W383" t="str">
        <f>IFERROR(VLOOKUP($C383,武器!$1:$998,COLUMN(T$1),FALSE),"")</f>
        <v/>
      </c>
      <c r="Y383" t="str">
        <f>IFERROR(VLOOKUP($C383,武器!$1:$998,COLUMN(U$1),FALSE),"")</f>
        <v/>
      </c>
      <c r="Z383" t="str">
        <f>IFERROR(ROUNDUP(VLOOKUP($C383,武器!$1:$998,COLUMN(O$1),FALSE)*VLOOKUP($D383,素材!$1:$1016,COLUMN(E$1),FALSE),1),"")</f>
        <v/>
      </c>
      <c r="AA383">
        <f>IF(ISNUMBER(SEARCH(SUBSTITUTE(AA$1,RIGHT(AA$1,2),""),VLOOKUP($D383,素材!$1:$1016,COLUMN($F$1),FALSE))),VLOOKUP($C383,武器!$1:$998,COLUMN($O$1),FALSE)*VLOOKUP($D383,素材!$1:$1016,COLUMN($E$1),FALSE)/(LEN(VLOOKUP($D383,素材!$1:$1016,COLUMN($F$1),FALSE))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</f>
        <v>0</v>
      </c>
      <c r="AB383">
        <f>IF(ISNUMBER(SEARCH(SUBSTITUTE(AB$1,RIGHT(AB$1,2),""),VLOOKUP($D383,素材!$1:$1016,COLUMN($F$1),FALSE))),VLOOKUP($C383,武器!$1:$998,COLUMN($O$1),FALSE)*VLOOKUP($D383,素材!$1:$1016,COLUMN($E$1),FALSE)/(LEN(VLOOKUP($D383,素材!$1:$1016,COLUMN($F$1),FALSE))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</f>
        <v>0</v>
      </c>
      <c r="AC383">
        <f>IF(ISNUMBER(SEARCH(SUBSTITUTE(AC$1,RIGHT(AC$1,2),""),VLOOKUP($D383,素材!$1:$1016,COLUMN($F$1),FALSE))),VLOOKUP($C383,武器!$1:$998,COLUMN($O$1),FALSE)*VLOOKUP($D383,素材!$1:$1016,COLUMN($E$1),FALSE)/(LEN(VLOOKUP($D383,素材!$1:$1016,COLUMN($F$1),FALSE))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</f>
        <v>0</v>
      </c>
      <c r="AD383">
        <f>IF(ISNUMBER(SEARCH(SUBSTITUTE(AD$1,RIGHT(AD$1,2),""),VLOOKUP($D383,素材!$1:$1016,COLUMN($F$1),FALSE))),VLOOKUP($C383,武器!$1:$998,COLUMN($O$1),FALSE)*VLOOKUP($D383,素材!$1:$1016,COLUMN($E$1),FALSE)/(LEN(VLOOKUP($D383,素材!$1:$1016,COLUMN($F$1),FALSE))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</f>
        <v>0</v>
      </c>
      <c r="AE383">
        <f>IF(ISNUMBER(SEARCH(SUBSTITUTE(AE$1,RIGHT(AE$1,2),""),VLOOKUP($D383,素材!$1:$1016,COLUMN($F$1),FALSE))),VLOOKUP($C383,武器!$1:$998,COLUMN($O$1),FALSE)*VLOOKUP($D383,素材!$1:$1016,COLUMN($E$1),FALSE)/(LEN(VLOOKUP($D383,素材!$1:$1016,COLUMN($F$1),FALSE))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0)+IF($CJ383&lt;&gt;"",VLOOKUP($CJ383,装強!$A$1:AE$1005,COLUMN(装強!AE$1),FALSE),0)</f>
        <v>0</v>
      </c>
      <c r="AF383">
        <f>IF(ISNUMBER(SEARCH(SUBSTITUTE(AF$1,RIGHT(AF$1,2),""),VLOOKUP($D383,素材!$1:$1016,COLUMN($F$1),FALSE))),VLOOKUP($C383,武器!$1:$998,COLUMN($O$1),FALSE)*VLOOKUP($D383,素材!$1:$1016,COLUMN($E$1),FALSE)/(LEN(VLOOKUP($D383,素材!$1:$1016,COLUMN($F$1),FALSE))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0)+IF($CJ383&lt;&gt;"",VLOOKUP($CJ383,装強!$A$1:AF$1005,COLUMN(装強!AF$1),FALSE),0)</f>
        <v>0</v>
      </c>
      <c r="AG383">
        <f>IF(ISNUMBER(SEARCH(SUBSTITUTE(AG$1,RIGHT(AG$1,2),""),VLOOKUP($D383,素材!$1:$1016,COLUMN($F$1),FALSE))),VLOOKUP($C383,武器!$1:$998,COLUMN($O$1),FALSE)*VLOOKUP($D383,素材!$1:$1016,COLUMN($E$1),FALSE)/(LEN(VLOOKUP($D383,素材!$1:$1016,COLUMN($F$1),FALSE))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0)+IF($CJ383&lt;&gt;"",VLOOKUP($CJ383,装強!$A$1:AG$1005,COLUMN(装強!AG$1),FALSE),0)</f>
        <v>0</v>
      </c>
      <c r="AH383">
        <f>IF(ISNUMBER(SEARCH(SUBSTITUTE(AH$1,RIGHT(AH$1,2),""),VLOOKUP($D383,素材!$1:$1016,COLUMN($F$1),FALSE))),VLOOKUP($C383,武器!$1:$998,COLUMN($O$1),FALSE)*VLOOKUP($D383,素材!$1:$1016,COLUMN($E$1),FALSE)/(LEN(VLOOKUP($D383,素材!$1:$1016,COLUMN($F$1),FALSE))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0)+IF($CJ383&lt;&gt;"",VLOOKUP($CJ383,装強!$A$1:AH$1005,COLUMN(装強!AH$1),FALSE),0)</f>
        <v>0</v>
      </c>
      <c r="AI383">
        <f>IF(ISNUMBER(SEARCH(SUBSTITUTE(AI$1,RIGHT(AI$1,2),""),VLOOKUP($D383,素材!$1:$1016,COLUMN($F$1),FALSE))),VLOOKUP($C383,武器!$1:$998,COLUMN($O$1),FALSE)*VLOOKUP($D383,素材!$1:$1016,COLUMN($E$1),FALSE)/(LEN(VLOOKUP($D383,素材!$1:$1016,COLUMN($F$1),FALSE))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0)+IF($CJ383&lt;&gt;"",VLOOKUP($CJ383,装強!$A$1:AI$1005,COLUMN(装強!AI$1),FALSE),0)</f>
        <v>0</v>
      </c>
      <c r="AJ383">
        <f>IF(ISNUMBER(SEARCH(SUBSTITUTE(AJ$1,RIGHT(AJ$1,2),""),VLOOKUP($D383,素材!$1:$1016,COLUMN($F$1),FALSE))),VLOOKUP($C383,武器!$1:$998,COLUMN($O$1),FALSE)*VLOOKUP($D383,素材!$1:$1016,COLUMN($E$1),FALSE)/(LEN(VLOOKUP($D383,素材!$1:$1016,COLUMN($F$1),FALSE))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0)+IF($CJ383&lt;&gt;"",VLOOKUP($CJ383,装強!$A$1:AJ$1005,COLUMN(装強!AJ$1),FALSE),0)</f>
        <v>0</v>
      </c>
      <c r="AK383">
        <f>IF(ISNUMBER(SEARCH(SUBSTITUTE(AK$1,RIGHT(AK$1,2),""),VLOOKUP($D383,素材!$1:$1016,COLUMN($F$1),FALSE))),VLOOKUP($C383,武器!$1:$998,COLUMN($O$1),FALSE)*VLOOKUP($D383,素材!$1:$1016,COLUMN($E$1),FALSE)/(LEN(VLOOKUP($D383,素材!$1:$1016,COLUMN($F$1),FALSE))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0)+IF($CJ383&lt;&gt;"",VLOOKUP($CJ383,装強!$A$1:AK$1005,COLUMN(装強!AK$1),FALSE),0)</f>
        <v>0</v>
      </c>
      <c r="AL383">
        <f>IF(ISNUMBER(SEARCH(SUBSTITUTE(AL$1,RIGHT(AL$1,2),""),VLOOKUP($D383,素材!$1:$1016,COLUMN($F$1),FALSE))),VLOOKUP($C383,武器!$1:$998,COLUMN($O$1),FALSE)*VLOOKUP($D383,素材!$1:$1016,COLUMN($E$1),FALSE)/(LEN(VLOOKUP($D383,素材!$1:$1016,COLUMN($F$1),FALSE))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0)+IF($CJ383&lt;&gt;"",VLOOKUP($CJ383,装強!$A$1:AL$1005,COLUMN(装強!AL$1),FALSE),0)</f>
        <v>0</v>
      </c>
      <c r="AM383">
        <f>IF(ISNUMBER(SEARCH(SUBSTITUTE(AM$1,RIGHT(AM$1,2),""),VLOOKUP($D383,素材!$1:$1016,COLUMN($F$1),FALSE))),VLOOKUP($C383,武器!$1:$998,COLUMN($O$1),FALSE)*VLOOKUP($D383,素材!$1:$1016,COLUMN($E$1),FALSE)/(LEN(VLOOKUP($D383,素材!$1:$1016,COLUMN($F$1),FALSE))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0)+IF($CJ383&lt;&gt;"",VLOOKUP($CJ383,装強!$A$1:AM$1005,COLUMN(装強!AM$1),FALSE),0)</f>
        <v>0</v>
      </c>
      <c r="AN383">
        <f>IF(ISNUMBER(SEARCH(SUBSTITUTE(AN$1,RIGHT(AN$1,2),""),VLOOKUP($D383,素材!$1:$1016,COLUMN($F$1),FALSE))),VLOOKUP($C383,武器!$1:$998,COLUMN($O$1),FALSE)*VLOOKUP($D383,素材!$1:$1016,COLUMN($E$1),FALSE)/(LEN(VLOOKUP($D383,素材!$1:$1016,COLUMN($F$1),FALSE))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0)+IF($CJ383&lt;&gt;"",VLOOKUP($CJ383,装強!$A$1:AN$1005,COLUMN(装強!AN$1),FALSE),0)</f>
        <v>0</v>
      </c>
      <c r="AO383">
        <f>IF(ISNUMBER(SEARCH(SUBSTITUTE(AO$1,RIGHT(AO$1,2),""),VLOOKUP($D383,素材!$1:$1016,COLUMN($F$1),FALSE))),VLOOKUP($C383,武器!$1:$998,COLUMN($O$1),FALSE)*VLOOKUP($D383,素材!$1:$1016,COLUMN($E$1),FALSE)/(LEN(VLOOKUP($D383,素材!$1:$1016,COLUMN($F$1),FALSE))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0)+IF($CJ383&lt;&gt;"",VLOOKUP($CJ383,装強!$A$1:AO$1005,COLUMN(装強!AO$1),FALSE),0)</f>
        <v>0</v>
      </c>
      <c r="AP383">
        <f>IF(ISNUMBER(SEARCH(SUBSTITUTE(AP$1,RIGHT(AP$1,2),""),VLOOKUP($D383,素材!$1:$1016,COLUMN($F$1),FALSE))),VLOOKUP($C383,武器!$1:$998,COLUMN($O$1),FALSE)*VLOOKUP($D383,素材!$1:$1016,COLUMN($E$1),FALSE)/(LEN(VLOOKUP($D383,素材!$1:$1016,COLUMN($F$1),FALSE))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0)+IF($CJ383&lt;&gt;"",VLOOKUP($CJ383,装強!$A$1:AP$1005,COLUMN(装強!AP$1),FALSE),0)</f>
        <v>0</v>
      </c>
      <c r="AQ383">
        <f>IF(ISNUMBER(SEARCH(SUBSTITUTE(AQ$1,RIGHT(AQ$1,2),""),VLOOKUP($D383,素材!$1:$1016,COLUMN($F$1),FALSE))),VLOOKUP($C383,武器!$1:$998,COLUMN($O$1),FALSE)*VLOOKUP($D383,素材!$1:$1016,COLUMN($E$1),FALSE)/(LEN(VLOOKUP($D383,素材!$1:$1016,COLUMN($F$1),FALSE))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0)+IF($CJ383&lt;&gt;"",VLOOKUP($CJ383,装強!$A$1:AQ$1005,COLUMN(装強!AQ$1),FALSE),0)</f>
        <v>0</v>
      </c>
      <c r="AR383">
        <f>IF(ISNUMBER(SEARCH(SUBSTITUTE(AR$1,RIGHT(AR$1,2),""),VLOOKUP($D383,素材!$1:$1016,COLUMN($F$1),FALSE))),VLOOKUP($C383,武器!$1:$998,COLUMN($O$1),FALSE)*VLOOKUP($D383,素材!$1:$1016,COLUMN($E$1),FALSE)/(LEN(VLOOKUP($D383,素材!$1:$1016,COLUMN($F$1),FALSE))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0)+IF($CJ383&lt;&gt;"",VLOOKUP($CJ383,装強!$A$1:AR$1005,COLUMN(装強!AR$1),FALSE),0)</f>
        <v>0</v>
      </c>
      <c r="AS383">
        <f>IF(ISNUMBER(SEARCH(SUBSTITUTE(AS$1,RIGHT(AS$1,2),""),VLOOKUP($D383,素材!$1:$1016,COLUMN($F$1),FALSE))),VLOOKUP($C383,武器!$1:$998,COLUMN($O$1),FALSE)*VLOOKUP($D383,素材!$1:$1016,COLUMN($E$1),FALSE)/(LEN(VLOOKUP($D383,素材!$1:$1016,COLUMN($F$1),FALSE))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0)+IF($CJ383&lt;&gt;"",VLOOKUP($CJ383,装強!$A$1:AS$1005,COLUMN(装強!AS$1),FALSE),0)</f>
        <v>0</v>
      </c>
      <c r="AT383">
        <f>IF(ISNUMBER(SEARCH(SUBSTITUTE(AT$1,RIGHT(AT$1,2),""),VLOOKUP($D383,素材!$1:$1016,COLUMN($F$1),FALSE))),VLOOKUP($C383,武器!$1:$998,COLUMN($O$1),FALSE)*VLOOKUP($D383,素材!$1:$1016,COLUMN($E$1),FALSE)/(LEN(VLOOKUP($D383,素材!$1:$1016,COLUMN($F$1),FALSE))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0)+IF($CJ383&lt;&gt;"",VLOOKUP($CJ383,装強!$A$1:AT$1005,COLUMN(装強!AT$1),FALSE),0)</f>
        <v>0</v>
      </c>
      <c r="AU383">
        <f>IF(ISNUMBER(SEARCH(SUBSTITUTE(AU$1,RIGHT(AU$1,2),""),VLOOKUP($D383,素材!$1:$1016,COLUMN($F$1),FALSE))),VLOOKUP($C383,武器!$1:$998,COLUMN($O$1),FALSE)*VLOOKUP($D383,素材!$1:$1016,COLUMN($E$1),FALSE)/(LEN(VLOOKUP($D383,素材!$1:$1016,COLUMN($F$1),FALSE))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0)+IF($CJ383&lt;&gt;"",VLOOKUP($CJ383,装強!$A$1:AU$1005,COLUMN(装強!AU$1),FALSE),0)</f>
        <v>0</v>
      </c>
      <c r="AV383">
        <f>IF(ISNUMBER(SEARCH(SUBSTITUTE(AV$1,RIGHT(AV$1,2),""),VLOOKUP($D383,素材!$1:$1016,COLUMN($F$1),FALSE))),VLOOKUP($C383,武器!$1:$998,COLUMN($O$1),FALSE)*VLOOKUP($D383,素材!$1:$1016,COLUMN($E$1),FALSE)/(LEN(VLOOKUP($D383,素材!$1:$1016,COLUMN($F$1),FALSE))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0)+IF($CJ383&lt;&gt;"",VLOOKUP($CJ383,装強!$A$1:AV$1005,COLUMN(装強!AV$1),FALSE),0)</f>
        <v>0</v>
      </c>
      <c r="AW383">
        <f>IF(ISNUMBER(SEARCH(SUBSTITUTE(AW$1,RIGHT(AW$1,2),""),VLOOKUP($D383,素材!$1:$1016,COLUMN($F$1),FALSE))),VLOOKUP($C383,武器!$1:$998,COLUMN($O$1),FALSE)*VLOOKUP($D383,素材!$1:$1016,COLUMN($E$1),FALSE)/(LEN(VLOOKUP($D383,素材!$1:$1016,COLUMN($F$1),FALSE))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0)+IF($CJ383&lt;&gt;"",VLOOKUP($CJ383,装強!$A$1:AW$1005,COLUMN(装強!AW$1),FALSE),0)</f>
        <v>0</v>
      </c>
      <c r="AX383">
        <f>IF(ISNUMBER(SEARCH(SUBSTITUTE(AX$1,RIGHT(AX$1,2),""),VLOOKUP($D383,素材!$1:$1016,COLUMN($F$1),FALSE))),VLOOKUP($C383,武器!$1:$998,COLUMN($O$1),FALSE)*VLOOKUP($D383,素材!$1:$1016,COLUMN($E$1),FALSE)/(LEN(VLOOKUP($D383,素材!$1:$1016,COLUMN($F$1),FALSE))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0)+IF($CJ383&lt;&gt;"",VLOOKUP($CJ383,装強!$A$1:AX$1005,COLUMN(装強!AX$1),FALSE),0)</f>
        <v>0</v>
      </c>
      <c r="AY383">
        <f>IF(ISNUMBER(SEARCH(SUBSTITUTE(AY$1,RIGHT(AY$1,2),""),VLOOKUP($D383,素材!$1:$1016,COLUMN($F$1),FALSE))),VLOOKUP($C383,武器!$1:$998,COLUMN($O$1),FALSE)*VLOOKUP($D383,素材!$1:$1016,COLUMN($E$1),FALSE)/(LEN(VLOOKUP($D383,素材!$1:$1016,COLUMN($F$1),FALSE))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0)+IF($CJ383&lt;&gt;"",VLOOKUP($CJ383,装強!$A$1:AY$1005,COLUMN(装強!AY$1),FALSE),0)</f>
        <v>0</v>
      </c>
      <c r="AZ383">
        <f>IF(ISNUMBER(SEARCH(SUBSTITUTE(AZ$1,RIGHT(AZ$1,2),""),VLOOKUP($D383,素材!$1:$1016,COLUMN($F$1),FALSE))),VLOOKUP($C383,武器!$1:$998,COLUMN($O$1),FALSE)*VLOOKUP($D383,素材!$1:$1016,COLUMN($E$1),FALSE)/(LEN(VLOOKUP($D383,素材!$1:$1016,COLUMN($F$1),FALSE))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0)+IF($CJ383&lt;&gt;"",VLOOKUP($CJ383,装強!$A$1:AZ$1005,COLUMN(装強!AZ$1),FALSE),0)</f>
        <v>0</v>
      </c>
      <c r="BA383">
        <f>IF(ISNUMBER(SEARCH(SUBSTITUTE(BA$1,RIGHT(BA$1,2),""),VLOOKUP($D383,素材!$1:$1016,COLUMN($F$1),FALSE))),VLOOKUP($C383,武器!$1:$998,COLUMN($O$1),FALSE)*VLOOKUP($D383,素材!$1:$1016,COLUMN($E$1),FALSE)/(LEN(VLOOKUP($D383,素材!$1:$1016,COLUMN($F$1),FALSE))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0)+IF($CJ383&lt;&gt;"",VLOOKUP($CJ383,装強!$A$1:BA$1005,COLUMN(装強!BA$1),FALSE),0)</f>
        <v>0</v>
      </c>
      <c r="BB383">
        <f>IF(ISNUMBER(SEARCH(SUBSTITUTE(BB$1,RIGHT(BB$1,2),""),VLOOKUP($D383,素材!$1:$1016,COLUMN($F$1),FALSE))),VLOOKUP($C383,武器!$1:$998,COLUMN($O$1),FALSE)*VLOOKUP($D383,素材!$1:$1016,COLUMN($E$1),FALSE)/(LEN(VLOOKUP($D383,素材!$1:$1016,COLUMN($F$1),FALSE))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0)+IF($CJ383&lt;&gt;"",VLOOKUP($CJ383,装強!$A$1:BB$1005,COLUMN(装強!BB$1),FALSE),0)</f>
        <v>0</v>
      </c>
      <c r="BC383">
        <f>IF(ISNUMBER(SEARCH(SUBSTITUTE(BC$1,RIGHT(BC$1,2),""),VLOOKUP($D383,素材!$1:$1016,COLUMN($F$1),FALSE))),VLOOKUP($C383,武器!$1:$998,COLUMN($O$1),FALSE)*VLOOKUP($D383,素材!$1:$1016,COLUMN($E$1),FALSE)/(LEN(VLOOKUP($D383,素材!$1:$1016,COLUMN($F$1),FALSE))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0)+IF($CJ383&lt;&gt;"",VLOOKUP($CJ383,装強!$A$1:BC$1005,COLUMN(装強!BC$1),FALSE),0)</f>
        <v>0</v>
      </c>
      <c r="BD383">
        <f>IF(ISNUMBER(SEARCH(SUBSTITUTE(BD$1,RIGHT(BD$1,2),""),VLOOKUP($D383,素材!$1:$1016,COLUMN($F$1),FALSE))),VLOOKUP($C383,武器!$1:$998,COLUMN($O$1),FALSE)*VLOOKUP($D383,素材!$1:$1016,COLUMN($E$1),FALSE)/(LEN(VLOOKUP($D383,素材!$1:$1016,COLUMN($F$1),FALSE))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0)+IF($CJ383&lt;&gt;"",VLOOKUP($CJ383,装強!$A$1:BD$1005,COLUMN(装強!BD$1),FALSE),0)</f>
        <v>0</v>
      </c>
      <c r="BE383">
        <f>IF(ISNUMBER(SEARCH(SUBSTITUTE(BE$1,RIGHT(BE$1,2),""),VLOOKUP($D383,素材!$1:$1016,COLUMN($F$1),FALSE))),VLOOKUP($C383,武器!$1:$998,COLUMN($O$1),FALSE)*VLOOKUP($D383,素材!$1:$1016,COLUMN($E$1),FALSE)/(LEN(VLOOKUP($D383,素材!$1:$1016,COLUMN($F$1),FALSE))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0)+IF($CJ383&lt;&gt;"",VLOOKUP($CJ383,装強!$A$1:BE$1005,COLUMN(装強!BE$1),FALSE),0)</f>
        <v>0</v>
      </c>
      <c r="BF383">
        <f>IF(ISNUMBER(SEARCH(SUBSTITUTE(BF$1,RIGHT(BF$1,2),""),VLOOKUP($D383,素材!$1:$1016,COLUMN($F$1),FALSE))),VLOOKUP($C383,武器!$1:$998,COLUMN($O$1),FALSE)*VLOOKUP($D383,素材!$1:$1016,COLUMN($E$1),FALSE)/(LEN(VLOOKUP($D383,素材!$1:$1016,COLUMN($F$1),FALSE)) - LEN(SUBSTITUTE(VLOOKUP($D383,素材!$1:$1016,COLUMN($F$1),FALSE), "・", 0)) + 1), 0)+IF($CJ383&lt;&gt;"",VLOOKUP($CJ383,装強!$A$1:BF$1005,COLUMN(装強!BF$1),FALSE),0)</f>
        <v>0</v>
      </c>
      <c r="CM383">
        <f t="shared" si="44"/>
        <v>0</v>
      </c>
      <c r="CN383" s="22" t="str">
        <f>IF(E383="武器",IF(J383-1&gt;SUM(G383:I383),"盾",IF(MAX(G383:I383)=G383,"切断",IF(MAX(G383:I383)=H383,"貫通",IF(MAX(G383:I383)=I383,"打撃","射撃")))),E383)&amp;".webp"</f>
        <v>.webp</v>
      </c>
      <c r="CO383" t="str">
        <f>IFERROR(VLOOKUP($C383,武器!$1:$998,COLUMN(V$1),FALSE)*VLOOKUP($D383,素材!$1:$1016,COLUMN(N$1),FALSE)+IF(CJ383="",0,VLOOKUP($CJ383,装強!$1:$1008,COLUMN($CL$1),FALSE)),"")</f>
        <v/>
      </c>
      <c r="CP383" t="e">
        <f>VLOOKUP(D383,素材!$A:$O,COLUMN(素材!O$1),FALSE)</f>
        <v>#N/A</v>
      </c>
      <c r="CQ383" t="e">
        <f>VLOOKUP(C383,武器!$A:$W,COLUMN(武器!W$1),FALSE)</f>
        <v>#N/A</v>
      </c>
      <c r="CS383" t="str">
        <f>"e_"&amp;ROW(CS383)</f>
        <v>e_383</v>
      </c>
      <c r="CT383" t="e">
        <f t="shared" si="45"/>
        <v>#VALUE!</v>
      </c>
    </row>
    <row r="384" spans="1:98" x14ac:dyDescent="0.4">
      <c r="B384" t="str">
        <f>IFERROR(VLOOKUP($D384,素材!$1:$1016,COLUMN($B$1),FALSE)&amp;"・"&amp;VLOOKUP($C384,武器!$1:$998,COLUMN(B$1),FALSE),"")</f>
        <v/>
      </c>
      <c r="D384" s="24"/>
      <c r="E384" t="str">
        <f>IFERROR(VLOOKUP(C384,武器!$1:$998,COLUMN(C$1),FALSE),"")</f>
        <v/>
      </c>
      <c r="F384" t="str">
        <f>IFERROR(ROUNDDOWN((VLOOKUP($C384,武器!$1:$998,COLUMN(D$1),FALSE)+IFERROR(VLOOKUP($CJ384,装強!$1:$999,COLUMN(F$1),FALSE),0))*VLOOKUP($D384,素材!$1:$1016,COLUMN(D$1),FALSE),0),"")</f>
        <v/>
      </c>
      <c r="G384" t="str">
        <f>IFERROR(ROUNDDOWN((VLOOKUP($C384,武器!$1:$998,COLUMN(E$1),FALSE)+IFERROR(VLOOKUP($CJ384,装強!$1:$999,COLUMN(G$1),FALSE),0))*VLOOKUP($D384,素材!$1:$1016,COLUMN($E$1),FALSE),0),"")</f>
        <v/>
      </c>
      <c r="H384" t="str">
        <f>IFERROR(ROUNDDOWN((VLOOKUP($C384,武器!$1:$998,COLUMN(F$1),FALSE)+IFERROR(VLOOKUP($CJ384,装強!$1:$999,COLUMN(H$1),FALSE),0))*VLOOKUP($D384,素材!$1:$1016,COLUMN($E$1),FALSE),0),"")</f>
        <v/>
      </c>
      <c r="I384" t="str">
        <f>IFERROR(ROUNDDOWN((VLOOKUP($C384,武器!$1:$998,COLUMN(G$1),FALSE)+IFERROR(VLOOKUP($CJ384,装強!$1:$999,COLUMN(I$1),FALSE),0))*VLOOKUP($D384,素材!$1:$1016,COLUMN($E$1),FALSE),0),"")</f>
        <v/>
      </c>
      <c r="J384" t="str">
        <f>IFERROR(ROUNDDOWN((VLOOKUP($C384,武器!$1:$998,COLUMN(H$1),FALSE)+IFERROR(VLOOKUP($CJ384,装強!$1:$999,COLUMN(J$1),FALSE),0))*VLOOKUP($D384,素材!$1:$1016,COLUMN($E$1),FALSE),0),"")</f>
        <v/>
      </c>
      <c r="K384" t="str">
        <f>IFERROR(ROUNDDOWN((VLOOKUP($C384,武器!$1:$998,COLUMN(I$1),FALSE)+IFERROR(VLOOKUP($CJ384,装強!$1:$999,COLUMN(K$1),FALSE),0))*VLOOKUP($D384,素材!$1:$1016,COLUMN($E$1),FALSE),0),"")</f>
        <v/>
      </c>
      <c r="L384" t="str">
        <f>IFERROR(VLOOKUP($D384,素材!$1:$1016,COLUMN($F$1),FALSE),"")</f>
        <v/>
      </c>
      <c r="M384" t="str">
        <f>IFERROR(VLOOKUP($C384,武器!$1:$998,COLUMN(AA$1),FALSE)*VLOOKUP($D384,素材!$1:$1016,COLUMN($G$1),FALSE),"")</f>
        <v/>
      </c>
      <c r="N384" t="str">
        <f>IFERROR(VLOOKUP($C384,武器!$1:$998,COLUMN(I$1),FALSE),"")</f>
        <v/>
      </c>
      <c r="O384" s="23" t="str">
        <f>IFERROR((VLOOKUP($C384,武器!$1:$998,COLUMN(K$1),FALSE)+VLOOKUP($D384,素材!$1:$1016,COLUMN(H$1),FALSE))*100+IFERROR(VLOOKUP($CJ384,装強!$1:$999,COLUMN(O$1),FALSE),0),"")</f>
        <v/>
      </c>
      <c r="P384" s="23" t="str">
        <f>IFERROR((VLOOKUP($C384,武器!$1:$998,COLUMN(L$1),FALSE)+VLOOKUP($D384,素材!$1:$1016,COLUMN(I$1),FALSE))*100+IFERROR(VLOOKUP($CJ384,装強!$1:$999,COLUMN(P$1),FALSE),0),"")</f>
        <v/>
      </c>
      <c r="Q384" t="str">
        <f>IFERROR(ROUNDUP(VLOOKUP($C384,武器!$1:$998,COLUMN(M$1),FALSE)*(VLOOKUP($D384,素材!$1:$1002,COLUMN(D$1),FALSE)/100),1),"")</f>
        <v/>
      </c>
      <c r="R384" t="str">
        <f>IFERROR(ROUNDUP(VLOOKUP($C384,武器!$1:$998,COLUMN(N$1),FALSE)*(VLOOKUP($D384,素材!$1:$1002,COLUMN(D$1),FALSE)/100),1),"")</f>
        <v/>
      </c>
      <c r="S384" t="str">
        <f>IFERROR(VLOOKUP($C384,武器!$1:$998,COLUMN(P$1),FALSE),"")</f>
        <v/>
      </c>
      <c r="T384" t="str">
        <f>IFERROR(VLOOKUP($C384,武器!$1:$998,COLUMN(Q$1),FALSE),"")</f>
        <v/>
      </c>
      <c r="U384" t="str">
        <f>IFERROR(VLOOKUP($C384,武器!$1:$998,COLUMN(R$1),FALSE),"")</f>
        <v/>
      </c>
      <c r="V384" t="str">
        <f>IFERROR(VLOOKUP($C384,武器!$1:$998,COLUMN(Q$1),FALSE),"")</f>
        <v/>
      </c>
      <c r="W384" t="str">
        <f>IFERROR(VLOOKUP($C384,武器!$1:$998,COLUMN(T$1),FALSE),"")</f>
        <v/>
      </c>
      <c r="Y384" t="str">
        <f>IFERROR(VLOOKUP($C384,武器!$1:$998,COLUMN(U$1),FALSE),"")</f>
        <v/>
      </c>
      <c r="Z384" t="str">
        <f>IFERROR(ROUNDUP(VLOOKUP($C384,武器!$1:$998,COLUMN(O$1),FALSE)*VLOOKUP($D384,素材!$1:$1016,COLUMN(E$1),FALSE),1),"")</f>
        <v/>
      </c>
      <c r="AA384">
        <f>IF(ISNUMBER(SEARCH(SUBSTITUTE(AA$1,RIGHT(AA$1,2),""),VLOOKUP($D384,素材!$1:$1016,COLUMN($F$1),FALSE))),VLOOKUP($C384,武器!$1:$998,COLUMN($O$1),FALSE)*VLOOKUP($D384,素材!$1:$1016,COLUMN($E$1),FALSE)/(LEN(VLOOKUP($D384,素材!$1:$1016,COLUMN($F$1),FALSE))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</f>
        <v>0</v>
      </c>
      <c r="AB384">
        <f>IF(ISNUMBER(SEARCH(SUBSTITUTE(AB$1,RIGHT(AB$1,2),""),VLOOKUP($D384,素材!$1:$1016,COLUMN($F$1),FALSE))),VLOOKUP($C384,武器!$1:$998,COLUMN($O$1),FALSE)*VLOOKUP($D384,素材!$1:$1016,COLUMN($E$1),FALSE)/(LEN(VLOOKUP($D384,素材!$1:$1016,COLUMN($F$1),FALSE))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</f>
        <v>0</v>
      </c>
      <c r="AC384">
        <f>IF(ISNUMBER(SEARCH(SUBSTITUTE(AC$1,RIGHT(AC$1,2),""),VLOOKUP($D384,素材!$1:$1016,COLUMN($F$1),FALSE))),VLOOKUP($C384,武器!$1:$998,COLUMN($O$1),FALSE)*VLOOKUP($D384,素材!$1:$1016,COLUMN($E$1),FALSE)/(LEN(VLOOKUP($D384,素材!$1:$1016,COLUMN($F$1),FALSE))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</f>
        <v>0</v>
      </c>
      <c r="AD384">
        <f>IF(ISNUMBER(SEARCH(SUBSTITUTE(AD$1,RIGHT(AD$1,2),""),VLOOKUP($D384,素材!$1:$1016,COLUMN($F$1),FALSE))),VLOOKUP($C384,武器!$1:$998,COLUMN($O$1),FALSE)*VLOOKUP($D384,素材!$1:$1016,COLUMN($E$1),FALSE)/(LEN(VLOOKUP($D384,素材!$1:$1016,COLUMN($F$1),FALSE))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</f>
        <v>0</v>
      </c>
      <c r="AE384">
        <f>IF(ISNUMBER(SEARCH(SUBSTITUTE(AE$1,RIGHT(AE$1,2),""),VLOOKUP($D384,素材!$1:$1016,COLUMN($F$1),FALSE))),VLOOKUP($C384,武器!$1:$998,COLUMN($O$1),FALSE)*VLOOKUP($D384,素材!$1:$1016,COLUMN($E$1),FALSE)/(LEN(VLOOKUP($D384,素材!$1:$1016,COLUMN($F$1),FALSE))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0)+IF($CJ384&lt;&gt;"",VLOOKUP($CJ384,装強!$A$1:AE$1005,COLUMN(装強!AE$1),FALSE),0)</f>
        <v>0</v>
      </c>
      <c r="AF384">
        <f>IF(ISNUMBER(SEARCH(SUBSTITUTE(AF$1,RIGHT(AF$1,2),""),VLOOKUP($D384,素材!$1:$1016,COLUMN($F$1),FALSE))),VLOOKUP($C384,武器!$1:$998,COLUMN($O$1),FALSE)*VLOOKUP($D384,素材!$1:$1016,COLUMN($E$1),FALSE)/(LEN(VLOOKUP($D384,素材!$1:$1016,COLUMN($F$1),FALSE))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0)+IF($CJ384&lt;&gt;"",VLOOKUP($CJ384,装強!$A$1:AF$1005,COLUMN(装強!AF$1),FALSE),0)</f>
        <v>0</v>
      </c>
      <c r="AG384">
        <f>IF(ISNUMBER(SEARCH(SUBSTITUTE(AG$1,RIGHT(AG$1,2),""),VLOOKUP($D384,素材!$1:$1016,COLUMN($F$1),FALSE))),VLOOKUP($C384,武器!$1:$998,COLUMN($O$1),FALSE)*VLOOKUP($D384,素材!$1:$1016,COLUMN($E$1),FALSE)/(LEN(VLOOKUP($D384,素材!$1:$1016,COLUMN($F$1),FALSE))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0)+IF($CJ384&lt;&gt;"",VLOOKUP($CJ384,装強!$A$1:AG$1005,COLUMN(装強!AG$1),FALSE),0)</f>
        <v>0</v>
      </c>
      <c r="AH384">
        <f>IF(ISNUMBER(SEARCH(SUBSTITUTE(AH$1,RIGHT(AH$1,2),""),VLOOKUP($D384,素材!$1:$1016,COLUMN($F$1),FALSE))),VLOOKUP($C384,武器!$1:$998,COLUMN($O$1),FALSE)*VLOOKUP($D384,素材!$1:$1016,COLUMN($E$1),FALSE)/(LEN(VLOOKUP($D384,素材!$1:$1016,COLUMN($F$1),FALSE))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0)+IF($CJ384&lt;&gt;"",VLOOKUP($CJ384,装強!$A$1:AH$1005,COLUMN(装強!AH$1),FALSE),0)</f>
        <v>0</v>
      </c>
      <c r="AI384">
        <f>IF(ISNUMBER(SEARCH(SUBSTITUTE(AI$1,RIGHT(AI$1,2),""),VLOOKUP($D384,素材!$1:$1016,COLUMN($F$1),FALSE))),VLOOKUP($C384,武器!$1:$998,COLUMN($O$1),FALSE)*VLOOKUP($D384,素材!$1:$1016,COLUMN($E$1),FALSE)/(LEN(VLOOKUP($D384,素材!$1:$1016,COLUMN($F$1),FALSE))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0)+IF($CJ384&lt;&gt;"",VLOOKUP($CJ384,装強!$A$1:AI$1005,COLUMN(装強!AI$1),FALSE),0)</f>
        <v>0</v>
      </c>
      <c r="AJ384">
        <f>IF(ISNUMBER(SEARCH(SUBSTITUTE(AJ$1,RIGHT(AJ$1,2),""),VLOOKUP($D384,素材!$1:$1016,COLUMN($F$1),FALSE))),VLOOKUP($C384,武器!$1:$998,COLUMN($O$1),FALSE)*VLOOKUP($D384,素材!$1:$1016,COLUMN($E$1),FALSE)/(LEN(VLOOKUP($D384,素材!$1:$1016,COLUMN($F$1),FALSE))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0)+IF($CJ384&lt;&gt;"",VLOOKUP($CJ384,装強!$A$1:AJ$1005,COLUMN(装強!AJ$1),FALSE),0)</f>
        <v>0</v>
      </c>
      <c r="AK384">
        <f>IF(ISNUMBER(SEARCH(SUBSTITUTE(AK$1,RIGHT(AK$1,2),""),VLOOKUP($D384,素材!$1:$1016,COLUMN($F$1),FALSE))),VLOOKUP($C384,武器!$1:$998,COLUMN($O$1),FALSE)*VLOOKUP($D384,素材!$1:$1016,COLUMN($E$1),FALSE)/(LEN(VLOOKUP($D384,素材!$1:$1016,COLUMN($F$1),FALSE))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0)+IF($CJ384&lt;&gt;"",VLOOKUP($CJ384,装強!$A$1:AK$1005,COLUMN(装強!AK$1),FALSE),0)</f>
        <v>0</v>
      </c>
      <c r="AL384">
        <f>IF(ISNUMBER(SEARCH(SUBSTITUTE(AL$1,RIGHT(AL$1,2),""),VLOOKUP($D384,素材!$1:$1016,COLUMN($F$1),FALSE))),VLOOKUP($C384,武器!$1:$998,COLUMN($O$1),FALSE)*VLOOKUP($D384,素材!$1:$1016,COLUMN($E$1),FALSE)/(LEN(VLOOKUP($D384,素材!$1:$1016,COLUMN($F$1),FALSE))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0)+IF($CJ384&lt;&gt;"",VLOOKUP($CJ384,装強!$A$1:AL$1005,COLUMN(装強!AL$1),FALSE),0)</f>
        <v>0</v>
      </c>
      <c r="AM384">
        <f>IF(ISNUMBER(SEARCH(SUBSTITUTE(AM$1,RIGHT(AM$1,2),""),VLOOKUP($D384,素材!$1:$1016,COLUMN($F$1),FALSE))),VLOOKUP($C384,武器!$1:$998,COLUMN($O$1),FALSE)*VLOOKUP($D384,素材!$1:$1016,COLUMN($E$1),FALSE)/(LEN(VLOOKUP($D384,素材!$1:$1016,COLUMN($F$1),FALSE))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0)+IF($CJ384&lt;&gt;"",VLOOKUP($CJ384,装強!$A$1:AM$1005,COLUMN(装強!AM$1),FALSE),0)</f>
        <v>0</v>
      </c>
      <c r="AN384">
        <f>IF(ISNUMBER(SEARCH(SUBSTITUTE(AN$1,RIGHT(AN$1,2),""),VLOOKUP($D384,素材!$1:$1016,COLUMN($F$1),FALSE))),VLOOKUP($C384,武器!$1:$998,COLUMN($O$1),FALSE)*VLOOKUP($D384,素材!$1:$1016,COLUMN($E$1),FALSE)/(LEN(VLOOKUP($D384,素材!$1:$1016,COLUMN($F$1),FALSE))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0)+IF($CJ384&lt;&gt;"",VLOOKUP($CJ384,装強!$A$1:AN$1005,COLUMN(装強!AN$1),FALSE),0)</f>
        <v>0</v>
      </c>
      <c r="AO384">
        <f>IF(ISNUMBER(SEARCH(SUBSTITUTE(AO$1,RIGHT(AO$1,2),""),VLOOKUP($D384,素材!$1:$1016,COLUMN($F$1),FALSE))),VLOOKUP($C384,武器!$1:$998,COLUMN($O$1),FALSE)*VLOOKUP($D384,素材!$1:$1016,COLUMN($E$1),FALSE)/(LEN(VLOOKUP($D384,素材!$1:$1016,COLUMN($F$1),FALSE))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0)+IF($CJ384&lt;&gt;"",VLOOKUP($CJ384,装強!$A$1:AO$1005,COLUMN(装強!AO$1),FALSE),0)</f>
        <v>0</v>
      </c>
      <c r="AP384">
        <f>IF(ISNUMBER(SEARCH(SUBSTITUTE(AP$1,RIGHT(AP$1,2),""),VLOOKUP($D384,素材!$1:$1016,COLUMN($F$1),FALSE))),VLOOKUP($C384,武器!$1:$998,COLUMN($O$1),FALSE)*VLOOKUP($D384,素材!$1:$1016,COLUMN($E$1),FALSE)/(LEN(VLOOKUP($D384,素材!$1:$1016,COLUMN($F$1),FALSE))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0)+IF($CJ384&lt;&gt;"",VLOOKUP($CJ384,装強!$A$1:AP$1005,COLUMN(装強!AP$1),FALSE),0)</f>
        <v>0</v>
      </c>
      <c r="AQ384">
        <f>IF(ISNUMBER(SEARCH(SUBSTITUTE(AQ$1,RIGHT(AQ$1,2),""),VLOOKUP($D384,素材!$1:$1016,COLUMN($F$1),FALSE))),VLOOKUP($C384,武器!$1:$998,COLUMN($O$1),FALSE)*VLOOKUP($D384,素材!$1:$1016,COLUMN($E$1),FALSE)/(LEN(VLOOKUP($D384,素材!$1:$1016,COLUMN($F$1),FALSE))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0)+IF($CJ384&lt;&gt;"",VLOOKUP($CJ384,装強!$A$1:AQ$1005,COLUMN(装強!AQ$1),FALSE),0)</f>
        <v>0</v>
      </c>
      <c r="AR384">
        <f>IF(ISNUMBER(SEARCH(SUBSTITUTE(AR$1,RIGHT(AR$1,2),""),VLOOKUP($D384,素材!$1:$1016,COLUMN($F$1),FALSE))),VLOOKUP($C384,武器!$1:$998,COLUMN($O$1),FALSE)*VLOOKUP($D384,素材!$1:$1016,COLUMN($E$1),FALSE)/(LEN(VLOOKUP($D384,素材!$1:$1016,COLUMN($F$1),FALSE))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0)+IF($CJ384&lt;&gt;"",VLOOKUP($CJ384,装強!$A$1:AR$1005,COLUMN(装強!AR$1),FALSE),0)</f>
        <v>0</v>
      </c>
      <c r="AS384">
        <f>IF(ISNUMBER(SEARCH(SUBSTITUTE(AS$1,RIGHT(AS$1,2),""),VLOOKUP($D384,素材!$1:$1016,COLUMN($F$1),FALSE))),VLOOKUP($C384,武器!$1:$998,COLUMN($O$1),FALSE)*VLOOKUP($D384,素材!$1:$1016,COLUMN($E$1),FALSE)/(LEN(VLOOKUP($D384,素材!$1:$1016,COLUMN($F$1),FALSE))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0)+IF($CJ384&lt;&gt;"",VLOOKUP($CJ384,装強!$A$1:AS$1005,COLUMN(装強!AS$1),FALSE),0)</f>
        <v>0</v>
      </c>
      <c r="AT384">
        <f>IF(ISNUMBER(SEARCH(SUBSTITUTE(AT$1,RIGHT(AT$1,2),""),VLOOKUP($D384,素材!$1:$1016,COLUMN($F$1),FALSE))),VLOOKUP($C384,武器!$1:$998,COLUMN($O$1),FALSE)*VLOOKUP($D384,素材!$1:$1016,COLUMN($E$1),FALSE)/(LEN(VLOOKUP($D384,素材!$1:$1016,COLUMN($F$1),FALSE))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0)+IF($CJ384&lt;&gt;"",VLOOKUP($CJ384,装強!$A$1:AT$1005,COLUMN(装強!AT$1),FALSE),0)</f>
        <v>0</v>
      </c>
      <c r="AU384">
        <f>IF(ISNUMBER(SEARCH(SUBSTITUTE(AU$1,RIGHT(AU$1,2),""),VLOOKUP($D384,素材!$1:$1016,COLUMN($F$1),FALSE))),VLOOKUP($C384,武器!$1:$998,COLUMN($O$1),FALSE)*VLOOKUP($D384,素材!$1:$1016,COLUMN($E$1),FALSE)/(LEN(VLOOKUP($D384,素材!$1:$1016,COLUMN($F$1),FALSE))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0)+IF($CJ384&lt;&gt;"",VLOOKUP($CJ384,装強!$A$1:AU$1005,COLUMN(装強!AU$1),FALSE),0)</f>
        <v>0</v>
      </c>
      <c r="AV384">
        <f>IF(ISNUMBER(SEARCH(SUBSTITUTE(AV$1,RIGHT(AV$1,2),""),VLOOKUP($D384,素材!$1:$1016,COLUMN($F$1),FALSE))),VLOOKUP($C384,武器!$1:$998,COLUMN($O$1),FALSE)*VLOOKUP($D384,素材!$1:$1016,COLUMN($E$1),FALSE)/(LEN(VLOOKUP($D384,素材!$1:$1016,COLUMN($F$1),FALSE))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0)+IF($CJ384&lt;&gt;"",VLOOKUP($CJ384,装強!$A$1:AV$1005,COLUMN(装強!AV$1),FALSE),0)</f>
        <v>0</v>
      </c>
      <c r="AW384">
        <f>IF(ISNUMBER(SEARCH(SUBSTITUTE(AW$1,RIGHT(AW$1,2),""),VLOOKUP($D384,素材!$1:$1016,COLUMN($F$1),FALSE))),VLOOKUP($C384,武器!$1:$998,COLUMN($O$1),FALSE)*VLOOKUP($D384,素材!$1:$1016,COLUMN($E$1),FALSE)/(LEN(VLOOKUP($D384,素材!$1:$1016,COLUMN($F$1),FALSE))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0)+IF($CJ384&lt;&gt;"",VLOOKUP($CJ384,装強!$A$1:AW$1005,COLUMN(装強!AW$1),FALSE),0)</f>
        <v>0</v>
      </c>
      <c r="AX384">
        <f>IF(ISNUMBER(SEARCH(SUBSTITUTE(AX$1,RIGHT(AX$1,2),""),VLOOKUP($D384,素材!$1:$1016,COLUMN($F$1),FALSE))),VLOOKUP($C384,武器!$1:$998,COLUMN($O$1),FALSE)*VLOOKUP($D384,素材!$1:$1016,COLUMN($E$1),FALSE)/(LEN(VLOOKUP($D384,素材!$1:$1016,COLUMN($F$1),FALSE))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0)+IF($CJ384&lt;&gt;"",VLOOKUP($CJ384,装強!$A$1:AX$1005,COLUMN(装強!AX$1),FALSE),0)</f>
        <v>0</v>
      </c>
      <c r="AY384">
        <f>IF(ISNUMBER(SEARCH(SUBSTITUTE(AY$1,RIGHT(AY$1,2),""),VLOOKUP($D384,素材!$1:$1016,COLUMN($F$1),FALSE))),VLOOKUP($C384,武器!$1:$998,COLUMN($O$1),FALSE)*VLOOKUP($D384,素材!$1:$1016,COLUMN($E$1),FALSE)/(LEN(VLOOKUP($D384,素材!$1:$1016,COLUMN($F$1),FALSE))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0)+IF($CJ384&lt;&gt;"",VLOOKUP($CJ384,装強!$A$1:AY$1005,COLUMN(装強!AY$1),FALSE),0)</f>
        <v>0</v>
      </c>
      <c r="AZ384">
        <f>IF(ISNUMBER(SEARCH(SUBSTITUTE(AZ$1,RIGHT(AZ$1,2),""),VLOOKUP($D384,素材!$1:$1016,COLUMN($F$1),FALSE))),VLOOKUP($C384,武器!$1:$998,COLUMN($O$1),FALSE)*VLOOKUP($D384,素材!$1:$1016,COLUMN($E$1),FALSE)/(LEN(VLOOKUP($D384,素材!$1:$1016,COLUMN($F$1),FALSE))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0)+IF($CJ384&lt;&gt;"",VLOOKUP($CJ384,装強!$A$1:AZ$1005,COLUMN(装強!AZ$1),FALSE),0)</f>
        <v>0</v>
      </c>
      <c r="BA384">
        <f>IF(ISNUMBER(SEARCH(SUBSTITUTE(BA$1,RIGHT(BA$1,2),""),VLOOKUP($D384,素材!$1:$1016,COLUMN($F$1),FALSE))),VLOOKUP($C384,武器!$1:$998,COLUMN($O$1),FALSE)*VLOOKUP($D384,素材!$1:$1016,COLUMN($E$1),FALSE)/(LEN(VLOOKUP($D384,素材!$1:$1016,COLUMN($F$1),FALSE))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0)+IF($CJ384&lt;&gt;"",VLOOKUP($CJ384,装強!$A$1:BA$1005,COLUMN(装強!BA$1),FALSE),0)</f>
        <v>0</v>
      </c>
      <c r="BB384">
        <f>IF(ISNUMBER(SEARCH(SUBSTITUTE(BB$1,RIGHT(BB$1,2),""),VLOOKUP($D384,素材!$1:$1016,COLUMN($F$1),FALSE))),VLOOKUP($C384,武器!$1:$998,COLUMN($O$1),FALSE)*VLOOKUP($D384,素材!$1:$1016,COLUMN($E$1),FALSE)/(LEN(VLOOKUP($D384,素材!$1:$1016,COLUMN($F$1),FALSE))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0)+IF($CJ384&lt;&gt;"",VLOOKUP($CJ384,装強!$A$1:BB$1005,COLUMN(装強!BB$1),FALSE),0)</f>
        <v>0</v>
      </c>
      <c r="BC384">
        <f>IF(ISNUMBER(SEARCH(SUBSTITUTE(BC$1,RIGHT(BC$1,2),""),VLOOKUP($D384,素材!$1:$1016,COLUMN($F$1),FALSE))),VLOOKUP($C384,武器!$1:$998,COLUMN($O$1),FALSE)*VLOOKUP($D384,素材!$1:$1016,COLUMN($E$1),FALSE)/(LEN(VLOOKUP($D384,素材!$1:$1016,COLUMN($F$1),FALSE))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0)+IF($CJ384&lt;&gt;"",VLOOKUP($CJ384,装強!$A$1:BC$1005,COLUMN(装強!BC$1),FALSE),0)</f>
        <v>0</v>
      </c>
      <c r="BD384">
        <f>IF(ISNUMBER(SEARCH(SUBSTITUTE(BD$1,RIGHT(BD$1,2),""),VLOOKUP($D384,素材!$1:$1016,COLUMN($F$1),FALSE))),VLOOKUP($C384,武器!$1:$998,COLUMN($O$1),FALSE)*VLOOKUP($D384,素材!$1:$1016,COLUMN($E$1),FALSE)/(LEN(VLOOKUP($D384,素材!$1:$1016,COLUMN($F$1),FALSE))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0)+IF($CJ384&lt;&gt;"",VLOOKUP($CJ384,装強!$A$1:BD$1005,COLUMN(装強!BD$1),FALSE),0)</f>
        <v>0</v>
      </c>
      <c r="BE384">
        <f>IF(ISNUMBER(SEARCH(SUBSTITUTE(BE$1,RIGHT(BE$1,2),""),VLOOKUP($D384,素材!$1:$1016,COLUMN($F$1),FALSE))),VLOOKUP($C384,武器!$1:$998,COLUMN($O$1),FALSE)*VLOOKUP($D384,素材!$1:$1016,COLUMN($E$1),FALSE)/(LEN(VLOOKUP($D384,素材!$1:$1016,COLUMN($F$1),FALSE))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0)+IF($CJ384&lt;&gt;"",VLOOKUP($CJ384,装強!$A$1:BE$1005,COLUMN(装強!BE$1),FALSE),0)</f>
        <v>0</v>
      </c>
      <c r="BF384">
        <f>IF(ISNUMBER(SEARCH(SUBSTITUTE(BF$1,RIGHT(BF$1,2),""),VLOOKUP($D384,素材!$1:$1016,COLUMN($F$1),FALSE))),VLOOKUP($C384,武器!$1:$998,COLUMN($O$1),FALSE)*VLOOKUP($D384,素材!$1:$1016,COLUMN($E$1),FALSE)/(LEN(VLOOKUP($D384,素材!$1:$1016,COLUMN($F$1),FALSE)) - LEN(SUBSTITUTE(VLOOKUP($D384,素材!$1:$1016,COLUMN($F$1),FALSE), "・", 0)) + 1), 0)+IF($CJ384&lt;&gt;"",VLOOKUP($CJ384,装強!$A$1:BF$1005,COLUMN(装強!BF$1),FALSE),0)</f>
        <v>0</v>
      </c>
      <c r="CM384">
        <f t="shared" si="44"/>
        <v>0</v>
      </c>
      <c r="CN384" s="22" t="str">
        <f>IF(E384="武器",IF(J384-1&gt;SUM(G384:I384),"盾",IF(MAX(G384:I384)=G384,"切断",IF(MAX(G384:I384)=H384,"貫通",IF(MAX(G384:I384)=I384,"打撃","射撃")))),E384)&amp;".webp"</f>
        <v>.webp</v>
      </c>
      <c r="CO384" t="str">
        <f>IFERROR(VLOOKUP($C384,武器!$1:$998,COLUMN(V$1),FALSE)*VLOOKUP($D384,素材!$1:$1016,COLUMN(N$1),FALSE)+IF(CJ384="",0,VLOOKUP($CJ384,装強!$1:$1008,COLUMN($CL$1),FALSE)),"")</f>
        <v/>
      </c>
      <c r="CP384" t="e">
        <f>VLOOKUP(D384,素材!$A:$O,COLUMN(素材!O$1),FALSE)</f>
        <v>#N/A</v>
      </c>
      <c r="CQ384" t="e">
        <f>VLOOKUP(C384,武器!$A:$W,COLUMN(武器!W$1),FALSE)</f>
        <v>#N/A</v>
      </c>
      <c r="CS384" t="str">
        <f>"e_"&amp;ROW(CS384)</f>
        <v>e_384</v>
      </c>
      <c r="CT384" t="e">
        <f t="shared" si="45"/>
        <v>#VALUE!</v>
      </c>
    </row>
    <row r="385" spans="2:98" x14ac:dyDescent="0.4">
      <c r="B385" t="str">
        <f>IFERROR(VLOOKUP($D385,素材!$1:$1016,COLUMN($B$1),FALSE)&amp;"・"&amp;VLOOKUP($C385,武器!$1:$998,COLUMN(B$1),FALSE),"")</f>
        <v/>
      </c>
      <c r="D385" s="24"/>
      <c r="E385" t="str">
        <f>IFERROR(VLOOKUP(C385,武器!$1:$998,COLUMN(C$1),FALSE),"")</f>
        <v/>
      </c>
      <c r="F385" t="str">
        <f>IFERROR(ROUNDDOWN((VLOOKUP($C385,武器!$1:$998,COLUMN(D$1),FALSE)+IFERROR(VLOOKUP($CJ385,装強!$1:$999,COLUMN(F$1),FALSE),0))*VLOOKUP($D385,素材!$1:$1016,COLUMN(D$1),FALSE),0),"")</f>
        <v/>
      </c>
      <c r="G385" t="str">
        <f>IFERROR(ROUNDDOWN((VLOOKUP($C385,武器!$1:$998,COLUMN(E$1),FALSE)+IFERROR(VLOOKUP($CJ385,装強!$1:$999,COLUMN(G$1),FALSE),0))*VLOOKUP($D385,素材!$1:$1016,COLUMN($E$1),FALSE),0),"")</f>
        <v/>
      </c>
      <c r="H385" t="str">
        <f>IFERROR(ROUNDDOWN((VLOOKUP($C385,武器!$1:$998,COLUMN(F$1),FALSE)+IFERROR(VLOOKUP($CJ385,装強!$1:$999,COLUMN(H$1),FALSE),0))*VLOOKUP($D385,素材!$1:$1016,COLUMN($E$1),FALSE),0),"")</f>
        <v/>
      </c>
      <c r="I385" t="str">
        <f>IFERROR(ROUNDDOWN((VLOOKUP($C385,武器!$1:$998,COLUMN(G$1),FALSE)+IFERROR(VLOOKUP($CJ385,装強!$1:$999,COLUMN(I$1),FALSE),0))*VLOOKUP($D385,素材!$1:$1016,COLUMN($E$1),FALSE),0),"")</f>
        <v/>
      </c>
      <c r="J385" t="str">
        <f>IFERROR(ROUNDDOWN((VLOOKUP($C385,武器!$1:$998,COLUMN(H$1),FALSE)+IFERROR(VLOOKUP($CJ385,装強!$1:$999,COLUMN(J$1),FALSE),0))*VLOOKUP($D385,素材!$1:$1016,COLUMN($E$1),FALSE),0),"")</f>
        <v/>
      </c>
      <c r="K385" t="str">
        <f>IFERROR(ROUNDDOWN((VLOOKUP($C385,武器!$1:$998,COLUMN(I$1),FALSE)+IFERROR(VLOOKUP($CJ385,装強!$1:$999,COLUMN(K$1),FALSE),0))*VLOOKUP($D385,素材!$1:$1016,COLUMN($E$1),FALSE),0),"")</f>
        <v/>
      </c>
      <c r="L385" t="str">
        <f>IFERROR(VLOOKUP($D385,素材!$1:$1016,COLUMN($F$1),FALSE),"")</f>
        <v/>
      </c>
      <c r="M385" t="str">
        <f>IFERROR(VLOOKUP($C385,武器!$1:$998,COLUMN(AA$1),FALSE)*VLOOKUP($D385,素材!$1:$1016,COLUMN($G$1),FALSE),"")</f>
        <v/>
      </c>
      <c r="N385" t="str">
        <f>IFERROR(VLOOKUP($C385,武器!$1:$998,COLUMN(I$1),FALSE),"")</f>
        <v/>
      </c>
      <c r="O385" s="23" t="str">
        <f>IFERROR((VLOOKUP($C385,武器!$1:$998,COLUMN(K$1),FALSE)+VLOOKUP($D385,素材!$1:$1016,COLUMN(H$1),FALSE))*100+IFERROR(VLOOKUP($CJ385,装強!$1:$999,COLUMN(O$1),FALSE),0),"")</f>
        <v/>
      </c>
      <c r="P385" s="23" t="str">
        <f>IFERROR((VLOOKUP($C385,武器!$1:$998,COLUMN(L$1),FALSE)+VLOOKUP($D385,素材!$1:$1016,COLUMN(I$1),FALSE))*100+IFERROR(VLOOKUP($CJ385,装強!$1:$999,COLUMN(P$1),FALSE),0),"")</f>
        <v/>
      </c>
      <c r="Q385" t="str">
        <f>IFERROR(ROUNDUP(VLOOKUP($C385,武器!$1:$998,COLUMN(M$1),FALSE)*(VLOOKUP($D385,素材!$1:$1002,COLUMN(D$1),FALSE)/100),1),"")</f>
        <v/>
      </c>
      <c r="R385" t="str">
        <f>IFERROR(ROUNDUP(VLOOKUP($C385,武器!$1:$998,COLUMN(N$1),FALSE)*(VLOOKUP($D385,素材!$1:$1002,COLUMN(D$1),FALSE)/100),1),"")</f>
        <v/>
      </c>
      <c r="S385" t="str">
        <f>IFERROR(VLOOKUP($C385,武器!$1:$998,COLUMN(P$1),FALSE),"")</f>
        <v/>
      </c>
      <c r="T385" t="str">
        <f>IFERROR(VLOOKUP($C385,武器!$1:$998,COLUMN(Q$1),FALSE),"")</f>
        <v/>
      </c>
      <c r="U385" t="str">
        <f>IFERROR(VLOOKUP($C385,武器!$1:$998,COLUMN(R$1),FALSE),"")</f>
        <v/>
      </c>
      <c r="V385" t="str">
        <f>IFERROR(VLOOKUP($C385,武器!$1:$998,COLUMN(Q$1),FALSE),"")</f>
        <v/>
      </c>
      <c r="W385" t="str">
        <f>IFERROR(VLOOKUP($C385,武器!$1:$998,COLUMN(T$1),FALSE),"")</f>
        <v/>
      </c>
      <c r="Y385" t="str">
        <f>IFERROR(VLOOKUP($C385,武器!$1:$998,COLUMN(U$1),FALSE),"")</f>
        <v/>
      </c>
      <c r="Z385" t="str">
        <f>IFERROR(ROUNDUP(VLOOKUP($C385,武器!$1:$998,COLUMN(O$1),FALSE)*VLOOKUP($D385,素材!$1:$1016,COLUMN(E$1),FALSE),1),"")</f>
        <v/>
      </c>
      <c r="AA385">
        <f>IF(ISNUMBER(SEARCH(SUBSTITUTE(AA$1,RIGHT(AA$1,2),""),VLOOKUP($D385,素材!$1:$1016,COLUMN($F$1),FALSE))),VLOOKUP($C385,武器!$1:$998,COLUMN($O$1),FALSE)*VLOOKUP($D385,素材!$1:$1016,COLUMN($E$1),FALSE)/(LEN(VLOOKUP($D385,素材!$1:$1016,COLUMN($F$1),FALSE))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</f>
        <v>0</v>
      </c>
      <c r="AB385">
        <f>IF(ISNUMBER(SEARCH(SUBSTITUTE(AB$1,RIGHT(AB$1,2),""),VLOOKUP($D385,素材!$1:$1016,COLUMN($F$1),FALSE))),VLOOKUP($C385,武器!$1:$998,COLUMN($O$1),FALSE)*VLOOKUP($D385,素材!$1:$1016,COLUMN($E$1),FALSE)/(LEN(VLOOKUP($D385,素材!$1:$1016,COLUMN($F$1),FALSE))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</f>
        <v>0</v>
      </c>
      <c r="AC385">
        <f>IF(ISNUMBER(SEARCH(SUBSTITUTE(AC$1,RIGHT(AC$1,2),""),VLOOKUP($D385,素材!$1:$1016,COLUMN($F$1),FALSE))),VLOOKUP($C385,武器!$1:$998,COLUMN($O$1),FALSE)*VLOOKUP($D385,素材!$1:$1016,COLUMN($E$1),FALSE)/(LEN(VLOOKUP($D385,素材!$1:$1016,COLUMN($F$1),FALSE))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</f>
        <v>0</v>
      </c>
      <c r="AD385">
        <f>IF(ISNUMBER(SEARCH(SUBSTITUTE(AD$1,RIGHT(AD$1,2),""),VLOOKUP($D385,素材!$1:$1016,COLUMN($F$1),FALSE))),VLOOKUP($C385,武器!$1:$998,COLUMN($O$1),FALSE)*VLOOKUP($D385,素材!$1:$1016,COLUMN($E$1),FALSE)/(LEN(VLOOKUP($D385,素材!$1:$1016,COLUMN($F$1),FALSE))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</f>
        <v>0</v>
      </c>
      <c r="AE385">
        <f>IF(ISNUMBER(SEARCH(SUBSTITUTE(AE$1,RIGHT(AE$1,2),""),VLOOKUP($D385,素材!$1:$1016,COLUMN($F$1),FALSE))),VLOOKUP($C385,武器!$1:$998,COLUMN($O$1),FALSE)*VLOOKUP($D385,素材!$1:$1016,COLUMN($E$1),FALSE)/(LEN(VLOOKUP($D385,素材!$1:$1016,COLUMN($F$1),FALSE))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0)+IF($CJ385&lt;&gt;"",VLOOKUP($CJ385,装強!$A$1:AE$1005,COLUMN(装強!AE$1),FALSE),0)</f>
        <v>0</v>
      </c>
      <c r="AF385">
        <f>IF(ISNUMBER(SEARCH(SUBSTITUTE(AF$1,RIGHT(AF$1,2),""),VLOOKUP($D385,素材!$1:$1016,COLUMN($F$1),FALSE))),VLOOKUP($C385,武器!$1:$998,COLUMN($O$1),FALSE)*VLOOKUP($D385,素材!$1:$1016,COLUMN($E$1),FALSE)/(LEN(VLOOKUP($D385,素材!$1:$1016,COLUMN($F$1),FALSE))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0)+IF($CJ385&lt;&gt;"",VLOOKUP($CJ385,装強!$A$1:AF$1005,COLUMN(装強!AF$1),FALSE),0)</f>
        <v>0</v>
      </c>
      <c r="AG385">
        <f>IF(ISNUMBER(SEARCH(SUBSTITUTE(AG$1,RIGHT(AG$1,2),""),VLOOKUP($D385,素材!$1:$1016,COLUMN($F$1),FALSE))),VLOOKUP($C385,武器!$1:$998,COLUMN($O$1),FALSE)*VLOOKUP($D385,素材!$1:$1016,COLUMN($E$1),FALSE)/(LEN(VLOOKUP($D385,素材!$1:$1016,COLUMN($F$1),FALSE))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0)+IF($CJ385&lt;&gt;"",VLOOKUP($CJ385,装強!$A$1:AG$1005,COLUMN(装強!AG$1),FALSE),0)</f>
        <v>0</v>
      </c>
      <c r="AH385">
        <f>IF(ISNUMBER(SEARCH(SUBSTITUTE(AH$1,RIGHT(AH$1,2),""),VLOOKUP($D385,素材!$1:$1016,COLUMN($F$1),FALSE))),VLOOKUP($C385,武器!$1:$998,COLUMN($O$1),FALSE)*VLOOKUP($D385,素材!$1:$1016,COLUMN($E$1),FALSE)/(LEN(VLOOKUP($D385,素材!$1:$1016,COLUMN($F$1),FALSE))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0)+IF($CJ385&lt;&gt;"",VLOOKUP($CJ385,装強!$A$1:AH$1005,COLUMN(装強!AH$1),FALSE),0)</f>
        <v>0</v>
      </c>
      <c r="AI385">
        <f>IF(ISNUMBER(SEARCH(SUBSTITUTE(AI$1,RIGHT(AI$1,2),""),VLOOKUP($D385,素材!$1:$1016,COLUMN($F$1),FALSE))),VLOOKUP($C385,武器!$1:$998,COLUMN($O$1),FALSE)*VLOOKUP($D385,素材!$1:$1016,COLUMN($E$1),FALSE)/(LEN(VLOOKUP($D385,素材!$1:$1016,COLUMN($F$1),FALSE))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0)+IF($CJ385&lt;&gt;"",VLOOKUP($CJ385,装強!$A$1:AI$1005,COLUMN(装強!AI$1),FALSE),0)</f>
        <v>0</v>
      </c>
      <c r="AJ385">
        <f>IF(ISNUMBER(SEARCH(SUBSTITUTE(AJ$1,RIGHT(AJ$1,2),""),VLOOKUP($D385,素材!$1:$1016,COLUMN($F$1),FALSE))),VLOOKUP($C385,武器!$1:$998,COLUMN($O$1),FALSE)*VLOOKUP($D385,素材!$1:$1016,COLUMN($E$1),FALSE)/(LEN(VLOOKUP($D385,素材!$1:$1016,COLUMN($F$1),FALSE))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0)+IF($CJ385&lt;&gt;"",VLOOKUP($CJ385,装強!$A$1:AJ$1005,COLUMN(装強!AJ$1),FALSE),0)</f>
        <v>0</v>
      </c>
      <c r="AK385">
        <f>IF(ISNUMBER(SEARCH(SUBSTITUTE(AK$1,RIGHT(AK$1,2),""),VLOOKUP($D385,素材!$1:$1016,COLUMN($F$1),FALSE))),VLOOKUP($C385,武器!$1:$998,COLUMN($O$1),FALSE)*VLOOKUP($D385,素材!$1:$1016,COLUMN($E$1),FALSE)/(LEN(VLOOKUP($D385,素材!$1:$1016,COLUMN($F$1),FALSE))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0)+IF($CJ385&lt;&gt;"",VLOOKUP($CJ385,装強!$A$1:AK$1005,COLUMN(装強!AK$1),FALSE),0)</f>
        <v>0</v>
      </c>
      <c r="AL385">
        <f>IF(ISNUMBER(SEARCH(SUBSTITUTE(AL$1,RIGHT(AL$1,2),""),VLOOKUP($D385,素材!$1:$1016,COLUMN($F$1),FALSE))),VLOOKUP($C385,武器!$1:$998,COLUMN($O$1),FALSE)*VLOOKUP($D385,素材!$1:$1016,COLUMN($E$1),FALSE)/(LEN(VLOOKUP($D385,素材!$1:$1016,COLUMN($F$1),FALSE))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0)+IF($CJ385&lt;&gt;"",VLOOKUP($CJ385,装強!$A$1:AL$1005,COLUMN(装強!AL$1),FALSE),0)</f>
        <v>0</v>
      </c>
      <c r="AM385">
        <f>IF(ISNUMBER(SEARCH(SUBSTITUTE(AM$1,RIGHT(AM$1,2),""),VLOOKUP($D385,素材!$1:$1016,COLUMN($F$1),FALSE))),VLOOKUP($C385,武器!$1:$998,COLUMN($O$1),FALSE)*VLOOKUP($D385,素材!$1:$1016,COLUMN($E$1),FALSE)/(LEN(VLOOKUP($D385,素材!$1:$1016,COLUMN($F$1),FALSE))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0)+IF($CJ385&lt;&gt;"",VLOOKUP($CJ385,装強!$A$1:AM$1005,COLUMN(装強!AM$1),FALSE),0)</f>
        <v>0</v>
      </c>
      <c r="AN385">
        <f>IF(ISNUMBER(SEARCH(SUBSTITUTE(AN$1,RIGHT(AN$1,2),""),VLOOKUP($D385,素材!$1:$1016,COLUMN($F$1),FALSE))),VLOOKUP($C385,武器!$1:$998,COLUMN($O$1),FALSE)*VLOOKUP($D385,素材!$1:$1016,COLUMN($E$1),FALSE)/(LEN(VLOOKUP($D385,素材!$1:$1016,COLUMN($F$1),FALSE))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0)+IF($CJ385&lt;&gt;"",VLOOKUP($CJ385,装強!$A$1:AN$1005,COLUMN(装強!AN$1),FALSE),0)</f>
        <v>0</v>
      </c>
      <c r="AO385">
        <f>IF(ISNUMBER(SEARCH(SUBSTITUTE(AO$1,RIGHT(AO$1,2),""),VLOOKUP($D385,素材!$1:$1016,COLUMN($F$1),FALSE))),VLOOKUP($C385,武器!$1:$998,COLUMN($O$1),FALSE)*VLOOKUP($D385,素材!$1:$1016,COLUMN($E$1),FALSE)/(LEN(VLOOKUP($D385,素材!$1:$1016,COLUMN($F$1),FALSE))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0)+IF($CJ385&lt;&gt;"",VLOOKUP($CJ385,装強!$A$1:AO$1005,COLUMN(装強!AO$1),FALSE),0)</f>
        <v>0</v>
      </c>
      <c r="AP385">
        <f>IF(ISNUMBER(SEARCH(SUBSTITUTE(AP$1,RIGHT(AP$1,2),""),VLOOKUP($D385,素材!$1:$1016,COLUMN($F$1),FALSE))),VLOOKUP($C385,武器!$1:$998,COLUMN($O$1),FALSE)*VLOOKUP($D385,素材!$1:$1016,COLUMN($E$1),FALSE)/(LEN(VLOOKUP($D385,素材!$1:$1016,COLUMN($F$1),FALSE))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0)+IF($CJ385&lt;&gt;"",VLOOKUP($CJ385,装強!$A$1:AP$1005,COLUMN(装強!AP$1),FALSE),0)</f>
        <v>0</v>
      </c>
      <c r="AQ385">
        <f>IF(ISNUMBER(SEARCH(SUBSTITUTE(AQ$1,RIGHT(AQ$1,2),""),VLOOKUP($D385,素材!$1:$1016,COLUMN($F$1),FALSE))),VLOOKUP($C385,武器!$1:$998,COLUMN($O$1),FALSE)*VLOOKUP($D385,素材!$1:$1016,COLUMN($E$1),FALSE)/(LEN(VLOOKUP($D385,素材!$1:$1016,COLUMN($F$1),FALSE))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0)+IF($CJ385&lt;&gt;"",VLOOKUP($CJ385,装強!$A$1:AQ$1005,COLUMN(装強!AQ$1),FALSE),0)</f>
        <v>0</v>
      </c>
      <c r="AR385">
        <f>IF(ISNUMBER(SEARCH(SUBSTITUTE(AR$1,RIGHT(AR$1,2),""),VLOOKUP($D385,素材!$1:$1016,COLUMN($F$1),FALSE))),VLOOKUP($C385,武器!$1:$998,COLUMN($O$1),FALSE)*VLOOKUP($D385,素材!$1:$1016,COLUMN($E$1),FALSE)/(LEN(VLOOKUP($D385,素材!$1:$1016,COLUMN($F$1),FALSE))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0)+IF($CJ385&lt;&gt;"",VLOOKUP($CJ385,装強!$A$1:AR$1005,COLUMN(装強!AR$1),FALSE),0)</f>
        <v>0</v>
      </c>
      <c r="AS385">
        <f>IF(ISNUMBER(SEARCH(SUBSTITUTE(AS$1,RIGHT(AS$1,2),""),VLOOKUP($D385,素材!$1:$1016,COLUMN($F$1),FALSE))),VLOOKUP($C385,武器!$1:$998,COLUMN($O$1),FALSE)*VLOOKUP($D385,素材!$1:$1016,COLUMN($E$1),FALSE)/(LEN(VLOOKUP($D385,素材!$1:$1016,COLUMN($F$1),FALSE))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0)+IF($CJ385&lt;&gt;"",VLOOKUP($CJ385,装強!$A$1:AS$1005,COLUMN(装強!AS$1),FALSE),0)</f>
        <v>0</v>
      </c>
      <c r="AT385">
        <f>IF(ISNUMBER(SEARCH(SUBSTITUTE(AT$1,RIGHT(AT$1,2),""),VLOOKUP($D385,素材!$1:$1016,COLUMN($F$1),FALSE))),VLOOKUP($C385,武器!$1:$998,COLUMN($O$1),FALSE)*VLOOKUP($D385,素材!$1:$1016,COLUMN($E$1),FALSE)/(LEN(VLOOKUP($D385,素材!$1:$1016,COLUMN($F$1),FALSE))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0)+IF($CJ385&lt;&gt;"",VLOOKUP($CJ385,装強!$A$1:AT$1005,COLUMN(装強!AT$1),FALSE),0)</f>
        <v>0</v>
      </c>
      <c r="AU385">
        <f>IF(ISNUMBER(SEARCH(SUBSTITUTE(AU$1,RIGHT(AU$1,2),""),VLOOKUP($D385,素材!$1:$1016,COLUMN($F$1),FALSE))),VLOOKUP($C385,武器!$1:$998,COLUMN($O$1),FALSE)*VLOOKUP($D385,素材!$1:$1016,COLUMN($E$1),FALSE)/(LEN(VLOOKUP($D385,素材!$1:$1016,COLUMN($F$1),FALSE))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0)+IF($CJ385&lt;&gt;"",VLOOKUP($CJ385,装強!$A$1:AU$1005,COLUMN(装強!AU$1),FALSE),0)</f>
        <v>0</v>
      </c>
      <c r="AV385">
        <f>IF(ISNUMBER(SEARCH(SUBSTITUTE(AV$1,RIGHT(AV$1,2),""),VLOOKUP($D385,素材!$1:$1016,COLUMN($F$1),FALSE))),VLOOKUP($C385,武器!$1:$998,COLUMN($O$1),FALSE)*VLOOKUP($D385,素材!$1:$1016,COLUMN($E$1),FALSE)/(LEN(VLOOKUP($D385,素材!$1:$1016,COLUMN($F$1),FALSE))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0)+IF($CJ385&lt;&gt;"",VLOOKUP($CJ385,装強!$A$1:AV$1005,COLUMN(装強!AV$1),FALSE),0)</f>
        <v>0</v>
      </c>
      <c r="AW385">
        <f>IF(ISNUMBER(SEARCH(SUBSTITUTE(AW$1,RIGHT(AW$1,2),""),VLOOKUP($D385,素材!$1:$1016,COLUMN($F$1),FALSE))),VLOOKUP($C385,武器!$1:$998,COLUMN($O$1),FALSE)*VLOOKUP($D385,素材!$1:$1016,COLUMN($E$1),FALSE)/(LEN(VLOOKUP($D385,素材!$1:$1016,COLUMN($F$1),FALSE))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0)+IF($CJ385&lt;&gt;"",VLOOKUP($CJ385,装強!$A$1:AW$1005,COLUMN(装強!AW$1),FALSE),0)</f>
        <v>0</v>
      </c>
      <c r="AX385">
        <f>IF(ISNUMBER(SEARCH(SUBSTITUTE(AX$1,RIGHT(AX$1,2),""),VLOOKUP($D385,素材!$1:$1016,COLUMN($F$1),FALSE))),VLOOKUP($C385,武器!$1:$998,COLUMN($O$1),FALSE)*VLOOKUP($D385,素材!$1:$1016,COLUMN($E$1),FALSE)/(LEN(VLOOKUP($D385,素材!$1:$1016,COLUMN($F$1),FALSE))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0)+IF($CJ385&lt;&gt;"",VLOOKUP($CJ385,装強!$A$1:AX$1005,COLUMN(装強!AX$1),FALSE),0)</f>
        <v>0</v>
      </c>
      <c r="AY385">
        <f>IF(ISNUMBER(SEARCH(SUBSTITUTE(AY$1,RIGHT(AY$1,2),""),VLOOKUP($D385,素材!$1:$1016,COLUMN($F$1),FALSE))),VLOOKUP($C385,武器!$1:$998,COLUMN($O$1),FALSE)*VLOOKUP($D385,素材!$1:$1016,COLUMN($E$1),FALSE)/(LEN(VLOOKUP($D385,素材!$1:$1016,COLUMN($F$1),FALSE))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0)+IF($CJ385&lt;&gt;"",VLOOKUP($CJ385,装強!$A$1:AY$1005,COLUMN(装強!AY$1),FALSE),0)</f>
        <v>0</v>
      </c>
      <c r="AZ385">
        <f>IF(ISNUMBER(SEARCH(SUBSTITUTE(AZ$1,RIGHT(AZ$1,2),""),VLOOKUP($D385,素材!$1:$1016,COLUMN($F$1),FALSE))),VLOOKUP($C385,武器!$1:$998,COLUMN($O$1),FALSE)*VLOOKUP($D385,素材!$1:$1016,COLUMN($E$1),FALSE)/(LEN(VLOOKUP($D385,素材!$1:$1016,COLUMN($F$1),FALSE))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0)+IF($CJ385&lt;&gt;"",VLOOKUP($CJ385,装強!$A$1:AZ$1005,COLUMN(装強!AZ$1),FALSE),0)</f>
        <v>0</v>
      </c>
      <c r="BA385">
        <f>IF(ISNUMBER(SEARCH(SUBSTITUTE(BA$1,RIGHT(BA$1,2),""),VLOOKUP($D385,素材!$1:$1016,COLUMN($F$1),FALSE))),VLOOKUP($C385,武器!$1:$998,COLUMN($O$1),FALSE)*VLOOKUP($D385,素材!$1:$1016,COLUMN($E$1),FALSE)/(LEN(VLOOKUP($D385,素材!$1:$1016,COLUMN($F$1),FALSE))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0)+IF($CJ385&lt;&gt;"",VLOOKUP($CJ385,装強!$A$1:BA$1005,COLUMN(装強!BA$1),FALSE),0)</f>
        <v>0</v>
      </c>
      <c r="BB385">
        <f>IF(ISNUMBER(SEARCH(SUBSTITUTE(BB$1,RIGHT(BB$1,2),""),VLOOKUP($D385,素材!$1:$1016,COLUMN($F$1),FALSE))),VLOOKUP($C385,武器!$1:$998,COLUMN($O$1),FALSE)*VLOOKUP($D385,素材!$1:$1016,COLUMN($E$1),FALSE)/(LEN(VLOOKUP($D385,素材!$1:$1016,COLUMN($F$1),FALSE))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0)+IF($CJ385&lt;&gt;"",VLOOKUP($CJ385,装強!$A$1:BB$1005,COLUMN(装強!BB$1),FALSE),0)</f>
        <v>0</v>
      </c>
      <c r="BC385">
        <f>IF(ISNUMBER(SEARCH(SUBSTITUTE(BC$1,RIGHT(BC$1,2),""),VLOOKUP($D385,素材!$1:$1016,COLUMN($F$1),FALSE))),VLOOKUP($C385,武器!$1:$998,COLUMN($O$1),FALSE)*VLOOKUP($D385,素材!$1:$1016,COLUMN($E$1),FALSE)/(LEN(VLOOKUP($D385,素材!$1:$1016,COLUMN($F$1),FALSE))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0)+IF($CJ385&lt;&gt;"",VLOOKUP($CJ385,装強!$A$1:BC$1005,COLUMN(装強!BC$1),FALSE),0)</f>
        <v>0</v>
      </c>
      <c r="BD385">
        <f>IF(ISNUMBER(SEARCH(SUBSTITUTE(BD$1,RIGHT(BD$1,2),""),VLOOKUP($D385,素材!$1:$1016,COLUMN($F$1),FALSE))),VLOOKUP($C385,武器!$1:$998,COLUMN($O$1),FALSE)*VLOOKUP($D385,素材!$1:$1016,COLUMN($E$1),FALSE)/(LEN(VLOOKUP($D385,素材!$1:$1016,COLUMN($F$1),FALSE))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0)+IF($CJ385&lt;&gt;"",VLOOKUP($CJ385,装強!$A$1:BD$1005,COLUMN(装強!BD$1),FALSE),0)</f>
        <v>0</v>
      </c>
      <c r="BE385">
        <f>IF(ISNUMBER(SEARCH(SUBSTITUTE(BE$1,RIGHT(BE$1,2),""),VLOOKUP($D385,素材!$1:$1016,COLUMN($F$1),FALSE))),VLOOKUP($C385,武器!$1:$998,COLUMN($O$1),FALSE)*VLOOKUP($D385,素材!$1:$1016,COLUMN($E$1),FALSE)/(LEN(VLOOKUP($D385,素材!$1:$1016,COLUMN($F$1),FALSE))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0)+IF($CJ385&lt;&gt;"",VLOOKUP($CJ385,装強!$A$1:BE$1005,COLUMN(装強!BE$1),FALSE),0)</f>
        <v>0</v>
      </c>
      <c r="BF385">
        <f>IF(ISNUMBER(SEARCH(SUBSTITUTE(BF$1,RIGHT(BF$1,2),""),VLOOKUP($D385,素材!$1:$1016,COLUMN($F$1),FALSE))),VLOOKUP($C385,武器!$1:$998,COLUMN($O$1),FALSE)*VLOOKUP($D385,素材!$1:$1016,COLUMN($E$1),FALSE)/(LEN(VLOOKUP($D385,素材!$1:$1016,COLUMN($F$1),FALSE)) - LEN(SUBSTITUTE(VLOOKUP($D385,素材!$1:$1016,COLUMN($F$1),FALSE), "・", 0)) + 1), 0)+IF($CJ385&lt;&gt;"",VLOOKUP($CJ385,装強!$A$1:BF$1005,COLUMN(装強!BF$1),FALSE),0)</f>
        <v>0</v>
      </c>
      <c r="CM385">
        <f t="shared" si="44"/>
        <v>0</v>
      </c>
      <c r="CN385" s="22" t="str">
        <f>IF(E385="武器",IF(J385-1&gt;SUM(G385:I385),"盾",IF(MAX(G385:I385)=G385,"切断",IF(MAX(G385:I385)=H385,"貫通",IF(MAX(G385:I385)=I385,"打撃","射撃")))),E385)&amp;".webp"</f>
        <v>.webp</v>
      </c>
      <c r="CO385" t="str">
        <f>IFERROR(VLOOKUP($C385,武器!$1:$998,COLUMN(V$1),FALSE)*VLOOKUP($D385,素材!$1:$1016,COLUMN(N$1),FALSE)+IF(CJ385="",0,VLOOKUP($CJ385,装強!$1:$1008,COLUMN($CL$1),FALSE)),"")</f>
        <v/>
      </c>
      <c r="CP385" t="e">
        <f>VLOOKUP(D385,素材!$A:$O,COLUMN(素材!O$1),FALSE)</f>
        <v>#N/A</v>
      </c>
      <c r="CQ385" t="e">
        <f>VLOOKUP(C385,武器!$A:$W,COLUMN(武器!W$1),FALSE)</f>
        <v>#N/A</v>
      </c>
      <c r="CS385" t="str">
        <f>"e_"&amp;ROW(CS385)</f>
        <v>e_385</v>
      </c>
      <c r="CT385" t="e">
        <f t="shared" si="45"/>
        <v>#VALUE!</v>
      </c>
    </row>
    <row r="386" spans="2:98" x14ac:dyDescent="0.4">
      <c r="B386" t="str">
        <f>IFERROR(VLOOKUP($D386,素材!$1:$1016,COLUMN($B$1),FALSE)&amp;"・"&amp;VLOOKUP($C386,武器!$1:$998,COLUMN(B$1),FALSE),"")</f>
        <v/>
      </c>
      <c r="D386" s="24"/>
      <c r="E386" t="str">
        <f>IFERROR(VLOOKUP(C386,武器!$1:$998,COLUMN(C$1),FALSE),"")</f>
        <v/>
      </c>
      <c r="F386" t="str">
        <f>IFERROR(ROUNDDOWN((VLOOKUP($C386,武器!$1:$998,COLUMN(D$1),FALSE)+IFERROR(VLOOKUP($CJ386,装強!$1:$999,COLUMN(F$1),FALSE),0))*VLOOKUP($D386,素材!$1:$1016,COLUMN(D$1),FALSE),0),"")</f>
        <v/>
      </c>
      <c r="G386" t="str">
        <f>IFERROR(ROUNDDOWN((VLOOKUP($C386,武器!$1:$998,COLUMN(E$1),FALSE)+IFERROR(VLOOKUP($CJ386,装強!$1:$999,COLUMN(G$1),FALSE),0))*VLOOKUP($D386,素材!$1:$1016,COLUMN($E$1),FALSE),0),"")</f>
        <v/>
      </c>
      <c r="H386" t="str">
        <f>IFERROR(ROUNDDOWN((VLOOKUP($C386,武器!$1:$998,COLUMN(F$1),FALSE)+IFERROR(VLOOKUP($CJ386,装強!$1:$999,COLUMN(H$1),FALSE),0))*VLOOKUP($D386,素材!$1:$1016,COLUMN($E$1),FALSE),0),"")</f>
        <v/>
      </c>
      <c r="I386" t="str">
        <f>IFERROR(ROUNDDOWN((VLOOKUP($C386,武器!$1:$998,COLUMN(G$1),FALSE)+IFERROR(VLOOKUP($CJ386,装強!$1:$999,COLUMN(I$1),FALSE),0))*VLOOKUP($D386,素材!$1:$1016,COLUMN($E$1),FALSE),0),"")</f>
        <v/>
      </c>
      <c r="J386" t="str">
        <f>IFERROR(ROUNDDOWN((VLOOKUP($C386,武器!$1:$998,COLUMN(H$1),FALSE)+IFERROR(VLOOKUP($CJ386,装強!$1:$999,COLUMN(J$1),FALSE),0))*VLOOKUP($D386,素材!$1:$1016,COLUMN($E$1),FALSE),0),"")</f>
        <v/>
      </c>
      <c r="K386" t="str">
        <f>IFERROR(ROUNDDOWN((VLOOKUP($C386,武器!$1:$998,COLUMN(I$1),FALSE)+IFERROR(VLOOKUP($CJ386,装強!$1:$999,COLUMN(K$1),FALSE),0))*VLOOKUP($D386,素材!$1:$1016,COLUMN($E$1),FALSE),0),"")</f>
        <v/>
      </c>
      <c r="L386" t="str">
        <f>IFERROR(VLOOKUP($D386,素材!$1:$1016,COLUMN($F$1),FALSE),"")</f>
        <v/>
      </c>
      <c r="M386" t="str">
        <f>IFERROR(VLOOKUP($C386,武器!$1:$998,COLUMN(AA$1),FALSE)*VLOOKUP($D386,素材!$1:$1016,COLUMN($G$1),FALSE),"")</f>
        <v/>
      </c>
      <c r="N386" t="str">
        <f>IFERROR(VLOOKUP($C386,武器!$1:$998,COLUMN(I$1),FALSE),"")</f>
        <v/>
      </c>
      <c r="O386" s="23" t="str">
        <f>IFERROR((VLOOKUP($C386,武器!$1:$998,COLUMN(K$1),FALSE)+VLOOKUP($D386,素材!$1:$1016,COLUMN(H$1),FALSE))*100+IFERROR(VLOOKUP($CJ386,装強!$1:$999,COLUMN(O$1),FALSE),0),"")</f>
        <v/>
      </c>
      <c r="P386" s="23" t="str">
        <f>IFERROR((VLOOKUP($C386,武器!$1:$998,COLUMN(L$1),FALSE)+VLOOKUP($D386,素材!$1:$1016,COLUMN(I$1),FALSE))*100+IFERROR(VLOOKUP($CJ386,装強!$1:$999,COLUMN(P$1),FALSE),0),"")</f>
        <v/>
      </c>
      <c r="Q386" t="str">
        <f>IFERROR(ROUNDUP(VLOOKUP($C386,武器!$1:$998,COLUMN(M$1),FALSE)*(VLOOKUP($D386,素材!$1:$1002,COLUMN(D$1),FALSE)/100),1),"")</f>
        <v/>
      </c>
      <c r="R386" t="str">
        <f>IFERROR(ROUNDUP(VLOOKUP($C386,武器!$1:$998,COLUMN(N$1),FALSE)*(VLOOKUP($D386,素材!$1:$1002,COLUMN(D$1),FALSE)/100),1),"")</f>
        <v/>
      </c>
      <c r="S386" t="str">
        <f>IFERROR(VLOOKUP($C386,武器!$1:$998,COLUMN(P$1),FALSE),"")</f>
        <v/>
      </c>
      <c r="T386" t="str">
        <f>IFERROR(VLOOKUP($C386,武器!$1:$998,COLUMN(Q$1),FALSE),"")</f>
        <v/>
      </c>
      <c r="U386" t="str">
        <f>IFERROR(VLOOKUP($C386,武器!$1:$998,COLUMN(R$1),FALSE),"")</f>
        <v/>
      </c>
      <c r="V386" t="str">
        <f>IFERROR(VLOOKUP($C386,武器!$1:$998,COLUMN(Q$1),FALSE),"")</f>
        <v/>
      </c>
      <c r="W386" t="str">
        <f>IFERROR(VLOOKUP($C386,武器!$1:$998,COLUMN(T$1),FALSE),"")</f>
        <v/>
      </c>
      <c r="Y386" t="str">
        <f>IFERROR(VLOOKUP($C386,武器!$1:$998,COLUMN(U$1),FALSE),"")</f>
        <v/>
      </c>
      <c r="Z386" t="str">
        <f>IFERROR(ROUNDUP(VLOOKUP($C386,武器!$1:$998,COLUMN(O$1),FALSE)*VLOOKUP($D386,素材!$1:$1016,COLUMN(E$1),FALSE),1),"")</f>
        <v/>
      </c>
      <c r="AA386">
        <f>IF(ISNUMBER(SEARCH(SUBSTITUTE(AA$1,RIGHT(AA$1,2),""),VLOOKUP($D386,素材!$1:$1016,COLUMN($F$1),FALSE))),VLOOKUP($C386,武器!$1:$998,COLUMN($O$1),FALSE)*VLOOKUP($D386,素材!$1:$1016,COLUMN($E$1),FALSE)/(LEN(VLOOKUP($D386,素材!$1:$1016,COLUMN($F$1),FALSE))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</f>
        <v>0</v>
      </c>
      <c r="AB386">
        <f>IF(ISNUMBER(SEARCH(SUBSTITUTE(AB$1,RIGHT(AB$1,2),""),VLOOKUP($D386,素材!$1:$1016,COLUMN($F$1),FALSE))),VLOOKUP($C386,武器!$1:$998,COLUMN($O$1),FALSE)*VLOOKUP($D386,素材!$1:$1016,COLUMN($E$1),FALSE)/(LEN(VLOOKUP($D386,素材!$1:$1016,COLUMN($F$1),FALSE))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</f>
        <v>0</v>
      </c>
      <c r="AC386">
        <f>IF(ISNUMBER(SEARCH(SUBSTITUTE(AC$1,RIGHT(AC$1,2),""),VLOOKUP($D386,素材!$1:$1016,COLUMN($F$1),FALSE))),VLOOKUP($C386,武器!$1:$998,COLUMN($O$1),FALSE)*VLOOKUP($D386,素材!$1:$1016,COLUMN($E$1),FALSE)/(LEN(VLOOKUP($D386,素材!$1:$1016,COLUMN($F$1),FALSE))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</f>
        <v>0</v>
      </c>
      <c r="AD386">
        <f>IF(ISNUMBER(SEARCH(SUBSTITUTE(AD$1,RIGHT(AD$1,2),""),VLOOKUP($D386,素材!$1:$1016,COLUMN($F$1),FALSE))),VLOOKUP($C386,武器!$1:$998,COLUMN($O$1),FALSE)*VLOOKUP($D386,素材!$1:$1016,COLUMN($E$1),FALSE)/(LEN(VLOOKUP($D386,素材!$1:$1016,COLUMN($F$1),FALSE))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</f>
        <v>0</v>
      </c>
      <c r="AE386">
        <f>IF(ISNUMBER(SEARCH(SUBSTITUTE(AE$1,RIGHT(AE$1,2),""),VLOOKUP($D386,素材!$1:$1016,COLUMN($F$1),FALSE))),VLOOKUP($C386,武器!$1:$998,COLUMN($O$1),FALSE)*VLOOKUP($D386,素材!$1:$1016,COLUMN($E$1),FALSE)/(LEN(VLOOKUP($D386,素材!$1:$1016,COLUMN($F$1),FALSE))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0)+IF($CJ386&lt;&gt;"",VLOOKUP($CJ386,装強!$A$1:AE$1005,COLUMN(装強!AE$1),FALSE),0)</f>
        <v>0</v>
      </c>
      <c r="AF386">
        <f>IF(ISNUMBER(SEARCH(SUBSTITUTE(AF$1,RIGHT(AF$1,2),""),VLOOKUP($D386,素材!$1:$1016,COLUMN($F$1),FALSE))),VLOOKUP($C386,武器!$1:$998,COLUMN($O$1),FALSE)*VLOOKUP($D386,素材!$1:$1016,COLUMN($E$1),FALSE)/(LEN(VLOOKUP($D386,素材!$1:$1016,COLUMN($F$1),FALSE))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0)+IF($CJ386&lt;&gt;"",VLOOKUP($CJ386,装強!$A$1:AF$1005,COLUMN(装強!AF$1),FALSE),0)</f>
        <v>0</v>
      </c>
      <c r="AG386">
        <f>IF(ISNUMBER(SEARCH(SUBSTITUTE(AG$1,RIGHT(AG$1,2),""),VLOOKUP($D386,素材!$1:$1016,COLUMN($F$1),FALSE))),VLOOKUP($C386,武器!$1:$998,COLUMN($O$1),FALSE)*VLOOKUP($D386,素材!$1:$1016,COLUMN($E$1),FALSE)/(LEN(VLOOKUP($D386,素材!$1:$1016,COLUMN($F$1),FALSE))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0)+IF($CJ386&lt;&gt;"",VLOOKUP($CJ386,装強!$A$1:AG$1005,COLUMN(装強!AG$1),FALSE),0)</f>
        <v>0</v>
      </c>
      <c r="AH386">
        <f>IF(ISNUMBER(SEARCH(SUBSTITUTE(AH$1,RIGHT(AH$1,2),""),VLOOKUP($D386,素材!$1:$1016,COLUMN($F$1),FALSE))),VLOOKUP($C386,武器!$1:$998,COLUMN($O$1),FALSE)*VLOOKUP($D386,素材!$1:$1016,COLUMN($E$1),FALSE)/(LEN(VLOOKUP($D386,素材!$1:$1016,COLUMN($F$1),FALSE))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0)+IF($CJ386&lt;&gt;"",VLOOKUP($CJ386,装強!$A$1:AH$1005,COLUMN(装強!AH$1),FALSE),0)</f>
        <v>0</v>
      </c>
      <c r="AI386">
        <f>IF(ISNUMBER(SEARCH(SUBSTITUTE(AI$1,RIGHT(AI$1,2),""),VLOOKUP($D386,素材!$1:$1016,COLUMN($F$1),FALSE))),VLOOKUP($C386,武器!$1:$998,COLUMN($O$1),FALSE)*VLOOKUP($D386,素材!$1:$1016,COLUMN($E$1),FALSE)/(LEN(VLOOKUP($D386,素材!$1:$1016,COLUMN($F$1),FALSE))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0)+IF($CJ386&lt;&gt;"",VLOOKUP($CJ386,装強!$A$1:AI$1005,COLUMN(装強!AI$1),FALSE),0)</f>
        <v>0</v>
      </c>
      <c r="AJ386">
        <f>IF(ISNUMBER(SEARCH(SUBSTITUTE(AJ$1,RIGHT(AJ$1,2),""),VLOOKUP($D386,素材!$1:$1016,COLUMN($F$1),FALSE))),VLOOKUP($C386,武器!$1:$998,COLUMN($O$1),FALSE)*VLOOKUP($D386,素材!$1:$1016,COLUMN($E$1),FALSE)/(LEN(VLOOKUP($D386,素材!$1:$1016,COLUMN($F$1),FALSE))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0)+IF($CJ386&lt;&gt;"",VLOOKUP($CJ386,装強!$A$1:AJ$1005,COLUMN(装強!AJ$1),FALSE),0)</f>
        <v>0</v>
      </c>
      <c r="AK386">
        <f>IF(ISNUMBER(SEARCH(SUBSTITUTE(AK$1,RIGHT(AK$1,2),""),VLOOKUP($D386,素材!$1:$1016,COLUMN($F$1),FALSE))),VLOOKUP($C386,武器!$1:$998,COLUMN($O$1),FALSE)*VLOOKUP($D386,素材!$1:$1016,COLUMN($E$1),FALSE)/(LEN(VLOOKUP($D386,素材!$1:$1016,COLUMN($F$1),FALSE))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0)+IF($CJ386&lt;&gt;"",VLOOKUP($CJ386,装強!$A$1:AK$1005,COLUMN(装強!AK$1),FALSE),0)</f>
        <v>0</v>
      </c>
      <c r="AL386">
        <f>IF(ISNUMBER(SEARCH(SUBSTITUTE(AL$1,RIGHT(AL$1,2),""),VLOOKUP($D386,素材!$1:$1016,COLUMN($F$1),FALSE))),VLOOKUP($C386,武器!$1:$998,COLUMN($O$1),FALSE)*VLOOKUP($D386,素材!$1:$1016,COLUMN($E$1),FALSE)/(LEN(VLOOKUP($D386,素材!$1:$1016,COLUMN($F$1),FALSE))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0)+IF($CJ386&lt;&gt;"",VLOOKUP($CJ386,装強!$A$1:AL$1005,COLUMN(装強!AL$1),FALSE),0)</f>
        <v>0</v>
      </c>
      <c r="AM386">
        <f>IF(ISNUMBER(SEARCH(SUBSTITUTE(AM$1,RIGHT(AM$1,2),""),VLOOKUP($D386,素材!$1:$1016,COLUMN($F$1),FALSE))),VLOOKUP($C386,武器!$1:$998,COLUMN($O$1),FALSE)*VLOOKUP($D386,素材!$1:$1016,COLUMN($E$1),FALSE)/(LEN(VLOOKUP($D386,素材!$1:$1016,COLUMN($F$1),FALSE))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0)+IF($CJ386&lt;&gt;"",VLOOKUP($CJ386,装強!$A$1:AM$1005,COLUMN(装強!AM$1),FALSE),0)</f>
        <v>0</v>
      </c>
      <c r="AN386">
        <f>IF(ISNUMBER(SEARCH(SUBSTITUTE(AN$1,RIGHT(AN$1,2),""),VLOOKUP($D386,素材!$1:$1016,COLUMN($F$1),FALSE))),VLOOKUP($C386,武器!$1:$998,COLUMN($O$1),FALSE)*VLOOKUP($D386,素材!$1:$1016,COLUMN($E$1),FALSE)/(LEN(VLOOKUP($D386,素材!$1:$1016,COLUMN($F$1),FALSE))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0)+IF($CJ386&lt;&gt;"",VLOOKUP($CJ386,装強!$A$1:AN$1005,COLUMN(装強!AN$1),FALSE),0)</f>
        <v>0</v>
      </c>
      <c r="AO386">
        <f>IF(ISNUMBER(SEARCH(SUBSTITUTE(AO$1,RIGHT(AO$1,2),""),VLOOKUP($D386,素材!$1:$1016,COLUMN($F$1),FALSE))),VLOOKUP($C386,武器!$1:$998,COLUMN($O$1),FALSE)*VLOOKUP($D386,素材!$1:$1016,COLUMN($E$1),FALSE)/(LEN(VLOOKUP($D386,素材!$1:$1016,COLUMN($F$1),FALSE))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0)+IF($CJ386&lt;&gt;"",VLOOKUP($CJ386,装強!$A$1:AO$1005,COLUMN(装強!AO$1),FALSE),0)</f>
        <v>0</v>
      </c>
      <c r="AP386">
        <f>IF(ISNUMBER(SEARCH(SUBSTITUTE(AP$1,RIGHT(AP$1,2),""),VLOOKUP($D386,素材!$1:$1016,COLUMN($F$1),FALSE))),VLOOKUP($C386,武器!$1:$998,COLUMN($O$1),FALSE)*VLOOKUP($D386,素材!$1:$1016,COLUMN($E$1),FALSE)/(LEN(VLOOKUP($D386,素材!$1:$1016,COLUMN($F$1),FALSE))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0)+IF($CJ386&lt;&gt;"",VLOOKUP($CJ386,装強!$A$1:AP$1005,COLUMN(装強!AP$1),FALSE),0)</f>
        <v>0</v>
      </c>
      <c r="AQ386">
        <f>IF(ISNUMBER(SEARCH(SUBSTITUTE(AQ$1,RIGHT(AQ$1,2),""),VLOOKUP($D386,素材!$1:$1016,COLUMN($F$1),FALSE))),VLOOKUP($C386,武器!$1:$998,COLUMN($O$1),FALSE)*VLOOKUP($D386,素材!$1:$1016,COLUMN($E$1),FALSE)/(LEN(VLOOKUP($D386,素材!$1:$1016,COLUMN($F$1),FALSE))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0)+IF($CJ386&lt;&gt;"",VLOOKUP($CJ386,装強!$A$1:AQ$1005,COLUMN(装強!AQ$1),FALSE),0)</f>
        <v>0</v>
      </c>
      <c r="AR386">
        <f>IF(ISNUMBER(SEARCH(SUBSTITUTE(AR$1,RIGHT(AR$1,2),""),VLOOKUP($D386,素材!$1:$1016,COLUMN($F$1),FALSE))),VLOOKUP($C386,武器!$1:$998,COLUMN($O$1),FALSE)*VLOOKUP($D386,素材!$1:$1016,COLUMN($E$1),FALSE)/(LEN(VLOOKUP($D386,素材!$1:$1016,COLUMN($F$1),FALSE))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0)+IF($CJ386&lt;&gt;"",VLOOKUP($CJ386,装強!$A$1:AR$1005,COLUMN(装強!AR$1),FALSE),0)</f>
        <v>0</v>
      </c>
      <c r="AS386">
        <f>IF(ISNUMBER(SEARCH(SUBSTITUTE(AS$1,RIGHT(AS$1,2),""),VLOOKUP($D386,素材!$1:$1016,COLUMN($F$1),FALSE))),VLOOKUP($C386,武器!$1:$998,COLUMN($O$1),FALSE)*VLOOKUP($D386,素材!$1:$1016,COLUMN($E$1),FALSE)/(LEN(VLOOKUP($D386,素材!$1:$1016,COLUMN($F$1),FALSE))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0)+IF($CJ386&lt;&gt;"",VLOOKUP($CJ386,装強!$A$1:AS$1005,COLUMN(装強!AS$1),FALSE),0)</f>
        <v>0</v>
      </c>
      <c r="AT386">
        <f>IF(ISNUMBER(SEARCH(SUBSTITUTE(AT$1,RIGHT(AT$1,2),""),VLOOKUP($D386,素材!$1:$1016,COLUMN($F$1),FALSE))),VLOOKUP($C386,武器!$1:$998,COLUMN($O$1),FALSE)*VLOOKUP($D386,素材!$1:$1016,COLUMN($E$1),FALSE)/(LEN(VLOOKUP($D386,素材!$1:$1016,COLUMN($F$1),FALSE))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0)+IF($CJ386&lt;&gt;"",VLOOKUP($CJ386,装強!$A$1:AT$1005,COLUMN(装強!AT$1),FALSE),0)</f>
        <v>0</v>
      </c>
      <c r="AU386">
        <f>IF(ISNUMBER(SEARCH(SUBSTITUTE(AU$1,RIGHT(AU$1,2),""),VLOOKUP($D386,素材!$1:$1016,COLUMN($F$1),FALSE))),VLOOKUP($C386,武器!$1:$998,COLUMN($O$1),FALSE)*VLOOKUP($D386,素材!$1:$1016,COLUMN($E$1),FALSE)/(LEN(VLOOKUP($D386,素材!$1:$1016,COLUMN($F$1),FALSE))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0)+IF($CJ386&lt;&gt;"",VLOOKUP($CJ386,装強!$A$1:AU$1005,COLUMN(装強!AU$1),FALSE),0)</f>
        <v>0</v>
      </c>
      <c r="AV386">
        <f>IF(ISNUMBER(SEARCH(SUBSTITUTE(AV$1,RIGHT(AV$1,2),""),VLOOKUP($D386,素材!$1:$1016,COLUMN($F$1),FALSE))),VLOOKUP($C386,武器!$1:$998,COLUMN($O$1),FALSE)*VLOOKUP($D386,素材!$1:$1016,COLUMN($E$1),FALSE)/(LEN(VLOOKUP($D386,素材!$1:$1016,COLUMN($F$1),FALSE))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0)+IF($CJ386&lt;&gt;"",VLOOKUP($CJ386,装強!$A$1:AV$1005,COLUMN(装強!AV$1),FALSE),0)</f>
        <v>0</v>
      </c>
      <c r="AW386">
        <f>IF(ISNUMBER(SEARCH(SUBSTITUTE(AW$1,RIGHT(AW$1,2),""),VLOOKUP($D386,素材!$1:$1016,COLUMN($F$1),FALSE))),VLOOKUP($C386,武器!$1:$998,COLUMN($O$1),FALSE)*VLOOKUP($D386,素材!$1:$1016,COLUMN($E$1),FALSE)/(LEN(VLOOKUP($D386,素材!$1:$1016,COLUMN($F$1),FALSE))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0)+IF($CJ386&lt;&gt;"",VLOOKUP($CJ386,装強!$A$1:AW$1005,COLUMN(装強!AW$1),FALSE),0)</f>
        <v>0</v>
      </c>
      <c r="AX386">
        <f>IF(ISNUMBER(SEARCH(SUBSTITUTE(AX$1,RIGHT(AX$1,2),""),VLOOKUP($D386,素材!$1:$1016,COLUMN($F$1),FALSE))),VLOOKUP($C386,武器!$1:$998,COLUMN($O$1),FALSE)*VLOOKUP($D386,素材!$1:$1016,COLUMN($E$1),FALSE)/(LEN(VLOOKUP($D386,素材!$1:$1016,COLUMN($F$1),FALSE))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0)+IF($CJ386&lt;&gt;"",VLOOKUP($CJ386,装強!$A$1:AX$1005,COLUMN(装強!AX$1),FALSE),0)</f>
        <v>0</v>
      </c>
      <c r="AY386">
        <f>IF(ISNUMBER(SEARCH(SUBSTITUTE(AY$1,RIGHT(AY$1,2),""),VLOOKUP($D386,素材!$1:$1016,COLUMN($F$1),FALSE))),VLOOKUP($C386,武器!$1:$998,COLUMN($O$1),FALSE)*VLOOKUP($D386,素材!$1:$1016,COLUMN($E$1),FALSE)/(LEN(VLOOKUP($D386,素材!$1:$1016,COLUMN($F$1),FALSE))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0)+IF($CJ386&lt;&gt;"",VLOOKUP($CJ386,装強!$A$1:AY$1005,COLUMN(装強!AY$1),FALSE),0)</f>
        <v>0</v>
      </c>
      <c r="AZ386">
        <f>IF(ISNUMBER(SEARCH(SUBSTITUTE(AZ$1,RIGHT(AZ$1,2),""),VLOOKUP($D386,素材!$1:$1016,COLUMN($F$1),FALSE))),VLOOKUP($C386,武器!$1:$998,COLUMN($O$1),FALSE)*VLOOKUP($D386,素材!$1:$1016,COLUMN($E$1),FALSE)/(LEN(VLOOKUP($D386,素材!$1:$1016,COLUMN($F$1),FALSE))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0)+IF($CJ386&lt;&gt;"",VLOOKUP($CJ386,装強!$A$1:AZ$1005,COLUMN(装強!AZ$1),FALSE),0)</f>
        <v>0</v>
      </c>
      <c r="BA386">
        <f>IF(ISNUMBER(SEARCH(SUBSTITUTE(BA$1,RIGHT(BA$1,2),""),VLOOKUP($D386,素材!$1:$1016,COLUMN($F$1),FALSE))),VLOOKUP($C386,武器!$1:$998,COLUMN($O$1),FALSE)*VLOOKUP($D386,素材!$1:$1016,COLUMN($E$1),FALSE)/(LEN(VLOOKUP($D386,素材!$1:$1016,COLUMN($F$1),FALSE))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0)+IF($CJ386&lt;&gt;"",VLOOKUP($CJ386,装強!$A$1:BA$1005,COLUMN(装強!BA$1),FALSE),0)</f>
        <v>0</v>
      </c>
      <c r="BB386">
        <f>IF(ISNUMBER(SEARCH(SUBSTITUTE(BB$1,RIGHT(BB$1,2),""),VLOOKUP($D386,素材!$1:$1016,COLUMN($F$1),FALSE))),VLOOKUP($C386,武器!$1:$998,COLUMN($O$1),FALSE)*VLOOKUP($D386,素材!$1:$1016,COLUMN($E$1),FALSE)/(LEN(VLOOKUP($D386,素材!$1:$1016,COLUMN($F$1),FALSE))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0)+IF($CJ386&lt;&gt;"",VLOOKUP($CJ386,装強!$A$1:BB$1005,COLUMN(装強!BB$1),FALSE),0)</f>
        <v>0</v>
      </c>
      <c r="BC386">
        <f>IF(ISNUMBER(SEARCH(SUBSTITUTE(BC$1,RIGHT(BC$1,2),""),VLOOKUP($D386,素材!$1:$1016,COLUMN($F$1),FALSE))),VLOOKUP($C386,武器!$1:$998,COLUMN($O$1),FALSE)*VLOOKUP($D386,素材!$1:$1016,COLUMN($E$1),FALSE)/(LEN(VLOOKUP($D386,素材!$1:$1016,COLUMN($F$1),FALSE))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0)+IF($CJ386&lt;&gt;"",VLOOKUP($CJ386,装強!$A$1:BC$1005,COLUMN(装強!BC$1),FALSE),0)</f>
        <v>0</v>
      </c>
      <c r="BD386">
        <f>IF(ISNUMBER(SEARCH(SUBSTITUTE(BD$1,RIGHT(BD$1,2),""),VLOOKUP($D386,素材!$1:$1016,COLUMN($F$1),FALSE))),VLOOKUP($C386,武器!$1:$998,COLUMN($O$1),FALSE)*VLOOKUP($D386,素材!$1:$1016,COLUMN($E$1),FALSE)/(LEN(VLOOKUP($D386,素材!$1:$1016,COLUMN($F$1),FALSE))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0)+IF($CJ386&lt;&gt;"",VLOOKUP($CJ386,装強!$A$1:BD$1005,COLUMN(装強!BD$1),FALSE),0)</f>
        <v>0</v>
      </c>
      <c r="BE386">
        <f>IF(ISNUMBER(SEARCH(SUBSTITUTE(BE$1,RIGHT(BE$1,2),""),VLOOKUP($D386,素材!$1:$1016,COLUMN($F$1),FALSE))),VLOOKUP($C386,武器!$1:$998,COLUMN($O$1),FALSE)*VLOOKUP($D386,素材!$1:$1016,COLUMN($E$1),FALSE)/(LEN(VLOOKUP($D386,素材!$1:$1016,COLUMN($F$1),FALSE))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0)+IF($CJ386&lt;&gt;"",VLOOKUP($CJ386,装強!$A$1:BE$1005,COLUMN(装強!BE$1),FALSE),0)</f>
        <v>0</v>
      </c>
      <c r="BF386">
        <f>IF(ISNUMBER(SEARCH(SUBSTITUTE(BF$1,RIGHT(BF$1,2),""),VLOOKUP($D386,素材!$1:$1016,COLUMN($F$1),FALSE))),VLOOKUP($C386,武器!$1:$998,COLUMN($O$1),FALSE)*VLOOKUP($D386,素材!$1:$1016,COLUMN($E$1),FALSE)/(LEN(VLOOKUP($D386,素材!$1:$1016,COLUMN($F$1),FALSE)) - LEN(SUBSTITUTE(VLOOKUP($D386,素材!$1:$1016,COLUMN($F$1),FALSE), "・", 0)) + 1), 0)+IF($CJ386&lt;&gt;"",VLOOKUP($CJ386,装強!$A$1:BF$1005,COLUMN(装強!BF$1),FALSE),0)</f>
        <v>0</v>
      </c>
      <c r="CM386">
        <f t="shared" si="44"/>
        <v>0</v>
      </c>
      <c r="CN386" s="22" t="str">
        <f>IF(E386="武器",IF(J386-1&gt;SUM(G386:I386),"盾",IF(MAX(G386:I386)=G386,"切断",IF(MAX(G386:I386)=H386,"貫通",IF(MAX(G386:I386)=I386,"打撃","射撃")))),E386)&amp;".webp"</f>
        <v>.webp</v>
      </c>
      <c r="CO386" t="str">
        <f>IFERROR(VLOOKUP($C386,武器!$1:$998,COLUMN(V$1),FALSE)*VLOOKUP($D386,素材!$1:$1016,COLUMN(N$1),FALSE)+IF(CJ386="",0,VLOOKUP($CJ386,装強!$1:$1008,COLUMN($CL$1),FALSE)),"")</f>
        <v/>
      </c>
      <c r="CP386" t="e">
        <f>VLOOKUP(D386,素材!$A:$O,COLUMN(素材!O$1),FALSE)</f>
        <v>#N/A</v>
      </c>
      <c r="CQ386" t="e">
        <f>VLOOKUP(C386,武器!$A:$W,COLUMN(武器!W$1),FALSE)</f>
        <v>#N/A</v>
      </c>
      <c r="CS386" t="str">
        <f>"e_"&amp;ROW(CS386)</f>
        <v>e_386</v>
      </c>
      <c r="CT386" t="e">
        <f t="shared" si="45"/>
        <v>#VALUE!</v>
      </c>
    </row>
    <row r="387" spans="2:98" x14ac:dyDescent="0.4">
      <c r="B387" t="str">
        <f>IFERROR(VLOOKUP($D387,素材!$1:$1016,COLUMN($B$1),FALSE)&amp;"・"&amp;VLOOKUP($C387,武器!$1:$998,COLUMN(B$1),FALSE),"")</f>
        <v/>
      </c>
      <c r="D387" s="24"/>
      <c r="E387" t="str">
        <f>IFERROR(VLOOKUP(C387,武器!$1:$998,COLUMN(C$1),FALSE),"")</f>
        <v/>
      </c>
      <c r="F387" t="str">
        <f>IFERROR(ROUNDDOWN((VLOOKUP($C387,武器!$1:$998,COLUMN(D$1),FALSE)+IFERROR(VLOOKUP($CJ387,装強!$1:$999,COLUMN(F$1),FALSE),0))*VLOOKUP($D387,素材!$1:$1016,COLUMN(D$1),FALSE),0),"")</f>
        <v/>
      </c>
      <c r="G387" t="str">
        <f>IFERROR(ROUNDDOWN((VLOOKUP($C387,武器!$1:$998,COLUMN(E$1),FALSE)+IFERROR(VLOOKUP($CJ387,装強!$1:$999,COLUMN(G$1),FALSE),0))*VLOOKUP($D387,素材!$1:$1016,COLUMN($E$1),FALSE),0),"")</f>
        <v/>
      </c>
      <c r="H387" t="str">
        <f>IFERROR(ROUNDDOWN((VLOOKUP($C387,武器!$1:$998,COLUMN(F$1),FALSE)+IFERROR(VLOOKUP($CJ387,装強!$1:$999,COLUMN(H$1),FALSE),0))*VLOOKUP($D387,素材!$1:$1016,COLUMN($E$1),FALSE),0),"")</f>
        <v/>
      </c>
      <c r="I387" t="str">
        <f>IFERROR(ROUNDDOWN((VLOOKUP($C387,武器!$1:$998,COLUMN(G$1),FALSE)+IFERROR(VLOOKUP($CJ387,装強!$1:$999,COLUMN(I$1),FALSE),0))*VLOOKUP($D387,素材!$1:$1016,COLUMN($E$1),FALSE),0),"")</f>
        <v/>
      </c>
      <c r="J387" t="str">
        <f>IFERROR(ROUNDDOWN((VLOOKUP($C387,武器!$1:$998,COLUMN(H$1),FALSE)+IFERROR(VLOOKUP($CJ387,装強!$1:$999,COLUMN(J$1),FALSE),0))*VLOOKUP($D387,素材!$1:$1016,COLUMN($E$1),FALSE),0),"")</f>
        <v/>
      </c>
      <c r="K387" t="str">
        <f>IFERROR(ROUNDDOWN((VLOOKUP($C387,武器!$1:$998,COLUMN(I$1),FALSE)+IFERROR(VLOOKUP($CJ387,装強!$1:$999,COLUMN(K$1),FALSE),0))*VLOOKUP($D387,素材!$1:$1016,COLUMN($E$1),FALSE),0),"")</f>
        <v/>
      </c>
      <c r="L387" t="str">
        <f>IFERROR(VLOOKUP($D387,素材!$1:$1016,COLUMN($F$1),FALSE),"")</f>
        <v/>
      </c>
      <c r="M387" t="str">
        <f>IFERROR(VLOOKUP($C387,武器!$1:$998,COLUMN(AA$1),FALSE)*VLOOKUP($D387,素材!$1:$1016,COLUMN($G$1),FALSE),"")</f>
        <v/>
      </c>
      <c r="N387" t="str">
        <f>IFERROR(VLOOKUP($C387,武器!$1:$998,COLUMN(I$1),FALSE),"")</f>
        <v/>
      </c>
      <c r="O387" s="23" t="str">
        <f>IFERROR((VLOOKUP($C387,武器!$1:$998,COLUMN(K$1),FALSE)+VLOOKUP($D387,素材!$1:$1016,COLUMN(H$1),FALSE))*100+IFERROR(VLOOKUP($CJ387,装強!$1:$999,COLUMN(O$1),FALSE),0),"")</f>
        <v/>
      </c>
      <c r="P387" s="23" t="str">
        <f>IFERROR((VLOOKUP($C387,武器!$1:$998,COLUMN(L$1),FALSE)+VLOOKUP($D387,素材!$1:$1016,COLUMN(I$1),FALSE))*100+IFERROR(VLOOKUP($CJ387,装強!$1:$999,COLUMN(P$1),FALSE),0),"")</f>
        <v/>
      </c>
      <c r="Q387" t="str">
        <f>IFERROR(ROUNDUP(VLOOKUP($C387,武器!$1:$998,COLUMN(M$1),FALSE)*(VLOOKUP($D387,素材!$1:$1002,COLUMN(D$1),FALSE)/100),1),"")</f>
        <v/>
      </c>
      <c r="R387" t="str">
        <f>IFERROR(ROUNDUP(VLOOKUP($C387,武器!$1:$998,COLUMN(N$1),FALSE)*(VLOOKUP($D387,素材!$1:$1002,COLUMN(D$1),FALSE)/100),1),"")</f>
        <v/>
      </c>
      <c r="S387" t="str">
        <f>IFERROR(VLOOKUP($C387,武器!$1:$998,COLUMN(P$1),FALSE),"")</f>
        <v/>
      </c>
      <c r="T387" t="str">
        <f>IFERROR(VLOOKUP($C387,武器!$1:$998,COLUMN(Q$1),FALSE),"")</f>
        <v/>
      </c>
      <c r="U387" t="str">
        <f>IFERROR(VLOOKUP($C387,武器!$1:$998,COLUMN(R$1),FALSE),"")</f>
        <v/>
      </c>
      <c r="V387" t="str">
        <f>IFERROR(VLOOKUP($C387,武器!$1:$998,COLUMN(Q$1),FALSE),"")</f>
        <v/>
      </c>
      <c r="W387" t="str">
        <f>IFERROR(VLOOKUP($C387,武器!$1:$998,COLUMN(T$1),FALSE),"")</f>
        <v/>
      </c>
      <c r="Y387" t="str">
        <f>IFERROR(VLOOKUP($C387,武器!$1:$998,COLUMN(U$1),FALSE),"")</f>
        <v/>
      </c>
      <c r="Z387" t="str">
        <f>IFERROR(ROUNDUP(VLOOKUP($C387,武器!$1:$998,COLUMN(O$1),FALSE)*VLOOKUP($D387,素材!$1:$1016,COLUMN(E$1),FALSE),1),"")</f>
        <v/>
      </c>
      <c r="AA387">
        <f>IF(ISNUMBER(SEARCH(SUBSTITUTE(AA$1,RIGHT(AA$1,2),""),VLOOKUP($D387,素材!$1:$1016,COLUMN($F$1),FALSE))),VLOOKUP($C387,武器!$1:$998,COLUMN($O$1),FALSE)*VLOOKUP($D387,素材!$1:$1016,COLUMN($E$1),FALSE)/(LEN(VLOOKUP($D387,素材!$1:$1016,COLUMN($F$1),FALSE))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</f>
        <v>0</v>
      </c>
      <c r="AB387">
        <f>IF(ISNUMBER(SEARCH(SUBSTITUTE(AB$1,RIGHT(AB$1,2),""),VLOOKUP($D387,素材!$1:$1016,COLUMN($F$1),FALSE))),VLOOKUP($C387,武器!$1:$998,COLUMN($O$1),FALSE)*VLOOKUP($D387,素材!$1:$1016,COLUMN($E$1),FALSE)/(LEN(VLOOKUP($D387,素材!$1:$1016,COLUMN($F$1),FALSE))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</f>
        <v>0</v>
      </c>
      <c r="AC387">
        <f>IF(ISNUMBER(SEARCH(SUBSTITUTE(AC$1,RIGHT(AC$1,2),""),VLOOKUP($D387,素材!$1:$1016,COLUMN($F$1),FALSE))),VLOOKUP($C387,武器!$1:$998,COLUMN($O$1),FALSE)*VLOOKUP($D387,素材!$1:$1016,COLUMN($E$1),FALSE)/(LEN(VLOOKUP($D387,素材!$1:$1016,COLUMN($F$1),FALSE))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</f>
        <v>0</v>
      </c>
      <c r="AD387">
        <f>IF(ISNUMBER(SEARCH(SUBSTITUTE(AD$1,RIGHT(AD$1,2),""),VLOOKUP($D387,素材!$1:$1016,COLUMN($F$1),FALSE))),VLOOKUP($C387,武器!$1:$998,COLUMN($O$1),FALSE)*VLOOKUP($D387,素材!$1:$1016,COLUMN($E$1),FALSE)/(LEN(VLOOKUP($D387,素材!$1:$1016,COLUMN($F$1),FALSE))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</f>
        <v>0</v>
      </c>
      <c r="AE387">
        <f>IF(ISNUMBER(SEARCH(SUBSTITUTE(AE$1,RIGHT(AE$1,2),""),VLOOKUP($D387,素材!$1:$1016,COLUMN($F$1),FALSE))),VLOOKUP($C387,武器!$1:$998,COLUMN($O$1),FALSE)*VLOOKUP($D387,素材!$1:$1016,COLUMN($E$1),FALSE)/(LEN(VLOOKUP($D387,素材!$1:$1016,COLUMN($F$1),FALSE))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0)+IF($CJ387&lt;&gt;"",VLOOKUP($CJ387,装強!$A$1:AE$1005,COLUMN(装強!AE$1),FALSE),0)</f>
        <v>0</v>
      </c>
      <c r="AF387">
        <f>IF(ISNUMBER(SEARCH(SUBSTITUTE(AF$1,RIGHT(AF$1,2),""),VLOOKUP($D387,素材!$1:$1016,COLUMN($F$1),FALSE))),VLOOKUP($C387,武器!$1:$998,COLUMN($O$1),FALSE)*VLOOKUP($D387,素材!$1:$1016,COLUMN($E$1),FALSE)/(LEN(VLOOKUP($D387,素材!$1:$1016,COLUMN($F$1),FALSE))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0)+IF($CJ387&lt;&gt;"",VLOOKUP($CJ387,装強!$A$1:AF$1005,COLUMN(装強!AF$1),FALSE),0)</f>
        <v>0</v>
      </c>
      <c r="AG387">
        <f>IF(ISNUMBER(SEARCH(SUBSTITUTE(AG$1,RIGHT(AG$1,2),""),VLOOKUP($D387,素材!$1:$1016,COLUMN($F$1),FALSE))),VLOOKUP($C387,武器!$1:$998,COLUMN($O$1),FALSE)*VLOOKUP($D387,素材!$1:$1016,COLUMN($E$1),FALSE)/(LEN(VLOOKUP($D387,素材!$1:$1016,COLUMN($F$1),FALSE))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0)+IF($CJ387&lt;&gt;"",VLOOKUP($CJ387,装強!$A$1:AG$1005,COLUMN(装強!AG$1),FALSE),0)</f>
        <v>0</v>
      </c>
      <c r="AH387">
        <f>IF(ISNUMBER(SEARCH(SUBSTITUTE(AH$1,RIGHT(AH$1,2),""),VLOOKUP($D387,素材!$1:$1016,COLUMN($F$1),FALSE))),VLOOKUP($C387,武器!$1:$998,COLUMN($O$1),FALSE)*VLOOKUP($D387,素材!$1:$1016,COLUMN($E$1),FALSE)/(LEN(VLOOKUP($D387,素材!$1:$1016,COLUMN($F$1),FALSE))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0)+IF($CJ387&lt;&gt;"",VLOOKUP($CJ387,装強!$A$1:AH$1005,COLUMN(装強!AH$1),FALSE),0)</f>
        <v>0</v>
      </c>
      <c r="AI387">
        <f>IF(ISNUMBER(SEARCH(SUBSTITUTE(AI$1,RIGHT(AI$1,2),""),VLOOKUP($D387,素材!$1:$1016,COLUMN($F$1),FALSE))),VLOOKUP($C387,武器!$1:$998,COLUMN($O$1),FALSE)*VLOOKUP($D387,素材!$1:$1016,COLUMN($E$1),FALSE)/(LEN(VLOOKUP($D387,素材!$1:$1016,COLUMN($F$1),FALSE))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0)+IF($CJ387&lt;&gt;"",VLOOKUP($CJ387,装強!$A$1:AI$1005,COLUMN(装強!AI$1),FALSE),0)</f>
        <v>0</v>
      </c>
      <c r="AJ387">
        <f>IF(ISNUMBER(SEARCH(SUBSTITUTE(AJ$1,RIGHT(AJ$1,2),""),VLOOKUP($D387,素材!$1:$1016,COLUMN($F$1),FALSE))),VLOOKUP($C387,武器!$1:$998,COLUMN($O$1),FALSE)*VLOOKUP($D387,素材!$1:$1016,COLUMN($E$1),FALSE)/(LEN(VLOOKUP($D387,素材!$1:$1016,COLUMN($F$1),FALSE))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0)+IF($CJ387&lt;&gt;"",VLOOKUP($CJ387,装強!$A$1:AJ$1005,COLUMN(装強!AJ$1),FALSE),0)</f>
        <v>0</v>
      </c>
      <c r="AK387">
        <f>IF(ISNUMBER(SEARCH(SUBSTITUTE(AK$1,RIGHT(AK$1,2),""),VLOOKUP($D387,素材!$1:$1016,COLUMN($F$1),FALSE))),VLOOKUP($C387,武器!$1:$998,COLUMN($O$1),FALSE)*VLOOKUP($D387,素材!$1:$1016,COLUMN($E$1),FALSE)/(LEN(VLOOKUP($D387,素材!$1:$1016,COLUMN($F$1),FALSE))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0)+IF($CJ387&lt;&gt;"",VLOOKUP($CJ387,装強!$A$1:AK$1005,COLUMN(装強!AK$1),FALSE),0)</f>
        <v>0</v>
      </c>
      <c r="AL387">
        <f>IF(ISNUMBER(SEARCH(SUBSTITUTE(AL$1,RIGHT(AL$1,2),""),VLOOKUP($D387,素材!$1:$1016,COLUMN($F$1),FALSE))),VLOOKUP($C387,武器!$1:$998,COLUMN($O$1),FALSE)*VLOOKUP($D387,素材!$1:$1016,COLUMN($E$1),FALSE)/(LEN(VLOOKUP($D387,素材!$1:$1016,COLUMN($F$1),FALSE))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0)+IF($CJ387&lt;&gt;"",VLOOKUP($CJ387,装強!$A$1:AL$1005,COLUMN(装強!AL$1),FALSE),0)</f>
        <v>0</v>
      </c>
      <c r="AM387">
        <f>IF(ISNUMBER(SEARCH(SUBSTITUTE(AM$1,RIGHT(AM$1,2),""),VLOOKUP($D387,素材!$1:$1016,COLUMN($F$1),FALSE))),VLOOKUP($C387,武器!$1:$998,COLUMN($O$1),FALSE)*VLOOKUP($D387,素材!$1:$1016,COLUMN($E$1),FALSE)/(LEN(VLOOKUP($D387,素材!$1:$1016,COLUMN($F$1),FALSE))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0)+IF($CJ387&lt;&gt;"",VLOOKUP($CJ387,装強!$A$1:AM$1005,COLUMN(装強!AM$1),FALSE),0)</f>
        <v>0</v>
      </c>
      <c r="AN387">
        <f>IF(ISNUMBER(SEARCH(SUBSTITUTE(AN$1,RIGHT(AN$1,2),""),VLOOKUP($D387,素材!$1:$1016,COLUMN($F$1),FALSE))),VLOOKUP($C387,武器!$1:$998,COLUMN($O$1),FALSE)*VLOOKUP($D387,素材!$1:$1016,COLUMN($E$1),FALSE)/(LEN(VLOOKUP($D387,素材!$1:$1016,COLUMN($F$1),FALSE))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0)+IF($CJ387&lt;&gt;"",VLOOKUP($CJ387,装強!$A$1:AN$1005,COLUMN(装強!AN$1),FALSE),0)</f>
        <v>0</v>
      </c>
      <c r="AO387">
        <f>IF(ISNUMBER(SEARCH(SUBSTITUTE(AO$1,RIGHT(AO$1,2),""),VLOOKUP($D387,素材!$1:$1016,COLUMN($F$1),FALSE))),VLOOKUP($C387,武器!$1:$998,COLUMN($O$1),FALSE)*VLOOKUP($D387,素材!$1:$1016,COLUMN($E$1),FALSE)/(LEN(VLOOKUP($D387,素材!$1:$1016,COLUMN($F$1),FALSE))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0)+IF($CJ387&lt;&gt;"",VLOOKUP($CJ387,装強!$A$1:AO$1005,COLUMN(装強!AO$1),FALSE),0)</f>
        <v>0</v>
      </c>
      <c r="AP387">
        <f>IF(ISNUMBER(SEARCH(SUBSTITUTE(AP$1,RIGHT(AP$1,2),""),VLOOKUP($D387,素材!$1:$1016,COLUMN($F$1),FALSE))),VLOOKUP($C387,武器!$1:$998,COLUMN($O$1),FALSE)*VLOOKUP($D387,素材!$1:$1016,COLUMN($E$1),FALSE)/(LEN(VLOOKUP($D387,素材!$1:$1016,COLUMN($F$1),FALSE))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0)+IF($CJ387&lt;&gt;"",VLOOKUP($CJ387,装強!$A$1:AP$1005,COLUMN(装強!AP$1),FALSE),0)</f>
        <v>0</v>
      </c>
      <c r="AQ387">
        <f>IF(ISNUMBER(SEARCH(SUBSTITUTE(AQ$1,RIGHT(AQ$1,2),""),VLOOKUP($D387,素材!$1:$1016,COLUMN($F$1),FALSE))),VLOOKUP($C387,武器!$1:$998,COLUMN($O$1),FALSE)*VLOOKUP($D387,素材!$1:$1016,COLUMN($E$1),FALSE)/(LEN(VLOOKUP($D387,素材!$1:$1016,COLUMN($F$1),FALSE))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0)+IF($CJ387&lt;&gt;"",VLOOKUP($CJ387,装強!$A$1:AQ$1005,COLUMN(装強!AQ$1),FALSE),0)</f>
        <v>0</v>
      </c>
      <c r="AR387">
        <f>IF(ISNUMBER(SEARCH(SUBSTITUTE(AR$1,RIGHT(AR$1,2),""),VLOOKUP($D387,素材!$1:$1016,COLUMN($F$1),FALSE))),VLOOKUP($C387,武器!$1:$998,COLUMN($O$1),FALSE)*VLOOKUP($D387,素材!$1:$1016,COLUMN($E$1),FALSE)/(LEN(VLOOKUP($D387,素材!$1:$1016,COLUMN($F$1),FALSE))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0)+IF($CJ387&lt;&gt;"",VLOOKUP($CJ387,装強!$A$1:AR$1005,COLUMN(装強!AR$1),FALSE),0)</f>
        <v>0</v>
      </c>
      <c r="AS387">
        <f>IF(ISNUMBER(SEARCH(SUBSTITUTE(AS$1,RIGHT(AS$1,2),""),VLOOKUP($D387,素材!$1:$1016,COLUMN($F$1),FALSE))),VLOOKUP($C387,武器!$1:$998,COLUMN($O$1),FALSE)*VLOOKUP($D387,素材!$1:$1016,COLUMN($E$1),FALSE)/(LEN(VLOOKUP($D387,素材!$1:$1016,COLUMN($F$1),FALSE))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0)+IF($CJ387&lt;&gt;"",VLOOKUP($CJ387,装強!$A$1:AS$1005,COLUMN(装強!AS$1),FALSE),0)</f>
        <v>0</v>
      </c>
      <c r="AT387">
        <f>IF(ISNUMBER(SEARCH(SUBSTITUTE(AT$1,RIGHT(AT$1,2),""),VLOOKUP($D387,素材!$1:$1016,COLUMN($F$1),FALSE))),VLOOKUP($C387,武器!$1:$998,COLUMN($O$1),FALSE)*VLOOKUP($D387,素材!$1:$1016,COLUMN($E$1),FALSE)/(LEN(VLOOKUP($D387,素材!$1:$1016,COLUMN($F$1),FALSE))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0)+IF($CJ387&lt;&gt;"",VLOOKUP($CJ387,装強!$A$1:AT$1005,COLUMN(装強!AT$1),FALSE),0)</f>
        <v>0</v>
      </c>
      <c r="AU387">
        <f>IF(ISNUMBER(SEARCH(SUBSTITUTE(AU$1,RIGHT(AU$1,2),""),VLOOKUP($D387,素材!$1:$1016,COLUMN($F$1),FALSE))),VLOOKUP($C387,武器!$1:$998,COLUMN($O$1),FALSE)*VLOOKUP($D387,素材!$1:$1016,COLUMN($E$1),FALSE)/(LEN(VLOOKUP($D387,素材!$1:$1016,COLUMN($F$1),FALSE))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0)+IF($CJ387&lt;&gt;"",VLOOKUP($CJ387,装強!$A$1:AU$1005,COLUMN(装強!AU$1),FALSE),0)</f>
        <v>0</v>
      </c>
      <c r="AV387">
        <f>IF(ISNUMBER(SEARCH(SUBSTITUTE(AV$1,RIGHT(AV$1,2),""),VLOOKUP($D387,素材!$1:$1016,COLUMN($F$1),FALSE))),VLOOKUP($C387,武器!$1:$998,COLUMN($O$1),FALSE)*VLOOKUP($D387,素材!$1:$1016,COLUMN($E$1),FALSE)/(LEN(VLOOKUP($D387,素材!$1:$1016,COLUMN($F$1),FALSE))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0)+IF($CJ387&lt;&gt;"",VLOOKUP($CJ387,装強!$A$1:AV$1005,COLUMN(装強!AV$1),FALSE),0)</f>
        <v>0</v>
      </c>
      <c r="AW387">
        <f>IF(ISNUMBER(SEARCH(SUBSTITUTE(AW$1,RIGHT(AW$1,2),""),VLOOKUP($D387,素材!$1:$1016,COLUMN($F$1),FALSE))),VLOOKUP($C387,武器!$1:$998,COLUMN($O$1),FALSE)*VLOOKUP($D387,素材!$1:$1016,COLUMN($E$1),FALSE)/(LEN(VLOOKUP($D387,素材!$1:$1016,COLUMN($F$1),FALSE))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0)+IF($CJ387&lt;&gt;"",VLOOKUP($CJ387,装強!$A$1:AW$1005,COLUMN(装強!AW$1),FALSE),0)</f>
        <v>0</v>
      </c>
      <c r="AX387">
        <f>IF(ISNUMBER(SEARCH(SUBSTITUTE(AX$1,RIGHT(AX$1,2),""),VLOOKUP($D387,素材!$1:$1016,COLUMN($F$1),FALSE))),VLOOKUP($C387,武器!$1:$998,COLUMN($O$1),FALSE)*VLOOKUP($D387,素材!$1:$1016,COLUMN($E$1),FALSE)/(LEN(VLOOKUP($D387,素材!$1:$1016,COLUMN($F$1),FALSE))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0)+IF($CJ387&lt;&gt;"",VLOOKUP($CJ387,装強!$A$1:AX$1005,COLUMN(装強!AX$1),FALSE),0)</f>
        <v>0</v>
      </c>
      <c r="AY387">
        <f>IF(ISNUMBER(SEARCH(SUBSTITUTE(AY$1,RIGHT(AY$1,2),""),VLOOKUP($D387,素材!$1:$1016,COLUMN($F$1),FALSE))),VLOOKUP($C387,武器!$1:$998,COLUMN($O$1),FALSE)*VLOOKUP($D387,素材!$1:$1016,COLUMN($E$1),FALSE)/(LEN(VLOOKUP($D387,素材!$1:$1016,COLUMN($F$1),FALSE))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0)+IF($CJ387&lt;&gt;"",VLOOKUP($CJ387,装強!$A$1:AY$1005,COLUMN(装強!AY$1),FALSE),0)</f>
        <v>0</v>
      </c>
      <c r="AZ387">
        <f>IF(ISNUMBER(SEARCH(SUBSTITUTE(AZ$1,RIGHT(AZ$1,2),""),VLOOKUP($D387,素材!$1:$1016,COLUMN($F$1),FALSE))),VLOOKUP($C387,武器!$1:$998,COLUMN($O$1),FALSE)*VLOOKUP($D387,素材!$1:$1016,COLUMN($E$1),FALSE)/(LEN(VLOOKUP($D387,素材!$1:$1016,COLUMN($F$1),FALSE))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0)+IF($CJ387&lt;&gt;"",VLOOKUP($CJ387,装強!$A$1:AZ$1005,COLUMN(装強!AZ$1),FALSE),0)</f>
        <v>0</v>
      </c>
      <c r="BA387">
        <f>IF(ISNUMBER(SEARCH(SUBSTITUTE(BA$1,RIGHT(BA$1,2),""),VLOOKUP($D387,素材!$1:$1016,COLUMN($F$1),FALSE))),VLOOKUP($C387,武器!$1:$998,COLUMN($O$1),FALSE)*VLOOKUP($D387,素材!$1:$1016,COLUMN($E$1),FALSE)/(LEN(VLOOKUP($D387,素材!$1:$1016,COLUMN($F$1),FALSE))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0)+IF($CJ387&lt;&gt;"",VLOOKUP($CJ387,装強!$A$1:BA$1005,COLUMN(装強!BA$1),FALSE),0)</f>
        <v>0</v>
      </c>
      <c r="BB387">
        <f>IF(ISNUMBER(SEARCH(SUBSTITUTE(BB$1,RIGHT(BB$1,2),""),VLOOKUP($D387,素材!$1:$1016,COLUMN($F$1),FALSE))),VLOOKUP($C387,武器!$1:$998,COLUMN($O$1),FALSE)*VLOOKUP($D387,素材!$1:$1016,COLUMN($E$1),FALSE)/(LEN(VLOOKUP($D387,素材!$1:$1016,COLUMN($F$1),FALSE))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0)+IF($CJ387&lt;&gt;"",VLOOKUP($CJ387,装強!$A$1:BB$1005,COLUMN(装強!BB$1),FALSE),0)</f>
        <v>0</v>
      </c>
      <c r="BC387">
        <f>IF(ISNUMBER(SEARCH(SUBSTITUTE(BC$1,RIGHT(BC$1,2),""),VLOOKUP($D387,素材!$1:$1016,COLUMN($F$1),FALSE))),VLOOKUP($C387,武器!$1:$998,COLUMN($O$1),FALSE)*VLOOKUP($D387,素材!$1:$1016,COLUMN($E$1),FALSE)/(LEN(VLOOKUP($D387,素材!$1:$1016,COLUMN($F$1),FALSE))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0)+IF($CJ387&lt;&gt;"",VLOOKUP($CJ387,装強!$A$1:BC$1005,COLUMN(装強!BC$1),FALSE),0)</f>
        <v>0</v>
      </c>
      <c r="BD387">
        <f>IF(ISNUMBER(SEARCH(SUBSTITUTE(BD$1,RIGHT(BD$1,2),""),VLOOKUP($D387,素材!$1:$1016,COLUMN($F$1),FALSE))),VLOOKUP($C387,武器!$1:$998,COLUMN($O$1),FALSE)*VLOOKUP($D387,素材!$1:$1016,COLUMN($E$1),FALSE)/(LEN(VLOOKUP($D387,素材!$1:$1016,COLUMN($F$1),FALSE))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0)+IF($CJ387&lt;&gt;"",VLOOKUP($CJ387,装強!$A$1:BD$1005,COLUMN(装強!BD$1),FALSE),0)</f>
        <v>0</v>
      </c>
      <c r="BE387">
        <f>IF(ISNUMBER(SEARCH(SUBSTITUTE(BE$1,RIGHT(BE$1,2),""),VLOOKUP($D387,素材!$1:$1016,COLUMN($F$1),FALSE))),VLOOKUP($C387,武器!$1:$998,COLUMN($O$1),FALSE)*VLOOKUP($D387,素材!$1:$1016,COLUMN($E$1),FALSE)/(LEN(VLOOKUP($D387,素材!$1:$1016,COLUMN($F$1),FALSE))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0)+IF($CJ387&lt;&gt;"",VLOOKUP($CJ387,装強!$A$1:BE$1005,COLUMN(装強!BE$1),FALSE),0)</f>
        <v>0</v>
      </c>
      <c r="BF387">
        <f>IF(ISNUMBER(SEARCH(SUBSTITUTE(BF$1,RIGHT(BF$1,2),""),VLOOKUP($D387,素材!$1:$1016,COLUMN($F$1),FALSE))),VLOOKUP($C387,武器!$1:$998,COLUMN($O$1),FALSE)*VLOOKUP($D387,素材!$1:$1016,COLUMN($E$1),FALSE)/(LEN(VLOOKUP($D387,素材!$1:$1016,COLUMN($F$1),FALSE)) - LEN(SUBSTITUTE(VLOOKUP($D387,素材!$1:$1016,COLUMN($F$1),FALSE), "・", 0)) + 1), 0)+IF($CJ387&lt;&gt;"",VLOOKUP($CJ387,装強!$A$1:BF$1005,COLUMN(装強!BF$1),FALSE),0)</f>
        <v>0</v>
      </c>
      <c r="CM387">
        <f t="shared" si="44"/>
        <v>0</v>
      </c>
      <c r="CN387" s="22" t="str">
        <f>IF(E387="武器",IF(J387-1&gt;SUM(G387:I387),"盾",IF(MAX(G387:I387)=G387,"切断",IF(MAX(G387:I387)=H387,"貫通",IF(MAX(G387:I387)=I387,"打撃","射撃")))),E387)&amp;".webp"</f>
        <v>.webp</v>
      </c>
      <c r="CO387" t="str">
        <f>IFERROR(VLOOKUP($C387,武器!$1:$998,COLUMN(V$1),FALSE)*VLOOKUP($D387,素材!$1:$1016,COLUMN(N$1),FALSE)+IF(CJ387="",0,VLOOKUP($CJ387,装強!$1:$1008,COLUMN($CL$1),FALSE)),"")</f>
        <v/>
      </c>
      <c r="CP387" t="e">
        <f>VLOOKUP(D387,素材!$A:$O,COLUMN(素材!O$1),FALSE)</f>
        <v>#N/A</v>
      </c>
      <c r="CQ387" t="e">
        <f>VLOOKUP(C387,武器!$A:$W,COLUMN(武器!W$1),FALSE)</f>
        <v>#N/A</v>
      </c>
      <c r="CS387" t="str">
        <f>"e_"&amp;ROW(CS387)</f>
        <v>e_387</v>
      </c>
      <c r="CT387" t="e">
        <f t="shared" si="45"/>
        <v>#VALUE!</v>
      </c>
    </row>
    <row r="388" spans="2:98" x14ac:dyDescent="0.4">
      <c r="B388" t="str">
        <f>IFERROR(VLOOKUP($D388,素材!$1:$1016,COLUMN($B$1),FALSE)&amp;"・"&amp;VLOOKUP($C388,武器!$1:$998,COLUMN(B$1),FALSE),"")</f>
        <v/>
      </c>
      <c r="D388" s="24"/>
      <c r="E388" t="str">
        <f>IFERROR(VLOOKUP(C388,武器!$1:$998,COLUMN(C$1),FALSE),"")</f>
        <v/>
      </c>
      <c r="F388" t="str">
        <f>IFERROR(ROUNDDOWN((VLOOKUP($C388,武器!$1:$998,COLUMN(D$1),FALSE)+IFERROR(VLOOKUP($CJ388,装強!$1:$999,COLUMN(F$1),FALSE),0))*VLOOKUP($D388,素材!$1:$1016,COLUMN(D$1),FALSE),0),"")</f>
        <v/>
      </c>
      <c r="G388" t="str">
        <f>IFERROR(ROUNDDOWN((VLOOKUP($C388,武器!$1:$998,COLUMN(E$1),FALSE)+IFERROR(VLOOKUP($CJ388,装強!$1:$999,COLUMN(G$1),FALSE),0))*VLOOKUP($D388,素材!$1:$1016,COLUMN($E$1),FALSE),0),"")</f>
        <v/>
      </c>
      <c r="H388" t="str">
        <f>IFERROR(ROUNDDOWN((VLOOKUP($C388,武器!$1:$998,COLUMN(F$1),FALSE)+IFERROR(VLOOKUP($CJ388,装強!$1:$999,COLUMN(H$1),FALSE),0))*VLOOKUP($D388,素材!$1:$1016,COLUMN($E$1),FALSE),0),"")</f>
        <v/>
      </c>
      <c r="I388" t="str">
        <f>IFERROR(ROUNDDOWN((VLOOKUP($C388,武器!$1:$998,COLUMN(G$1),FALSE)+IFERROR(VLOOKUP($CJ388,装強!$1:$999,COLUMN(I$1),FALSE),0))*VLOOKUP($D388,素材!$1:$1016,COLUMN($E$1),FALSE),0),"")</f>
        <v/>
      </c>
      <c r="J388" t="str">
        <f>IFERROR(ROUNDDOWN((VLOOKUP($C388,武器!$1:$998,COLUMN(H$1),FALSE)+IFERROR(VLOOKUP($CJ388,装強!$1:$999,COLUMN(J$1),FALSE),0))*VLOOKUP($D388,素材!$1:$1016,COLUMN($E$1),FALSE),0),"")</f>
        <v/>
      </c>
      <c r="K388" t="str">
        <f>IFERROR(ROUNDDOWN((VLOOKUP($C388,武器!$1:$998,COLUMN(I$1),FALSE)+IFERROR(VLOOKUP($CJ388,装強!$1:$999,COLUMN(K$1),FALSE),0))*VLOOKUP($D388,素材!$1:$1016,COLUMN($E$1),FALSE),0),"")</f>
        <v/>
      </c>
      <c r="L388" t="str">
        <f>IFERROR(VLOOKUP($D388,素材!$1:$1016,COLUMN($F$1),FALSE),"")</f>
        <v/>
      </c>
      <c r="M388" t="str">
        <f>IFERROR(VLOOKUP($C388,武器!$1:$998,COLUMN(AA$1),FALSE)*VLOOKUP($D388,素材!$1:$1016,COLUMN($G$1),FALSE),"")</f>
        <v/>
      </c>
      <c r="N388" t="str">
        <f>IFERROR(VLOOKUP($C388,武器!$1:$998,COLUMN(I$1),FALSE),"")</f>
        <v/>
      </c>
      <c r="O388" s="23" t="str">
        <f>IFERROR((VLOOKUP($C388,武器!$1:$998,COLUMN(K$1),FALSE)+VLOOKUP($D388,素材!$1:$1016,COLUMN(H$1),FALSE))*100+IFERROR(VLOOKUP($CJ388,装強!$1:$999,COLUMN(O$1),FALSE),0),"")</f>
        <v/>
      </c>
      <c r="P388" s="23" t="str">
        <f>IFERROR((VLOOKUP($C388,武器!$1:$998,COLUMN(L$1),FALSE)+VLOOKUP($D388,素材!$1:$1016,COLUMN(I$1),FALSE))*100+IFERROR(VLOOKUP($CJ388,装強!$1:$999,COLUMN(P$1),FALSE),0),"")</f>
        <v/>
      </c>
      <c r="Q388" t="str">
        <f>IFERROR(ROUNDUP(VLOOKUP($C388,武器!$1:$998,COLUMN(M$1),FALSE)*(VLOOKUP($D388,素材!$1:$1002,COLUMN(D$1),FALSE)/100),1),"")</f>
        <v/>
      </c>
      <c r="R388" t="str">
        <f>IFERROR(ROUNDUP(VLOOKUP($C388,武器!$1:$998,COLUMN(N$1),FALSE)*(VLOOKUP($D388,素材!$1:$1002,COLUMN(D$1),FALSE)/100),1),"")</f>
        <v/>
      </c>
      <c r="S388" t="str">
        <f>IFERROR(VLOOKUP($C388,武器!$1:$998,COLUMN(P$1),FALSE),"")</f>
        <v/>
      </c>
      <c r="T388" t="str">
        <f>IFERROR(VLOOKUP($C388,武器!$1:$998,COLUMN(Q$1),FALSE),"")</f>
        <v/>
      </c>
      <c r="U388" t="str">
        <f>IFERROR(VLOOKUP($C388,武器!$1:$998,COLUMN(R$1),FALSE),"")</f>
        <v/>
      </c>
      <c r="V388" t="str">
        <f>IFERROR(VLOOKUP($C388,武器!$1:$998,COLUMN(Q$1),FALSE),"")</f>
        <v/>
      </c>
      <c r="W388" t="str">
        <f>IFERROR(VLOOKUP($C388,武器!$1:$998,COLUMN(T$1),FALSE),"")</f>
        <v/>
      </c>
      <c r="Y388" t="str">
        <f>IFERROR(VLOOKUP($C388,武器!$1:$998,COLUMN(U$1),FALSE),"")</f>
        <v/>
      </c>
      <c r="Z388" t="str">
        <f>IFERROR(ROUNDUP(VLOOKUP($C388,武器!$1:$998,COLUMN(O$1),FALSE)*VLOOKUP($D388,素材!$1:$1016,COLUMN(E$1),FALSE),1),"")</f>
        <v/>
      </c>
      <c r="AA388">
        <f>IF(ISNUMBER(SEARCH(SUBSTITUTE(AA$1,RIGHT(AA$1,2),""),VLOOKUP($D388,素材!$1:$1016,COLUMN($F$1),FALSE))),VLOOKUP($C388,武器!$1:$998,COLUMN($O$1),FALSE)*VLOOKUP($D388,素材!$1:$1016,COLUMN($E$1),FALSE)/(LEN(VLOOKUP($D388,素材!$1:$1016,COLUMN($F$1),FALSE))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</f>
        <v>0</v>
      </c>
      <c r="AB388">
        <f>IF(ISNUMBER(SEARCH(SUBSTITUTE(AB$1,RIGHT(AB$1,2),""),VLOOKUP($D388,素材!$1:$1016,COLUMN($F$1),FALSE))),VLOOKUP($C388,武器!$1:$998,COLUMN($O$1),FALSE)*VLOOKUP($D388,素材!$1:$1016,COLUMN($E$1),FALSE)/(LEN(VLOOKUP($D388,素材!$1:$1016,COLUMN($F$1),FALSE))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</f>
        <v>0</v>
      </c>
      <c r="AC388">
        <f>IF(ISNUMBER(SEARCH(SUBSTITUTE(AC$1,RIGHT(AC$1,2),""),VLOOKUP($D388,素材!$1:$1016,COLUMN($F$1),FALSE))),VLOOKUP($C388,武器!$1:$998,COLUMN($O$1),FALSE)*VLOOKUP($D388,素材!$1:$1016,COLUMN($E$1),FALSE)/(LEN(VLOOKUP($D388,素材!$1:$1016,COLUMN($F$1),FALSE))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</f>
        <v>0</v>
      </c>
      <c r="AD388">
        <f>IF(ISNUMBER(SEARCH(SUBSTITUTE(AD$1,RIGHT(AD$1,2),""),VLOOKUP($D388,素材!$1:$1016,COLUMN($F$1),FALSE))),VLOOKUP($C388,武器!$1:$998,COLUMN($O$1),FALSE)*VLOOKUP($D388,素材!$1:$1016,COLUMN($E$1),FALSE)/(LEN(VLOOKUP($D388,素材!$1:$1016,COLUMN($F$1),FALSE))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</f>
        <v>0</v>
      </c>
      <c r="AE388">
        <f>IF(ISNUMBER(SEARCH(SUBSTITUTE(AE$1,RIGHT(AE$1,2),""),VLOOKUP($D388,素材!$1:$1016,COLUMN($F$1),FALSE))),VLOOKUP($C388,武器!$1:$998,COLUMN($O$1),FALSE)*VLOOKUP($D388,素材!$1:$1016,COLUMN($E$1),FALSE)/(LEN(VLOOKUP($D388,素材!$1:$1016,COLUMN($F$1),FALSE))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0)+IF($CJ388&lt;&gt;"",VLOOKUP($CJ388,装強!$A$1:AE$1005,COLUMN(装強!AE$1),FALSE),0)</f>
        <v>0</v>
      </c>
      <c r="AF388">
        <f>IF(ISNUMBER(SEARCH(SUBSTITUTE(AF$1,RIGHT(AF$1,2),""),VLOOKUP($D388,素材!$1:$1016,COLUMN($F$1),FALSE))),VLOOKUP($C388,武器!$1:$998,COLUMN($O$1),FALSE)*VLOOKUP($D388,素材!$1:$1016,COLUMN($E$1),FALSE)/(LEN(VLOOKUP($D388,素材!$1:$1016,COLUMN($F$1),FALSE))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0)+IF($CJ388&lt;&gt;"",VLOOKUP($CJ388,装強!$A$1:AF$1005,COLUMN(装強!AF$1),FALSE),0)</f>
        <v>0</v>
      </c>
      <c r="AG388">
        <f>IF(ISNUMBER(SEARCH(SUBSTITUTE(AG$1,RIGHT(AG$1,2),""),VLOOKUP($D388,素材!$1:$1016,COLUMN($F$1),FALSE))),VLOOKUP($C388,武器!$1:$998,COLUMN($O$1),FALSE)*VLOOKUP($D388,素材!$1:$1016,COLUMN($E$1),FALSE)/(LEN(VLOOKUP($D388,素材!$1:$1016,COLUMN($F$1),FALSE))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0)+IF($CJ388&lt;&gt;"",VLOOKUP($CJ388,装強!$A$1:AG$1005,COLUMN(装強!AG$1),FALSE),0)</f>
        <v>0</v>
      </c>
      <c r="AH388">
        <f>IF(ISNUMBER(SEARCH(SUBSTITUTE(AH$1,RIGHT(AH$1,2),""),VLOOKUP($D388,素材!$1:$1016,COLUMN($F$1),FALSE))),VLOOKUP($C388,武器!$1:$998,COLUMN($O$1),FALSE)*VLOOKUP($D388,素材!$1:$1016,COLUMN($E$1),FALSE)/(LEN(VLOOKUP($D388,素材!$1:$1016,COLUMN($F$1),FALSE))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0)+IF($CJ388&lt;&gt;"",VLOOKUP($CJ388,装強!$A$1:AH$1005,COLUMN(装強!AH$1),FALSE),0)</f>
        <v>0</v>
      </c>
      <c r="AI388">
        <f>IF(ISNUMBER(SEARCH(SUBSTITUTE(AI$1,RIGHT(AI$1,2),""),VLOOKUP($D388,素材!$1:$1016,COLUMN($F$1),FALSE))),VLOOKUP($C388,武器!$1:$998,COLUMN($O$1),FALSE)*VLOOKUP($D388,素材!$1:$1016,COLUMN($E$1),FALSE)/(LEN(VLOOKUP($D388,素材!$1:$1016,COLUMN($F$1),FALSE))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0)+IF($CJ388&lt;&gt;"",VLOOKUP($CJ388,装強!$A$1:AI$1005,COLUMN(装強!AI$1),FALSE),0)</f>
        <v>0</v>
      </c>
      <c r="AJ388">
        <f>IF(ISNUMBER(SEARCH(SUBSTITUTE(AJ$1,RIGHT(AJ$1,2),""),VLOOKUP($D388,素材!$1:$1016,COLUMN($F$1),FALSE))),VLOOKUP($C388,武器!$1:$998,COLUMN($O$1),FALSE)*VLOOKUP($D388,素材!$1:$1016,COLUMN($E$1),FALSE)/(LEN(VLOOKUP($D388,素材!$1:$1016,COLUMN($F$1),FALSE))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0)+IF($CJ388&lt;&gt;"",VLOOKUP($CJ388,装強!$A$1:AJ$1005,COLUMN(装強!AJ$1),FALSE),0)</f>
        <v>0</v>
      </c>
      <c r="AK388">
        <f>IF(ISNUMBER(SEARCH(SUBSTITUTE(AK$1,RIGHT(AK$1,2),""),VLOOKUP($D388,素材!$1:$1016,COLUMN($F$1),FALSE))),VLOOKUP($C388,武器!$1:$998,COLUMN($O$1),FALSE)*VLOOKUP($D388,素材!$1:$1016,COLUMN($E$1),FALSE)/(LEN(VLOOKUP($D388,素材!$1:$1016,COLUMN($F$1),FALSE))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0)+IF($CJ388&lt;&gt;"",VLOOKUP($CJ388,装強!$A$1:AK$1005,COLUMN(装強!AK$1),FALSE),0)</f>
        <v>0</v>
      </c>
      <c r="AL388">
        <f>IF(ISNUMBER(SEARCH(SUBSTITUTE(AL$1,RIGHT(AL$1,2),""),VLOOKUP($D388,素材!$1:$1016,COLUMN($F$1),FALSE))),VLOOKUP($C388,武器!$1:$998,COLUMN($O$1),FALSE)*VLOOKUP($D388,素材!$1:$1016,COLUMN($E$1),FALSE)/(LEN(VLOOKUP($D388,素材!$1:$1016,COLUMN($F$1),FALSE))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0)+IF($CJ388&lt;&gt;"",VLOOKUP($CJ388,装強!$A$1:AL$1005,COLUMN(装強!AL$1),FALSE),0)</f>
        <v>0</v>
      </c>
      <c r="AM388">
        <f>IF(ISNUMBER(SEARCH(SUBSTITUTE(AM$1,RIGHT(AM$1,2),""),VLOOKUP($D388,素材!$1:$1016,COLUMN($F$1),FALSE))),VLOOKUP($C388,武器!$1:$998,COLUMN($O$1),FALSE)*VLOOKUP($D388,素材!$1:$1016,COLUMN($E$1),FALSE)/(LEN(VLOOKUP($D388,素材!$1:$1016,COLUMN($F$1),FALSE))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0)+IF($CJ388&lt;&gt;"",VLOOKUP($CJ388,装強!$A$1:AM$1005,COLUMN(装強!AM$1),FALSE),0)</f>
        <v>0</v>
      </c>
      <c r="AN388">
        <f>IF(ISNUMBER(SEARCH(SUBSTITUTE(AN$1,RIGHT(AN$1,2),""),VLOOKUP($D388,素材!$1:$1016,COLUMN($F$1),FALSE))),VLOOKUP($C388,武器!$1:$998,COLUMN($O$1),FALSE)*VLOOKUP($D388,素材!$1:$1016,COLUMN($E$1),FALSE)/(LEN(VLOOKUP($D388,素材!$1:$1016,COLUMN($F$1),FALSE))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0)+IF($CJ388&lt;&gt;"",VLOOKUP($CJ388,装強!$A$1:AN$1005,COLUMN(装強!AN$1),FALSE),0)</f>
        <v>0</v>
      </c>
      <c r="AO388">
        <f>IF(ISNUMBER(SEARCH(SUBSTITUTE(AO$1,RIGHT(AO$1,2),""),VLOOKUP($D388,素材!$1:$1016,COLUMN($F$1),FALSE))),VLOOKUP($C388,武器!$1:$998,COLUMN($O$1),FALSE)*VLOOKUP($D388,素材!$1:$1016,COLUMN($E$1),FALSE)/(LEN(VLOOKUP($D388,素材!$1:$1016,COLUMN($F$1),FALSE))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0)+IF($CJ388&lt;&gt;"",VLOOKUP($CJ388,装強!$A$1:AO$1005,COLUMN(装強!AO$1),FALSE),0)</f>
        <v>0</v>
      </c>
      <c r="AP388">
        <f>IF(ISNUMBER(SEARCH(SUBSTITUTE(AP$1,RIGHT(AP$1,2),""),VLOOKUP($D388,素材!$1:$1016,COLUMN($F$1),FALSE))),VLOOKUP($C388,武器!$1:$998,COLUMN($O$1),FALSE)*VLOOKUP($D388,素材!$1:$1016,COLUMN($E$1),FALSE)/(LEN(VLOOKUP($D388,素材!$1:$1016,COLUMN($F$1),FALSE))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0)+IF($CJ388&lt;&gt;"",VLOOKUP($CJ388,装強!$A$1:AP$1005,COLUMN(装強!AP$1),FALSE),0)</f>
        <v>0</v>
      </c>
      <c r="AQ388">
        <f>IF(ISNUMBER(SEARCH(SUBSTITUTE(AQ$1,RIGHT(AQ$1,2),""),VLOOKUP($D388,素材!$1:$1016,COLUMN($F$1),FALSE))),VLOOKUP($C388,武器!$1:$998,COLUMN($O$1),FALSE)*VLOOKUP($D388,素材!$1:$1016,COLUMN($E$1),FALSE)/(LEN(VLOOKUP($D388,素材!$1:$1016,COLUMN($F$1),FALSE))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0)+IF($CJ388&lt;&gt;"",VLOOKUP($CJ388,装強!$A$1:AQ$1005,COLUMN(装強!AQ$1),FALSE),0)</f>
        <v>0</v>
      </c>
      <c r="AR388">
        <f>IF(ISNUMBER(SEARCH(SUBSTITUTE(AR$1,RIGHT(AR$1,2),""),VLOOKUP($D388,素材!$1:$1016,COLUMN($F$1),FALSE))),VLOOKUP($C388,武器!$1:$998,COLUMN($O$1),FALSE)*VLOOKUP($D388,素材!$1:$1016,COLUMN($E$1),FALSE)/(LEN(VLOOKUP($D388,素材!$1:$1016,COLUMN($F$1),FALSE))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0)+IF($CJ388&lt;&gt;"",VLOOKUP($CJ388,装強!$A$1:AR$1005,COLUMN(装強!AR$1),FALSE),0)</f>
        <v>0</v>
      </c>
      <c r="AS388">
        <f>IF(ISNUMBER(SEARCH(SUBSTITUTE(AS$1,RIGHT(AS$1,2),""),VLOOKUP($D388,素材!$1:$1016,COLUMN($F$1),FALSE))),VLOOKUP($C388,武器!$1:$998,COLUMN($O$1),FALSE)*VLOOKUP($D388,素材!$1:$1016,COLUMN($E$1),FALSE)/(LEN(VLOOKUP($D388,素材!$1:$1016,COLUMN($F$1),FALSE))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0)+IF($CJ388&lt;&gt;"",VLOOKUP($CJ388,装強!$A$1:AS$1005,COLUMN(装強!AS$1),FALSE),0)</f>
        <v>0</v>
      </c>
      <c r="AT388">
        <f>IF(ISNUMBER(SEARCH(SUBSTITUTE(AT$1,RIGHT(AT$1,2),""),VLOOKUP($D388,素材!$1:$1016,COLUMN($F$1),FALSE))),VLOOKUP($C388,武器!$1:$998,COLUMN($O$1),FALSE)*VLOOKUP($D388,素材!$1:$1016,COLUMN($E$1),FALSE)/(LEN(VLOOKUP($D388,素材!$1:$1016,COLUMN($F$1),FALSE))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0)+IF($CJ388&lt;&gt;"",VLOOKUP($CJ388,装強!$A$1:AT$1005,COLUMN(装強!AT$1),FALSE),0)</f>
        <v>0</v>
      </c>
      <c r="AU388">
        <f>IF(ISNUMBER(SEARCH(SUBSTITUTE(AU$1,RIGHT(AU$1,2),""),VLOOKUP($D388,素材!$1:$1016,COLUMN($F$1),FALSE))),VLOOKUP($C388,武器!$1:$998,COLUMN($O$1),FALSE)*VLOOKUP($D388,素材!$1:$1016,COLUMN($E$1),FALSE)/(LEN(VLOOKUP($D388,素材!$1:$1016,COLUMN($F$1),FALSE))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0)+IF($CJ388&lt;&gt;"",VLOOKUP($CJ388,装強!$A$1:AU$1005,COLUMN(装強!AU$1),FALSE),0)</f>
        <v>0</v>
      </c>
      <c r="AV388">
        <f>IF(ISNUMBER(SEARCH(SUBSTITUTE(AV$1,RIGHT(AV$1,2),""),VLOOKUP($D388,素材!$1:$1016,COLUMN($F$1),FALSE))),VLOOKUP($C388,武器!$1:$998,COLUMN($O$1),FALSE)*VLOOKUP($D388,素材!$1:$1016,COLUMN($E$1),FALSE)/(LEN(VLOOKUP($D388,素材!$1:$1016,COLUMN($F$1),FALSE))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0)+IF($CJ388&lt;&gt;"",VLOOKUP($CJ388,装強!$A$1:AV$1005,COLUMN(装強!AV$1),FALSE),0)</f>
        <v>0</v>
      </c>
      <c r="AW388">
        <f>IF(ISNUMBER(SEARCH(SUBSTITUTE(AW$1,RIGHT(AW$1,2),""),VLOOKUP($D388,素材!$1:$1016,COLUMN($F$1),FALSE))),VLOOKUP($C388,武器!$1:$998,COLUMN($O$1),FALSE)*VLOOKUP($D388,素材!$1:$1016,COLUMN($E$1),FALSE)/(LEN(VLOOKUP($D388,素材!$1:$1016,COLUMN($F$1),FALSE))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0)+IF($CJ388&lt;&gt;"",VLOOKUP($CJ388,装強!$A$1:AW$1005,COLUMN(装強!AW$1),FALSE),0)</f>
        <v>0</v>
      </c>
      <c r="AX388">
        <f>IF(ISNUMBER(SEARCH(SUBSTITUTE(AX$1,RIGHT(AX$1,2),""),VLOOKUP($D388,素材!$1:$1016,COLUMN($F$1),FALSE))),VLOOKUP($C388,武器!$1:$998,COLUMN($O$1),FALSE)*VLOOKUP($D388,素材!$1:$1016,COLUMN($E$1),FALSE)/(LEN(VLOOKUP($D388,素材!$1:$1016,COLUMN($F$1),FALSE))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0)+IF($CJ388&lt;&gt;"",VLOOKUP($CJ388,装強!$A$1:AX$1005,COLUMN(装強!AX$1),FALSE),0)</f>
        <v>0</v>
      </c>
      <c r="AY388">
        <f>IF(ISNUMBER(SEARCH(SUBSTITUTE(AY$1,RIGHT(AY$1,2),""),VLOOKUP($D388,素材!$1:$1016,COLUMN($F$1),FALSE))),VLOOKUP($C388,武器!$1:$998,COLUMN($O$1),FALSE)*VLOOKUP($D388,素材!$1:$1016,COLUMN($E$1),FALSE)/(LEN(VLOOKUP($D388,素材!$1:$1016,COLUMN($F$1),FALSE))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0)+IF($CJ388&lt;&gt;"",VLOOKUP($CJ388,装強!$A$1:AY$1005,COLUMN(装強!AY$1),FALSE),0)</f>
        <v>0</v>
      </c>
      <c r="AZ388">
        <f>IF(ISNUMBER(SEARCH(SUBSTITUTE(AZ$1,RIGHT(AZ$1,2),""),VLOOKUP($D388,素材!$1:$1016,COLUMN($F$1),FALSE))),VLOOKUP($C388,武器!$1:$998,COLUMN($O$1),FALSE)*VLOOKUP($D388,素材!$1:$1016,COLUMN($E$1),FALSE)/(LEN(VLOOKUP($D388,素材!$1:$1016,COLUMN($F$1),FALSE))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0)+IF($CJ388&lt;&gt;"",VLOOKUP($CJ388,装強!$A$1:AZ$1005,COLUMN(装強!AZ$1),FALSE),0)</f>
        <v>0</v>
      </c>
      <c r="BA388">
        <f>IF(ISNUMBER(SEARCH(SUBSTITUTE(BA$1,RIGHT(BA$1,2),""),VLOOKUP($D388,素材!$1:$1016,COLUMN($F$1),FALSE))),VLOOKUP($C388,武器!$1:$998,COLUMN($O$1),FALSE)*VLOOKUP($D388,素材!$1:$1016,COLUMN($E$1),FALSE)/(LEN(VLOOKUP($D388,素材!$1:$1016,COLUMN($F$1),FALSE))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0)+IF($CJ388&lt;&gt;"",VLOOKUP($CJ388,装強!$A$1:BA$1005,COLUMN(装強!BA$1),FALSE),0)</f>
        <v>0</v>
      </c>
      <c r="BB388">
        <f>IF(ISNUMBER(SEARCH(SUBSTITUTE(BB$1,RIGHT(BB$1,2),""),VLOOKUP($D388,素材!$1:$1016,COLUMN($F$1),FALSE))),VLOOKUP($C388,武器!$1:$998,COLUMN($O$1),FALSE)*VLOOKUP($D388,素材!$1:$1016,COLUMN($E$1),FALSE)/(LEN(VLOOKUP($D388,素材!$1:$1016,COLUMN($F$1),FALSE))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0)+IF($CJ388&lt;&gt;"",VLOOKUP($CJ388,装強!$A$1:BB$1005,COLUMN(装強!BB$1),FALSE),0)</f>
        <v>0</v>
      </c>
      <c r="BC388">
        <f>IF(ISNUMBER(SEARCH(SUBSTITUTE(BC$1,RIGHT(BC$1,2),""),VLOOKUP($D388,素材!$1:$1016,COLUMN($F$1),FALSE))),VLOOKUP($C388,武器!$1:$998,COLUMN($O$1),FALSE)*VLOOKUP($D388,素材!$1:$1016,COLUMN($E$1),FALSE)/(LEN(VLOOKUP($D388,素材!$1:$1016,COLUMN($F$1),FALSE))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0)+IF($CJ388&lt;&gt;"",VLOOKUP($CJ388,装強!$A$1:BC$1005,COLUMN(装強!BC$1),FALSE),0)</f>
        <v>0</v>
      </c>
      <c r="BD388">
        <f>IF(ISNUMBER(SEARCH(SUBSTITUTE(BD$1,RIGHT(BD$1,2),""),VLOOKUP($D388,素材!$1:$1016,COLUMN($F$1),FALSE))),VLOOKUP($C388,武器!$1:$998,COLUMN($O$1),FALSE)*VLOOKUP($D388,素材!$1:$1016,COLUMN($E$1),FALSE)/(LEN(VLOOKUP($D388,素材!$1:$1016,COLUMN($F$1),FALSE))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0)+IF($CJ388&lt;&gt;"",VLOOKUP($CJ388,装強!$A$1:BD$1005,COLUMN(装強!BD$1),FALSE),0)</f>
        <v>0</v>
      </c>
      <c r="BE388">
        <f>IF(ISNUMBER(SEARCH(SUBSTITUTE(BE$1,RIGHT(BE$1,2),""),VLOOKUP($D388,素材!$1:$1016,COLUMN($F$1),FALSE))),VLOOKUP($C388,武器!$1:$998,COLUMN($O$1),FALSE)*VLOOKUP($D388,素材!$1:$1016,COLUMN($E$1),FALSE)/(LEN(VLOOKUP($D388,素材!$1:$1016,COLUMN($F$1),FALSE))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0)+IF($CJ388&lt;&gt;"",VLOOKUP($CJ388,装強!$A$1:BE$1005,COLUMN(装強!BE$1),FALSE),0)</f>
        <v>0</v>
      </c>
      <c r="BF388">
        <f>IF(ISNUMBER(SEARCH(SUBSTITUTE(BF$1,RIGHT(BF$1,2),""),VLOOKUP($D388,素材!$1:$1016,COLUMN($F$1),FALSE))),VLOOKUP($C388,武器!$1:$998,COLUMN($O$1),FALSE)*VLOOKUP($D388,素材!$1:$1016,COLUMN($E$1),FALSE)/(LEN(VLOOKUP($D388,素材!$1:$1016,COLUMN($F$1),FALSE)) - LEN(SUBSTITUTE(VLOOKUP($D388,素材!$1:$1016,COLUMN($F$1),FALSE), "・", 0)) + 1), 0)+IF($CJ388&lt;&gt;"",VLOOKUP($CJ388,装強!$A$1:BF$1005,COLUMN(装強!BF$1),FALSE),0)</f>
        <v>0</v>
      </c>
      <c r="CM388">
        <f t="shared" si="44"/>
        <v>0</v>
      </c>
      <c r="CN388" s="22" t="str">
        <f>IF(E388="武器",IF(J388-1&gt;SUM(G388:I388),"盾",IF(MAX(G388:I388)=G388,"切断",IF(MAX(G388:I388)=H388,"貫通",IF(MAX(G388:I388)=I388,"打撃","射撃")))),E388)&amp;".webp"</f>
        <v>.webp</v>
      </c>
      <c r="CO388" t="str">
        <f>IFERROR(VLOOKUP($C388,武器!$1:$998,COLUMN(V$1),FALSE)*VLOOKUP($D388,素材!$1:$1016,COLUMN(N$1),FALSE)+IF(CJ388="",0,VLOOKUP($CJ388,装強!$1:$1008,COLUMN($CL$1),FALSE)),"")</f>
        <v/>
      </c>
      <c r="CP388" t="e">
        <f>VLOOKUP(D388,素材!$A:$O,COLUMN(素材!O$1),FALSE)</f>
        <v>#N/A</v>
      </c>
      <c r="CQ388" t="e">
        <f>VLOOKUP(C388,武器!$A:$W,COLUMN(武器!W$1),FALSE)</f>
        <v>#N/A</v>
      </c>
      <c r="CS388" t="str">
        <f>"e_"&amp;ROW(CS388)</f>
        <v>e_388</v>
      </c>
      <c r="CT388" t="e">
        <f t="shared" si="45"/>
        <v>#VALUE!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4402-2A3A-49F0-BC37-4F5669903C31}">
  <sheetPr codeName="Sheet3">
    <tabColor theme="8" tint="0.79998168889431442"/>
  </sheetPr>
  <dimension ref="A1:BX351"/>
  <sheetViews>
    <sheetView zoomScale="85" zoomScaleNormal="85" workbookViewId="0">
      <pane xSplit="6" ySplit="2" topLeftCell="G157" activePane="bottomRight" state="frozen"/>
      <selection pane="topRight" activeCell="F1" sqref="F1"/>
      <selection pane="bottomLeft" activeCell="A3" sqref="A3"/>
      <selection pane="bottomRight" activeCell="BT124" sqref="BT124"/>
    </sheetView>
  </sheetViews>
  <sheetFormatPr defaultRowHeight="18.75" outlineLevelRow="1" outlineLevelCol="1" x14ac:dyDescent="0.4"/>
  <cols>
    <col min="1" max="2" width="15.5" customWidth="1"/>
    <col min="3" max="4" width="4.625" customWidth="1"/>
    <col min="5" max="5" width="5.625" customWidth="1"/>
    <col min="6" max="6" width="43.25" style="1" customWidth="1"/>
    <col min="7" max="7" width="4.875" customWidth="1"/>
    <col min="8" max="10" width="5.75" hidden="1" customWidth="1" outlineLevel="1"/>
    <col min="11" max="11" width="6.5" hidden="1" customWidth="1" outlineLevel="1"/>
    <col min="12" max="13" width="5.125" hidden="1" customWidth="1" outlineLevel="1"/>
    <col min="14" max="14" width="7" hidden="1" customWidth="1" outlineLevel="1"/>
    <col min="15" max="15" width="8" hidden="1" customWidth="1" outlineLevel="1"/>
    <col min="16" max="16" width="5" style="29" hidden="1" customWidth="1" outlineLevel="1"/>
    <col min="17" max="17" width="7" style="29" hidden="1" customWidth="1" outlineLevel="1"/>
    <col min="18" max="21" width="6.25" hidden="1" customWidth="1" outlineLevel="1"/>
    <col min="22" max="22" width="8.375" hidden="1" customWidth="1" outlineLevel="1"/>
    <col min="23" max="23" width="6.25" hidden="1" customWidth="1" outlineLevel="1"/>
    <col min="24" max="24" width="5.5" hidden="1" customWidth="1" outlineLevel="1"/>
    <col min="25" max="26" width="6.25" hidden="1" customWidth="1" outlineLevel="1"/>
    <col min="27" max="27" width="4.875" customWidth="1" collapsed="1"/>
    <col min="28" max="52" width="4.875" hidden="1" customWidth="1" outlineLevel="1"/>
    <col min="53" max="53" width="4.875" customWidth="1" collapsed="1"/>
    <col min="54" max="54" width="4.875" customWidth="1"/>
    <col min="55" max="59" width="4.875" hidden="1" customWidth="1" outlineLevel="1"/>
    <col min="60" max="60" width="5.25" bestFit="1" customWidth="1" collapsed="1"/>
    <col min="61" max="61" width="5.25" bestFit="1" customWidth="1"/>
    <col min="62" max="62" width="9" bestFit="1" customWidth="1"/>
    <col min="63" max="63" width="13" bestFit="1" customWidth="1"/>
  </cols>
  <sheetData>
    <row r="1" spans="1:76" s="2" customFormat="1" ht="54.75" thickBot="1" x14ac:dyDescent="0.45">
      <c r="A1" s="18" t="s">
        <v>193</v>
      </c>
      <c r="B1" s="18" t="s">
        <v>192</v>
      </c>
      <c r="C1" s="21" t="s">
        <v>191</v>
      </c>
      <c r="D1" s="21" t="s">
        <v>190</v>
      </c>
      <c r="E1" s="21" t="s">
        <v>189</v>
      </c>
      <c r="F1" s="21" t="s">
        <v>102</v>
      </c>
      <c r="G1" s="20" t="s">
        <v>188</v>
      </c>
      <c r="H1" s="20" t="s">
        <v>187</v>
      </c>
      <c r="I1" s="20" t="s">
        <v>186</v>
      </c>
      <c r="J1" s="20" t="s">
        <v>185</v>
      </c>
      <c r="K1" s="31" t="s">
        <v>184</v>
      </c>
      <c r="L1" s="31" t="s">
        <v>183</v>
      </c>
      <c r="M1" s="31" t="s">
        <v>182</v>
      </c>
      <c r="N1" s="31" t="s">
        <v>181</v>
      </c>
      <c r="O1" s="20" t="s">
        <v>180</v>
      </c>
      <c r="P1" s="31" t="s">
        <v>179</v>
      </c>
      <c r="Q1" s="31" t="s">
        <v>178</v>
      </c>
      <c r="R1" s="18" t="s">
        <v>491</v>
      </c>
      <c r="S1" s="18" t="s">
        <v>490</v>
      </c>
      <c r="T1" s="16" t="s">
        <v>175</v>
      </c>
      <c r="U1" s="16" t="s">
        <v>174</v>
      </c>
      <c r="V1" s="16" t="s">
        <v>173</v>
      </c>
      <c r="W1" s="17" t="s">
        <v>172</v>
      </c>
      <c r="X1" s="16" t="s">
        <v>171</v>
      </c>
      <c r="Y1" s="16" t="s">
        <v>170</v>
      </c>
      <c r="Z1" s="16" t="s">
        <v>169</v>
      </c>
      <c r="AA1" s="15" t="s">
        <v>168</v>
      </c>
      <c r="AB1" s="15" t="s">
        <v>167</v>
      </c>
      <c r="AC1" s="11" t="s">
        <v>166</v>
      </c>
      <c r="AD1" s="11" t="s">
        <v>165</v>
      </c>
      <c r="AE1" s="11" t="s">
        <v>164</v>
      </c>
      <c r="AF1" s="14" t="s">
        <v>163</v>
      </c>
      <c r="AG1" s="14" t="s">
        <v>162</v>
      </c>
      <c r="AH1" s="14" t="s">
        <v>161</v>
      </c>
      <c r="AI1" s="14" t="s">
        <v>160</v>
      </c>
      <c r="AJ1" s="14" t="s">
        <v>159</v>
      </c>
      <c r="AK1" s="14" t="s">
        <v>158</v>
      </c>
      <c r="AL1" s="14" t="s">
        <v>157</v>
      </c>
      <c r="AM1" s="13" t="s">
        <v>156</v>
      </c>
      <c r="AN1" s="13" t="s">
        <v>489</v>
      </c>
      <c r="AO1" s="12" t="s">
        <v>154</v>
      </c>
      <c r="AP1" s="12" t="s">
        <v>153</v>
      </c>
      <c r="AQ1" s="11" t="s">
        <v>152</v>
      </c>
      <c r="AR1" s="11" t="s">
        <v>151</v>
      </c>
      <c r="AS1" s="11" t="s">
        <v>150</v>
      </c>
      <c r="AT1" s="11" t="s">
        <v>149</v>
      </c>
      <c r="AU1" s="11" t="s">
        <v>148</v>
      </c>
      <c r="AV1" s="11" t="s">
        <v>147</v>
      </c>
      <c r="AW1" s="11" t="s">
        <v>146</v>
      </c>
      <c r="AX1" s="11" t="s">
        <v>145</v>
      </c>
      <c r="AY1" s="11" t="s">
        <v>144</v>
      </c>
      <c r="AZ1" s="11" t="s">
        <v>143</v>
      </c>
      <c r="BA1" s="10" t="s">
        <v>142</v>
      </c>
      <c r="BB1" s="10" t="s">
        <v>141</v>
      </c>
      <c r="BC1" s="8" t="s">
        <v>140</v>
      </c>
      <c r="BD1" s="10" t="s">
        <v>139</v>
      </c>
      <c r="BE1" s="9" t="s">
        <v>138</v>
      </c>
      <c r="BF1" s="8" t="s">
        <v>137</v>
      </c>
      <c r="BG1" s="8" t="s">
        <v>136</v>
      </c>
      <c r="BH1" s="2" t="s">
        <v>486</v>
      </c>
      <c r="BI1" s="2" t="s">
        <v>485</v>
      </c>
      <c r="BJ1" s="2" t="s">
        <v>484</v>
      </c>
      <c r="BK1" s="2" t="s">
        <v>488</v>
      </c>
      <c r="BL1" s="2" t="s">
        <v>108</v>
      </c>
      <c r="BM1" s="2" t="s">
        <v>105</v>
      </c>
      <c r="BN1" s="2" t="s">
        <v>487</v>
      </c>
      <c r="BP1" s="27" t="s">
        <v>261</v>
      </c>
      <c r="BQ1" s="2" t="s">
        <v>260</v>
      </c>
      <c r="BR1" s="2" t="s">
        <v>108</v>
      </c>
      <c r="BS1" s="2" t="s">
        <v>279</v>
      </c>
      <c r="BT1"/>
      <c r="BU1"/>
      <c r="BV1"/>
      <c r="BW1"/>
      <c r="BX1"/>
    </row>
    <row r="2" spans="1:76" x14ac:dyDescent="0.4">
      <c r="A2" s="1" t="s">
        <v>258</v>
      </c>
      <c r="B2" s="1" t="s">
        <v>258</v>
      </c>
      <c r="C2" s="1" t="s">
        <v>258</v>
      </c>
      <c r="D2" s="1" t="s">
        <v>258</v>
      </c>
      <c r="E2" s="1" t="s">
        <v>258</v>
      </c>
      <c r="G2" s="1" t="s">
        <v>258</v>
      </c>
      <c r="H2" s="1" t="s">
        <v>258</v>
      </c>
      <c r="I2" s="1" t="s">
        <v>258</v>
      </c>
      <c r="J2" s="1" t="s">
        <v>258</v>
      </c>
      <c r="K2" s="1" t="s">
        <v>258</v>
      </c>
      <c r="L2" s="1" t="s">
        <v>258</v>
      </c>
      <c r="M2" s="1" t="s">
        <v>258</v>
      </c>
      <c r="N2" s="1" t="s">
        <v>258</v>
      </c>
      <c r="O2" t="s">
        <v>259</v>
      </c>
      <c r="P2" s="30" t="s">
        <v>258</v>
      </c>
      <c r="Q2" s="30" t="s">
        <v>258</v>
      </c>
      <c r="R2" s="1" t="s">
        <v>258</v>
      </c>
      <c r="S2" s="1" t="s">
        <v>258</v>
      </c>
      <c r="T2" s="1" t="s">
        <v>258</v>
      </c>
      <c r="U2" s="1" t="s">
        <v>258</v>
      </c>
      <c r="V2" s="1" t="s">
        <v>258</v>
      </c>
      <c r="W2" s="1" t="s">
        <v>258</v>
      </c>
      <c r="X2" s="1" t="s">
        <v>258</v>
      </c>
      <c r="Y2" s="1" t="s">
        <v>258</v>
      </c>
      <c r="Z2" s="1" t="s">
        <v>258</v>
      </c>
      <c r="AA2" s="1" t="s">
        <v>258</v>
      </c>
      <c r="BQ2" t="str">
        <f>"i_"&amp;ROW(BQ2)</f>
        <v>i_2</v>
      </c>
    </row>
    <row r="3" spans="1:76" ht="37.5" x14ac:dyDescent="0.4">
      <c r="A3" t="s">
        <v>481</v>
      </c>
      <c r="B3" t="s">
        <v>483</v>
      </c>
      <c r="C3" s="24" t="s">
        <v>279</v>
      </c>
      <c r="D3" s="24"/>
      <c r="E3" t="s">
        <v>1182</v>
      </c>
      <c r="F3" s="1" t="s">
        <v>462</v>
      </c>
      <c r="BH3">
        <v>60</v>
      </c>
      <c r="BM3">
        <v>50</v>
      </c>
      <c r="BN3">
        <f>BM3*100</f>
        <v>5000</v>
      </c>
      <c r="BP3" t="s">
        <v>482</v>
      </c>
      <c r="BQ3" t="str">
        <f t="shared" ref="BQ3:BQ68" si="0">"i_"&amp;ROW(BQ3)</f>
        <v>i_3</v>
      </c>
      <c r="BR3">
        <v>5</v>
      </c>
      <c r="BS3" t="b">
        <v>1</v>
      </c>
    </row>
    <row r="4" spans="1:76" ht="37.5" x14ac:dyDescent="0.4">
      <c r="A4" t="s">
        <v>1183</v>
      </c>
      <c r="B4" t="s">
        <v>1185</v>
      </c>
      <c r="C4" s="24" t="s">
        <v>279</v>
      </c>
      <c r="D4" s="24"/>
      <c r="E4" t="s">
        <v>1182</v>
      </c>
      <c r="F4" s="1" t="s">
        <v>462</v>
      </c>
      <c r="BH4">
        <v>90</v>
      </c>
      <c r="BM4">
        <v>300</v>
      </c>
      <c r="BN4">
        <f t="shared" ref="BN4:BN5" si="1">BM4*100</f>
        <v>30000</v>
      </c>
      <c r="BP4" t="s">
        <v>482</v>
      </c>
      <c r="BQ4" t="str">
        <f t="shared" si="0"/>
        <v>i_4</v>
      </c>
      <c r="BR4">
        <v>5</v>
      </c>
      <c r="BS4" t="b">
        <v>1</v>
      </c>
    </row>
    <row r="5" spans="1:76" ht="37.5" x14ac:dyDescent="0.4">
      <c r="A5" t="s">
        <v>1184</v>
      </c>
      <c r="B5" t="s">
        <v>1186</v>
      </c>
      <c r="C5" s="24" t="s">
        <v>279</v>
      </c>
      <c r="D5" s="24"/>
      <c r="E5" t="s">
        <v>1182</v>
      </c>
      <c r="F5" s="1" t="s">
        <v>462</v>
      </c>
      <c r="BH5">
        <v>120</v>
      </c>
      <c r="BM5">
        <v>2000</v>
      </c>
      <c r="BN5">
        <f t="shared" si="1"/>
        <v>200000</v>
      </c>
      <c r="BP5" t="s">
        <v>482</v>
      </c>
      <c r="BQ5" t="str">
        <f t="shared" si="0"/>
        <v>i_5</v>
      </c>
      <c r="BR5">
        <v>5</v>
      </c>
      <c r="BS5" t="b">
        <v>1</v>
      </c>
    </row>
    <row r="6" spans="1:76" ht="37.5" outlineLevel="1" x14ac:dyDescent="0.4">
      <c r="A6" t="s">
        <v>479</v>
      </c>
      <c r="B6" t="s">
        <v>480</v>
      </c>
      <c r="C6" s="24" t="s">
        <v>279</v>
      </c>
      <c r="D6" s="24"/>
      <c r="E6" t="s">
        <v>467</v>
      </c>
      <c r="F6" s="1" t="s">
        <v>461</v>
      </c>
      <c r="BH6">
        <v>10</v>
      </c>
      <c r="BI6">
        <v>1</v>
      </c>
      <c r="BJ6">
        <v>40</v>
      </c>
      <c r="BM6">
        <v>40</v>
      </c>
      <c r="BN6">
        <f t="shared" ref="BN6:BN69" si="2">BM6*100</f>
        <v>4000</v>
      </c>
      <c r="BO6">
        <f>BI6*BJ6+BH6</f>
        <v>50</v>
      </c>
      <c r="BP6" t="s">
        <v>471</v>
      </c>
      <c r="BQ6" t="str">
        <f t="shared" si="0"/>
        <v>i_6</v>
      </c>
      <c r="BR6">
        <v>1</v>
      </c>
      <c r="BS6" t="b">
        <v>1</v>
      </c>
    </row>
    <row r="7" spans="1:76" ht="37.5" outlineLevel="1" x14ac:dyDescent="0.4">
      <c r="A7" t="s">
        <v>477</v>
      </c>
      <c r="B7" t="s">
        <v>478</v>
      </c>
      <c r="C7" s="24" t="s">
        <v>279</v>
      </c>
      <c r="D7" s="24"/>
      <c r="E7" t="s">
        <v>467</v>
      </c>
      <c r="F7" s="1" t="s">
        <v>274</v>
      </c>
      <c r="BH7">
        <v>20</v>
      </c>
      <c r="BI7">
        <v>3</v>
      </c>
      <c r="BJ7">
        <v>15</v>
      </c>
      <c r="BM7">
        <v>300</v>
      </c>
      <c r="BN7">
        <f t="shared" si="2"/>
        <v>30000</v>
      </c>
      <c r="BO7">
        <f>BI7*BJ7+BH7</f>
        <v>65</v>
      </c>
      <c r="BP7" t="s">
        <v>471</v>
      </c>
      <c r="BQ7" t="str">
        <f t="shared" si="0"/>
        <v>i_7</v>
      </c>
      <c r="BR7">
        <v>1</v>
      </c>
      <c r="BS7" t="b">
        <v>1</v>
      </c>
    </row>
    <row r="8" spans="1:76" ht="37.5" outlineLevel="1" x14ac:dyDescent="0.4">
      <c r="A8" t="s">
        <v>475</v>
      </c>
      <c r="B8" t="s">
        <v>476</v>
      </c>
      <c r="C8" s="24" t="s">
        <v>279</v>
      </c>
      <c r="D8" s="24"/>
      <c r="E8" t="s">
        <v>467</v>
      </c>
      <c r="F8" s="1" t="s">
        <v>271</v>
      </c>
      <c r="BH8">
        <v>30</v>
      </c>
      <c r="BI8">
        <v>10</v>
      </c>
      <c r="BJ8">
        <v>5</v>
      </c>
      <c r="BM8">
        <v>2000</v>
      </c>
      <c r="BN8">
        <f t="shared" si="2"/>
        <v>200000</v>
      </c>
      <c r="BO8">
        <f>BI8*BJ8+BH8</f>
        <v>80</v>
      </c>
      <c r="BP8" t="s">
        <v>471</v>
      </c>
      <c r="BQ8" t="str">
        <f t="shared" si="0"/>
        <v>i_8</v>
      </c>
      <c r="BR8">
        <v>1</v>
      </c>
      <c r="BS8" t="b">
        <v>1</v>
      </c>
    </row>
    <row r="9" spans="1:76" ht="37.5" outlineLevel="1" x14ac:dyDescent="0.4">
      <c r="A9" t="s">
        <v>473</v>
      </c>
      <c r="B9" t="s">
        <v>474</v>
      </c>
      <c r="C9" s="24" t="s">
        <v>279</v>
      </c>
      <c r="D9" s="24"/>
      <c r="E9" t="s">
        <v>467</v>
      </c>
      <c r="F9" s="1" t="s">
        <v>268</v>
      </c>
      <c r="BH9">
        <v>50</v>
      </c>
      <c r="BM9">
        <v>5000</v>
      </c>
      <c r="BN9">
        <f t="shared" si="2"/>
        <v>500000</v>
      </c>
      <c r="BO9">
        <f>BI9*BJ9+BH9</f>
        <v>50</v>
      </c>
      <c r="BP9" t="s">
        <v>471</v>
      </c>
      <c r="BQ9" t="str">
        <f t="shared" si="0"/>
        <v>i_9</v>
      </c>
      <c r="BR9">
        <v>1</v>
      </c>
      <c r="BS9" t="b">
        <v>1</v>
      </c>
    </row>
    <row r="10" spans="1:76" ht="37.5" outlineLevel="1" x14ac:dyDescent="0.4">
      <c r="A10" t="s">
        <v>470</v>
      </c>
      <c r="B10" t="s">
        <v>472</v>
      </c>
      <c r="C10" s="24" t="s">
        <v>279</v>
      </c>
      <c r="D10" s="24"/>
      <c r="E10" t="s">
        <v>467</v>
      </c>
      <c r="F10" s="1" t="s">
        <v>265</v>
      </c>
      <c r="BH10">
        <v>100</v>
      </c>
      <c r="BM10">
        <v>10000</v>
      </c>
      <c r="BN10">
        <f t="shared" si="2"/>
        <v>1000000</v>
      </c>
      <c r="BO10">
        <f>BI10*BJ10+BH10</f>
        <v>100</v>
      </c>
      <c r="BP10" t="s">
        <v>471</v>
      </c>
      <c r="BQ10" t="str">
        <f t="shared" si="0"/>
        <v>i_10</v>
      </c>
      <c r="BR10">
        <v>1</v>
      </c>
      <c r="BS10" t="b">
        <v>1</v>
      </c>
    </row>
    <row r="11" spans="1:76" ht="45.75" customHeight="1" outlineLevel="1" x14ac:dyDescent="0.4">
      <c r="A11" t="s">
        <v>469</v>
      </c>
      <c r="B11" t="s">
        <v>468</v>
      </c>
      <c r="C11" s="24"/>
      <c r="D11" s="24"/>
      <c r="E11" t="s">
        <v>467</v>
      </c>
      <c r="F11" s="1" t="s">
        <v>466</v>
      </c>
      <c r="M11" t="s">
        <v>465</v>
      </c>
      <c r="N11">
        <v>35</v>
      </c>
      <c r="T11">
        <v>1</v>
      </c>
      <c r="U11">
        <v>6</v>
      </c>
      <c r="V11">
        <v>1</v>
      </c>
      <c r="X11" t="s">
        <v>464</v>
      </c>
      <c r="BM11">
        <v>800</v>
      </c>
      <c r="BN11">
        <f t="shared" si="2"/>
        <v>80000</v>
      </c>
      <c r="BP11" t="s">
        <v>463</v>
      </c>
      <c r="BQ11" t="str">
        <f t="shared" si="0"/>
        <v>i_11</v>
      </c>
      <c r="BR11">
        <v>1</v>
      </c>
      <c r="BS11">
        <v>5</v>
      </c>
    </row>
    <row r="12" spans="1:76" ht="45.75" customHeight="1" outlineLevel="1" x14ac:dyDescent="0.4">
      <c r="C12" s="24"/>
      <c r="D12" s="24"/>
      <c r="BN12">
        <f t="shared" si="2"/>
        <v>0</v>
      </c>
      <c r="BQ12" t="str">
        <f t="shared" si="0"/>
        <v>i_12</v>
      </c>
      <c r="BR12">
        <v>1</v>
      </c>
      <c r="BS12" t="b">
        <v>1</v>
      </c>
    </row>
    <row r="13" spans="1:76" ht="45.75" customHeight="1" outlineLevel="1" x14ac:dyDescent="0.4">
      <c r="C13" s="24"/>
      <c r="D13" s="24"/>
      <c r="BN13">
        <f t="shared" si="2"/>
        <v>0</v>
      </c>
      <c r="BQ13" t="str">
        <f t="shared" si="0"/>
        <v>i_13</v>
      </c>
    </row>
    <row r="14" spans="1:76" ht="45.75" customHeight="1" x14ac:dyDescent="0.4">
      <c r="B14" t="s">
        <v>460</v>
      </c>
      <c r="C14" s="24"/>
      <c r="D14" s="24"/>
      <c r="BN14">
        <f t="shared" si="2"/>
        <v>0</v>
      </c>
      <c r="BQ14" t="str">
        <f t="shared" si="0"/>
        <v>i_14</v>
      </c>
    </row>
    <row r="15" spans="1:76" x14ac:dyDescent="0.4">
      <c r="A15" t="s">
        <v>193</v>
      </c>
      <c r="B15" t="s">
        <v>192</v>
      </c>
      <c r="C15" s="24" t="s">
        <v>459</v>
      </c>
      <c r="D15" s="24" t="s">
        <v>458</v>
      </c>
      <c r="E15" t="s">
        <v>457</v>
      </c>
      <c r="F15" s="1" t="s">
        <v>456</v>
      </c>
      <c r="BN15">
        <f t="shared" si="2"/>
        <v>0</v>
      </c>
      <c r="BQ15" t="str">
        <f t="shared" si="0"/>
        <v>i_15</v>
      </c>
    </row>
    <row r="16" spans="1:76" ht="37.5" hidden="1" outlineLevel="1" x14ac:dyDescent="0.4">
      <c r="A16" t="s">
        <v>455</v>
      </c>
      <c r="B16" t="s">
        <v>454</v>
      </c>
      <c r="C16" s="24" t="s">
        <v>287</v>
      </c>
      <c r="D16" s="24"/>
      <c r="E16" t="s">
        <v>190</v>
      </c>
      <c r="F16" s="1" t="s">
        <v>323</v>
      </c>
      <c r="BM16">
        <v>5000</v>
      </c>
      <c r="BN16">
        <f t="shared" si="2"/>
        <v>500000</v>
      </c>
      <c r="BQ16" t="str">
        <f t="shared" si="0"/>
        <v>i_16</v>
      </c>
    </row>
    <row r="17" spans="1:69" ht="37.5" hidden="1" outlineLevel="1" x14ac:dyDescent="0.4">
      <c r="A17" t="s">
        <v>453</v>
      </c>
      <c r="B17" t="s">
        <v>452</v>
      </c>
      <c r="C17" s="24" t="s">
        <v>287</v>
      </c>
      <c r="D17" s="24"/>
      <c r="E17" t="s">
        <v>190</v>
      </c>
      <c r="F17" s="1" t="s">
        <v>320</v>
      </c>
      <c r="BM17">
        <v>4500</v>
      </c>
      <c r="BN17">
        <f t="shared" si="2"/>
        <v>450000</v>
      </c>
      <c r="BQ17" t="str">
        <f t="shared" si="0"/>
        <v>i_17</v>
      </c>
    </row>
    <row r="18" spans="1:69" ht="37.5" hidden="1" outlineLevel="1" x14ac:dyDescent="0.4">
      <c r="A18" t="s">
        <v>451</v>
      </c>
      <c r="B18" t="s">
        <v>450</v>
      </c>
      <c r="C18" s="24" t="s">
        <v>287</v>
      </c>
      <c r="D18" s="24"/>
      <c r="E18" t="s">
        <v>190</v>
      </c>
      <c r="F18" s="1" t="s">
        <v>317</v>
      </c>
      <c r="BM18">
        <v>6000</v>
      </c>
      <c r="BN18">
        <f t="shared" si="2"/>
        <v>600000</v>
      </c>
      <c r="BQ18" t="str">
        <f t="shared" si="0"/>
        <v>i_18</v>
      </c>
    </row>
    <row r="19" spans="1:69" ht="37.5" hidden="1" outlineLevel="1" x14ac:dyDescent="0.4">
      <c r="A19" t="s">
        <v>449</v>
      </c>
      <c r="B19" t="s">
        <v>448</v>
      </c>
      <c r="C19" s="24" t="s">
        <v>287</v>
      </c>
      <c r="D19" s="24"/>
      <c r="E19" t="s">
        <v>190</v>
      </c>
      <c r="F19" s="1" t="s">
        <v>314</v>
      </c>
      <c r="BM19">
        <v>3000</v>
      </c>
      <c r="BN19">
        <f t="shared" si="2"/>
        <v>300000</v>
      </c>
      <c r="BQ19" t="str">
        <f t="shared" si="0"/>
        <v>i_19</v>
      </c>
    </row>
    <row r="20" spans="1:69" hidden="1" outlineLevel="1" x14ac:dyDescent="0.4">
      <c r="A20" t="s">
        <v>447</v>
      </c>
      <c r="B20" t="s">
        <v>446</v>
      </c>
      <c r="C20" s="24" t="s">
        <v>287</v>
      </c>
      <c r="D20" s="24"/>
      <c r="E20" t="s">
        <v>190</v>
      </c>
      <c r="F20" s="1" t="s">
        <v>311</v>
      </c>
      <c r="BM20">
        <v>2800</v>
      </c>
      <c r="BN20">
        <f t="shared" si="2"/>
        <v>280000</v>
      </c>
      <c r="BQ20" t="str">
        <f t="shared" si="0"/>
        <v>i_20</v>
      </c>
    </row>
    <row r="21" spans="1:69" ht="37.5" hidden="1" outlineLevel="1" x14ac:dyDescent="0.4">
      <c r="A21" t="s">
        <v>445</v>
      </c>
      <c r="B21" t="s">
        <v>444</v>
      </c>
      <c r="C21" s="24" t="s">
        <v>287</v>
      </c>
      <c r="D21" s="24"/>
      <c r="E21" t="s">
        <v>190</v>
      </c>
      <c r="F21" s="1" t="s">
        <v>308</v>
      </c>
      <c r="BM21">
        <v>10000</v>
      </c>
      <c r="BN21">
        <f t="shared" si="2"/>
        <v>1000000</v>
      </c>
      <c r="BQ21" t="str">
        <f t="shared" si="0"/>
        <v>i_21</v>
      </c>
    </row>
    <row r="22" spans="1:69" ht="37.5" hidden="1" outlineLevel="1" x14ac:dyDescent="0.4">
      <c r="A22" t="s">
        <v>443</v>
      </c>
      <c r="B22" t="s">
        <v>442</v>
      </c>
      <c r="C22" s="24" t="s">
        <v>287</v>
      </c>
      <c r="D22" s="24"/>
      <c r="E22" t="s">
        <v>190</v>
      </c>
      <c r="F22" s="1" t="s">
        <v>305</v>
      </c>
      <c r="BM22">
        <v>3500</v>
      </c>
      <c r="BN22">
        <f t="shared" si="2"/>
        <v>350000</v>
      </c>
      <c r="BQ22" t="str">
        <f t="shared" si="0"/>
        <v>i_22</v>
      </c>
    </row>
    <row r="23" spans="1:69" ht="37.5" hidden="1" outlineLevel="1" x14ac:dyDescent="0.4">
      <c r="A23" t="s">
        <v>441</v>
      </c>
      <c r="B23" t="s">
        <v>440</v>
      </c>
      <c r="C23" s="24" t="s">
        <v>287</v>
      </c>
      <c r="D23" s="24"/>
      <c r="E23" t="s">
        <v>190</v>
      </c>
      <c r="F23" s="1" t="s">
        <v>302</v>
      </c>
      <c r="BM23">
        <v>3200</v>
      </c>
      <c r="BN23">
        <f t="shared" si="2"/>
        <v>320000</v>
      </c>
      <c r="BQ23" t="str">
        <f t="shared" si="0"/>
        <v>i_23</v>
      </c>
    </row>
    <row r="24" spans="1:69" ht="37.5" hidden="1" outlineLevel="1" x14ac:dyDescent="0.4">
      <c r="A24" t="s">
        <v>439</v>
      </c>
      <c r="B24" t="s">
        <v>438</v>
      </c>
      <c r="C24" s="24" t="s">
        <v>287</v>
      </c>
      <c r="D24" s="24"/>
      <c r="E24" t="s">
        <v>190</v>
      </c>
      <c r="F24" s="1" t="s">
        <v>299</v>
      </c>
      <c r="BM24">
        <v>2900</v>
      </c>
      <c r="BN24">
        <f t="shared" si="2"/>
        <v>290000</v>
      </c>
      <c r="BQ24" t="str">
        <f t="shared" si="0"/>
        <v>i_24</v>
      </c>
    </row>
    <row r="25" spans="1:69" ht="37.5" hidden="1" outlineLevel="1" x14ac:dyDescent="0.4">
      <c r="A25" t="s">
        <v>437</v>
      </c>
      <c r="B25" t="s">
        <v>436</v>
      </c>
      <c r="C25" s="24" t="s">
        <v>287</v>
      </c>
      <c r="D25" s="24"/>
      <c r="E25" t="s">
        <v>190</v>
      </c>
      <c r="F25" s="1" t="s">
        <v>296</v>
      </c>
      <c r="BM25">
        <v>4200</v>
      </c>
      <c r="BN25">
        <f t="shared" si="2"/>
        <v>420000</v>
      </c>
      <c r="BQ25" t="str">
        <f t="shared" si="0"/>
        <v>i_25</v>
      </c>
    </row>
    <row r="26" spans="1:69" ht="37.5" hidden="1" outlineLevel="1" x14ac:dyDescent="0.4">
      <c r="A26" t="s">
        <v>435</v>
      </c>
      <c r="B26" t="s">
        <v>434</v>
      </c>
      <c r="C26" s="24" t="s">
        <v>287</v>
      </c>
      <c r="D26" s="24"/>
      <c r="E26" t="s">
        <v>190</v>
      </c>
      <c r="F26" s="1" t="s">
        <v>293</v>
      </c>
      <c r="BM26">
        <v>2700</v>
      </c>
      <c r="BN26">
        <f t="shared" si="2"/>
        <v>270000</v>
      </c>
      <c r="BQ26" t="str">
        <f t="shared" si="0"/>
        <v>i_26</v>
      </c>
    </row>
    <row r="27" spans="1:69" ht="37.5" hidden="1" outlineLevel="1" x14ac:dyDescent="0.4">
      <c r="A27" t="s">
        <v>433</v>
      </c>
      <c r="B27" t="s">
        <v>432</v>
      </c>
      <c r="C27" s="24" t="s">
        <v>287</v>
      </c>
      <c r="D27" s="24"/>
      <c r="E27" t="s">
        <v>190</v>
      </c>
      <c r="F27" s="1" t="s">
        <v>290</v>
      </c>
      <c r="BM27">
        <v>4000</v>
      </c>
      <c r="BN27">
        <f t="shared" si="2"/>
        <v>400000</v>
      </c>
      <c r="BQ27" t="str">
        <f t="shared" si="0"/>
        <v>i_27</v>
      </c>
    </row>
    <row r="28" spans="1:69" ht="37.5" hidden="1" outlineLevel="1" x14ac:dyDescent="0.4">
      <c r="A28" t="s">
        <v>431</v>
      </c>
      <c r="B28" t="s">
        <v>430</v>
      </c>
      <c r="C28" s="24" t="s">
        <v>287</v>
      </c>
      <c r="D28" s="24"/>
      <c r="E28" t="s">
        <v>190</v>
      </c>
      <c r="F28" s="1" t="s">
        <v>286</v>
      </c>
      <c r="BM28">
        <v>3800</v>
      </c>
      <c r="BN28">
        <f t="shared" si="2"/>
        <v>380000</v>
      </c>
      <c r="BQ28" t="str">
        <f t="shared" si="0"/>
        <v>i_28</v>
      </c>
    </row>
    <row r="29" spans="1:69" ht="37.5" collapsed="1" x14ac:dyDescent="0.4">
      <c r="A29" t="s">
        <v>429</v>
      </c>
      <c r="B29" t="s">
        <v>428</v>
      </c>
      <c r="C29" s="24" t="s">
        <v>287</v>
      </c>
      <c r="D29" s="24"/>
      <c r="E29" t="s">
        <v>190</v>
      </c>
      <c r="F29" s="1" t="s">
        <v>323</v>
      </c>
      <c r="H29">
        <v>1</v>
      </c>
      <c r="BM29">
        <v>2500</v>
      </c>
      <c r="BN29">
        <f t="shared" si="2"/>
        <v>250000</v>
      </c>
      <c r="BQ29" t="str">
        <f t="shared" si="0"/>
        <v>i_29</v>
      </c>
    </row>
    <row r="30" spans="1:69" ht="37.5" hidden="1" outlineLevel="1" x14ac:dyDescent="0.4">
      <c r="A30" t="s">
        <v>427</v>
      </c>
      <c r="B30" t="s">
        <v>426</v>
      </c>
      <c r="C30" s="24" t="s">
        <v>287</v>
      </c>
      <c r="D30" s="24"/>
      <c r="E30" t="s">
        <v>190</v>
      </c>
      <c r="F30" s="1" t="s">
        <v>320</v>
      </c>
      <c r="H30">
        <v>1</v>
      </c>
      <c r="BM30">
        <v>2250</v>
      </c>
      <c r="BN30">
        <f t="shared" si="2"/>
        <v>225000</v>
      </c>
      <c r="BQ30" t="str">
        <f t="shared" si="0"/>
        <v>i_30</v>
      </c>
    </row>
    <row r="31" spans="1:69" ht="37.5" hidden="1" outlineLevel="1" x14ac:dyDescent="0.4">
      <c r="A31" t="s">
        <v>425</v>
      </c>
      <c r="B31" t="s">
        <v>424</v>
      </c>
      <c r="C31" s="24" t="s">
        <v>287</v>
      </c>
      <c r="D31" s="24"/>
      <c r="E31" t="s">
        <v>190</v>
      </c>
      <c r="F31" s="1" t="s">
        <v>317</v>
      </c>
      <c r="H31">
        <v>1</v>
      </c>
      <c r="BM31">
        <v>3000</v>
      </c>
      <c r="BN31">
        <f t="shared" si="2"/>
        <v>300000</v>
      </c>
      <c r="BQ31" t="str">
        <f t="shared" si="0"/>
        <v>i_31</v>
      </c>
    </row>
    <row r="32" spans="1:69" ht="37.5" hidden="1" outlineLevel="1" x14ac:dyDescent="0.4">
      <c r="A32" t="s">
        <v>423</v>
      </c>
      <c r="B32" t="s">
        <v>422</v>
      </c>
      <c r="C32" s="24" t="s">
        <v>287</v>
      </c>
      <c r="D32" s="24"/>
      <c r="E32" t="s">
        <v>190</v>
      </c>
      <c r="F32" s="1" t="s">
        <v>314</v>
      </c>
      <c r="H32">
        <v>1</v>
      </c>
      <c r="BM32">
        <v>1500</v>
      </c>
      <c r="BN32">
        <f t="shared" si="2"/>
        <v>150000</v>
      </c>
      <c r="BQ32" t="str">
        <f t="shared" si="0"/>
        <v>i_32</v>
      </c>
    </row>
    <row r="33" spans="1:69" hidden="1" outlineLevel="1" x14ac:dyDescent="0.4">
      <c r="A33" t="s">
        <v>421</v>
      </c>
      <c r="B33" t="s">
        <v>420</v>
      </c>
      <c r="C33" s="24" t="s">
        <v>287</v>
      </c>
      <c r="D33" s="24"/>
      <c r="E33" t="s">
        <v>190</v>
      </c>
      <c r="F33" s="1" t="s">
        <v>311</v>
      </c>
      <c r="H33">
        <v>1</v>
      </c>
      <c r="BM33">
        <v>1400</v>
      </c>
      <c r="BN33">
        <f t="shared" si="2"/>
        <v>140000</v>
      </c>
      <c r="BQ33" t="str">
        <f t="shared" si="0"/>
        <v>i_33</v>
      </c>
    </row>
    <row r="34" spans="1:69" ht="37.5" hidden="1" outlineLevel="1" x14ac:dyDescent="0.4">
      <c r="A34" t="s">
        <v>419</v>
      </c>
      <c r="B34" t="s">
        <v>418</v>
      </c>
      <c r="C34" s="24" t="s">
        <v>287</v>
      </c>
      <c r="D34" s="24"/>
      <c r="E34" t="s">
        <v>190</v>
      </c>
      <c r="F34" s="1" t="s">
        <v>308</v>
      </c>
      <c r="H34">
        <v>1</v>
      </c>
      <c r="BM34">
        <v>5000</v>
      </c>
      <c r="BN34">
        <f t="shared" si="2"/>
        <v>500000</v>
      </c>
      <c r="BQ34" t="str">
        <f t="shared" si="0"/>
        <v>i_34</v>
      </c>
    </row>
    <row r="35" spans="1:69" ht="37.5" hidden="1" outlineLevel="1" x14ac:dyDescent="0.4">
      <c r="A35" t="s">
        <v>417</v>
      </c>
      <c r="B35" t="s">
        <v>416</v>
      </c>
      <c r="C35" s="24" t="s">
        <v>287</v>
      </c>
      <c r="D35" s="24"/>
      <c r="E35" t="s">
        <v>190</v>
      </c>
      <c r="F35" s="1" t="s">
        <v>305</v>
      </c>
      <c r="H35">
        <v>1</v>
      </c>
      <c r="BM35">
        <v>1750</v>
      </c>
      <c r="BN35">
        <f t="shared" si="2"/>
        <v>175000</v>
      </c>
      <c r="BQ35" t="str">
        <f t="shared" si="0"/>
        <v>i_35</v>
      </c>
    </row>
    <row r="36" spans="1:69" ht="37.5" hidden="1" outlineLevel="1" x14ac:dyDescent="0.4">
      <c r="A36" t="s">
        <v>415</v>
      </c>
      <c r="B36" t="s">
        <v>414</v>
      </c>
      <c r="C36" s="24" t="s">
        <v>287</v>
      </c>
      <c r="D36" s="24"/>
      <c r="E36" t="s">
        <v>190</v>
      </c>
      <c r="F36" s="1" t="s">
        <v>302</v>
      </c>
      <c r="H36">
        <v>1</v>
      </c>
      <c r="BM36">
        <v>1600</v>
      </c>
      <c r="BN36">
        <f t="shared" si="2"/>
        <v>160000</v>
      </c>
      <c r="BQ36" t="str">
        <f t="shared" si="0"/>
        <v>i_36</v>
      </c>
    </row>
    <row r="37" spans="1:69" ht="37.5" hidden="1" outlineLevel="1" x14ac:dyDescent="0.4">
      <c r="A37" t="s">
        <v>413</v>
      </c>
      <c r="B37" t="s">
        <v>412</v>
      </c>
      <c r="C37" s="24" t="s">
        <v>287</v>
      </c>
      <c r="D37" s="24"/>
      <c r="E37" t="s">
        <v>190</v>
      </c>
      <c r="F37" s="1" t="s">
        <v>299</v>
      </c>
      <c r="H37">
        <v>1</v>
      </c>
      <c r="BM37">
        <v>1450</v>
      </c>
      <c r="BN37">
        <f t="shared" si="2"/>
        <v>145000</v>
      </c>
      <c r="BQ37" t="str">
        <f t="shared" si="0"/>
        <v>i_37</v>
      </c>
    </row>
    <row r="38" spans="1:69" ht="37.5" hidden="1" outlineLevel="1" x14ac:dyDescent="0.4">
      <c r="A38" t="s">
        <v>411</v>
      </c>
      <c r="B38" t="s">
        <v>410</v>
      </c>
      <c r="C38" s="24" t="s">
        <v>287</v>
      </c>
      <c r="D38" s="24"/>
      <c r="E38" t="s">
        <v>190</v>
      </c>
      <c r="F38" s="1" t="s">
        <v>296</v>
      </c>
      <c r="H38">
        <v>1</v>
      </c>
      <c r="BM38">
        <v>2100</v>
      </c>
      <c r="BN38">
        <f t="shared" si="2"/>
        <v>210000</v>
      </c>
      <c r="BQ38" t="str">
        <f t="shared" si="0"/>
        <v>i_38</v>
      </c>
    </row>
    <row r="39" spans="1:69" ht="37.5" hidden="1" outlineLevel="1" x14ac:dyDescent="0.4">
      <c r="A39" t="s">
        <v>409</v>
      </c>
      <c r="B39" t="s">
        <v>408</v>
      </c>
      <c r="C39" s="24" t="s">
        <v>287</v>
      </c>
      <c r="D39" s="24"/>
      <c r="E39" t="s">
        <v>190</v>
      </c>
      <c r="F39" s="1" t="s">
        <v>293</v>
      </c>
      <c r="H39">
        <v>1</v>
      </c>
      <c r="BM39">
        <v>1350</v>
      </c>
      <c r="BN39">
        <f t="shared" si="2"/>
        <v>135000</v>
      </c>
      <c r="BQ39" t="str">
        <f t="shared" si="0"/>
        <v>i_39</v>
      </c>
    </row>
    <row r="40" spans="1:69" ht="37.5" hidden="1" outlineLevel="1" x14ac:dyDescent="0.4">
      <c r="A40" t="s">
        <v>407</v>
      </c>
      <c r="B40" t="s">
        <v>406</v>
      </c>
      <c r="C40" s="24" t="s">
        <v>287</v>
      </c>
      <c r="D40" s="24"/>
      <c r="E40" t="s">
        <v>190</v>
      </c>
      <c r="F40" s="1" t="s">
        <v>290</v>
      </c>
      <c r="H40">
        <v>1</v>
      </c>
      <c r="BM40">
        <v>2000</v>
      </c>
      <c r="BN40">
        <f t="shared" si="2"/>
        <v>200000</v>
      </c>
      <c r="BQ40" t="str">
        <f t="shared" si="0"/>
        <v>i_40</v>
      </c>
    </row>
    <row r="41" spans="1:69" ht="37.5" hidden="1" outlineLevel="1" x14ac:dyDescent="0.4">
      <c r="A41" t="s">
        <v>405</v>
      </c>
      <c r="B41" t="s">
        <v>404</v>
      </c>
      <c r="C41" s="24" t="s">
        <v>287</v>
      </c>
      <c r="D41" s="24"/>
      <c r="E41" t="s">
        <v>190</v>
      </c>
      <c r="F41" s="1" t="s">
        <v>286</v>
      </c>
      <c r="H41">
        <v>1</v>
      </c>
      <c r="BM41">
        <v>1900</v>
      </c>
      <c r="BN41">
        <f t="shared" si="2"/>
        <v>190000</v>
      </c>
      <c r="BQ41" t="str">
        <f t="shared" si="0"/>
        <v>i_41</v>
      </c>
    </row>
    <row r="42" spans="1:69" ht="37.5" collapsed="1" x14ac:dyDescent="0.4">
      <c r="A42" t="s">
        <v>403</v>
      </c>
      <c r="B42" t="s">
        <v>402</v>
      </c>
      <c r="C42" s="24" t="s">
        <v>287</v>
      </c>
      <c r="D42" s="24"/>
      <c r="E42" t="s">
        <v>190</v>
      </c>
      <c r="F42" s="1" t="s">
        <v>323</v>
      </c>
      <c r="H42">
        <v>2</v>
      </c>
      <c r="BM42">
        <v>5000</v>
      </c>
      <c r="BN42">
        <f t="shared" si="2"/>
        <v>500000</v>
      </c>
      <c r="BQ42" t="str">
        <f t="shared" si="0"/>
        <v>i_42</v>
      </c>
    </row>
    <row r="43" spans="1:69" ht="37.5" hidden="1" outlineLevel="1" x14ac:dyDescent="0.4">
      <c r="A43" t="s">
        <v>401</v>
      </c>
      <c r="B43" t="s">
        <v>400</v>
      </c>
      <c r="C43" s="24" t="s">
        <v>287</v>
      </c>
      <c r="D43" s="24"/>
      <c r="E43" t="s">
        <v>190</v>
      </c>
      <c r="F43" s="1" t="s">
        <v>320</v>
      </c>
      <c r="H43">
        <v>2</v>
      </c>
      <c r="BM43">
        <v>4500</v>
      </c>
      <c r="BN43">
        <f t="shared" si="2"/>
        <v>450000</v>
      </c>
      <c r="BQ43" t="str">
        <f t="shared" si="0"/>
        <v>i_43</v>
      </c>
    </row>
    <row r="44" spans="1:69" ht="37.5" hidden="1" outlineLevel="1" x14ac:dyDescent="0.4">
      <c r="A44" t="s">
        <v>399</v>
      </c>
      <c r="B44" t="s">
        <v>398</v>
      </c>
      <c r="C44" s="24" t="s">
        <v>287</v>
      </c>
      <c r="D44" s="24"/>
      <c r="E44" t="s">
        <v>190</v>
      </c>
      <c r="F44" s="1" t="s">
        <v>317</v>
      </c>
      <c r="H44">
        <v>2</v>
      </c>
      <c r="BM44">
        <v>6000</v>
      </c>
      <c r="BN44">
        <f t="shared" si="2"/>
        <v>600000</v>
      </c>
      <c r="BQ44" t="str">
        <f t="shared" si="0"/>
        <v>i_44</v>
      </c>
    </row>
    <row r="45" spans="1:69" ht="37.5" hidden="1" outlineLevel="1" x14ac:dyDescent="0.4">
      <c r="A45" t="s">
        <v>397</v>
      </c>
      <c r="B45" t="s">
        <v>396</v>
      </c>
      <c r="C45" s="24" t="s">
        <v>287</v>
      </c>
      <c r="D45" s="24"/>
      <c r="E45" t="s">
        <v>190</v>
      </c>
      <c r="F45" s="1" t="s">
        <v>314</v>
      </c>
      <c r="H45">
        <v>2</v>
      </c>
      <c r="BM45">
        <v>3000</v>
      </c>
      <c r="BN45">
        <f t="shared" si="2"/>
        <v>300000</v>
      </c>
      <c r="BQ45" t="str">
        <f t="shared" si="0"/>
        <v>i_45</v>
      </c>
    </row>
    <row r="46" spans="1:69" hidden="1" outlineLevel="1" x14ac:dyDescent="0.4">
      <c r="A46" t="s">
        <v>395</v>
      </c>
      <c r="B46" t="s">
        <v>394</v>
      </c>
      <c r="C46" s="24" t="s">
        <v>287</v>
      </c>
      <c r="D46" s="24"/>
      <c r="E46" t="s">
        <v>190</v>
      </c>
      <c r="F46" s="1" t="s">
        <v>311</v>
      </c>
      <c r="H46">
        <v>2</v>
      </c>
      <c r="BM46">
        <v>2800</v>
      </c>
      <c r="BN46">
        <f t="shared" si="2"/>
        <v>280000</v>
      </c>
      <c r="BQ46" t="str">
        <f t="shared" si="0"/>
        <v>i_46</v>
      </c>
    </row>
    <row r="47" spans="1:69" ht="37.5" hidden="1" outlineLevel="1" x14ac:dyDescent="0.4">
      <c r="A47" t="s">
        <v>393</v>
      </c>
      <c r="B47" t="s">
        <v>392</v>
      </c>
      <c r="C47" s="24" t="s">
        <v>287</v>
      </c>
      <c r="D47" s="24"/>
      <c r="E47" t="s">
        <v>190</v>
      </c>
      <c r="F47" s="1" t="s">
        <v>308</v>
      </c>
      <c r="H47">
        <v>2</v>
      </c>
      <c r="BM47">
        <v>10000</v>
      </c>
      <c r="BN47">
        <f t="shared" si="2"/>
        <v>1000000</v>
      </c>
      <c r="BQ47" t="str">
        <f t="shared" si="0"/>
        <v>i_47</v>
      </c>
    </row>
    <row r="48" spans="1:69" ht="37.5" hidden="1" outlineLevel="1" x14ac:dyDescent="0.4">
      <c r="A48" t="s">
        <v>391</v>
      </c>
      <c r="B48" t="s">
        <v>390</v>
      </c>
      <c r="C48" s="24" t="s">
        <v>287</v>
      </c>
      <c r="D48" s="24"/>
      <c r="E48" t="s">
        <v>190</v>
      </c>
      <c r="F48" s="1" t="s">
        <v>305</v>
      </c>
      <c r="H48">
        <v>2</v>
      </c>
      <c r="BM48">
        <v>3500</v>
      </c>
      <c r="BN48">
        <f t="shared" si="2"/>
        <v>350000</v>
      </c>
      <c r="BQ48" t="str">
        <f t="shared" si="0"/>
        <v>i_48</v>
      </c>
    </row>
    <row r="49" spans="1:69" ht="37.5" hidden="1" outlineLevel="1" x14ac:dyDescent="0.4">
      <c r="A49" t="s">
        <v>389</v>
      </c>
      <c r="B49" t="s">
        <v>388</v>
      </c>
      <c r="C49" s="24" t="s">
        <v>287</v>
      </c>
      <c r="D49" s="24"/>
      <c r="E49" t="s">
        <v>190</v>
      </c>
      <c r="F49" s="1" t="s">
        <v>302</v>
      </c>
      <c r="H49">
        <v>2</v>
      </c>
      <c r="BM49">
        <v>3200</v>
      </c>
      <c r="BN49">
        <f t="shared" si="2"/>
        <v>320000</v>
      </c>
      <c r="BQ49" t="str">
        <f t="shared" si="0"/>
        <v>i_49</v>
      </c>
    </row>
    <row r="50" spans="1:69" ht="37.5" hidden="1" outlineLevel="1" x14ac:dyDescent="0.4">
      <c r="A50" t="s">
        <v>387</v>
      </c>
      <c r="B50" t="s">
        <v>386</v>
      </c>
      <c r="C50" s="24" t="s">
        <v>287</v>
      </c>
      <c r="D50" s="24"/>
      <c r="E50" t="s">
        <v>190</v>
      </c>
      <c r="F50" s="1" t="s">
        <v>299</v>
      </c>
      <c r="H50">
        <v>2</v>
      </c>
      <c r="BM50">
        <v>2900</v>
      </c>
      <c r="BN50">
        <f t="shared" si="2"/>
        <v>290000</v>
      </c>
      <c r="BQ50" t="str">
        <f t="shared" si="0"/>
        <v>i_50</v>
      </c>
    </row>
    <row r="51" spans="1:69" ht="37.5" hidden="1" outlineLevel="1" x14ac:dyDescent="0.4">
      <c r="A51" t="s">
        <v>385</v>
      </c>
      <c r="B51" t="s">
        <v>384</v>
      </c>
      <c r="C51" s="24" t="s">
        <v>287</v>
      </c>
      <c r="D51" s="24"/>
      <c r="E51" t="s">
        <v>190</v>
      </c>
      <c r="F51" s="1" t="s">
        <v>296</v>
      </c>
      <c r="H51">
        <v>2</v>
      </c>
      <c r="BM51">
        <v>4200</v>
      </c>
      <c r="BN51">
        <f t="shared" si="2"/>
        <v>420000</v>
      </c>
      <c r="BQ51" t="str">
        <f t="shared" si="0"/>
        <v>i_51</v>
      </c>
    </row>
    <row r="52" spans="1:69" ht="37.5" hidden="1" outlineLevel="1" x14ac:dyDescent="0.4">
      <c r="A52" t="s">
        <v>383</v>
      </c>
      <c r="B52" t="s">
        <v>382</v>
      </c>
      <c r="C52" s="24" t="s">
        <v>287</v>
      </c>
      <c r="D52" s="24"/>
      <c r="E52" t="s">
        <v>190</v>
      </c>
      <c r="F52" s="1" t="s">
        <v>293</v>
      </c>
      <c r="H52">
        <v>2</v>
      </c>
      <c r="BM52">
        <v>2700</v>
      </c>
      <c r="BN52">
        <f t="shared" si="2"/>
        <v>270000</v>
      </c>
      <c r="BQ52" t="str">
        <f t="shared" si="0"/>
        <v>i_52</v>
      </c>
    </row>
    <row r="53" spans="1:69" ht="37.5" hidden="1" outlineLevel="1" x14ac:dyDescent="0.4">
      <c r="A53" t="s">
        <v>381</v>
      </c>
      <c r="B53" t="s">
        <v>380</v>
      </c>
      <c r="C53" s="24" t="s">
        <v>287</v>
      </c>
      <c r="D53" s="24"/>
      <c r="E53" t="s">
        <v>190</v>
      </c>
      <c r="F53" s="1" t="s">
        <v>290</v>
      </c>
      <c r="H53">
        <v>2</v>
      </c>
      <c r="BM53">
        <v>4000</v>
      </c>
      <c r="BN53">
        <f t="shared" si="2"/>
        <v>400000</v>
      </c>
      <c r="BQ53" t="str">
        <f t="shared" si="0"/>
        <v>i_53</v>
      </c>
    </row>
    <row r="54" spans="1:69" ht="37.5" hidden="1" outlineLevel="1" x14ac:dyDescent="0.4">
      <c r="A54" t="s">
        <v>379</v>
      </c>
      <c r="B54" t="s">
        <v>378</v>
      </c>
      <c r="C54" s="24" t="s">
        <v>287</v>
      </c>
      <c r="D54" s="24"/>
      <c r="E54" t="s">
        <v>190</v>
      </c>
      <c r="F54" s="1" t="s">
        <v>286</v>
      </c>
      <c r="H54">
        <v>2</v>
      </c>
      <c r="BM54">
        <v>3800</v>
      </c>
      <c r="BN54">
        <f t="shared" si="2"/>
        <v>380000</v>
      </c>
      <c r="BQ54" t="str">
        <f t="shared" si="0"/>
        <v>i_54</v>
      </c>
    </row>
    <row r="55" spans="1:69" ht="37.5" hidden="1" outlineLevel="1" x14ac:dyDescent="0.4">
      <c r="A55" t="s">
        <v>377</v>
      </c>
      <c r="B55" t="s">
        <v>376</v>
      </c>
      <c r="C55" s="24" t="s">
        <v>287</v>
      </c>
      <c r="D55" s="24"/>
      <c r="E55" t="s">
        <v>190</v>
      </c>
      <c r="F55" s="1" t="s">
        <v>323</v>
      </c>
      <c r="H55">
        <v>3</v>
      </c>
      <c r="BM55">
        <v>7500</v>
      </c>
      <c r="BN55">
        <f t="shared" si="2"/>
        <v>750000</v>
      </c>
      <c r="BQ55" t="str">
        <f t="shared" si="0"/>
        <v>i_55</v>
      </c>
    </row>
    <row r="56" spans="1:69" ht="37.5" hidden="1" outlineLevel="1" x14ac:dyDescent="0.4">
      <c r="A56" t="s">
        <v>375</v>
      </c>
      <c r="B56" t="s">
        <v>374</v>
      </c>
      <c r="C56" s="24" t="s">
        <v>287</v>
      </c>
      <c r="D56" s="24"/>
      <c r="E56" t="s">
        <v>190</v>
      </c>
      <c r="F56" s="1" t="s">
        <v>320</v>
      </c>
      <c r="H56">
        <v>3</v>
      </c>
      <c r="BM56">
        <v>6750</v>
      </c>
      <c r="BN56">
        <f t="shared" si="2"/>
        <v>675000</v>
      </c>
      <c r="BQ56" t="str">
        <f t="shared" si="0"/>
        <v>i_56</v>
      </c>
    </row>
    <row r="57" spans="1:69" ht="37.5" hidden="1" outlineLevel="1" x14ac:dyDescent="0.4">
      <c r="A57" t="s">
        <v>373</v>
      </c>
      <c r="B57" t="s">
        <v>372</v>
      </c>
      <c r="C57" s="24" t="s">
        <v>287</v>
      </c>
      <c r="D57" s="24"/>
      <c r="E57" t="s">
        <v>190</v>
      </c>
      <c r="F57" s="1" t="s">
        <v>317</v>
      </c>
      <c r="H57">
        <v>3</v>
      </c>
      <c r="BM57">
        <v>9000</v>
      </c>
      <c r="BN57">
        <f t="shared" si="2"/>
        <v>900000</v>
      </c>
      <c r="BQ57" t="str">
        <f t="shared" si="0"/>
        <v>i_57</v>
      </c>
    </row>
    <row r="58" spans="1:69" ht="37.5" hidden="1" outlineLevel="1" x14ac:dyDescent="0.4">
      <c r="A58" t="s">
        <v>371</v>
      </c>
      <c r="B58" t="s">
        <v>370</v>
      </c>
      <c r="C58" s="24" t="s">
        <v>287</v>
      </c>
      <c r="D58" s="24"/>
      <c r="E58" t="s">
        <v>190</v>
      </c>
      <c r="F58" s="1" t="s">
        <v>314</v>
      </c>
      <c r="H58">
        <v>3</v>
      </c>
      <c r="BM58">
        <v>4500</v>
      </c>
      <c r="BN58">
        <f t="shared" si="2"/>
        <v>450000</v>
      </c>
      <c r="BQ58" t="str">
        <f t="shared" si="0"/>
        <v>i_58</v>
      </c>
    </row>
    <row r="59" spans="1:69" hidden="1" outlineLevel="1" x14ac:dyDescent="0.4">
      <c r="A59" t="s">
        <v>369</v>
      </c>
      <c r="B59" t="s">
        <v>368</v>
      </c>
      <c r="C59" s="24" t="s">
        <v>287</v>
      </c>
      <c r="D59" s="24"/>
      <c r="E59" t="s">
        <v>190</v>
      </c>
      <c r="F59" s="1" t="s">
        <v>311</v>
      </c>
      <c r="H59">
        <v>3</v>
      </c>
      <c r="BM59">
        <v>4200</v>
      </c>
      <c r="BN59">
        <f t="shared" si="2"/>
        <v>420000</v>
      </c>
      <c r="BQ59" t="str">
        <f t="shared" si="0"/>
        <v>i_59</v>
      </c>
    </row>
    <row r="60" spans="1:69" ht="37.5" hidden="1" outlineLevel="1" x14ac:dyDescent="0.4">
      <c r="A60" t="s">
        <v>367</v>
      </c>
      <c r="B60" t="s">
        <v>366</v>
      </c>
      <c r="C60" s="24" t="s">
        <v>287</v>
      </c>
      <c r="D60" s="24"/>
      <c r="E60" t="s">
        <v>190</v>
      </c>
      <c r="F60" s="1" t="s">
        <v>308</v>
      </c>
      <c r="H60">
        <v>3</v>
      </c>
      <c r="BM60">
        <v>15000</v>
      </c>
      <c r="BN60">
        <f t="shared" si="2"/>
        <v>1500000</v>
      </c>
      <c r="BQ60" t="str">
        <f t="shared" si="0"/>
        <v>i_60</v>
      </c>
    </row>
    <row r="61" spans="1:69" ht="37.5" hidden="1" outlineLevel="1" x14ac:dyDescent="0.4">
      <c r="A61" t="s">
        <v>365</v>
      </c>
      <c r="B61" t="s">
        <v>364</v>
      </c>
      <c r="C61" s="24" t="s">
        <v>287</v>
      </c>
      <c r="D61" s="24"/>
      <c r="E61" t="s">
        <v>190</v>
      </c>
      <c r="F61" s="1" t="s">
        <v>305</v>
      </c>
      <c r="H61">
        <v>3</v>
      </c>
      <c r="BM61">
        <v>5250</v>
      </c>
      <c r="BN61">
        <f t="shared" si="2"/>
        <v>525000</v>
      </c>
      <c r="BQ61" t="str">
        <f t="shared" si="0"/>
        <v>i_61</v>
      </c>
    </row>
    <row r="62" spans="1:69" ht="37.5" hidden="1" outlineLevel="1" x14ac:dyDescent="0.4">
      <c r="A62" t="s">
        <v>363</v>
      </c>
      <c r="B62" t="s">
        <v>362</v>
      </c>
      <c r="C62" s="24" t="s">
        <v>287</v>
      </c>
      <c r="D62" s="24"/>
      <c r="E62" t="s">
        <v>190</v>
      </c>
      <c r="F62" s="1" t="s">
        <v>302</v>
      </c>
      <c r="H62">
        <v>3</v>
      </c>
      <c r="BM62">
        <v>4800</v>
      </c>
      <c r="BN62">
        <f t="shared" si="2"/>
        <v>480000</v>
      </c>
      <c r="BQ62" t="str">
        <f t="shared" si="0"/>
        <v>i_62</v>
      </c>
    </row>
    <row r="63" spans="1:69" ht="37.5" hidden="1" outlineLevel="1" x14ac:dyDescent="0.4">
      <c r="A63" t="s">
        <v>361</v>
      </c>
      <c r="B63" t="s">
        <v>360</v>
      </c>
      <c r="C63" s="24" t="s">
        <v>287</v>
      </c>
      <c r="D63" s="24"/>
      <c r="E63" t="s">
        <v>190</v>
      </c>
      <c r="F63" s="1" t="s">
        <v>299</v>
      </c>
      <c r="H63">
        <v>3</v>
      </c>
      <c r="BM63">
        <v>4350</v>
      </c>
      <c r="BN63">
        <f t="shared" si="2"/>
        <v>435000</v>
      </c>
      <c r="BQ63" t="str">
        <f t="shared" si="0"/>
        <v>i_63</v>
      </c>
    </row>
    <row r="64" spans="1:69" ht="37.5" hidden="1" outlineLevel="1" x14ac:dyDescent="0.4">
      <c r="A64" t="s">
        <v>359</v>
      </c>
      <c r="B64" t="s">
        <v>358</v>
      </c>
      <c r="C64" s="24" t="s">
        <v>287</v>
      </c>
      <c r="D64" s="24"/>
      <c r="E64" t="s">
        <v>190</v>
      </c>
      <c r="F64" s="1" t="s">
        <v>296</v>
      </c>
      <c r="H64">
        <v>3</v>
      </c>
      <c r="BM64">
        <v>6300</v>
      </c>
      <c r="BN64">
        <f t="shared" si="2"/>
        <v>630000</v>
      </c>
      <c r="BQ64" t="str">
        <f t="shared" si="0"/>
        <v>i_64</v>
      </c>
    </row>
    <row r="65" spans="1:69" ht="37.5" hidden="1" outlineLevel="1" x14ac:dyDescent="0.4">
      <c r="A65" t="s">
        <v>357</v>
      </c>
      <c r="B65" t="s">
        <v>356</v>
      </c>
      <c r="C65" s="24" t="s">
        <v>287</v>
      </c>
      <c r="D65" s="24"/>
      <c r="E65" t="s">
        <v>190</v>
      </c>
      <c r="F65" s="1" t="s">
        <v>293</v>
      </c>
      <c r="H65">
        <v>3</v>
      </c>
      <c r="BM65">
        <v>4050</v>
      </c>
      <c r="BN65">
        <f t="shared" si="2"/>
        <v>405000</v>
      </c>
      <c r="BQ65" t="str">
        <f t="shared" si="0"/>
        <v>i_65</v>
      </c>
    </row>
    <row r="66" spans="1:69" ht="37.5" hidden="1" outlineLevel="1" x14ac:dyDescent="0.4">
      <c r="A66" t="s">
        <v>355</v>
      </c>
      <c r="B66" t="s">
        <v>354</v>
      </c>
      <c r="C66" s="24" t="s">
        <v>287</v>
      </c>
      <c r="D66" s="24"/>
      <c r="E66" t="s">
        <v>190</v>
      </c>
      <c r="F66" s="1" t="s">
        <v>290</v>
      </c>
      <c r="H66">
        <v>3</v>
      </c>
      <c r="BM66">
        <v>6000</v>
      </c>
      <c r="BN66">
        <f t="shared" si="2"/>
        <v>600000</v>
      </c>
      <c r="BQ66" t="str">
        <f t="shared" si="0"/>
        <v>i_66</v>
      </c>
    </row>
    <row r="67" spans="1:69" ht="37.5" hidden="1" outlineLevel="1" x14ac:dyDescent="0.4">
      <c r="A67" t="s">
        <v>353</v>
      </c>
      <c r="B67" t="s">
        <v>352</v>
      </c>
      <c r="C67" s="24" t="s">
        <v>287</v>
      </c>
      <c r="D67" s="24"/>
      <c r="E67" t="s">
        <v>190</v>
      </c>
      <c r="F67" s="1" t="s">
        <v>286</v>
      </c>
      <c r="H67">
        <v>3</v>
      </c>
      <c r="BM67">
        <v>5700</v>
      </c>
      <c r="BN67">
        <f t="shared" si="2"/>
        <v>570000</v>
      </c>
      <c r="BQ67" t="str">
        <f t="shared" si="0"/>
        <v>i_67</v>
      </c>
    </row>
    <row r="68" spans="1:69" ht="37.5" hidden="1" outlineLevel="1" x14ac:dyDescent="0.4">
      <c r="A68" t="s">
        <v>351</v>
      </c>
      <c r="B68" t="s">
        <v>350</v>
      </c>
      <c r="C68" s="24" t="s">
        <v>287</v>
      </c>
      <c r="D68" s="24"/>
      <c r="E68" t="s">
        <v>190</v>
      </c>
      <c r="F68" s="1" t="s">
        <v>323</v>
      </c>
      <c r="H68">
        <v>4</v>
      </c>
      <c r="BM68">
        <v>10000</v>
      </c>
      <c r="BN68">
        <f t="shared" si="2"/>
        <v>1000000</v>
      </c>
      <c r="BQ68" t="str">
        <f t="shared" si="0"/>
        <v>i_68</v>
      </c>
    </row>
    <row r="69" spans="1:69" ht="37.5" hidden="1" outlineLevel="1" x14ac:dyDescent="0.4">
      <c r="A69" t="s">
        <v>349</v>
      </c>
      <c r="B69" t="s">
        <v>348</v>
      </c>
      <c r="C69" s="24" t="s">
        <v>287</v>
      </c>
      <c r="D69" s="24"/>
      <c r="E69" t="s">
        <v>190</v>
      </c>
      <c r="F69" s="1" t="s">
        <v>320</v>
      </c>
      <c r="H69">
        <v>4</v>
      </c>
      <c r="BM69">
        <v>9000</v>
      </c>
      <c r="BN69">
        <f t="shared" si="2"/>
        <v>900000</v>
      </c>
      <c r="BQ69" t="str">
        <f t="shared" ref="BQ69:BQ132" si="3">"i_"&amp;ROW(BQ69)</f>
        <v>i_69</v>
      </c>
    </row>
    <row r="70" spans="1:69" ht="37.5" hidden="1" outlineLevel="1" x14ac:dyDescent="0.4">
      <c r="A70" t="s">
        <v>347</v>
      </c>
      <c r="B70" t="s">
        <v>346</v>
      </c>
      <c r="C70" s="24" t="s">
        <v>287</v>
      </c>
      <c r="D70" s="24"/>
      <c r="E70" t="s">
        <v>190</v>
      </c>
      <c r="F70" s="1" t="s">
        <v>317</v>
      </c>
      <c r="H70">
        <v>4</v>
      </c>
      <c r="BM70">
        <v>12000</v>
      </c>
      <c r="BN70">
        <f t="shared" ref="BN70:BN133" si="4">BM70*100</f>
        <v>1200000</v>
      </c>
      <c r="BQ70" t="str">
        <f t="shared" si="3"/>
        <v>i_70</v>
      </c>
    </row>
    <row r="71" spans="1:69" ht="37.5" hidden="1" outlineLevel="1" x14ac:dyDescent="0.4">
      <c r="A71" t="s">
        <v>345</v>
      </c>
      <c r="B71" t="s">
        <v>344</v>
      </c>
      <c r="C71" s="24" t="s">
        <v>287</v>
      </c>
      <c r="D71" s="24"/>
      <c r="E71" t="s">
        <v>190</v>
      </c>
      <c r="F71" s="1" t="s">
        <v>314</v>
      </c>
      <c r="H71">
        <v>4</v>
      </c>
      <c r="BM71">
        <v>6000</v>
      </c>
      <c r="BN71">
        <f t="shared" si="4"/>
        <v>600000</v>
      </c>
      <c r="BQ71" t="str">
        <f t="shared" si="3"/>
        <v>i_71</v>
      </c>
    </row>
    <row r="72" spans="1:69" hidden="1" outlineLevel="1" x14ac:dyDescent="0.4">
      <c r="A72" t="s">
        <v>343</v>
      </c>
      <c r="B72" t="s">
        <v>342</v>
      </c>
      <c r="C72" s="24" t="s">
        <v>287</v>
      </c>
      <c r="D72" s="24"/>
      <c r="E72" t="s">
        <v>190</v>
      </c>
      <c r="F72" s="1" t="s">
        <v>311</v>
      </c>
      <c r="H72">
        <v>4</v>
      </c>
      <c r="BM72">
        <v>5600</v>
      </c>
      <c r="BN72">
        <f t="shared" si="4"/>
        <v>560000</v>
      </c>
      <c r="BQ72" t="str">
        <f t="shared" si="3"/>
        <v>i_72</v>
      </c>
    </row>
    <row r="73" spans="1:69" ht="37.5" hidden="1" outlineLevel="1" x14ac:dyDescent="0.4">
      <c r="A73" t="s">
        <v>341</v>
      </c>
      <c r="B73" t="s">
        <v>340</v>
      </c>
      <c r="C73" s="24" t="s">
        <v>287</v>
      </c>
      <c r="D73" s="24"/>
      <c r="E73" t="s">
        <v>190</v>
      </c>
      <c r="F73" s="1" t="s">
        <v>308</v>
      </c>
      <c r="H73">
        <v>4</v>
      </c>
      <c r="BM73">
        <v>20000</v>
      </c>
      <c r="BN73">
        <f t="shared" si="4"/>
        <v>2000000</v>
      </c>
      <c r="BQ73" t="str">
        <f t="shared" si="3"/>
        <v>i_73</v>
      </c>
    </row>
    <row r="74" spans="1:69" ht="37.5" hidden="1" outlineLevel="1" x14ac:dyDescent="0.4">
      <c r="A74" t="s">
        <v>339</v>
      </c>
      <c r="B74" t="s">
        <v>338</v>
      </c>
      <c r="C74" s="24" t="s">
        <v>287</v>
      </c>
      <c r="D74" s="24"/>
      <c r="E74" t="s">
        <v>190</v>
      </c>
      <c r="F74" s="1" t="s">
        <v>305</v>
      </c>
      <c r="H74">
        <v>4</v>
      </c>
      <c r="BM74">
        <v>7000</v>
      </c>
      <c r="BN74">
        <f t="shared" si="4"/>
        <v>700000</v>
      </c>
      <c r="BQ74" t="str">
        <f t="shared" si="3"/>
        <v>i_74</v>
      </c>
    </row>
    <row r="75" spans="1:69" ht="37.5" hidden="1" outlineLevel="1" x14ac:dyDescent="0.4">
      <c r="A75" t="s">
        <v>337</v>
      </c>
      <c r="B75" t="s">
        <v>336</v>
      </c>
      <c r="C75" s="24" t="s">
        <v>287</v>
      </c>
      <c r="D75" s="24"/>
      <c r="E75" t="s">
        <v>190</v>
      </c>
      <c r="F75" s="1" t="s">
        <v>302</v>
      </c>
      <c r="H75">
        <v>4</v>
      </c>
      <c r="BM75">
        <v>6400</v>
      </c>
      <c r="BN75">
        <f t="shared" si="4"/>
        <v>640000</v>
      </c>
      <c r="BQ75" t="str">
        <f t="shared" si="3"/>
        <v>i_75</v>
      </c>
    </row>
    <row r="76" spans="1:69" ht="37.5" hidden="1" outlineLevel="1" x14ac:dyDescent="0.4">
      <c r="A76" t="s">
        <v>335</v>
      </c>
      <c r="B76" t="s">
        <v>334</v>
      </c>
      <c r="C76" s="24" t="s">
        <v>287</v>
      </c>
      <c r="D76" s="24"/>
      <c r="E76" t="s">
        <v>190</v>
      </c>
      <c r="F76" s="1" t="s">
        <v>299</v>
      </c>
      <c r="H76">
        <v>4</v>
      </c>
      <c r="BM76">
        <v>5800</v>
      </c>
      <c r="BN76">
        <f t="shared" si="4"/>
        <v>580000</v>
      </c>
      <c r="BQ76" t="str">
        <f t="shared" si="3"/>
        <v>i_76</v>
      </c>
    </row>
    <row r="77" spans="1:69" ht="37.5" hidden="1" outlineLevel="1" x14ac:dyDescent="0.4">
      <c r="A77" t="s">
        <v>333</v>
      </c>
      <c r="B77" t="s">
        <v>332</v>
      </c>
      <c r="C77" s="24" t="s">
        <v>287</v>
      </c>
      <c r="D77" s="24"/>
      <c r="E77" t="s">
        <v>190</v>
      </c>
      <c r="F77" s="1" t="s">
        <v>296</v>
      </c>
      <c r="H77">
        <v>4</v>
      </c>
      <c r="BM77">
        <v>8400</v>
      </c>
      <c r="BN77">
        <f t="shared" si="4"/>
        <v>840000</v>
      </c>
      <c r="BQ77" t="str">
        <f t="shared" si="3"/>
        <v>i_77</v>
      </c>
    </row>
    <row r="78" spans="1:69" ht="37.5" hidden="1" outlineLevel="1" x14ac:dyDescent="0.4">
      <c r="A78" t="s">
        <v>331</v>
      </c>
      <c r="B78" t="s">
        <v>330</v>
      </c>
      <c r="C78" s="24" t="s">
        <v>287</v>
      </c>
      <c r="D78" s="24"/>
      <c r="E78" t="s">
        <v>190</v>
      </c>
      <c r="F78" s="1" t="s">
        <v>293</v>
      </c>
      <c r="H78">
        <v>4</v>
      </c>
      <c r="BM78">
        <v>5400</v>
      </c>
      <c r="BN78">
        <f t="shared" si="4"/>
        <v>540000</v>
      </c>
      <c r="BQ78" t="str">
        <f t="shared" si="3"/>
        <v>i_78</v>
      </c>
    </row>
    <row r="79" spans="1:69" ht="37.5" hidden="1" outlineLevel="1" x14ac:dyDescent="0.4">
      <c r="A79" t="s">
        <v>329</v>
      </c>
      <c r="B79" t="s">
        <v>328</v>
      </c>
      <c r="C79" s="24" t="s">
        <v>287</v>
      </c>
      <c r="D79" s="24"/>
      <c r="E79" t="s">
        <v>190</v>
      </c>
      <c r="F79" s="1" t="s">
        <v>290</v>
      </c>
      <c r="H79">
        <v>4</v>
      </c>
      <c r="BM79">
        <v>8000</v>
      </c>
      <c r="BN79">
        <f t="shared" si="4"/>
        <v>800000</v>
      </c>
      <c r="BQ79" t="str">
        <f t="shared" si="3"/>
        <v>i_79</v>
      </c>
    </row>
    <row r="80" spans="1:69" ht="37.5" hidden="1" outlineLevel="1" x14ac:dyDescent="0.4">
      <c r="A80" t="s">
        <v>327</v>
      </c>
      <c r="B80" t="s">
        <v>326</v>
      </c>
      <c r="C80" s="24" t="s">
        <v>287</v>
      </c>
      <c r="D80" s="24"/>
      <c r="E80" t="s">
        <v>190</v>
      </c>
      <c r="F80" s="1" t="s">
        <v>286</v>
      </c>
      <c r="H80">
        <v>4</v>
      </c>
      <c r="BM80">
        <v>7600</v>
      </c>
      <c r="BN80">
        <f t="shared" si="4"/>
        <v>760000</v>
      </c>
      <c r="BQ80" t="str">
        <f t="shared" si="3"/>
        <v>i_80</v>
      </c>
    </row>
    <row r="81" spans="1:69" ht="37.5" hidden="1" outlineLevel="1" x14ac:dyDescent="0.4">
      <c r="A81" t="s">
        <v>325</v>
      </c>
      <c r="B81" t="s">
        <v>324</v>
      </c>
      <c r="C81" s="24" t="s">
        <v>287</v>
      </c>
      <c r="D81" s="24"/>
      <c r="E81" t="s">
        <v>190</v>
      </c>
      <c r="F81" s="1" t="s">
        <v>323</v>
      </c>
      <c r="H81">
        <v>5</v>
      </c>
      <c r="BM81">
        <v>12500</v>
      </c>
      <c r="BN81">
        <f t="shared" si="4"/>
        <v>1250000</v>
      </c>
      <c r="BQ81" t="str">
        <f t="shared" si="3"/>
        <v>i_81</v>
      </c>
    </row>
    <row r="82" spans="1:69" ht="37.5" hidden="1" outlineLevel="1" x14ac:dyDescent="0.4">
      <c r="A82" t="s">
        <v>322</v>
      </c>
      <c r="B82" t="s">
        <v>321</v>
      </c>
      <c r="C82" s="24" t="s">
        <v>287</v>
      </c>
      <c r="D82" s="24"/>
      <c r="E82" t="s">
        <v>190</v>
      </c>
      <c r="F82" s="1" t="s">
        <v>320</v>
      </c>
      <c r="H82">
        <v>5</v>
      </c>
      <c r="BM82">
        <v>11250</v>
      </c>
      <c r="BN82">
        <f t="shared" si="4"/>
        <v>1125000</v>
      </c>
      <c r="BQ82" t="str">
        <f t="shared" si="3"/>
        <v>i_82</v>
      </c>
    </row>
    <row r="83" spans="1:69" ht="37.5" hidden="1" outlineLevel="1" x14ac:dyDescent="0.4">
      <c r="A83" t="s">
        <v>319</v>
      </c>
      <c r="B83" t="s">
        <v>318</v>
      </c>
      <c r="C83" s="24" t="s">
        <v>287</v>
      </c>
      <c r="D83" s="24"/>
      <c r="E83" t="s">
        <v>190</v>
      </c>
      <c r="F83" s="1" t="s">
        <v>317</v>
      </c>
      <c r="H83">
        <v>5</v>
      </c>
      <c r="BM83">
        <v>15000</v>
      </c>
      <c r="BN83">
        <f t="shared" si="4"/>
        <v>1500000</v>
      </c>
      <c r="BQ83" t="str">
        <f t="shared" si="3"/>
        <v>i_83</v>
      </c>
    </row>
    <row r="84" spans="1:69" ht="37.5" hidden="1" outlineLevel="1" x14ac:dyDescent="0.4">
      <c r="A84" t="s">
        <v>316</v>
      </c>
      <c r="B84" t="s">
        <v>315</v>
      </c>
      <c r="C84" s="24" t="s">
        <v>287</v>
      </c>
      <c r="D84" s="24"/>
      <c r="E84" t="s">
        <v>190</v>
      </c>
      <c r="F84" s="1" t="s">
        <v>314</v>
      </c>
      <c r="H84">
        <v>5</v>
      </c>
      <c r="BM84">
        <v>7500</v>
      </c>
      <c r="BN84">
        <f t="shared" si="4"/>
        <v>750000</v>
      </c>
      <c r="BQ84" t="str">
        <f t="shared" si="3"/>
        <v>i_84</v>
      </c>
    </row>
    <row r="85" spans="1:69" hidden="1" outlineLevel="1" x14ac:dyDescent="0.4">
      <c r="A85" t="s">
        <v>313</v>
      </c>
      <c r="B85" t="s">
        <v>312</v>
      </c>
      <c r="C85" s="24" t="s">
        <v>287</v>
      </c>
      <c r="D85" s="24"/>
      <c r="E85" t="s">
        <v>190</v>
      </c>
      <c r="F85" s="1" t="s">
        <v>311</v>
      </c>
      <c r="H85">
        <v>5</v>
      </c>
      <c r="BM85">
        <v>7000</v>
      </c>
      <c r="BN85">
        <f t="shared" si="4"/>
        <v>700000</v>
      </c>
      <c r="BQ85" t="str">
        <f t="shared" si="3"/>
        <v>i_85</v>
      </c>
    </row>
    <row r="86" spans="1:69" ht="37.5" hidden="1" outlineLevel="1" x14ac:dyDescent="0.4">
      <c r="A86" t="s">
        <v>310</v>
      </c>
      <c r="B86" t="s">
        <v>309</v>
      </c>
      <c r="C86" s="24" t="s">
        <v>287</v>
      </c>
      <c r="D86" s="24"/>
      <c r="E86" t="s">
        <v>190</v>
      </c>
      <c r="F86" s="1" t="s">
        <v>308</v>
      </c>
      <c r="H86">
        <v>5</v>
      </c>
      <c r="BM86">
        <v>25000</v>
      </c>
      <c r="BN86">
        <f t="shared" si="4"/>
        <v>2500000</v>
      </c>
      <c r="BQ86" t="str">
        <f t="shared" si="3"/>
        <v>i_86</v>
      </c>
    </row>
    <row r="87" spans="1:69" ht="37.5" hidden="1" outlineLevel="1" x14ac:dyDescent="0.4">
      <c r="A87" t="s">
        <v>307</v>
      </c>
      <c r="B87" t="s">
        <v>306</v>
      </c>
      <c r="C87" s="24" t="s">
        <v>287</v>
      </c>
      <c r="D87" s="24"/>
      <c r="E87" t="s">
        <v>190</v>
      </c>
      <c r="F87" s="1" t="s">
        <v>305</v>
      </c>
      <c r="H87">
        <v>5</v>
      </c>
      <c r="BM87">
        <v>8750</v>
      </c>
      <c r="BN87">
        <f t="shared" si="4"/>
        <v>875000</v>
      </c>
      <c r="BQ87" t="str">
        <f t="shared" si="3"/>
        <v>i_87</v>
      </c>
    </row>
    <row r="88" spans="1:69" ht="37.5" hidden="1" outlineLevel="1" x14ac:dyDescent="0.4">
      <c r="A88" t="s">
        <v>304</v>
      </c>
      <c r="B88" t="s">
        <v>303</v>
      </c>
      <c r="C88" s="24" t="s">
        <v>287</v>
      </c>
      <c r="D88" s="24"/>
      <c r="E88" t="s">
        <v>190</v>
      </c>
      <c r="F88" s="1" t="s">
        <v>302</v>
      </c>
      <c r="H88">
        <v>5</v>
      </c>
      <c r="BM88">
        <v>8000</v>
      </c>
      <c r="BN88">
        <f t="shared" si="4"/>
        <v>800000</v>
      </c>
      <c r="BQ88" t="str">
        <f t="shared" si="3"/>
        <v>i_88</v>
      </c>
    </row>
    <row r="89" spans="1:69" ht="37.5" hidden="1" outlineLevel="1" x14ac:dyDescent="0.4">
      <c r="A89" t="s">
        <v>301</v>
      </c>
      <c r="B89" t="s">
        <v>300</v>
      </c>
      <c r="C89" s="24" t="s">
        <v>287</v>
      </c>
      <c r="D89" s="24"/>
      <c r="E89" t="s">
        <v>190</v>
      </c>
      <c r="F89" s="1" t="s">
        <v>299</v>
      </c>
      <c r="H89">
        <v>5</v>
      </c>
      <c r="BM89">
        <v>7250</v>
      </c>
      <c r="BN89">
        <f t="shared" si="4"/>
        <v>725000</v>
      </c>
      <c r="BQ89" t="str">
        <f t="shared" si="3"/>
        <v>i_89</v>
      </c>
    </row>
    <row r="90" spans="1:69" ht="37.5" hidden="1" outlineLevel="1" x14ac:dyDescent="0.4">
      <c r="A90" t="s">
        <v>298</v>
      </c>
      <c r="B90" t="s">
        <v>297</v>
      </c>
      <c r="C90" s="24" t="s">
        <v>287</v>
      </c>
      <c r="D90" s="24"/>
      <c r="E90" t="s">
        <v>190</v>
      </c>
      <c r="F90" s="1" t="s">
        <v>296</v>
      </c>
      <c r="H90">
        <v>5</v>
      </c>
      <c r="BM90">
        <v>10500</v>
      </c>
      <c r="BN90">
        <f t="shared" si="4"/>
        <v>1050000</v>
      </c>
      <c r="BQ90" t="str">
        <f t="shared" si="3"/>
        <v>i_90</v>
      </c>
    </row>
    <row r="91" spans="1:69" ht="37.5" hidden="1" outlineLevel="1" x14ac:dyDescent="0.4">
      <c r="A91" t="s">
        <v>295</v>
      </c>
      <c r="B91" t="s">
        <v>294</v>
      </c>
      <c r="C91" s="24" t="s">
        <v>287</v>
      </c>
      <c r="D91" s="24"/>
      <c r="E91" t="s">
        <v>190</v>
      </c>
      <c r="F91" s="1" t="s">
        <v>293</v>
      </c>
      <c r="H91">
        <v>5</v>
      </c>
      <c r="BM91">
        <v>6750</v>
      </c>
      <c r="BN91">
        <f t="shared" si="4"/>
        <v>675000</v>
      </c>
      <c r="BQ91" t="str">
        <f t="shared" si="3"/>
        <v>i_91</v>
      </c>
    </row>
    <row r="92" spans="1:69" ht="37.5" hidden="1" outlineLevel="1" x14ac:dyDescent="0.4">
      <c r="A92" t="s">
        <v>292</v>
      </c>
      <c r="B92" t="s">
        <v>291</v>
      </c>
      <c r="C92" s="24" t="s">
        <v>287</v>
      </c>
      <c r="D92" s="24"/>
      <c r="E92" t="s">
        <v>190</v>
      </c>
      <c r="F92" s="1" t="s">
        <v>290</v>
      </c>
      <c r="H92">
        <v>5</v>
      </c>
      <c r="BM92">
        <v>10000</v>
      </c>
      <c r="BN92">
        <f t="shared" si="4"/>
        <v>1000000</v>
      </c>
      <c r="BQ92" t="str">
        <f t="shared" si="3"/>
        <v>i_92</v>
      </c>
    </row>
    <row r="93" spans="1:69" ht="37.5" hidden="1" outlineLevel="1" x14ac:dyDescent="0.4">
      <c r="A93" t="s">
        <v>289</v>
      </c>
      <c r="B93" t="s">
        <v>288</v>
      </c>
      <c r="C93" s="24" t="s">
        <v>287</v>
      </c>
      <c r="D93" s="24"/>
      <c r="E93" t="s">
        <v>190</v>
      </c>
      <c r="F93" s="1" t="s">
        <v>286</v>
      </c>
      <c r="H93">
        <v>5</v>
      </c>
      <c r="BM93">
        <v>9500</v>
      </c>
      <c r="BN93">
        <f t="shared" si="4"/>
        <v>950000</v>
      </c>
      <c r="BQ93" t="str">
        <f t="shared" si="3"/>
        <v>i_93</v>
      </c>
    </row>
    <row r="94" spans="1:69" hidden="1" outlineLevel="1" x14ac:dyDescent="0.4">
      <c r="C94" s="24"/>
      <c r="D94" s="24"/>
      <c r="BN94">
        <f t="shared" si="4"/>
        <v>0</v>
      </c>
      <c r="BQ94" t="str">
        <f t="shared" si="3"/>
        <v>i_94</v>
      </c>
    </row>
    <row r="95" spans="1:69" hidden="1" outlineLevel="1" x14ac:dyDescent="0.4">
      <c r="C95" s="24"/>
      <c r="D95" s="24"/>
      <c r="BN95">
        <f t="shared" si="4"/>
        <v>0</v>
      </c>
      <c r="BQ95" t="str">
        <f t="shared" si="3"/>
        <v>i_95</v>
      </c>
    </row>
    <row r="96" spans="1:69" hidden="1" outlineLevel="1" x14ac:dyDescent="0.4">
      <c r="C96" s="24"/>
      <c r="D96" s="24"/>
      <c r="BN96">
        <f t="shared" si="4"/>
        <v>0</v>
      </c>
      <c r="BQ96" t="str">
        <f t="shared" si="3"/>
        <v>i_96</v>
      </c>
    </row>
    <row r="97" spans="1:69" collapsed="1" x14ac:dyDescent="0.4">
      <c r="C97" s="24"/>
      <c r="D97" s="24"/>
      <c r="BN97">
        <f t="shared" si="4"/>
        <v>0</v>
      </c>
      <c r="BQ97" t="str">
        <f t="shared" si="3"/>
        <v>i_97</v>
      </c>
    </row>
    <row r="98" spans="1:69" x14ac:dyDescent="0.4">
      <c r="B98" t="s">
        <v>285</v>
      </c>
      <c r="C98" s="24"/>
      <c r="D98" s="24"/>
      <c r="BN98">
        <f t="shared" si="4"/>
        <v>0</v>
      </c>
      <c r="BQ98" t="str">
        <f t="shared" si="3"/>
        <v>i_98</v>
      </c>
    </row>
    <row r="99" spans="1:69" ht="75" hidden="1" outlineLevel="1" x14ac:dyDescent="0.4">
      <c r="A99" t="s">
        <v>284</v>
      </c>
      <c r="B99" t="s">
        <v>283</v>
      </c>
      <c r="C99" s="24" t="s">
        <v>279</v>
      </c>
      <c r="D99" s="24"/>
      <c r="E99" t="s">
        <v>190</v>
      </c>
      <c r="F99" s="1" t="s">
        <v>282</v>
      </c>
      <c r="BM99">
        <v>30</v>
      </c>
      <c r="BN99">
        <f t="shared" si="4"/>
        <v>3000</v>
      </c>
      <c r="BQ99" t="str">
        <f t="shared" si="3"/>
        <v>i_99</v>
      </c>
    </row>
    <row r="100" spans="1:69" ht="112.5" hidden="1" outlineLevel="1" x14ac:dyDescent="0.4">
      <c r="A100" t="s">
        <v>281</v>
      </c>
      <c r="B100" t="s">
        <v>280</v>
      </c>
      <c r="C100" s="24" t="s">
        <v>279</v>
      </c>
      <c r="D100" s="24"/>
      <c r="E100" t="s">
        <v>190</v>
      </c>
      <c r="F100" s="1" t="s">
        <v>278</v>
      </c>
      <c r="BM100">
        <v>300</v>
      </c>
      <c r="BN100">
        <f t="shared" si="4"/>
        <v>30000</v>
      </c>
      <c r="BQ100" t="str">
        <f t="shared" si="3"/>
        <v>i_100</v>
      </c>
    </row>
    <row r="101" spans="1:69" hidden="1" outlineLevel="1" x14ac:dyDescent="0.4">
      <c r="A101" t="s">
        <v>1178</v>
      </c>
      <c r="B101" t="s">
        <v>1179</v>
      </c>
      <c r="C101" s="24" t="s">
        <v>287</v>
      </c>
      <c r="D101" s="24"/>
      <c r="E101" t="s">
        <v>190</v>
      </c>
      <c r="F101" s="1" t="s">
        <v>1180</v>
      </c>
      <c r="H101">
        <v>1</v>
      </c>
      <c r="BM101">
        <v>200</v>
      </c>
      <c r="BN101">
        <f t="shared" si="4"/>
        <v>20000</v>
      </c>
      <c r="BQ101" t="str">
        <f t="shared" si="3"/>
        <v>i_101</v>
      </c>
    </row>
    <row r="102" spans="1:69" hidden="1" outlineLevel="1" x14ac:dyDescent="0.4">
      <c r="A102" t="s">
        <v>1181</v>
      </c>
      <c r="B102" t="s">
        <v>1179</v>
      </c>
      <c r="C102" s="24" t="s">
        <v>287</v>
      </c>
      <c r="D102" s="24"/>
      <c r="E102" t="s">
        <v>190</v>
      </c>
      <c r="F102" s="1" t="s">
        <v>1180</v>
      </c>
      <c r="H102">
        <v>1</v>
      </c>
      <c r="BM102">
        <v>500</v>
      </c>
      <c r="BN102">
        <f>BM102*100</f>
        <v>50000</v>
      </c>
      <c r="BQ102" t="str">
        <f t="shared" si="3"/>
        <v>i_102</v>
      </c>
    </row>
    <row r="103" spans="1:69" hidden="1" outlineLevel="1" x14ac:dyDescent="0.4">
      <c r="C103" s="24"/>
      <c r="D103" s="24"/>
      <c r="BN103">
        <f t="shared" si="4"/>
        <v>0</v>
      </c>
      <c r="BQ103" t="str">
        <f t="shared" si="3"/>
        <v>i_103</v>
      </c>
    </row>
    <row r="104" spans="1:69" hidden="1" outlineLevel="1" x14ac:dyDescent="0.4">
      <c r="C104" s="24"/>
      <c r="D104" s="24"/>
      <c r="BN104">
        <f t="shared" si="4"/>
        <v>0</v>
      </c>
      <c r="BQ104" t="str">
        <f t="shared" si="3"/>
        <v>i_104</v>
      </c>
    </row>
    <row r="105" spans="1:69" hidden="1" outlineLevel="1" x14ac:dyDescent="0.4">
      <c r="C105" s="24"/>
      <c r="D105" s="24"/>
      <c r="BN105">
        <f t="shared" si="4"/>
        <v>0</v>
      </c>
      <c r="BQ105" t="str">
        <f t="shared" si="3"/>
        <v>i_105</v>
      </c>
    </row>
    <row r="106" spans="1:69" hidden="1" outlineLevel="1" x14ac:dyDescent="0.4">
      <c r="C106" s="24"/>
      <c r="D106" s="24"/>
      <c r="BN106">
        <f t="shared" si="4"/>
        <v>0</v>
      </c>
      <c r="BQ106" t="str">
        <f t="shared" si="3"/>
        <v>i_106</v>
      </c>
    </row>
    <row r="107" spans="1:69" hidden="1" outlineLevel="1" x14ac:dyDescent="0.4">
      <c r="C107" s="24"/>
      <c r="D107" s="24"/>
      <c r="BN107">
        <f t="shared" si="4"/>
        <v>0</v>
      </c>
      <c r="BQ107" t="str">
        <f t="shared" si="3"/>
        <v>i_107</v>
      </c>
    </row>
    <row r="108" spans="1:69" hidden="1" outlineLevel="1" x14ac:dyDescent="0.4">
      <c r="C108" s="24"/>
      <c r="D108" s="24"/>
      <c r="BN108">
        <f t="shared" si="4"/>
        <v>0</v>
      </c>
      <c r="BQ108" t="str">
        <f t="shared" si="3"/>
        <v>i_108</v>
      </c>
    </row>
    <row r="109" spans="1:69" hidden="1" outlineLevel="1" x14ac:dyDescent="0.4">
      <c r="C109" s="24"/>
      <c r="D109" s="24"/>
      <c r="BN109">
        <f t="shared" si="4"/>
        <v>0</v>
      </c>
      <c r="BQ109" t="str">
        <f t="shared" si="3"/>
        <v>i_109</v>
      </c>
    </row>
    <row r="110" spans="1:69" hidden="1" outlineLevel="1" x14ac:dyDescent="0.4">
      <c r="C110" s="24"/>
      <c r="D110" s="24"/>
      <c r="BN110">
        <f t="shared" si="4"/>
        <v>0</v>
      </c>
      <c r="BQ110" t="str">
        <f t="shared" si="3"/>
        <v>i_110</v>
      </c>
    </row>
    <row r="111" spans="1:69" hidden="1" outlineLevel="1" x14ac:dyDescent="0.4">
      <c r="C111" s="24"/>
      <c r="D111" s="24"/>
      <c r="BN111">
        <f t="shared" si="4"/>
        <v>0</v>
      </c>
      <c r="BQ111" t="str">
        <f t="shared" si="3"/>
        <v>i_111</v>
      </c>
    </row>
    <row r="112" spans="1:69" hidden="1" outlineLevel="1" x14ac:dyDescent="0.4">
      <c r="C112" s="24"/>
      <c r="D112" s="24"/>
      <c r="BN112">
        <f t="shared" si="4"/>
        <v>0</v>
      </c>
      <c r="BQ112" t="str">
        <f t="shared" si="3"/>
        <v>i_112</v>
      </c>
    </row>
    <row r="113" spans="1:76" hidden="1" outlineLevel="1" x14ac:dyDescent="0.4">
      <c r="C113" s="24"/>
      <c r="D113" s="24"/>
      <c r="BN113">
        <f t="shared" si="4"/>
        <v>0</v>
      </c>
      <c r="BQ113" t="str">
        <f t="shared" si="3"/>
        <v>i_113</v>
      </c>
    </row>
    <row r="114" spans="1:76" hidden="1" outlineLevel="1" x14ac:dyDescent="0.4">
      <c r="C114" s="24"/>
      <c r="D114" s="24"/>
      <c r="BN114">
        <f t="shared" si="4"/>
        <v>0</v>
      </c>
      <c r="BQ114" t="str">
        <f t="shared" si="3"/>
        <v>i_114</v>
      </c>
    </row>
    <row r="115" spans="1:76" collapsed="1" x14ac:dyDescent="0.4">
      <c r="B115" t="s">
        <v>277</v>
      </c>
      <c r="C115" s="24"/>
      <c r="D115" s="24"/>
      <c r="BN115">
        <f t="shared" si="4"/>
        <v>0</v>
      </c>
      <c r="BQ115" t="str">
        <f t="shared" si="3"/>
        <v>i_115</v>
      </c>
    </row>
    <row r="116" spans="1:76" x14ac:dyDescent="0.4">
      <c r="A116" t="str">
        <f>素材!A3</f>
        <v>銅</v>
      </c>
      <c r="B116" t="str">
        <f>IFERROR(VLOOKUP(A116,素材!$A:$O,COLUMN(素材!B$1),FALSE),"")</f>
        <v>カッパー</v>
      </c>
      <c r="C116" s="24" t="str">
        <f>IFERROR(VLOOKUP(A116,素材!$A:$O,COLUMN(素材!M$1),FALSE),"")</f>
        <v>鉱石</v>
      </c>
      <c r="D116" s="24"/>
      <c r="E116" t="s">
        <v>190</v>
      </c>
      <c r="F116" s="1" t="str">
        <f>IFERROR(VLOOKUP(A116,素材!$A:$O,COLUMN(素材!O$1),FALSE),"")</f>
        <v>低価値、利用頻度は高くよく取れる</v>
      </c>
      <c r="BM116">
        <f>IFERROR(VLOOKUP(A116,素材!$A:$O,COLUMN(素材!N$1),FALSE),"")</f>
        <v>50</v>
      </c>
      <c r="BN116">
        <f t="shared" si="4"/>
        <v>5000</v>
      </c>
      <c r="BP116" t="str">
        <f>素材!M3&amp;".webp"</f>
        <v>鉱石.webp</v>
      </c>
      <c r="BQ116" t="str">
        <f t="shared" si="3"/>
        <v>i_116</v>
      </c>
      <c r="BR116">
        <v>1</v>
      </c>
      <c r="BS116" t="b">
        <v>1</v>
      </c>
      <c r="BT116" t="s">
        <v>276</v>
      </c>
      <c r="BU116" t="s">
        <v>275</v>
      </c>
      <c r="BV116">
        <v>20</v>
      </c>
      <c r="BW116">
        <v>3</v>
      </c>
      <c r="BX116">
        <v>15</v>
      </c>
    </row>
    <row r="117" spans="1:76" outlineLevel="1" x14ac:dyDescent="0.4">
      <c r="A117" t="str">
        <f>素材!A4</f>
        <v>銀</v>
      </c>
      <c r="B117" t="str">
        <f>IFERROR(VLOOKUP(A117,素材!$A:$O,COLUMN(素材!B$1),FALSE),"")</f>
        <v>シルバー</v>
      </c>
      <c r="C117" s="24" t="str">
        <f>IFERROR(VLOOKUP(A117,素材!$A:$O,COLUMN(素材!M$1),FALSE),"")</f>
        <v>鉱石</v>
      </c>
      <c r="D117" s="24"/>
      <c r="E117" t="s">
        <v>190</v>
      </c>
      <c r="F117" s="1" t="str">
        <f>IFERROR(VLOOKUP(A117,素材!$A:$O,COLUMN(素材!O$1),FALSE),"")</f>
        <v>魔道具を作るのに使用される。価値はそれなり</v>
      </c>
      <c r="BM117">
        <f>IFERROR(VLOOKUP(A117,素材!$A:$O,COLUMN(素材!N$1),FALSE),"")</f>
        <v>500</v>
      </c>
      <c r="BN117">
        <f t="shared" si="4"/>
        <v>50000</v>
      </c>
      <c r="BP117" t="str">
        <f>素材!M4&amp;".webp"</f>
        <v>鉱石.webp</v>
      </c>
      <c r="BQ117" t="str">
        <f t="shared" si="3"/>
        <v>i_117</v>
      </c>
      <c r="BR117">
        <v>1</v>
      </c>
      <c r="BS117" t="b">
        <v>1</v>
      </c>
      <c r="BT117" t="s">
        <v>273</v>
      </c>
      <c r="BU117" t="s">
        <v>272</v>
      </c>
      <c r="BV117">
        <v>30</v>
      </c>
      <c r="BW117">
        <v>10</v>
      </c>
      <c r="BX117">
        <v>5</v>
      </c>
    </row>
    <row r="118" spans="1:76" ht="37.5" outlineLevel="1" x14ac:dyDescent="0.4">
      <c r="A118" t="str">
        <f>素材!A5</f>
        <v>金</v>
      </c>
      <c r="B118" t="str">
        <f>IFERROR(VLOOKUP(A118,素材!$A:$O,COLUMN(素材!B$1),FALSE),"")</f>
        <v>ゴールド</v>
      </c>
      <c r="C118" s="24" t="str">
        <f>IFERROR(VLOOKUP(A118,素材!$A:$O,COLUMN(素材!M$1),FALSE),"")</f>
        <v>鉱石</v>
      </c>
      <c r="D118" s="24"/>
      <c r="E118" t="s">
        <v>190</v>
      </c>
      <c r="F118" s="1" t="str">
        <f>IFERROR(VLOOKUP(A118,素材!$A:$O,COLUMN(素材!O$1),FALSE),"")</f>
        <v>魔法文字を書くのに使用させる。金銭的価値が非常に高い</v>
      </c>
      <c r="BM118">
        <f>IFERROR(VLOOKUP(A118,素材!$A:$O,COLUMN(素材!N$1),FALSE),"")</f>
        <v>2500</v>
      </c>
      <c r="BN118">
        <f t="shared" si="4"/>
        <v>250000</v>
      </c>
      <c r="BP118" t="str">
        <f>素材!M5&amp;".webp"</f>
        <v>鉱石.webp</v>
      </c>
      <c r="BQ118" t="str">
        <f t="shared" si="3"/>
        <v>i_118</v>
      </c>
      <c r="BR118">
        <v>1</v>
      </c>
      <c r="BS118" t="b">
        <v>1</v>
      </c>
      <c r="BT118" t="s">
        <v>270</v>
      </c>
      <c r="BU118" t="s">
        <v>269</v>
      </c>
      <c r="BV118">
        <v>50</v>
      </c>
      <c r="BW118" t="s">
        <v>258</v>
      </c>
      <c r="BX118" t="s">
        <v>258</v>
      </c>
    </row>
    <row r="119" spans="1:76" ht="37.5" outlineLevel="1" x14ac:dyDescent="0.4">
      <c r="A119" t="str">
        <f>素材!A6</f>
        <v>白金</v>
      </c>
      <c r="B119" t="str">
        <f>IFERROR(VLOOKUP(A119,素材!$A:$O,COLUMN(素材!B$1),FALSE),"")</f>
        <v>プラチナ</v>
      </c>
      <c r="C119" s="24" t="str">
        <f>IFERROR(VLOOKUP(A119,素材!$A:$O,COLUMN(素材!M$1),FALSE),"")</f>
        <v>鉱石</v>
      </c>
      <c r="D119" s="24"/>
      <c r="E119" t="s">
        <v>190</v>
      </c>
      <c r="F119" s="1" t="str">
        <f>IFERROR(VLOOKUP(A119,素材!$A:$O,COLUMN(素材!O$1),FALSE),"")</f>
        <v>最高位の魔法文字を書くのに使用される。貴金属では最も高価値</v>
      </c>
      <c r="BM119">
        <f>IFERROR(VLOOKUP(A119,素材!$A:$O,COLUMN(素材!N$1),FALSE),"")</f>
        <v>5000</v>
      </c>
      <c r="BN119">
        <f t="shared" si="4"/>
        <v>500000</v>
      </c>
      <c r="BP119" t="str">
        <f>素材!M6&amp;".webp"</f>
        <v>鉱石.webp</v>
      </c>
      <c r="BQ119" t="str">
        <f t="shared" si="3"/>
        <v>i_119</v>
      </c>
      <c r="BR119">
        <v>1</v>
      </c>
      <c r="BS119" t="b">
        <v>1</v>
      </c>
      <c r="BT119" t="s">
        <v>267</v>
      </c>
      <c r="BU119" t="s">
        <v>266</v>
      </c>
      <c r="BV119">
        <v>100</v>
      </c>
      <c r="BW119" t="s">
        <v>258</v>
      </c>
      <c r="BX119" t="s">
        <v>258</v>
      </c>
    </row>
    <row r="120" spans="1:76" ht="37.5" outlineLevel="1" x14ac:dyDescent="0.4">
      <c r="A120" t="str">
        <f>素材!A7</f>
        <v>鉄</v>
      </c>
      <c r="B120" t="str">
        <f>IFERROR(VLOOKUP(A120,素材!$A:$O,COLUMN(素材!B$1),FALSE),"")</f>
        <v>アイアン</v>
      </c>
      <c r="C120" s="24" t="str">
        <f>IFERROR(VLOOKUP(A120,素材!$A:$O,COLUMN(素材!M$1),FALSE),"")</f>
        <v>鉱石</v>
      </c>
      <c r="D120" s="24"/>
      <c r="E120" t="s">
        <v>190</v>
      </c>
      <c r="F120" s="1" t="str">
        <f>IFERROR(VLOOKUP(A120,素材!$A:$O,COLUMN(素材!O$1),FALSE),"")</f>
        <v>一般的な鉄。量産品を作るのに使用されることが多い</v>
      </c>
      <c r="BM120">
        <f>IFERROR(VLOOKUP(A120,素材!$A:$O,COLUMN(素材!N$1),FALSE),"")</f>
        <v>200</v>
      </c>
      <c r="BN120">
        <f t="shared" si="4"/>
        <v>20000</v>
      </c>
      <c r="BP120" t="str">
        <f>素材!M7&amp;".webp"</f>
        <v>鉱石.webp</v>
      </c>
      <c r="BQ120" t="str">
        <f t="shared" si="3"/>
        <v>i_120</v>
      </c>
    </row>
    <row r="121" spans="1:76" ht="37.5" outlineLevel="1" x14ac:dyDescent="0.4">
      <c r="A121" t="str">
        <f>素材!A8</f>
        <v>鋼</v>
      </c>
      <c r="B121" t="str">
        <f>IFERROR(VLOOKUP(A121,素材!$A:$O,COLUMN(素材!B$1),FALSE),"")</f>
        <v>スチール</v>
      </c>
      <c r="C121" s="24" t="str">
        <f>IFERROR(VLOOKUP(A121,素材!$A:$O,COLUMN(素材!M$1),FALSE),"")</f>
        <v>鉱石</v>
      </c>
      <c r="D121" s="24"/>
      <c r="E121" t="s">
        <v>190</v>
      </c>
      <c r="F121" s="1" t="str">
        <f>IFERROR(VLOOKUP(A121,素材!$A:$O,COLUMN(素材!O$1),FALSE),"")</f>
        <v>鍛えられた鉄。硬度が高く安価なためよく使用される。</v>
      </c>
      <c r="BM121">
        <f>IFERROR(VLOOKUP(A121,素材!$A:$O,COLUMN(素材!N$1),FALSE),"")</f>
        <v>450</v>
      </c>
      <c r="BN121">
        <f t="shared" si="4"/>
        <v>45000</v>
      </c>
      <c r="BP121" t="str">
        <f>素材!M8&amp;".webp"</f>
        <v>鉱石.webp</v>
      </c>
      <c r="BQ121" t="str">
        <f t="shared" si="3"/>
        <v>i_121</v>
      </c>
    </row>
    <row r="122" spans="1:76" ht="56.25" outlineLevel="1" x14ac:dyDescent="0.4">
      <c r="A122" t="str">
        <f>素材!A9</f>
        <v>深い水晶</v>
      </c>
      <c r="B122" t="str">
        <f>IFERROR(VLOOKUP(A122,素材!$A:$O,COLUMN(素材!B$1),FALSE),"")</f>
        <v>ディープクリスタル</v>
      </c>
      <c r="C122" s="24" t="str">
        <f>IFERROR(VLOOKUP(A122,素材!$A:$O,COLUMN(素材!M$1),FALSE),"")</f>
        <v>水晶</v>
      </c>
      <c r="D122" s="24"/>
      <c r="E122" t="s">
        <v>190</v>
      </c>
      <c r="F122" s="1" t="str">
        <f>IFERROR(VLOOKUP(A122,素材!$A:$O,COLUMN(素材!O$1),FALSE),"")</f>
        <v>能力:深い水晶開放[HPを20消費して武器の威力+25]、深い水晶内包[HPを20消費して物理軽減+25上昇]</v>
      </c>
      <c r="BM122">
        <f>IFERROR(VLOOKUP(A122,素材!$A:$O,COLUMN(素材!N$1),FALSE),"")</f>
        <v>1500</v>
      </c>
      <c r="BN122">
        <f t="shared" si="4"/>
        <v>150000</v>
      </c>
      <c r="BP122" t="str">
        <f>素材!M9&amp;".webp"</f>
        <v>水晶.webp</v>
      </c>
      <c r="BQ122" t="str">
        <f t="shared" si="3"/>
        <v>i_122</v>
      </c>
    </row>
    <row r="123" spans="1:76" outlineLevel="1" x14ac:dyDescent="0.4">
      <c r="A123" t="str">
        <f>素材!A10</f>
        <v>黒鋼鉄</v>
      </c>
      <c r="B123" t="str">
        <f>IFERROR(VLOOKUP(A123,素材!$A:$O,COLUMN(素材!B$1),FALSE),"")</f>
        <v>ブラックスティール</v>
      </c>
      <c r="C123" s="24" t="str">
        <f>IFERROR(VLOOKUP(A123,素材!$A:$O,COLUMN(素材!M$1),FALSE),"")</f>
        <v>鉱石</v>
      </c>
      <c r="D123" s="24"/>
      <c r="E123" t="s">
        <v>190</v>
      </c>
      <c r="F123" s="1">
        <f>IFERROR(VLOOKUP(A123,素材!$A:$O,COLUMN(素材!O$1),FALSE),"")</f>
        <v>0</v>
      </c>
      <c r="BM123">
        <f>IFERROR(VLOOKUP(A123,素材!$A:$O,COLUMN(素材!N$1),FALSE),"")</f>
        <v>1500</v>
      </c>
      <c r="BN123">
        <f t="shared" si="4"/>
        <v>150000</v>
      </c>
      <c r="BP123" t="str">
        <f>素材!M10&amp;".webp"</f>
        <v>鉱石.webp</v>
      </c>
      <c r="BQ123" t="str">
        <f t="shared" si="3"/>
        <v>i_123</v>
      </c>
    </row>
    <row r="124" spans="1:76" outlineLevel="1" x14ac:dyDescent="0.4">
      <c r="A124" t="str">
        <f>素材!A11</f>
        <v>冷気鉄</v>
      </c>
      <c r="B124" t="str">
        <f>IFERROR(VLOOKUP(A124,素材!$A:$O,COLUMN(素材!B$1),FALSE),"")</f>
        <v>ドゥララン</v>
      </c>
      <c r="C124" s="24" t="str">
        <f>IFERROR(VLOOKUP(A124,素材!$A:$O,COLUMN(素材!M$1),FALSE),"")</f>
        <v>鉱石</v>
      </c>
      <c r="D124" s="24"/>
      <c r="E124" t="s">
        <v>190</v>
      </c>
      <c r="F124" s="1">
        <f>IFERROR(VLOOKUP(A124,素材!$A:$O,COLUMN(素材!O$1),FALSE),"")</f>
        <v>0</v>
      </c>
      <c r="BM124">
        <f>IFERROR(VLOOKUP(A124,素材!$A:$O,COLUMN(素材!N$1),FALSE),"")</f>
        <v>1500</v>
      </c>
      <c r="BN124">
        <f t="shared" si="4"/>
        <v>150000</v>
      </c>
      <c r="BP124" t="str">
        <f>素材!M11&amp;".webp"</f>
        <v>鉱石.webp</v>
      </c>
      <c r="BQ124" t="str">
        <f t="shared" si="3"/>
        <v>i_124</v>
      </c>
    </row>
    <row r="125" spans="1:76" outlineLevel="1" x14ac:dyDescent="0.4">
      <c r="A125" t="str">
        <f>素材!A12</f>
        <v>熱鉄</v>
      </c>
      <c r="B125" t="str">
        <f>IFERROR(VLOOKUP(A125,素材!$A:$O,COLUMN(素材!B$1),FALSE),"")</f>
        <v>ヒートスティール</v>
      </c>
      <c r="C125" s="24" t="str">
        <f>IFERROR(VLOOKUP(A125,素材!$A:$O,COLUMN(素材!M$1),FALSE),"")</f>
        <v>鉱石</v>
      </c>
      <c r="D125" s="24"/>
      <c r="E125" t="s">
        <v>190</v>
      </c>
      <c r="F125" s="1">
        <f>IFERROR(VLOOKUP(A125,素材!$A:$O,COLUMN(素材!O$1),FALSE),"")</f>
        <v>0</v>
      </c>
      <c r="BM125">
        <f>IFERROR(VLOOKUP(A125,素材!$A:$O,COLUMN(素材!N$1),FALSE),"")</f>
        <v>1500</v>
      </c>
      <c r="BN125">
        <f t="shared" si="4"/>
        <v>150000</v>
      </c>
      <c r="BP125" t="str">
        <f>素材!M12&amp;".webp"</f>
        <v>鉱石.webp</v>
      </c>
      <c r="BQ125" t="str">
        <f t="shared" si="3"/>
        <v>i_125</v>
      </c>
    </row>
    <row r="126" spans="1:76" outlineLevel="1" x14ac:dyDescent="0.4">
      <c r="A126" t="str">
        <f>素材!A13</f>
        <v>滅鉄柱</v>
      </c>
      <c r="B126" t="str">
        <f>IFERROR(VLOOKUP(A126,素材!$A:$O,COLUMN(素材!B$1),FALSE),"")</f>
        <v>ネロスティール</v>
      </c>
      <c r="C126" s="24" t="str">
        <f>IFERROR(VLOOKUP(A126,素材!$A:$O,COLUMN(素材!M$1),FALSE),"")</f>
        <v>鉱石</v>
      </c>
      <c r="D126" s="24"/>
      <c r="E126" t="s">
        <v>190</v>
      </c>
      <c r="F126" s="1">
        <f>IFERROR(VLOOKUP(A126,素材!$A:$O,COLUMN(素材!O$1),FALSE),"")</f>
        <v>0</v>
      </c>
      <c r="BM126">
        <f>IFERROR(VLOOKUP(A126,素材!$A:$O,COLUMN(素材!N$1),FALSE),"")</f>
        <v>1500</v>
      </c>
      <c r="BN126">
        <f t="shared" si="4"/>
        <v>150000</v>
      </c>
      <c r="BP126" t="str">
        <f>素材!M13&amp;".webp"</f>
        <v>鉱石.webp</v>
      </c>
      <c r="BQ126" t="str">
        <f t="shared" si="3"/>
        <v>i_126</v>
      </c>
    </row>
    <row r="127" spans="1:76" ht="56.25" outlineLevel="1" x14ac:dyDescent="0.4">
      <c r="A127" t="str">
        <f>素材!A14</f>
        <v>水晶鉄</v>
      </c>
      <c r="B127" t="str">
        <f>IFERROR(VLOOKUP(A127,素材!$A:$O,COLUMN(素材!B$1),FALSE),"")</f>
        <v>クリスタルスティール</v>
      </c>
      <c r="C127" s="24" t="str">
        <f>IFERROR(VLOOKUP(A127,素材!$A:$O,COLUMN(素材!M$1),FALSE),"")</f>
        <v>水晶</v>
      </c>
      <c r="D127" s="24"/>
      <c r="E127" t="s">
        <v>190</v>
      </c>
      <c r="F127" s="1" t="str">
        <f>IFERROR(VLOOKUP(A127,素材!$A:$O,COLUMN(素材!O$1),FALSE),"")</f>
        <v>水晶と鉄が融合した素材。武器に使用すると魔法効果が高まり、防具に使用すると魔法防御力が強化される。</v>
      </c>
      <c r="BM127">
        <f>IFERROR(VLOOKUP(A127,素材!$A:$O,COLUMN(素材!N$1),FALSE),"")</f>
        <v>1500</v>
      </c>
      <c r="BN127">
        <f t="shared" si="4"/>
        <v>150000</v>
      </c>
      <c r="BP127" t="str">
        <f>素材!M14&amp;".webp"</f>
        <v>水晶.webp</v>
      </c>
      <c r="BQ127" t="str">
        <f t="shared" si="3"/>
        <v>i_127</v>
      </c>
    </row>
    <row r="128" spans="1:76" outlineLevel="1" x14ac:dyDescent="0.4">
      <c r="A128" t="str">
        <f>素材!A15</f>
        <v>幽鉄</v>
      </c>
      <c r="B128" t="str">
        <f>IFERROR(VLOOKUP(A128,素材!$A:$O,COLUMN(素材!B$1),FALSE),"")</f>
        <v>セレン</v>
      </c>
      <c r="C128" s="24" t="str">
        <f>IFERROR(VLOOKUP(A128,素材!$A:$O,COLUMN(素材!M$1),FALSE),"")</f>
        <v>鉱石</v>
      </c>
      <c r="D128" s="24"/>
      <c r="E128" t="s">
        <v>190</v>
      </c>
      <c r="F128" s="1">
        <f>IFERROR(VLOOKUP(A128,素材!$A:$O,COLUMN(素材!O$1),FALSE),"")</f>
        <v>0</v>
      </c>
      <c r="BM128">
        <f>IFERROR(VLOOKUP(A128,素材!$A:$O,COLUMN(素材!N$1),FALSE),"")</f>
        <v>2000</v>
      </c>
      <c r="BN128">
        <f t="shared" si="4"/>
        <v>200000</v>
      </c>
      <c r="BP128" t="str">
        <f>素材!M15&amp;".webp"</f>
        <v>鉱石.webp</v>
      </c>
      <c r="BQ128" t="str">
        <f t="shared" si="3"/>
        <v>i_128</v>
      </c>
    </row>
    <row r="129" spans="1:69" outlineLevel="1" x14ac:dyDescent="0.4">
      <c r="A129" t="str">
        <f>素材!A16</f>
        <v>善の鉄</v>
      </c>
      <c r="B129" t="str">
        <f>IFERROR(VLOOKUP(A129,素材!$A:$O,COLUMN(素材!B$1),FALSE),"")</f>
        <v>フリスタリン</v>
      </c>
      <c r="C129" s="24" t="str">
        <f>IFERROR(VLOOKUP(A129,素材!$A:$O,COLUMN(素材!M$1),FALSE),"")</f>
        <v>鉱石</v>
      </c>
      <c r="D129" s="24"/>
      <c r="E129" t="s">
        <v>190</v>
      </c>
      <c r="F129" s="1">
        <f>IFERROR(VLOOKUP(A129,素材!$A:$O,COLUMN(素材!O$1),FALSE),"")</f>
        <v>0</v>
      </c>
      <c r="BM129">
        <f>IFERROR(VLOOKUP(A129,素材!$A:$O,COLUMN(素材!N$1),FALSE),"")</f>
        <v>2000</v>
      </c>
      <c r="BN129">
        <f t="shared" si="4"/>
        <v>200000</v>
      </c>
      <c r="BP129" t="str">
        <f>素材!M16&amp;".webp"</f>
        <v>鉱石.webp</v>
      </c>
      <c r="BQ129" t="str">
        <f t="shared" si="3"/>
        <v>i_129</v>
      </c>
    </row>
    <row r="130" spans="1:69" outlineLevel="1" x14ac:dyDescent="0.4">
      <c r="A130" t="str">
        <f>素材!A17</f>
        <v>悪の鉄</v>
      </c>
      <c r="B130" t="str">
        <f>IFERROR(VLOOKUP(A130,素材!$A:$O,COLUMN(素材!B$1),FALSE),"")</f>
        <v>エルスタリン</v>
      </c>
      <c r="C130" s="24" t="str">
        <f>IFERROR(VLOOKUP(A130,素材!$A:$O,COLUMN(素材!M$1),FALSE),"")</f>
        <v>鉱石</v>
      </c>
      <c r="D130" s="24"/>
      <c r="E130" t="s">
        <v>190</v>
      </c>
      <c r="F130" s="1">
        <f>IFERROR(VLOOKUP(A130,素材!$A:$O,COLUMN(素材!O$1),FALSE),"")</f>
        <v>0</v>
      </c>
      <c r="BM130">
        <f>IFERROR(VLOOKUP(A130,素材!$A:$O,COLUMN(素材!N$1),FALSE),"")</f>
        <v>2000</v>
      </c>
      <c r="BN130">
        <f t="shared" si="4"/>
        <v>200000</v>
      </c>
      <c r="BP130" t="str">
        <f>素材!M17&amp;".webp"</f>
        <v>鉱石.webp</v>
      </c>
      <c r="BQ130" t="str">
        <f t="shared" si="3"/>
        <v>i_130</v>
      </c>
    </row>
    <row r="131" spans="1:69" outlineLevel="1" x14ac:dyDescent="0.4">
      <c r="A131" t="str">
        <f>素材!A18</f>
        <v>溶鉄</v>
      </c>
      <c r="B131" t="str">
        <f>IFERROR(VLOOKUP(A131,素材!$A:$O,COLUMN(素材!B$1),FALSE),"")</f>
        <v>マグマログ</v>
      </c>
      <c r="C131" s="24" t="str">
        <f>IFERROR(VLOOKUP(A131,素材!$A:$O,COLUMN(素材!M$1),FALSE),"")</f>
        <v>鉱石</v>
      </c>
      <c r="D131" s="24"/>
      <c r="E131" t="s">
        <v>190</v>
      </c>
      <c r="F131" s="1">
        <f>IFERROR(VLOOKUP(A131,素材!$A:$O,COLUMN(素材!O$1),FALSE),"")</f>
        <v>0</v>
      </c>
      <c r="BM131">
        <f>IFERROR(VLOOKUP(A131,素材!$A:$O,COLUMN(素材!N$1),FALSE),"")</f>
        <v>3500</v>
      </c>
      <c r="BN131">
        <f t="shared" si="4"/>
        <v>350000</v>
      </c>
      <c r="BP131" t="str">
        <f>素材!M18&amp;".webp"</f>
        <v>鉱石.webp</v>
      </c>
      <c r="BQ131" t="str">
        <f t="shared" si="3"/>
        <v>i_131</v>
      </c>
    </row>
    <row r="132" spans="1:69" outlineLevel="1" x14ac:dyDescent="0.4">
      <c r="A132" t="str">
        <f>素材!A22</f>
        <v>金鉄</v>
      </c>
      <c r="B132" t="str">
        <f>IFERROR(VLOOKUP(A132,素材!$A:$O,COLUMN(素材!B$1),FALSE),"")</f>
        <v>オリハルコン</v>
      </c>
      <c r="C132" s="24" t="str">
        <f>IFERROR(VLOOKUP(A132,素材!$A:$O,COLUMN(素材!M$1),FALSE),"")</f>
        <v>鉱石</v>
      </c>
      <c r="D132" s="24"/>
      <c r="E132" t="s">
        <v>190</v>
      </c>
      <c r="F132" s="1">
        <f>IFERROR(VLOOKUP(A132,素材!$A:$O,COLUMN(素材!O$1),FALSE),"")</f>
        <v>0</v>
      </c>
      <c r="BM132">
        <f>IFERROR(VLOOKUP(A132,素材!$A:$O,COLUMN(素材!N$1),FALSE),"")</f>
        <v>4500</v>
      </c>
      <c r="BN132">
        <f t="shared" si="4"/>
        <v>450000</v>
      </c>
      <c r="BP132" t="str">
        <f>素材!M19&amp;".webp"</f>
        <v>水晶.webp</v>
      </c>
      <c r="BQ132" t="str">
        <f t="shared" si="3"/>
        <v>i_132</v>
      </c>
    </row>
    <row r="133" spans="1:69" outlineLevel="1" x14ac:dyDescent="0.4">
      <c r="A133" t="str">
        <f>素材!A23</f>
        <v>黒鉄</v>
      </c>
      <c r="B133" t="str">
        <f>IFERROR(VLOOKUP(A133,素材!$A:$O,COLUMN(素材!B$1),FALSE),"")</f>
        <v>アダマンタイト</v>
      </c>
      <c r="C133" s="24" t="str">
        <f>IFERROR(VLOOKUP(A133,素材!$A:$O,COLUMN(素材!M$1),FALSE),"")</f>
        <v>鉱石</v>
      </c>
      <c r="D133" s="24"/>
      <c r="E133" t="s">
        <v>190</v>
      </c>
      <c r="F133" s="1">
        <f>IFERROR(VLOOKUP(A133,素材!$A:$O,COLUMN(素材!O$1),FALSE),"")</f>
        <v>0</v>
      </c>
      <c r="BM133">
        <f>IFERROR(VLOOKUP(A133,素材!$A:$O,COLUMN(素材!N$1),FALSE),"")</f>
        <v>5000</v>
      </c>
      <c r="BN133">
        <f t="shared" si="4"/>
        <v>500000</v>
      </c>
      <c r="BP133" t="str">
        <f>素材!M21&amp;".webp"</f>
        <v>鉱石.webp</v>
      </c>
      <c r="BQ133" t="str">
        <f t="shared" ref="BQ133:BQ196" si="5">"i_"&amp;ROW(BQ133)</f>
        <v>i_133</v>
      </c>
    </row>
    <row r="134" spans="1:69" outlineLevel="1" x14ac:dyDescent="0.4">
      <c r="A134" t="str">
        <f>素材!A24</f>
        <v>銀鋼</v>
      </c>
      <c r="B134" t="str">
        <f>IFERROR(VLOOKUP(A134,素材!$A:$O,COLUMN(素材!B$1),FALSE),"")</f>
        <v>シルバーメタル</v>
      </c>
      <c r="C134" s="24" t="str">
        <f>IFERROR(VLOOKUP(A134,素材!$A:$O,COLUMN(素材!M$1),FALSE),"")</f>
        <v>鉱石</v>
      </c>
      <c r="D134" s="24"/>
      <c r="E134" t="s">
        <v>190</v>
      </c>
      <c r="F134" s="1">
        <f>IFERROR(VLOOKUP(A134,素材!$A:$O,COLUMN(素材!O$1),FALSE),"")</f>
        <v>0</v>
      </c>
      <c r="BM134">
        <f>IFERROR(VLOOKUP(A134,素材!$A:$O,COLUMN(素材!N$1),FALSE),"")</f>
        <v>8000</v>
      </c>
      <c r="BN134">
        <f t="shared" ref="BN134:BN197" si="6">BM134*100</f>
        <v>800000</v>
      </c>
      <c r="BP134" t="str">
        <f>素材!M22&amp;".webp"</f>
        <v>鉱石.webp</v>
      </c>
      <c r="BQ134" t="str">
        <f t="shared" si="5"/>
        <v>i_134</v>
      </c>
    </row>
    <row r="135" spans="1:69" outlineLevel="1" x14ac:dyDescent="0.4">
      <c r="A135" t="str">
        <f>素材!A25</f>
        <v>金鋼</v>
      </c>
      <c r="B135" t="str">
        <f>IFERROR(VLOOKUP(A135,素材!$A:$O,COLUMN(素材!B$1),FALSE),"")</f>
        <v>ゴールドメタル</v>
      </c>
      <c r="C135" s="24" t="str">
        <f>IFERROR(VLOOKUP(A135,素材!$A:$O,COLUMN(素材!M$1),FALSE),"")</f>
        <v>鉱石</v>
      </c>
      <c r="D135" s="24"/>
      <c r="E135" t="s">
        <v>190</v>
      </c>
      <c r="F135" s="1">
        <f>IFERROR(VLOOKUP(A135,素材!$A:$O,COLUMN(素材!O$1),FALSE),"")</f>
        <v>0</v>
      </c>
      <c r="BM135">
        <f>IFERROR(VLOOKUP(A135,素材!$A:$O,COLUMN(素材!N$1),FALSE),"")</f>
        <v>9000</v>
      </c>
      <c r="BN135">
        <f t="shared" si="6"/>
        <v>900000</v>
      </c>
      <c r="BP135" t="str">
        <f>素材!M23&amp;".webp"</f>
        <v>鉱石.webp</v>
      </c>
      <c r="BQ135" t="str">
        <f t="shared" si="5"/>
        <v>i_135</v>
      </c>
    </row>
    <row r="136" spans="1:69" outlineLevel="1" x14ac:dyDescent="0.4">
      <c r="A136" t="str">
        <f>素材!A26</f>
        <v>黒鋼</v>
      </c>
      <c r="B136" t="str">
        <f>IFERROR(VLOOKUP(A136,素材!$A:$O,COLUMN(素材!B$1),FALSE),"")</f>
        <v>ブラックメタル</v>
      </c>
      <c r="C136" s="24" t="str">
        <f>IFERROR(VLOOKUP(A136,素材!$A:$O,COLUMN(素材!M$1),FALSE),"")</f>
        <v>鉱石</v>
      </c>
      <c r="D136" s="24"/>
      <c r="E136" t="s">
        <v>190</v>
      </c>
      <c r="F136" s="1">
        <f>IFERROR(VLOOKUP(A136,素材!$A:$O,COLUMN(素材!O$1),FALSE),"")</f>
        <v>0</v>
      </c>
      <c r="BM136">
        <f>IFERROR(VLOOKUP(A136,素材!$A:$O,COLUMN(素材!N$1),FALSE),"")</f>
        <v>10000</v>
      </c>
      <c r="BN136">
        <f t="shared" si="6"/>
        <v>1000000</v>
      </c>
      <c r="BP136" t="str">
        <f>素材!M24&amp;".webp"</f>
        <v>鉱石.webp</v>
      </c>
      <c r="BQ136" t="str">
        <f t="shared" si="5"/>
        <v>i_136</v>
      </c>
    </row>
    <row r="137" spans="1:69" outlineLevel="1" x14ac:dyDescent="0.4">
      <c r="A137" t="str">
        <f>素材!A20</f>
        <v>虚無鉱</v>
      </c>
      <c r="B137" t="str">
        <f>IFERROR(VLOOKUP(A137,素材!$A:$O,COLUMN(素材!B$1),FALSE),"")</f>
        <v>オルダーク</v>
      </c>
      <c r="C137" s="24" t="str">
        <f>IFERROR(VLOOKUP(A137,素材!$A:$O,COLUMN(素材!M$1),FALSE),"")</f>
        <v>鉱石</v>
      </c>
      <c r="D137" s="24"/>
      <c r="E137" t="s">
        <v>190</v>
      </c>
      <c r="F137" s="1">
        <f>IFERROR(VLOOKUP(A137,素材!$A:$O,COLUMN(素材!O$1),FALSE),"")</f>
        <v>0</v>
      </c>
      <c r="BM137">
        <f>IFERROR(VLOOKUP(A137,素材!$A:$O,COLUMN(素材!N$1),FALSE)/500,"")</f>
        <v>10</v>
      </c>
      <c r="BN137">
        <f t="shared" si="6"/>
        <v>1000</v>
      </c>
      <c r="BP137" t="str">
        <f>素材!M25&amp;".webp"</f>
        <v>鉱石.webp</v>
      </c>
      <c r="BQ137" t="str">
        <f t="shared" si="5"/>
        <v>i_137</v>
      </c>
    </row>
    <row r="138" spans="1:69" outlineLevel="1" x14ac:dyDescent="0.4">
      <c r="A138">
        <f>素材!A30</f>
        <v>0</v>
      </c>
      <c r="B138" t="str">
        <f>IFERROR(VLOOKUP(A138,素材!$A:$O,COLUMN(素材!B$1),FALSE),"")</f>
        <v/>
      </c>
      <c r="C138" s="24" t="str">
        <f>IFERROR(VLOOKUP(A138,素材!$A:$O,COLUMN(素材!M$1),FALSE),"")</f>
        <v/>
      </c>
      <c r="D138" s="24"/>
      <c r="E138" t="s">
        <v>190</v>
      </c>
      <c r="F138" s="1" t="str">
        <f>IFERROR(VLOOKUP(A138,素材!$A:$O,COLUMN(素材!O$1),FALSE),"")</f>
        <v/>
      </c>
      <c r="BM138" t="str">
        <f>IFERROR(VLOOKUP(A138,素材!$A:$O,COLUMN(素材!N$1),FALSE)/500,"")</f>
        <v/>
      </c>
      <c r="BN138" t="e">
        <f t="shared" si="6"/>
        <v>#VALUE!</v>
      </c>
      <c r="BP138" t="str">
        <f>素材!M26&amp;".webp"</f>
        <v>鉱石.webp</v>
      </c>
      <c r="BQ138" t="str">
        <f t="shared" si="5"/>
        <v>i_138</v>
      </c>
    </row>
    <row r="139" spans="1:69" outlineLevel="1" x14ac:dyDescent="0.4">
      <c r="A139" t="str">
        <f>素材!A31</f>
        <v>名前</v>
      </c>
      <c r="B139" t="str">
        <f>IFERROR(VLOOKUP(A139,素材!$A:$O,COLUMN(素材!B$1),FALSE),"")</f>
        <v>英名</v>
      </c>
      <c r="C139" s="24" t="str">
        <f>IFERROR(VLOOKUP(A139,素材!$A:$O,COLUMN(素材!M$1),FALSE),"")</f>
        <v>種別</v>
      </c>
      <c r="D139" s="24"/>
      <c r="E139" t="s">
        <v>190</v>
      </c>
      <c r="F139" s="1" t="str">
        <f>IFERROR(VLOOKUP(A139,素材!$A:$O,COLUMN(素材!O$1),FALSE),"")</f>
        <v>説明</v>
      </c>
      <c r="BM139" t="str">
        <f>IFERROR(VLOOKUP(A139,素材!$A:$O,COLUMN(素材!N$1),FALSE)/500,"")</f>
        <v/>
      </c>
      <c r="BN139" t="e">
        <f t="shared" si="6"/>
        <v>#VALUE!</v>
      </c>
      <c r="BP139" t="str">
        <f>素材!M20&amp;".webp"</f>
        <v>鉱石.webp</v>
      </c>
      <c r="BQ139" t="str">
        <f t="shared" si="5"/>
        <v>i_139</v>
      </c>
    </row>
    <row r="140" spans="1:69" ht="56.25" outlineLevel="1" x14ac:dyDescent="0.4">
      <c r="A140" t="str">
        <f>素材!A32</f>
        <v>皮</v>
      </c>
      <c r="B140" t="str">
        <f>IFERROR(VLOOKUP(A140,素材!$A:$O,COLUMN(素材!B$1),FALSE),"")</f>
        <v>レザー</v>
      </c>
      <c r="C140" s="24" t="str">
        <f>IFERROR(VLOOKUP(A140,素材!$A:$O,COLUMN(素材!M$1),FALSE),"")</f>
        <v>皮</v>
      </c>
      <c r="D140" s="24"/>
      <c r="E140" t="s">
        <v>190</v>
      </c>
      <c r="F140" s="1" t="str">
        <f>IFERROR(VLOOKUP(A140,素材!$A:$O,COLUMN(素材!O$1),FALSE),"")</f>
        <v>一般的な皮素材で、防具や軽量装備の材料として最適です。耐久性は高くありませんが、軽量で扱いやすい点が特徴です。</v>
      </c>
      <c r="BM140">
        <f>IFERROR(VLOOKUP(A140,素材!$A:$O,COLUMN(素材!N$1),FALSE)/500,"")</f>
        <v>0.2</v>
      </c>
      <c r="BN140">
        <f t="shared" si="6"/>
        <v>20</v>
      </c>
      <c r="BP140" t="str">
        <f>素材!M30&amp;".webp"</f>
        <v>.webp</v>
      </c>
      <c r="BQ140" t="str">
        <f t="shared" si="5"/>
        <v>i_140</v>
      </c>
    </row>
    <row r="141" spans="1:69" ht="56.25" outlineLevel="1" x14ac:dyDescent="0.4">
      <c r="A141" t="str">
        <f>素材!A33</f>
        <v>獣皮</v>
      </c>
      <c r="B141" t="str">
        <f>IFERROR(VLOOKUP(A141,素材!$A:$O,COLUMN(素材!B$1),FALSE),"")</f>
        <v>ビーストレザー</v>
      </c>
      <c r="C141" s="24" t="str">
        <f>IFERROR(VLOOKUP(A141,素材!$A:$O,COLUMN(素材!M$1),FALSE),"")</f>
        <v>皮</v>
      </c>
      <c r="D141" s="24"/>
      <c r="E141" t="s">
        <v>190</v>
      </c>
      <c r="F141" s="1" t="str">
        <f>IFERROR(VLOOKUP(A141,素材!$A:$O,COLUMN(素材!O$1),FALSE),"")</f>
        <v>野生動物から得られる丈夫な皮素材。皮装備の性能を向上させ、基本的な防護性能を備えています。</v>
      </c>
      <c r="BN141">
        <f t="shared" si="6"/>
        <v>0</v>
      </c>
      <c r="BP141" t="str">
        <f>素材!M31&amp;".webp"</f>
        <v>種別.webp</v>
      </c>
      <c r="BQ141" t="str">
        <f t="shared" si="5"/>
        <v>i_141</v>
      </c>
    </row>
    <row r="142" spans="1:69" ht="56.25" outlineLevel="1" x14ac:dyDescent="0.4">
      <c r="A142" t="str">
        <f>素材!A34</f>
        <v>軽皮</v>
      </c>
      <c r="B142" t="str">
        <f>IFERROR(VLOOKUP(A142,素材!$A:$O,COLUMN(素材!B$1),FALSE),"")</f>
        <v>ライトレザー</v>
      </c>
      <c r="C142" s="24" t="str">
        <f>IFERROR(VLOOKUP(A142,素材!$A:$O,COLUMN(素材!M$1),FALSE),"")</f>
        <v>皮</v>
      </c>
      <c r="D142" s="24"/>
      <c r="E142" t="s">
        <v>190</v>
      </c>
      <c r="F142" s="1" t="str">
        <f>IFERROR(VLOOKUP(A142,素材!$A:$O,COLUMN(素材!O$1),FALSE),"")</f>
        <v>高品質な加工を施した軽量の皮素材。軽量化により動きやすさを確保しつつ、適度な防御力を提供します。</v>
      </c>
      <c r="BN142">
        <f t="shared" si="6"/>
        <v>0</v>
      </c>
      <c r="BP142" t="str">
        <f>素材!M32&amp;".webp"</f>
        <v>皮.webp</v>
      </c>
      <c r="BQ142" t="str">
        <f t="shared" si="5"/>
        <v>i_142</v>
      </c>
    </row>
    <row r="143" spans="1:69" ht="56.25" outlineLevel="1" x14ac:dyDescent="0.4">
      <c r="A143" t="str">
        <f>素材!A35</f>
        <v>魔獣皮</v>
      </c>
      <c r="B143" t="str">
        <f>IFERROR(VLOOKUP(A143,素材!$A:$O,COLUMN(素材!B$1),FALSE),"")</f>
        <v>マジックレザー</v>
      </c>
      <c r="C143" s="24" t="str">
        <f>IFERROR(VLOOKUP(A143,素材!$A:$O,COLUMN(素材!M$1),FALSE),"")</f>
        <v>皮</v>
      </c>
      <c r="D143" s="24"/>
      <c r="E143" t="s">
        <v>190</v>
      </c>
      <c r="F143" s="1" t="str">
        <f>IFERROR(VLOOKUP(A143,素材!$A:$O,COLUMN(素材!O$1),FALSE),"")</f>
        <v>魔力を帯びた特殊な皮素材。魔法防御や属性耐性を強化する効果があり、高レベルの冒険者に重宝されます。</v>
      </c>
      <c r="BN143">
        <f t="shared" si="6"/>
        <v>0</v>
      </c>
      <c r="BP143" t="str">
        <f>素材!M33&amp;".webp"</f>
        <v>皮.webp</v>
      </c>
      <c r="BQ143" t="str">
        <f t="shared" si="5"/>
        <v>i_143</v>
      </c>
    </row>
    <row r="144" spans="1:69" ht="56.25" outlineLevel="1" x14ac:dyDescent="0.4">
      <c r="A144" t="str">
        <f>素材!A36</f>
        <v>炎蜥蜴の鱗</v>
      </c>
      <c r="B144" t="str">
        <f>IFERROR(VLOOKUP(A144,素材!$A:$O,COLUMN(素材!B$1),FALSE),"")</f>
        <v>ファイアドレイクスケール</v>
      </c>
      <c r="C144" s="24" t="str">
        <f>IFERROR(VLOOKUP(A144,素材!$A:$O,COLUMN(素材!M$1),FALSE),"")</f>
        <v>鱗</v>
      </c>
      <c r="D144" s="24"/>
      <c r="E144" t="s">
        <v>190</v>
      </c>
      <c r="F144" s="1" t="str">
        <f>IFERROR(VLOOKUP(A144,素材!$A:$O,COLUMN(素材!O$1),FALSE),"")</f>
        <v>炎属性を持つドラゴン型生物から採取される鱗素材。強力な炎属性防御を備えており、耐熱性が求められる場面で特に有用です。</v>
      </c>
      <c r="BN144">
        <f t="shared" si="6"/>
        <v>0</v>
      </c>
      <c r="BP144" t="str">
        <f>素材!M34&amp;".webp"</f>
        <v>皮.webp</v>
      </c>
      <c r="BQ144" t="str">
        <f t="shared" si="5"/>
        <v>i_144</v>
      </c>
    </row>
    <row r="145" spans="1:69" ht="56.25" outlineLevel="1" x14ac:dyDescent="0.4">
      <c r="A145" t="str">
        <f>素材!A37</f>
        <v>氷蜥蜴の鱗</v>
      </c>
      <c r="B145" t="str">
        <f>IFERROR(VLOOKUP(A145,素材!$A:$O,COLUMN(素材!B$1),FALSE),"")</f>
        <v>アイスドレイクスケール</v>
      </c>
      <c r="C145" s="24" t="str">
        <f>IFERROR(VLOOKUP(A145,素材!$A:$O,COLUMN(素材!M$1),FALSE),"")</f>
        <v>鱗</v>
      </c>
      <c r="D145" s="24"/>
      <c r="E145" t="s">
        <v>190</v>
      </c>
      <c r="F145" s="1" t="str">
        <f>IFERROR(VLOOKUP(A145,素材!$A:$O,COLUMN(素材!O$1),FALSE),"")</f>
        <v>氷属性を持つドラゴン型生物から採取される鱗素材。極寒の環境や冷気攻撃への対策として優れた性能を発揮します。</v>
      </c>
      <c r="BN145">
        <f t="shared" si="6"/>
        <v>0</v>
      </c>
      <c r="BP145" t="str">
        <f>素材!M35&amp;".webp"</f>
        <v>皮.webp</v>
      </c>
      <c r="BQ145" t="str">
        <f t="shared" si="5"/>
        <v>i_145</v>
      </c>
    </row>
    <row r="146" spans="1:69" ht="56.25" outlineLevel="1" x14ac:dyDescent="0.4">
      <c r="A146" t="str">
        <f>素材!A38</f>
        <v>雷蜥蜴の鱗</v>
      </c>
      <c r="B146" t="str">
        <f>IFERROR(VLOOKUP(A146,素材!$A:$O,COLUMN(素材!B$1),FALSE),"")</f>
        <v>サンダードレイクスケール</v>
      </c>
      <c r="C146" s="24" t="str">
        <f>IFERROR(VLOOKUP(A146,素材!$A:$O,COLUMN(素材!M$1),FALSE),"")</f>
        <v>鱗</v>
      </c>
      <c r="D146" s="24"/>
      <c r="E146" t="s">
        <v>190</v>
      </c>
      <c r="F146" s="1" t="str">
        <f>IFERROR(VLOOKUP(A146,素材!$A:$O,COLUMN(素材!O$1),FALSE),"")</f>
        <v>雷属性を持つドラゴン型生物から採取される鱗素材。雷属性攻撃への耐性を強化し、武器の電撃効果を高めることも可能です。</v>
      </c>
      <c r="BN146">
        <f t="shared" si="6"/>
        <v>0</v>
      </c>
      <c r="BP146" t="str">
        <f>素材!M36&amp;".webp"</f>
        <v>鱗.webp</v>
      </c>
      <c r="BQ146" t="str">
        <f t="shared" si="5"/>
        <v>i_146</v>
      </c>
    </row>
    <row r="147" spans="1:69" ht="75" outlineLevel="1" x14ac:dyDescent="0.4">
      <c r="A147" t="str">
        <f>素材!A39</f>
        <v>酸蜥蜴の鱗</v>
      </c>
      <c r="B147" t="str">
        <f>IFERROR(VLOOKUP(A147,素材!$A:$O,COLUMN(素材!B$1),FALSE),"")</f>
        <v>アシッドドレイクスケール</v>
      </c>
      <c r="C147" s="24" t="str">
        <f>IFERROR(VLOOKUP(A147,素材!$A:$O,COLUMN(素材!M$1),FALSE),"")</f>
        <v>鱗</v>
      </c>
      <c r="D147" s="24"/>
      <c r="E147" t="s">
        <v>190</v>
      </c>
      <c r="F147" s="1" t="str">
        <f>IFERROR(VLOOKUP(A147,素材!$A:$O,COLUMN(素材!O$1),FALSE),"")</f>
        <v>酸性の体液を持つドラゴン型生物から採取される鱗素材。特殊な酸属性耐性を提供し、毒性や腐食性のある環境に適した防具の製作に適しています。</v>
      </c>
      <c r="BN147">
        <f t="shared" si="6"/>
        <v>0</v>
      </c>
      <c r="BP147" t="str">
        <f>素材!M37&amp;".webp"</f>
        <v>鱗.webp</v>
      </c>
      <c r="BQ147" t="str">
        <f t="shared" si="5"/>
        <v>i_147</v>
      </c>
    </row>
    <row r="148" spans="1:69" outlineLevel="1" x14ac:dyDescent="0.4">
      <c r="A148" t="str">
        <f>素材!A40</f>
        <v>影蜥蜴の鱗</v>
      </c>
      <c r="B148" t="str">
        <f>IFERROR(VLOOKUP(A148,素材!$A:$O,COLUMN(素材!B$1),FALSE),"")</f>
        <v>シャドウスケール</v>
      </c>
      <c r="C148" s="24" t="str">
        <f>IFERROR(VLOOKUP(A148,素材!$A:$O,COLUMN(素材!M$1),FALSE),"")</f>
        <v>鱗</v>
      </c>
      <c r="D148" s="24"/>
      <c r="E148" t="s">
        <v>190</v>
      </c>
      <c r="F148" s="1" t="str">
        <f>IFERROR(VLOOKUP(A148,素材!$A:$O,COLUMN(素材!O$1),FALSE),"")</f>
        <v>酸性の体液を持つドラゴン型生物から採取される鱗素材。特殊な酸属性耐性を提供し、毒性や腐食性のある環境に適した防具の製作に適しています。</v>
      </c>
      <c r="BN148">
        <f t="shared" si="6"/>
        <v>0</v>
      </c>
      <c r="BP148" t="str">
        <f>素材!M38&amp;".webp"</f>
        <v>鱗.webp</v>
      </c>
      <c r="BQ148" t="str">
        <f t="shared" si="5"/>
        <v>i_148</v>
      </c>
    </row>
    <row r="149" spans="1:69" outlineLevel="1" x14ac:dyDescent="0.4">
      <c r="A149">
        <f>素材!A41</f>
        <v>0</v>
      </c>
      <c r="B149" t="str">
        <f>IFERROR(VLOOKUP(A149,素材!$A:$O,COLUMN(素材!B$1),FALSE),"")</f>
        <v/>
      </c>
      <c r="C149" s="24" t="str">
        <f>IFERROR(VLOOKUP(A149,素材!$A:$O,COLUMN(素材!M$1),FALSE),"")</f>
        <v/>
      </c>
      <c r="D149" s="24"/>
      <c r="E149" t="s">
        <v>190</v>
      </c>
      <c r="F149" s="1" t="str">
        <f>IFERROR(VLOOKUP(A149,素材!$A:$O,COLUMN(素材!O$1),FALSE),"")</f>
        <v/>
      </c>
      <c r="BN149">
        <f t="shared" si="6"/>
        <v>0</v>
      </c>
      <c r="BP149" t="str">
        <f>素材!M39&amp;".webp"</f>
        <v>鱗.webp</v>
      </c>
      <c r="BQ149" t="str">
        <f t="shared" si="5"/>
        <v>i_149</v>
      </c>
    </row>
    <row r="150" spans="1:69" outlineLevel="1" x14ac:dyDescent="0.4">
      <c r="A150">
        <f>素材!A42</f>
        <v>0</v>
      </c>
      <c r="B150" t="str">
        <f>IFERROR(VLOOKUP(A150,素材!$A:$O,COLUMN(素材!B$1),FALSE),"")</f>
        <v/>
      </c>
      <c r="C150" s="24" t="str">
        <f>IFERROR(VLOOKUP(A150,素材!$A:$O,COLUMN(素材!M$1),FALSE),"")</f>
        <v/>
      </c>
      <c r="D150" s="24"/>
      <c r="E150" t="s">
        <v>190</v>
      </c>
      <c r="F150" s="1" t="str">
        <f>IFERROR(VLOOKUP(A150,素材!$A:$O,COLUMN(素材!O$1),FALSE),"")</f>
        <v/>
      </c>
      <c r="BN150">
        <f t="shared" si="6"/>
        <v>0</v>
      </c>
      <c r="BP150" t="str">
        <f>素材!M40&amp;".webp"</f>
        <v>鱗.webp</v>
      </c>
      <c r="BQ150" t="str">
        <f t="shared" si="5"/>
        <v>i_150</v>
      </c>
    </row>
    <row r="151" spans="1:69" outlineLevel="1" x14ac:dyDescent="0.4">
      <c r="A151">
        <f>素材!A43</f>
        <v>0</v>
      </c>
      <c r="B151" t="str">
        <f>IFERROR(VLOOKUP(A151,素材!$A:$O,COLUMN(素材!B$1),FALSE),"")</f>
        <v/>
      </c>
      <c r="C151" s="24" t="str">
        <f>IFERROR(VLOOKUP(A151,素材!$A:$O,COLUMN(素材!M$1),FALSE),"")</f>
        <v/>
      </c>
      <c r="D151" s="24"/>
      <c r="E151" t="s">
        <v>190</v>
      </c>
      <c r="F151" s="1" t="str">
        <f>IFERROR(VLOOKUP(A151,素材!$A:$O,COLUMN(素材!O$1),FALSE),"")</f>
        <v/>
      </c>
      <c r="BN151">
        <f t="shared" si="6"/>
        <v>0</v>
      </c>
      <c r="BP151" t="str">
        <f>素材!M41&amp;".webp"</f>
        <v>.webp</v>
      </c>
      <c r="BQ151" t="str">
        <f t="shared" si="5"/>
        <v>i_151</v>
      </c>
    </row>
    <row r="152" spans="1:69" outlineLevel="1" x14ac:dyDescent="0.4">
      <c r="A152" t="str">
        <f>素材!A44</f>
        <v>2. 木材（ウッド）素材例</v>
      </c>
      <c r="B152">
        <f>IFERROR(VLOOKUP(A152,素材!$A:$O,COLUMN(素材!B$1),FALSE),"")</f>
        <v>0</v>
      </c>
      <c r="C152" s="24">
        <f>IFERROR(VLOOKUP(A152,素材!$A:$O,COLUMN(素材!M$1),FALSE),"")</f>
        <v>0</v>
      </c>
      <c r="D152" s="24"/>
      <c r="E152" t="s">
        <v>190</v>
      </c>
      <c r="F152" s="1">
        <f>IFERROR(VLOOKUP(A152,素材!$A:$O,COLUMN(素材!O$1),FALSE),"")</f>
        <v>0</v>
      </c>
      <c r="BN152">
        <f t="shared" si="6"/>
        <v>0</v>
      </c>
      <c r="BP152" t="str">
        <f>素材!M42&amp;".webp"</f>
        <v>.webp</v>
      </c>
      <c r="BQ152" t="str">
        <f t="shared" si="5"/>
        <v>i_152</v>
      </c>
    </row>
    <row r="153" spans="1:69" outlineLevel="1" x14ac:dyDescent="0.4">
      <c r="A153">
        <f>素材!A45</f>
        <v>0</v>
      </c>
      <c r="B153" t="str">
        <f>IFERROR(VLOOKUP(A153,素材!$A:$O,COLUMN(素材!B$1),FALSE),"")</f>
        <v/>
      </c>
      <c r="C153" s="24" t="str">
        <f>IFERROR(VLOOKUP(A153,素材!$A:$O,COLUMN(素材!M$1),FALSE),"")</f>
        <v/>
      </c>
      <c r="D153" s="24"/>
      <c r="E153" t="s">
        <v>190</v>
      </c>
      <c r="F153" s="1" t="str">
        <f>IFERROR(VLOOKUP(A153,素材!$A:$O,COLUMN(素材!O$1),FALSE),"")</f>
        <v/>
      </c>
      <c r="BN153">
        <f t="shared" si="6"/>
        <v>0</v>
      </c>
      <c r="BP153" t="str">
        <f>素材!M43&amp;".webp"</f>
        <v>.webp</v>
      </c>
      <c r="BQ153" t="str">
        <f t="shared" si="5"/>
        <v>i_153</v>
      </c>
    </row>
    <row r="154" spans="1:69" outlineLevel="1" x14ac:dyDescent="0.4">
      <c r="A154" t="str">
        <f>素材!A46</f>
        <v>名前</v>
      </c>
      <c r="B154" t="str">
        <f>IFERROR(VLOOKUP(A154,素材!$A:$O,COLUMN(素材!B$1),FALSE),"")</f>
        <v>英名</v>
      </c>
      <c r="C154" s="24" t="str">
        <f>IFERROR(VLOOKUP(A154,素材!$A:$O,COLUMN(素材!M$1),FALSE),"")</f>
        <v>種別</v>
      </c>
      <c r="D154" s="24"/>
      <c r="E154" t="s">
        <v>190</v>
      </c>
      <c r="F154" s="1" t="str">
        <f>IFERROR(VLOOKUP(A154,素材!$A:$O,COLUMN(素材!O$1),FALSE),"")</f>
        <v>説明</v>
      </c>
      <c r="BN154">
        <f t="shared" si="6"/>
        <v>0</v>
      </c>
      <c r="BP154" t="str">
        <f>素材!M44&amp;".webp"</f>
        <v>.webp</v>
      </c>
      <c r="BQ154" t="str">
        <f t="shared" si="5"/>
        <v>i_154</v>
      </c>
    </row>
    <row r="155" spans="1:69" ht="56.25" outlineLevel="1" x14ac:dyDescent="0.4">
      <c r="A155" t="str">
        <f>素材!A48</f>
        <v>黒の木</v>
      </c>
      <c r="B155" t="str">
        <f>IFERROR(VLOOKUP(A155,素材!$A:$O,COLUMN(素材!B$1),FALSE),"")</f>
        <v>ブラックウッド</v>
      </c>
      <c r="C155" s="24" t="str">
        <f>IFERROR(VLOOKUP(A155,素材!$A:$O,COLUMN(素材!M$1),FALSE),"")</f>
        <v>木材</v>
      </c>
      <c r="D155" s="24"/>
      <c r="E155" t="s">
        <v>190</v>
      </c>
      <c r="F155" s="1" t="str">
        <f>IFERROR(VLOOKUP(A155,素材!$A:$O,COLUMN(素材!O$1),FALSE),"")</f>
        <v>音を増幅させる性質を持つ木材。武器に使用すると音波効果を付加し、防具に使用すると音耐性が強化される。</v>
      </c>
      <c r="BN155">
        <f t="shared" si="6"/>
        <v>0</v>
      </c>
      <c r="BP155" t="str">
        <f>素材!M45&amp;".webp"</f>
        <v>.webp</v>
      </c>
      <c r="BQ155" t="str">
        <f t="shared" si="5"/>
        <v>i_155</v>
      </c>
    </row>
    <row r="156" spans="1:69" ht="56.25" outlineLevel="1" x14ac:dyDescent="0.4">
      <c r="A156" t="str">
        <f>素材!A49</f>
        <v>黒の芯木</v>
      </c>
      <c r="B156" t="str">
        <f>IFERROR(VLOOKUP(A156,素材!$A:$O,COLUMN(素材!B$1),FALSE),"")</f>
        <v>ブラックウッドコア</v>
      </c>
      <c r="C156" s="24" t="str">
        <f>IFERROR(VLOOKUP(A156,素材!$A:$O,COLUMN(素材!M$1),FALSE),"")</f>
        <v>木材</v>
      </c>
      <c r="D156" s="24"/>
      <c r="E156" t="s">
        <v>190</v>
      </c>
      <c r="F156" s="1" t="str">
        <f>IFERROR(VLOOKUP(A156,素材!$A:$O,COLUMN(素材!O$1),FALSE),"")</f>
        <v>音を増幅させる性質を持つ木材。武器に使用すると音波効果を付加し、防具に使用すると音耐性が強化される。</v>
      </c>
      <c r="BN156">
        <f t="shared" si="6"/>
        <v>0</v>
      </c>
      <c r="BP156" t="str">
        <f>素材!M46&amp;".webp"</f>
        <v>種別.webp</v>
      </c>
      <c r="BQ156" t="str">
        <f t="shared" si="5"/>
        <v>i_156</v>
      </c>
    </row>
    <row r="157" spans="1:69" ht="56.25" outlineLevel="1" x14ac:dyDescent="0.4">
      <c r="A157" t="str">
        <f>素材!A50</f>
        <v>音響樹</v>
      </c>
      <c r="B157" t="str">
        <f>IFERROR(VLOOKUP(A157,素材!$A:$O,COLUMN(素材!B$1),FALSE),"")</f>
        <v>ソニックウッド</v>
      </c>
      <c r="C157" s="24" t="str">
        <f>IFERROR(VLOOKUP(A157,素材!$A:$O,COLUMN(素材!M$1),FALSE),"")</f>
        <v>木材</v>
      </c>
      <c r="D157" s="24"/>
      <c r="E157" t="s">
        <v>190</v>
      </c>
      <c r="F157" s="1" t="str">
        <f>IFERROR(VLOOKUP(A157,素材!$A:$O,COLUMN(素材!O$1),FALSE),"")</f>
        <v>音を増幅させる性質を持つ木材。武器に使用すると音波効果を付加し、防具に使用すると音耐性が強化される。</v>
      </c>
      <c r="BN157">
        <f t="shared" si="6"/>
        <v>0</v>
      </c>
      <c r="BP157" t="str">
        <f>素材!M48&amp;".webp"</f>
        <v>木材.webp</v>
      </c>
      <c r="BQ157" t="str">
        <f t="shared" si="5"/>
        <v>i_157</v>
      </c>
    </row>
    <row r="158" spans="1:69" ht="56.25" outlineLevel="1" x14ac:dyDescent="0.4">
      <c r="A158" t="str">
        <f>素材!A51</f>
        <v>雷樹</v>
      </c>
      <c r="B158" t="str">
        <f>IFERROR(VLOOKUP(A158,素材!$A:$O,COLUMN(素材!B$1),FALSE),"")</f>
        <v>サンダーウッド</v>
      </c>
      <c r="C158" s="24" t="str">
        <f>IFERROR(VLOOKUP(A158,素材!$A:$O,COLUMN(素材!M$1),FALSE),"")</f>
        <v>木材</v>
      </c>
      <c r="D158" s="24"/>
      <c r="E158" t="s">
        <v>190</v>
      </c>
      <c r="F158" s="1" t="str">
        <f>IFERROR(VLOOKUP(A158,素材!$A:$O,COLUMN(素材!O$1),FALSE),"")</f>
        <v>雷を引き寄せる性質がある木材。武器に使用すると電撃属性を付加し、防具に使用すると雷耐性が強化される。</v>
      </c>
      <c r="BN158">
        <f t="shared" si="6"/>
        <v>0</v>
      </c>
      <c r="BP158" t="str">
        <f>素材!M49&amp;".webp"</f>
        <v>木材.webp</v>
      </c>
      <c r="BQ158" t="str">
        <f t="shared" si="5"/>
        <v>i_158</v>
      </c>
    </row>
    <row r="159" spans="1:69" ht="56.25" outlineLevel="1" x14ac:dyDescent="0.4">
      <c r="A159" t="str">
        <f>素材!A52</f>
        <v>聖木</v>
      </c>
      <c r="B159" t="str">
        <f>IFERROR(VLOOKUP(A159,素材!$A:$O,COLUMN(素材!B$1),FALSE),"")</f>
        <v>セイクリッドウッド</v>
      </c>
      <c r="C159" s="24" t="str">
        <f>IFERROR(VLOOKUP(A159,素材!$A:$O,COLUMN(素材!M$1),FALSE),"")</f>
        <v>木材</v>
      </c>
      <c r="D159" s="24"/>
      <c r="E159" t="s">
        <v>190</v>
      </c>
      <c r="F159" s="1" t="str">
        <f>IFERROR(VLOOKUP(A159,素材!$A:$O,COLUMN(素材!O$1),FALSE),"")</f>
        <v>神聖な力を持つ木材。武器として使用すると善属性が付加され、防具に使用すると呪いへの耐性が強化される。</v>
      </c>
      <c r="BN159">
        <f t="shared" si="6"/>
        <v>0</v>
      </c>
      <c r="BP159" t="str">
        <f>素材!M50&amp;".webp"</f>
        <v>木材.webp</v>
      </c>
      <c r="BQ159" t="str">
        <f t="shared" si="5"/>
        <v>i_159</v>
      </c>
    </row>
    <row r="160" spans="1:69" ht="56.25" outlineLevel="1" x14ac:dyDescent="0.4">
      <c r="A160" t="str">
        <f>素材!A57</f>
        <v>亡霊樹</v>
      </c>
      <c r="B160" t="str">
        <f>IFERROR(VLOOKUP(A160,素材!$A:$O,COLUMN(素材!B$1),FALSE),"")</f>
        <v>スピリットウッド</v>
      </c>
      <c r="C160" s="24" t="str">
        <f>IFERROR(VLOOKUP(A160,素材!$A:$O,COLUMN(素材!M$1),FALSE),"")</f>
        <v>木材</v>
      </c>
      <c r="D160" s="24"/>
      <c r="E160" t="s">
        <v>190</v>
      </c>
      <c r="F160" s="1" t="str">
        <f>IFERROR(VLOOKUP(A160,素材!$A:$O,COLUMN(素材!O$1),FALSE),"")</f>
        <v>精神的なエネルギーを吸収する木材。武器に使用すると精神的耐性が上昇、防具に使用すると精神耐性がさらに強化される。</v>
      </c>
      <c r="BN160">
        <f t="shared" si="6"/>
        <v>0</v>
      </c>
      <c r="BP160" t="str">
        <f>素材!M51&amp;".webp"</f>
        <v>木材.webp</v>
      </c>
      <c r="BQ160" t="str">
        <f t="shared" si="5"/>
        <v>i_160</v>
      </c>
    </row>
    <row r="161" spans="1:69" ht="56.25" outlineLevel="1" x14ac:dyDescent="0.4">
      <c r="A161" t="str">
        <f>素材!A58</f>
        <v>月影木</v>
      </c>
      <c r="B161" t="str">
        <f>IFERROR(VLOOKUP(A161,素材!$A:$O,COLUMN(素材!B$1),FALSE),"")</f>
        <v>ムーンシャドーウッド</v>
      </c>
      <c r="C161" s="24" t="str">
        <f>IFERROR(VLOOKUP(A161,素材!$A:$O,COLUMN(素材!M$1),FALSE),"")</f>
        <v>木材</v>
      </c>
      <c r="D161" s="24"/>
      <c r="E161" t="s">
        <v>190</v>
      </c>
      <c r="F161" s="1" t="str">
        <f>IFERROR(VLOOKUP(A161,素材!$A:$O,COLUMN(素材!O$1),FALSE),"")</f>
        <v>月光を浴びて育った木材で、闇の力に影響されやすい。武器に使用すると攻撃に闇属性が付加され、防具に使用すると闇耐性が強化される。</v>
      </c>
      <c r="BN161">
        <f t="shared" si="6"/>
        <v>0</v>
      </c>
      <c r="BP161" t="str">
        <f>素材!M52&amp;".webp"</f>
        <v>木材.webp</v>
      </c>
      <c r="BQ161" t="str">
        <f t="shared" si="5"/>
        <v>i_161</v>
      </c>
    </row>
    <row r="162" spans="1:69" outlineLevel="1" x14ac:dyDescent="0.4">
      <c r="A162">
        <f>素材!A59</f>
        <v>0</v>
      </c>
      <c r="B162" t="str">
        <f>IFERROR(VLOOKUP(A162,素材!$A:$O,COLUMN(素材!B$1),FALSE),"")</f>
        <v/>
      </c>
      <c r="C162" s="24" t="str">
        <f>IFERROR(VLOOKUP(A162,素材!$A:$O,COLUMN(素材!M$1),FALSE),"")</f>
        <v/>
      </c>
      <c r="D162" s="24"/>
      <c r="E162" t="s">
        <v>190</v>
      </c>
      <c r="F162" s="1" t="str">
        <f>IFERROR(VLOOKUP(A162,素材!$A:$O,COLUMN(素材!O$1),FALSE),"")</f>
        <v/>
      </c>
      <c r="BN162">
        <f t="shared" si="6"/>
        <v>0</v>
      </c>
      <c r="BP162" t="str">
        <f>素材!M57&amp;".webp"</f>
        <v>木材.webp</v>
      </c>
      <c r="BQ162" t="str">
        <f t="shared" si="5"/>
        <v>i_162</v>
      </c>
    </row>
    <row r="163" spans="1:69" outlineLevel="1" x14ac:dyDescent="0.4">
      <c r="A163">
        <f>素材!A60</f>
        <v>0</v>
      </c>
      <c r="B163" t="str">
        <f>IFERROR(VLOOKUP(A163,素材!$A:$O,COLUMN(素材!B$1),FALSE),"")</f>
        <v/>
      </c>
      <c r="C163" s="24" t="str">
        <f>IFERROR(VLOOKUP(A163,素材!$A:$O,COLUMN(素材!M$1),FALSE),"")</f>
        <v/>
      </c>
      <c r="D163" s="24"/>
      <c r="E163" t="s">
        <v>190</v>
      </c>
      <c r="F163" s="1" t="str">
        <f>IFERROR(VLOOKUP(A163,素材!$A:$O,COLUMN(素材!O$1),FALSE),"")</f>
        <v/>
      </c>
      <c r="BN163">
        <f t="shared" si="6"/>
        <v>0</v>
      </c>
      <c r="BP163" t="str">
        <f>素材!M58&amp;".webp"</f>
        <v>木材.webp</v>
      </c>
      <c r="BQ163" t="str">
        <f t="shared" si="5"/>
        <v>i_163</v>
      </c>
    </row>
    <row r="164" spans="1:69" outlineLevel="1" x14ac:dyDescent="0.4">
      <c r="A164" t="str">
        <f>素材!A61</f>
        <v>3. 骨（ボーン）素材例</v>
      </c>
      <c r="B164">
        <f>IFERROR(VLOOKUP(A164,素材!$A:$O,COLUMN(素材!B$1),FALSE),"")</f>
        <v>0</v>
      </c>
      <c r="C164" s="24">
        <f>IFERROR(VLOOKUP(A164,素材!$A:$O,COLUMN(素材!M$1),FALSE),"")</f>
        <v>0</v>
      </c>
      <c r="D164" s="24"/>
      <c r="E164" t="s">
        <v>190</v>
      </c>
      <c r="F164" s="1">
        <f>IFERROR(VLOOKUP(A164,素材!$A:$O,COLUMN(素材!O$1),FALSE),"")</f>
        <v>0</v>
      </c>
      <c r="BN164">
        <f t="shared" si="6"/>
        <v>0</v>
      </c>
      <c r="BP164" t="str">
        <f>素材!M59&amp;".webp"</f>
        <v>.webp</v>
      </c>
      <c r="BQ164" t="str">
        <f t="shared" si="5"/>
        <v>i_164</v>
      </c>
    </row>
    <row r="165" spans="1:69" outlineLevel="1" x14ac:dyDescent="0.4">
      <c r="A165">
        <f>素材!A62</f>
        <v>0</v>
      </c>
      <c r="B165" t="str">
        <f>IFERROR(VLOOKUP(A165,素材!$A:$O,COLUMN(素材!B$1),FALSE),"")</f>
        <v/>
      </c>
      <c r="C165" s="24" t="str">
        <f>IFERROR(VLOOKUP(A165,素材!$A:$O,COLUMN(素材!M$1),FALSE),"")</f>
        <v/>
      </c>
      <c r="D165" s="24"/>
      <c r="E165" t="s">
        <v>190</v>
      </c>
      <c r="F165" s="1" t="str">
        <f>IFERROR(VLOOKUP(A165,素材!$A:$O,COLUMN(素材!O$1),FALSE),"")</f>
        <v/>
      </c>
      <c r="BN165">
        <f t="shared" si="6"/>
        <v>0</v>
      </c>
      <c r="BP165" t="str">
        <f>素材!M60&amp;".webp"</f>
        <v>.webp</v>
      </c>
      <c r="BQ165" t="str">
        <f t="shared" si="5"/>
        <v>i_165</v>
      </c>
    </row>
    <row r="166" spans="1:69" outlineLevel="1" x14ac:dyDescent="0.4">
      <c r="A166" t="str">
        <f>素材!A63</f>
        <v>名前</v>
      </c>
      <c r="B166" t="str">
        <f>IFERROR(VLOOKUP(A166,素材!$A:$O,COLUMN(素材!B$1),FALSE),"")</f>
        <v>英名</v>
      </c>
      <c r="C166" s="24" t="str">
        <f>IFERROR(VLOOKUP(A166,素材!$A:$O,COLUMN(素材!M$1),FALSE),"")</f>
        <v>種別</v>
      </c>
      <c r="D166" s="24"/>
      <c r="E166" t="s">
        <v>190</v>
      </c>
      <c r="F166" s="1" t="str">
        <f>IFERROR(VLOOKUP(A166,素材!$A:$O,COLUMN(素材!O$1),FALSE),"")</f>
        <v>説明</v>
      </c>
      <c r="BN166">
        <f t="shared" si="6"/>
        <v>0</v>
      </c>
      <c r="BP166" t="str">
        <f>素材!M61&amp;".webp"</f>
        <v>.webp</v>
      </c>
      <c r="BQ166" t="str">
        <f t="shared" si="5"/>
        <v>i_166</v>
      </c>
    </row>
    <row r="167" spans="1:69" ht="37.5" outlineLevel="1" x14ac:dyDescent="0.4">
      <c r="A167" t="str">
        <f>素材!A67</f>
        <v>龍骨</v>
      </c>
      <c r="B167" t="str">
        <f>IFERROR(VLOOKUP(A167,素材!$A:$O,COLUMN(素材!B$1),FALSE),"")</f>
        <v>ドラゴンボーン</v>
      </c>
      <c r="C167" s="24" t="str">
        <f>IFERROR(VLOOKUP(A167,素材!$A:$O,COLUMN(素材!M$1),FALSE),"")</f>
        <v>骨</v>
      </c>
      <c r="D167" s="24"/>
      <c r="E167" t="s">
        <v>190</v>
      </c>
      <c r="F167" s="1" t="str">
        <f>IFERROR(VLOOKUP(A167,素材!$A:$O,COLUMN(素材!O$1),FALSE),"")</f>
        <v>竜の骨から作られた素材。竜に対する攻撃力が高まり、竜からの攻撃を軽減する効果を持つ。</v>
      </c>
      <c r="BN167">
        <f t="shared" si="6"/>
        <v>0</v>
      </c>
      <c r="BP167" t="str">
        <f>素材!M62&amp;".webp"</f>
        <v>.webp</v>
      </c>
      <c r="BQ167" t="str">
        <f t="shared" si="5"/>
        <v>i_167</v>
      </c>
    </row>
    <row r="168" spans="1:69" ht="56.25" outlineLevel="1" x14ac:dyDescent="0.4">
      <c r="A168" t="str">
        <f>素材!A68</f>
        <v>亡者骨</v>
      </c>
      <c r="B168" t="str">
        <f>IFERROR(VLOOKUP(A168,素材!$A:$O,COLUMN(素材!B$1),FALSE),"")</f>
        <v>ゴーストボーン</v>
      </c>
      <c r="C168" s="24" t="str">
        <f>IFERROR(VLOOKUP(A168,素材!$A:$O,COLUMN(素材!M$1),FALSE),"")</f>
        <v>骨</v>
      </c>
      <c r="D168" s="24"/>
      <c r="E168" t="s">
        <v>190</v>
      </c>
      <c r="F168" s="1" t="str">
        <f>IFERROR(VLOOKUP(A168,素材!$A:$O,COLUMN(素材!O$1),FALSE),"")</f>
        <v>不死者の骨。武器に使用すると不死者への打撃が強化され、防具に使用すると悪への耐性が付加される。</v>
      </c>
      <c r="BN168">
        <f t="shared" si="6"/>
        <v>0</v>
      </c>
      <c r="BP168" t="str">
        <f>素材!M63&amp;".webp"</f>
        <v>種別.webp</v>
      </c>
      <c r="BQ168" t="str">
        <f t="shared" si="5"/>
        <v>i_168</v>
      </c>
    </row>
    <row r="169" spans="1:69" ht="56.25" outlineLevel="1" x14ac:dyDescent="0.4">
      <c r="A169" t="str">
        <f>素材!A69</f>
        <v>盲目の骨</v>
      </c>
      <c r="B169" t="str">
        <f>IFERROR(VLOOKUP(A169,素材!$A:$O,COLUMN(素材!B$1),FALSE),"")</f>
        <v>ブラインドボーン</v>
      </c>
      <c r="C169" s="24" t="str">
        <f>IFERROR(VLOOKUP(A169,素材!$A:$O,COLUMN(素材!M$1),FALSE),"")</f>
        <v>骨</v>
      </c>
      <c r="D169" s="24"/>
      <c r="E169" t="s">
        <v>190</v>
      </c>
      <c r="F169" s="1" t="str">
        <f>IFERROR(VLOOKUP(A169,素材!$A:$O,COLUMN(素材!O$1),FALSE),"")</f>
        <v>特殊な暗闇効果を持つ骨。武器に使用すると攻撃に暗闇効果が追加され、防具に使用すると盲目耐性が付加される。</v>
      </c>
      <c r="BN169">
        <f t="shared" si="6"/>
        <v>0</v>
      </c>
      <c r="BP169" t="str">
        <f>素材!M67&amp;".webp"</f>
        <v>骨.webp</v>
      </c>
      <c r="BQ169" t="str">
        <f t="shared" si="5"/>
        <v>i_169</v>
      </c>
    </row>
    <row r="170" spans="1:69" ht="56.25" outlineLevel="1" x14ac:dyDescent="0.4">
      <c r="A170" t="str">
        <f>素材!A70</f>
        <v>幻骨</v>
      </c>
      <c r="B170" t="str">
        <f>IFERROR(VLOOKUP(A170,素材!$A:$O,COLUMN(素材!B$1),FALSE),"")</f>
        <v>ミラージュボーン</v>
      </c>
      <c r="C170" s="24" t="str">
        <f>IFERROR(VLOOKUP(A170,素材!$A:$O,COLUMN(素材!M$1),FALSE),"")</f>
        <v>骨</v>
      </c>
      <c r="D170" s="24"/>
      <c r="E170" t="s">
        <v>190</v>
      </c>
      <c r="F170" s="1" t="str">
        <f>IFERROR(VLOOKUP(A170,素材!$A:$O,COLUMN(素材!O$1),FALSE),"")</f>
        <v>幻覚の力を持つ素材。武器に使用すると攻撃に幻覚を誘発し、防具に使用すると幻覚耐性が強化される。</v>
      </c>
      <c r="BN170">
        <f t="shared" si="6"/>
        <v>0</v>
      </c>
      <c r="BP170" t="str">
        <f>素材!M68&amp;".webp"</f>
        <v>骨.webp</v>
      </c>
      <c r="BQ170" t="str">
        <f t="shared" si="5"/>
        <v>i_170</v>
      </c>
    </row>
    <row r="171" spans="1:69" ht="56.25" outlineLevel="1" x14ac:dyDescent="0.4">
      <c r="A171" t="str">
        <f>素材!A71</f>
        <v>呪骨</v>
      </c>
      <c r="B171" t="str">
        <f>IFERROR(VLOOKUP(A171,素材!$A:$O,COLUMN(素材!B$1),FALSE),"")</f>
        <v>カースドボーン</v>
      </c>
      <c r="C171" s="24" t="str">
        <f>IFERROR(VLOOKUP(A171,素材!$A:$O,COLUMN(素材!M$1),FALSE),"")</f>
        <v>骨</v>
      </c>
      <c r="D171" s="24"/>
      <c r="E171" t="s">
        <v>190</v>
      </c>
      <c r="F171" s="1" t="str">
        <f>IFERROR(VLOOKUP(A171,素材!$A:$O,COLUMN(素材!O$1),FALSE),"")</f>
        <v>呪いを帯びた骨。武器に使用すると攻撃に呪い効果が追加され、防具に使用すると呪い耐性が強化される。</v>
      </c>
      <c r="BN171">
        <f t="shared" si="6"/>
        <v>0</v>
      </c>
      <c r="BP171" t="str">
        <f>素材!M69&amp;".webp"</f>
        <v>骨.webp</v>
      </c>
      <c r="BQ171" t="str">
        <f t="shared" si="5"/>
        <v>i_171</v>
      </c>
    </row>
    <row r="172" spans="1:69" outlineLevel="1" x14ac:dyDescent="0.4">
      <c r="A172">
        <f>素材!A72</f>
        <v>0</v>
      </c>
      <c r="B172" t="str">
        <f>IFERROR(VLOOKUP(A172,素材!$A:$O,COLUMN(素材!B$1),FALSE),"")</f>
        <v/>
      </c>
      <c r="C172" s="24" t="str">
        <f>IFERROR(VLOOKUP(A172,素材!$A:$O,COLUMN(素材!M$1),FALSE),"")</f>
        <v/>
      </c>
      <c r="D172" s="24"/>
      <c r="E172" t="s">
        <v>190</v>
      </c>
      <c r="F172" s="1" t="str">
        <f>IFERROR(VLOOKUP(A172,素材!$A:$O,COLUMN(素材!O$1),FALSE),"")</f>
        <v/>
      </c>
      <c r="BN172">
        <f t="shared" si="6"/>
        <v>0</v>
      </c>
      <c r="BP172" t="str">
        <f>素材!M70&amp;".webp"</f>
        <v>骨.webp</v>
      </c>
      <c r="BQ172" t="str">
        <f t="shared" si="5"/>
        <v>i_172</v>
      </c>
    </row>
    <row r="173" spans="1:69" outlineLevel="1" x14ac:dyDescent="0.4">
      <c r="A173" t="str">
        <f>素材!A64</f>
        <v>死霊の骨</v>
      </c>
      <c r="B173" t="str">
        <f>IFERROR(VLOOKUP(A173,素材!$A:$O,COLUMN(素材!B$1),FALSE),"")</f>
        <v>ボーン</v>
      </c>
      <c r="C173" s="24" t="str">
        <f>IFERROR(VLOOKUP(A173,素材!$A:$O,COLUMN(素材!M$1),FALSE),"")</f>
        <v>骨</v>
      </c>
      <c r="D173" s="24"/>
      <c r="E173" t="s">
        <v>190</v>
      </c>
      <c r="F173" s="1" t="str">
        <f>IFERROR(VLOOKUP(A173,素材!$A:$O,COLUMN(素材!O$1),FALSE),"")</f>
        <v>スケルトンの骨、負のエネルギーが宿っている</v>
      </c>
      <c r="BN173">
        <f t="shared" si="6"/>
        <v>0</v>
      </c>
      <c r="BP173" t="str">
        <f>素材!M71&amp;".webp"</f>
        <v>骨.webp</v>
      </c>
      <c r="BQ173" t="str">
        <f t="shared" si="5"/>
        <v>i_173</v>
      </c>
    </row>
    <row r="174" spans="1:69" outlineLevel="1" x14ac:dyDescent="0.4">
      <c r="A174" t="str">
        <f>素材!A65</f>
        <v>毒の牙</v>
      </c>
      <c r="B174" t="str">
        <f>IFERROR(VLOOKUP(A174,素材!$A:$O,COLUMN(素材!B$1),FALSE),"")</f>
        <v>ボーン</v>
      </c>
      <c r="C174" s="24" t="str">
        <f>IFERROR(VLOOKUP(A174,素材!$A:$O,COLUMN(素材!M$1),FALSE),"")</f>
        <v>骨</v>
      </c>
      <c r="D174" s="24"/>
      <c r="E174" t="s">
        <v>190</v>
      </c>
      <c r="F174" s="1" t="str">
        <f>IFERROR(VLOOKUP(A174,素材!$A:$O,COLUMN(素材!O$1),FALSE),"")</f>
        <v>ゾンビの牙、毒々しい液が先端からこぼれている</v>
      </c>
      <c r="BN174">
        <f t="shared" si="6"/>
        <v>0</v>
      </c>
      <c r="BP174" t="str">
        <f>素材!M72&amp;".webp"</f>
        <v>.webp</v>
      </c>
      <c r="BQ174" t="str">
        <f t="shared" si="5"/>
        <v>i_174</v>
      </c>
    </row>
    <row r="175" spans="1:69" outlineLevel="1" x14ac:dyDescent="0.4">
      <c r="A175" t="str">
        <f>素材!A66</f>
        <v>鋭利な爪</v>
      </c>
      <c r="B175" t="str">
        <f>IFERROR(VLOOKUP(A175,素材!$A:$O,COLUMN(素材!B$1),FALSE),"")</f>
        <v>ボーン</v>
      </c>
      <c r="C175" s="24" t="str">
        <f>IFERROR(VLOOKUP(A175,素材!$A:$O,COLUMN(素材!M$1),FALSE),"")</f>
        <v>骨</v>
      </c>
      <c r="D175" s="24"/>
      <c r="E175" t="s">
        <v>190</v>
      </c>
      <c r="F175" s="1" t="str">
        <f>IFERROR(VLOOKUP(A175,素材!$A:$O,COLUMN(素材!O$1),FALSE),"")</f>
        <v>動物や、モンスターがもつ鋭い爪</v>
      </c>
      <c r="BN175">
        <f t="shared" si="6"/>
        <v>0</v>
      </c>
      <c r="BP175" t="str">
        <f>素材!M64&amp;".webp"</f>
        <v>骨.webp</v>
      </c>
      <c r="BQ175" t="str">
        <f t="shared" si="5"/>
        <v>i_175</v>
      </c>
    </row>
    <row r="176" spans="1:69" outlineLevel="1" x14ac:dyDescent="0.4">
      <c r="A176">
        <f>素材!A73</f>
        <v>0</v>
      </c>
      <c r="B176" t="str">
        <f>IFERROR(VLOOKUP(A176,素材!$A:$O,COLUMN(素材!B$1),FALSE),"")</f>
        <v/>
      </c>
      <c r="C176" s="24" t="str">
        <f>IFERROR(VLOOKUP(A176,素材!$A:$O,COLUMN(素材!M$1),FALSE),"")</f>
        <v/>
      </c>
      <c r="D176" s="24"/>
      <c r="E176" t="s">
        <v>190</v>
      </c>
      <c r="F176" s="1" t="str">
        <f>IFERROR(VLOOKUP(A176,素材!$A:$O,COLUMN(素材!O$1),FALSE),"")</f>
        <v/>
      </c>
      <c r="BN176">
        <f t="shared" si="6"/>
        <v>0</v>
      </c>
      <c r="BP176" t="str">
        <f>素材!M65&amp;".webp"</f>
        <v>骨.webp</v>
      </c>
      <c r="BQ176" t="str">
        <f t="shared" si="5"/>
        <v>i_176</v>
      </c>
    </row>
    <row r="177" spans="1:69" outlineLevel="1" x14ac:dyDescent="0.4">
      <c r="A177">
        <f>素材!A74</f>
        <v>0</v>
      </c>
      <c r="B177" t="str">
        <f>IFERROR(VLOOKUP(A177,素材!$A:$O,COLUMN(素材!B$1),FALSE),"")</f>
        <v/>
      </c>
      <c r="C177" s="24" t="str">
        <f>IFERROR(VLOOKUP(A177,素材!$A:$O,COLUMN(素材!M$1),FALSE),"")</f>
        <v/>
      </c>
      <c r="D177" s="24"/>
      <c r="E177" t="s">
        <v>190</v>
      </c>
      <c r="F177" s="1" t="str">
        <f>IFERROR(VLOOKUP(A177,素材!$A:$O,COLUMN(素材!O$1),FALSE),"")</f>
        <v/>
      </c>
      <c r="BN177">
        <f t="shared" si="6"/>
        <v>0</v>
      </c>
      <c r="BP177" t="str">
        <f>素材!M66&amp;".webp"</f>
        <v>骨.webp</v>
      </c>
      <c r="BQ177" t="str">
        <f t="shared" si="5"/>
        <v>i_177</v>
      </c>
    </row>
    <row r="178" spans="1:69" outlineLevel="1" x14ac:dyDescent="0.4">
      <c r="A178">
        <f>素材!A75</f>
        <v>0</v>
      </c>
      <c r="B178" t="str">
        <f>IFERROR(VLOOKUP(A178,素材!$A:$O,COLUMN(素材!B$1),FALSE),"")</f>
        <v/>
      </c>
      <c r="C178" s="24" t="str">
        <f>IFERROR(VLOOKUP(A178,素材!$A:$O,COLUMN(素材!M$1),FALSE),"")</f>
        <v/>
      </c>
      <c r="D178" s="24"/>
      <c r="E178" t="s">
        <v>190</v>
      </c>
      <c r="F178" s="1" t="str">
        <f>IFERROR(VLOOKUP(A178,素材!$A:$O,COLUMN(素材!O$1),FALSE),"")</f>
        <v/>
      </c>
      <c r="BN178">
        <f t="shared" si="6"/>
        <v>0</v>
      </c>
      <c r="BP178" t="str">
        <f>素材!M73&amp;".webp"</f>
        <v>.webp</v>
      </c>
      <c r="BQ178" t="str">
        <f t="shared" si="5"/>
        <v>i_178</v>
      </c>
    </row>
    <row r="179" spans="1:69" outlineLevel="1" x14ac:dyDescent="0.4">
      <c r="A179">
        <f>素材!A76</f>
        <v>0</v>
      </c>
      <c r="B179" t="str">
        <f>IFERROR(VLOOKUP(A179,素材!$A:$O,COLUMN(素材!B$1),FALSE),"")</f>
        <v/>
      </c>
      <c r="C179" s="24" t="str">
        <f>IFERROR(VLOOKUP(A179,素材!$A:$O,COLUMN(素材!M$1),FALSE),"")</f>
        <v/>
      </c>
      <c r="D179" s="24"/>
      <c r="E179" t="s">
        <v>190</v>
      </c>
      <c r="F179" s="1" t="str">
        <f>IFERROR(VLOOKUP(A179,素材!$A:$O,COLUMN(素材!O$1),FALSE),"")</f>
        <v/>
      </c>
      <c r="BN179">
        <f t="shared" si="6"/>
        <v>0</v>
      </c>
      <c r="BP179" t="str">
        <f>素材!M74&amp;".webp"</f>
        <v>.webp</v>
      </c>
      <c r="BQ179" t="str">
        <f t="shared" si="5"/>
        <v>i_179</v>
      </c>
    </row>
    <row r="180" spans="1:69" outlineLevel="1" x14ac:dyDescent="0.4">
      <c r="A180">
        <f>素材!A77</f>
        <v>0</v>
      </c>
      <c r="B180" t="str">
        <f>IFERROR(VLOOKUP(A180,素材!$A:$O,COLUMN(素材!B$1),FALSE),"")</f>
        <v/>
      </c>
      <c r="C180" s="24" t="str">
        <f>IFERROR(VLOOKUP(A180,素材!$A:$O,COLUMN(素材!M$1),FALSE),"")</f>
        <v/>
      </c>
      <c r="D180" s="24"/>
      <c r="E180" t="s">
        <v>190</v>
      </c>
      <c r="F180" s="1" t="str">
        <f>IFERROR(VLOOKUP(A180,素材!$A:$O,COLUMN(素材!O$1),FALSE),"")</f>
        <v/>
      </c>
      <c r="BN180">
        <f t="shared" si="6"/>
        <v>0</v>
      </c>
      <c r="BP180" t="str">
        <f>素材!M75&amp;".webp"</f>
        <v>.webp</v>
      </c>
      <c r="BQ180" t="str">
        <f t="shared" si="5"/>
        <v>i_180</v>
      </c>
    </row>
    <row r="181" spans="1:69" outlineLevel="1" x14ac:dyDescent="0.4">
      <c r="A181">
        <f>素材!A78</f>
        <v>0</v>
      </c>
      <c r="B181" t="str">
        <f>IFERROR(VLOOKUP(A181,素材!$A:$O,COLUMN(素材!B$1),FALSE),"")</f>
        <v/>
      </c>
      <c r="C181" s="24" t="str">
        <f>IFERROR(VLOOKUP(A181,素材!$A:$O,COLUMN(素材!M$1),FALSE),"")</f>
        <v/>
      </c>
      <c r="D181" s="24"/>
      <c r="E181" t="s">
        <v>190</v>
      </c>
      <c r="F181" s="1" t="str">
        <f>IFERROR(VLOOKUP(A181,素材!$A:$O,COLUMN(素材!O$1),FALSE),"")</f>
        <v/>
      </c>
      <c r="BN181">
        <f t="shared" si="6"/>
        <v>0</v>
      </c>
      <c r="BP181" t="str">
        <f>素材!M76&amp;".webp"</f>
        <v>.webp</v>
      </c>
      <c r="BQ181" t="str">
        <f t="shared" si="5"/>
        <v>i_181</v>
      </c>
    </row>
    <row r="182" spans="1:69" outlineLevel="1" x14ac:dyDescent="0.4">
      <c r="A182">
        <f>素材!A79</f>
        <v>0</v>
      </c>
      <c r="B182" t="str">
        <f>IFERROR(VLOOKUP(A182,素材!$A:$O,COLUMN(素材!B$1),FALSE),"")</f>
        <v/>
      </c>
      <c r="C182" s="24" t="str">
        <f>IFERROR(VLOOKUP(A182,素材!$A:$O,COLUMN(素材!M$1),FALSE),"")</f>
        <v/>
      </c>
      <c r="D182" s="24"/>
      <c r="E182" t="s">
        <v>190</v>
      </c>
      <c r="F182" s="1" t="str">
        <f>IFERROR(VLOOKUP(A182,素材!$A:$O,COLUMN(素材!O$1),FALSE),"")</f>
        <v/>
      </c>
      <c r="BN182">
        <f t="shared" si="6"/>
        <v>0</v>
      </c>
      <c r="BP182" t="str">
        <f>素材!M77&amp;".webp"</f>
        <v>.webp</v>
      </c>
      <c r="BQ182" t="str">
        <f t="shared" si="5"/>
        <v>i_182</v>
      </c>
    </row>
    <row r="183" spans="1:69" outlineLevel="1" x14ac:dyDescent="0.4">
      <c r="A183">
        <f>素材!A80</f>
        <v>0</v>
      </c>
      <c r="B183" t="str">
        <f>IFERROR(VLOOKUP(A183,素材!$A:$O,COLUMN(素材!B$1),FALSE),"")</f>
        <v/>
      </c>
      <c r="C183" s="24" t="str">
        <f>IFERROR(VLOOKUP(A183,素材!$A:$O,COLUMN(素材!M$1),FALSE),"")</f>
        <v/>
      </c>
      <c r="D183" s="24"/>
      <c r="E183" t="s">
        <v>190</v>
      </c>
      <c r="F183" s="1" t="str">
        <f>IFERROR(VLOOKUP(A183,素材!$A:$O,COLUMN(素材!O$1),FALSE),"")</f>
        <v/>
      </c>
      <c r="BN183">
        <f t="shared" si="6"/>
        <v>0</v>
      </c>
      <c r="BP183" t="str">
        <f>素材!M78&amp;".webp"</f>
        <v>.webp</v>
      </c>
      <c r="BQ183" t="str">
        <f t="shared" si="5"/>
        <v>i_183</v>
      </c>
    </row>
    <row r="184" spans="1:69" outlineLevel="1" x14ac:dyDescent="0.4">
      <c r="A184">
        <f>素材!A81</f>
        <v>0</v>
      </c>
      <c r="B184" t="str">
        <f>IFERROR(VLOOKUP(A184,素材!$A:$O,COLUMN(素材!B$1),FALSE),"")</f>
        <v/>
      </c>
      <c r="C184" s="24" t="str">
        <f>IFERROR(VLOOKUP(A184,素材!$A:$O,COLUMN(素材!M$1),FALSE),"")</f>
        <v/>
      </c>
      <c r="D184" s="24"/>
      <c r="E184" t="s">
        <v>190</v>
      </c>
      <c r="F184" s="1" t="str">
        <f>IFERROR(VLOOKUP(A184,素材!$A:$O,COLUMN(素材!O$1),FALSE),"")</f>
        <v/>
      </c>
      <c r="BN184">
        <f t="shared" si="6"/>
        <v>0</v>
      </c>
      <c r="BP184" t="str">
        <f>素材!M79&amp;".webp"</f>
        <v>.webp</v>
      </c>
      <c r="BQ184" t="str">
        <f t="shared" si="5"/>
        <v>i_184</v>
      </c>
    </row>
    <row r="185" spans="1:69" outlineLevel="1" x14ac:dyDescent="0.4">
      <c r="D185" s="24"/>
      <c r="BN185">
        <f t="shared" si="6"/>
        <v>0</v>
      </c>
      <c r="BP185" t="str">
        <f>素材!M80&amp;".webp"</f>
        <v>.webp</v>
      </c>
      <c r="BQ185" t="str">
        <f t="shared" si="5"/>
        <v>i_185</v>
      </c>
    </row>
    <row r="186" spans="1:69" outlineLevel="1" x14ac:dyDescent="0.4">
      <c r="D186" s="24"/>
      <c r="BN186">
        <f t="shared" si="6"/>
        <v>0</v>
      </c>
      <c r="BP186" t="str">
        <f>素材!M81&amp;".webp"</f>
        <v>.webp</v>
      </c>
      <c r="BQ186" t="str">
        <f t="shared" si="5"/>
        <v>i_186</v>
      </c>
    </row>
    <row r="187" spans="1:69" outlineLevel="1" x14ac:dyDescent="0.4">
      <c r="D187" s="24"/>
      <c r="BN187">
        <f t="shared" si="6"/>
        <v>0</v>
      </c>
      <c r="BP187" t="str">
        <f>素材!M82&amp;".webp"</f>
        <v>.webp</v>
      </c>
      <c r="BQ187" t="str">
        <f t="shared" si="5"/>
        <v>i_187</v>
      </c>
    </row>
    <row r="188" spans="1:69" outlineLevel="1" x14ac:dyDescent="0.4">
      <c r="D188" s="24"/>
      <c r="BN188">
        <f t="shared" si="6"/>
        <v>0</v>
      </c>
      <c r="BP188" t="str">
        <f>素材!M83&amp;".webp"</f>
        <v>.webp</v>
      </c>
      <c r="BQ188" t="str">
        <f t="shared" si="5"/>
        <v>i_188</v>
      </c>
    </row>
    <row r="189" spans="1:69" outlineLevel="1" x14ac:dyDescent="0.4">
      <c r="D189" s="24"/>
      <c r="BN189">
        <f t="shared" si="6"/>
        <v>0</v>
      </c>
      <c r="BP189" t="str">
        <f>素材!M84&amp;".webp"</f>
        <v>.webp</v>
      </c>
      <c r="BQ189" t="str">
        <f t="shared" si="5"/>
        <v>i_189</v>
      </c>
    </row>
    <row r="190" spans="1:69" outlineLevel="1" x14ac:dyDescent="0.4">
      <c r="D190" s="24"/>
      <c r="BN190">
        <f t="shared" si="6"/>
        <v>0</v>
      </c>
      <c r="BP190" t="str">
        <f>素材!M85&amp;".webp"</f>
        <v>.webp</v>
      </c>
      <c r="BQ190" t="str">
        <f t="shared" si="5"/>
        <v>i_190</v>
      </c>
    </row>
    <row r="191" spans="1:69" outlineLevel="1" x14ac:dyDescent="0.4">
      <c r="D191" s="24"/>
      <c r="BN191">
        <f t="shared" si="6"/>
        <v>0</v>
      </c>
      <c r="BP191" t="str">
        <f>素材!M86&amp;".webp"</f>
        <v>.webp</v>
      </c>
      <c r="BQ191" t="str">
        <f t="shared" si="5"/>
        <v>i_191</v>
      </c>
    </row>
    <row r="192" spans="1:69" outlineLevel="1" x14ac:dyDescent="0.4">
      <c r="D192" s="24"/>
      <c r="BN192">
        <f t="shared" si="6"/>
        <v>0</v>
      </c>
      <c r="BP192" t="str">
        <f>素材!M87&amp;".webp"</f>
        <v>.webp</v>
      </c>
      <c r="BQ192" t="str">
        <f t="shared" si="5"/>
        <v>i_192</v>
      </c>
    </row>
    <row r="193" spans="3:69" outlineLevel="1" x14ac:dyDescent="0.4">
      <c r="D193" s="24"/>
      <c r="BN193">
        <f t="shared" si="6"/>
        <v>0</v>
      </c>
      <c r="BP193" t="str">
        <f>素材!M88&amp;".webp"</f>
        <v>.webp</v>
      </c>
      <c r="BQ193" t="str">
        <f t="shared" si="5"/>
        <v>i_193</v>
      </c>
    </row>
    <row r="194" spans="3:69" outlineLevel="1" x14ac:dyDescent="0.4">
      <c r="D194" s="24"/>
      <c r="BN194">
        <f t="shared" si="6"/>
        <v>0</v>
      </c>
      <c r="BP194" t="str">
        <f>素材!M89&amp;".webp"</f>
        <v>.webp</v>
      </c>
      <c r="BQ194" t="str">
        <f t="shared" si="5"/>
        <v>i_194</v>
      </c>
    </row>
    <row r="195" spans="3:69" outlineLevel="1" x14ac:dyDescent="0.4">
      <c r="D195" s="24"/>
      <c r="BN195">
        <f t="shared" si="6"/>
        <v>0</v>
      </c>
      <c r="BP195" t="str">
        <f>素材!M90&amp;".webp"</f>
        <v>.webp</v>
      </c>
      <c r="BQ195" t="str">
        <f t="shared" si="5"/>
        <v>i_195</v>
      </c>
    </row>
    <row r="196" spans="3:69" outlineLevel="1" x14ac:dyDescent="0.4">
      <c r="D196" s="24"/>
      <c r="BN196">
        <f t="shared" si="6"/>
        <v>0</v>
      </c>
      <c r="BP196" t="str">
        <f>素材!M91&amp;".webp"</f>
        <v>.webp</v>
      </c>
      <c r="BQ196" t="str">
        <f t="shared" si="5"/>
        <v>i_196</v>
      </c>
    </row>
    <row r="197" spans="3:69" outlineLevel="1" x14ac:dyDescent="0.4">
      <c r="D197" s="24"/>
      <c r="BN197">
        <f t="shared" si="6"/>
        <v>0</v>
      </c>
      <c r="BP197" t="str">
        <f>素材!M92&amp;".webp"</f>
        <v>.webp</v>
      </c>
      <c r="BQ197" t="str">
        <f t="shared" ref="BQ197:BQ260" si="7">"i_"&amp;ROW(BQ197)</f>
        <v>i_197</v>
      </c>
    </row>
    <row r="198" spans="3:69" outlineLevel="1" x14ac:dyDescent="0.4">
      <c r="D198" s="24"/>
      <c r="BN198">
        <f t="shared" ref="BN198:BN261" si="8">BM198*100</f>
        <v>0</v>
      </c>
      <c r="BP198" t="str">
        <f>素材!M93&amp;".webp"</f>
        <v>.webp</v>
      </c>
      <c r="BQ198" t="str">
        <f t="shared" si="7"/>
        <v>i_198</v>
      </c>
    </row>
    <row r="199" spans="3:69" outlineLevel="1" x14ac:dyDescent="0.4">
      <c r="D199" s="24"/>
      <c r="BN199">
        <f t="shared" si="8"/>
        <v>0</v>
      </c>
      <c r="BP199" t="str">
        <f>素材!M94&amp;".webp"</f>
        <v>.webp</v>
      </c>
      <c r="BQ199" t="str">
        <f t="shared" si="7"/>
        <v>i_199</v>
      </c>
    </row>
    <row r="200" spans="3:69" outlineLevel="1" x14ac:dyDescent="0.4">
      <c r="D200" s="24"/>
      <c r="BN200">
        <f t="shared" si="8"/>
        <v>0</v>
      </c>
      <c r="BP200" t="str">
        <f>素材!M95&amp;".webp"</f>
        <v>.webp</v>
      </c>
      <c r="BQ200" t="str">
        <f t="shared" si="7"/>
        <v>i_200</v>
      </c>
    </row>
    <row r="201" spans="3:69" outlineLevel="1" x14ac:dyDescent="0.4">
      <c r="D201" s="24"/>
      <c r="BN201">
        <f t="shared" si="8"/>
        <v>0</v>
      </c>
      <c r="BP201" t="str">
        <f>素材!M96&amp;".webp"</f>
        <v>.webp</v>
      </c>
      <c r="BQ201" t="str">
        <f t="shared" si="7"/>
        <v>i_201</v>
      </c>
    </row>
    <row r="202" spans="3:69" outlineLevel="1" x14ac:dyDescent="0.4">
      <c r="D202" s="24"/>
      <c r="BN202">
        <f t="shared" si="8"/>
        <v>0</v>
      </c>
      <c r="BP202" t="str">
        <f>素材!M97&amp;".webp"</f>
        <v>.webp</v>
      </c>
      <c r="BQ202" t="str">
        <f t="shared" si="7"/>
        <v>i_202</v>
      </c>
    </row>
    <row r="203" spans="3:69" outlineLevel="1" x14ac:dyDescent="0.4">
      <c r="D203" s="24"/>
      <c r="BN203">
        <f t="shared" si="8"/>
        <v>0</v>
      </c>
      <c r="BP203" t="str">
        <f>素材!M98&amp;".webp"</f>
        <v>.webp</v>
      </c>
      <c r="BQ203" t="str">
        <f t="shared" si="7"/>
        <v>i_203</v>
      </c>
    </row>
    <row r="204" spans="3:69" outlineLevel="1" x14ac:dyDescent="0.4">
      <c r="D204" s="24"/>
      <c r="BN204">
        <f t="shared" si="8"/>
        <v>0</v>
      </c>
      <c r="BP204" t="str">
        <f>素材!M99&amp;".webp"</f>
        <v>.webp</v>
      </c>
      <c r="BQ204" t="str">
        <f t="shared" si="7"/>
        <v>i_204</v>
      </c>
    </row>
    <row r="205" spans="3:69" x14ac:dyDescent="0.4">
      <c r="D205" s="24"/>
      <c r="BN205">
        <f t="shared" si="8"/>
        <v>0</v>
      </c>
      <c r="BP205" t="str">
        <f>素材!M100&amp;".webp"</f>
        <v>.webp</v>
      </c>
      <c r="BQ205" t="str">
        <f t="shared" si="7"/>
        <v>i_205</v>
      </c>
    </row>
    <row r="206" spans="3:69" x14ac:dyDescent="0.4">
      <c r="C206" s="24"/>
      <c r="D206" s="24"/>
      <c r="BN206">
        <f t="shared" si="8"/>
        <v>0</v>
      </c>
      <c r="BP206" t="str">
        <f>素材!M101&amp;".webp"</f>
        <v>.webp</v>
      </c>
      <c r="BQ206" t="str">
        <f t="shared" si="7"/>
        <v>i_206</v>
      </c>
    </row>
    <row r="207" spans="3:69" outlineLevel="1" x14ac:dyDescent="0.4">
      <c r="C207" s="24"/>
      <c r="D207" s="24"/>
      <c r="BN207">
        <f t="shared" si="8"/>
        <v>0</v>
      </c>
      <c r="BP207" t="str">
        <f>素材!M102&amp;".webp"</f>
        <v>.webp</v>
      </c>
      <c r="BQ207" t="str">
        <f t="shared" si="7"/>
        <v>i_207</v>
      </c>
    </row>
    <row r="208" spans="3:69" outlineLevel="1" x14ac:dyDescent="0.4">
      <c r="C208" s="24"/>
      <c r="D208" s="24"/>
      <c r="BN208">
        <f t="shared" si="8"/>
        <v>0</v>
      </c>
      <c r="BP208" t="str">
        <f>素材!M103&amp;".webp"</f>
        <v>.webp</v>
      </c>
      <c r="BQ208" t="str">
        <f t="shared" si="7"/>
        <v>i_208</v>
      </c>
    </row>
    <row r="209" spans="3:69" outlineLevel="1" x14ac:dyDescent="0.4">
      <c r="C209" s="24"/>
      <c r="D209" s="24"/>
      <c r="BN209">
        <f t="shared" si="8"/>
        <v>0</v>
      </c>
      <c r="BP209" t="str">
        <f>素材!M104&amp;".webp"</f>
        <v>.webp</v>
      </c>
      <c r="BQ209" t="str">
        <f t="shared" si="7"/>
        <v>i_209</v>
      </c>
    </row>
    <row r="210" spans="3:69" outlineLevel="1" x14ac:dyDescent="0.4">
      <c r="C210" s="24"/>
      <c r="D210" s="24"/>
      <c r="BN210">
        <f t="shared" si="8"/>
        <v>0</v>
      </c>
      <c r="BP210" t="str">
        <f>素材!M105&amp;".webp"</f>
        <v>.webp</v>
      </c>
      <c r="BQ210" t="str">
        <f t="shared" si="7"/>
        <v>i_210</v>
      </c>
    </row>
    <row r="211" spans="3:69" outlineLevel="1" x14ac:dyDescent="0.4">
      <c r="C211" s="24"/>
      <c r="D211" s="24"/>
      <c r="BN211">
        <f t="shared" si="8"/>
        <v>0</v>
      </c>
      <c r="BP211" t="str">
        <f>素材!M106&amp;".webp"</f>
        <v>.webp</v>
      </c>
      <c r="BQ211" t="str">
        <f t="shared" si="7"/>
        <v>i_211</v>
      </c>
    </row>
    <row r="212" spans="3:69" outlineLevel="1" x14ac:dyDescent="0.4">
      <c r="C212" s="24"/>
      <c r="D212" s="24"/>
      <c r="BN212">
        <f t="shared" si="8"/>
        <v>0</v>
      </c>
      <c r="BP212" t="str">
        <f>素材!M107&amp;".webp"</f>
        <v>.webp</v>
      </c>
      <c r="BQ212" t="str">
        <f t="shared" si="7"/>
        <v>i_212</v>
      </c>
    </row>
    <row r="213" spans="3:69" outlineLevel="1" x14ac:dyDescent="0.4">
      <c r="C213" s="24"/>
      <c r="D213" s="24"/>
      <c r="BN213">
        <f t="shared" si="8"/>
        <v>0</v>
      </c>
      <c r="BP213" t="str">
        <f>素材!M108&amp;".webp"</f>
        <v>.webp</v>
      </c>
      <c r="BQ213" t="str">
        <f t="shared" si="7"/>
        <v>i_213</v>
      </c>
    </row>
    <row r="214" spans="3:69" outlineLevel="1" x14ac:dyDescent="0.4">
      <c r="C214" s="24"/>
      <c r="D214" s="24"/>
      <c r="BN214">
        <f t="shared" si="8"/>
        <v>0</v>
      </c>
      <c r="BP214" t="str">
        <f>素材!M109&amp;".webp"</f>
        <v>.webp</v>
      </c>
      <c r="BQ214" t="str">
        <f t="shared" si="7"/>
        <v>i_214</v>
      </c>
    </row>
    <row r="215" spans="3:69" outlineLevel="1" x14ac:dyDescent="0.4">
      <c r="C215" s="24"/>
      <c r="D215" s="24"/>
      <c r="BN215">
        <f t="shared" si="8"/>
        <v>0</v>
      </c>
      <c r="BP215" t="str">
        <f>素材!M110&amp;".webp"</f>
        <v>.webp</v>
      </c>
      <c r="BQ215" t="str">
        <f t="shared" si="7"/>
        <v>i_215</v>
      </c>
    </row>
    <row r="216" spans="3:69" outlineLevel="1" x14ac:dyDescent="0.4">
      <c r="C216" s="24"/>
      <c r="D216" s="24"/>
      <c r="BN216">
        <f t="shared" si="8"/>
        <v>0</v>
      </c>
      <c r="BP216" t="str">
        <f>素材!M111&amp;".webp"</f>
        <v>.webp</v>
      </c>
      <c r="BQ216" t="str">
        <f t="shared" si="7"/>
        <v>i_216</v>
      </c>
    </row>
    <row r="217" spans="3:69" outlineLevel="1" x14ac:dyDescent="0.4">
      <c r="C217" s="24"/>
      <c r="D217" s="24"/>
      <c r="BN217">
        <f t="shared" si="8"/>
        <v>0</v>
      </c>
      <c r="BP217" t="str">
        <f>素材!M112&amp;".webp"</f>
        <v>.webp</v>
      </c>
      <c r="BQ217" t="str">
        <f t="shared" si="7"/>
        <v>i_217</v>
      </c>
    </row>
    <row r="218" spans="3:69" outlineLevel="1" x14ac:dyDescent="0.4">
      <c r="C218" s="24"/>
      <c r="D218" s="24"/>
      <c r="BN218">
        <f t="shared" si="8"/>
        <v>0</v>
      </c>
      <c r="BP218" t="str">
        <f>素材!M113&amp;".webp"</f>
        <v>.webp</v>
      </c>
      <c r="BQ218" t="str">
        <f t="shared" si="7"/>
        <v>i_218</v>
      </c>
    </row>
    <row r="219" spans="3:69" outlineLevel="1" x14ac:dyDescent="0.4">
      <c r="C219" s="24"/>
      <c r="D219" s="24"/>
      <c r="BN219">
        <f t="shared" si="8"/>
        <v>0</v>
      </c>
      <c r="BP219" t="str">
        <f>素材!M114&amp;".webp"</f>
        <v>.webp</v>
      </c>
      <c r="BQ219" t="str">
        <f t="shared" si="7"/>
        <v>i_219</v>
      </c>
    </row>
    <row r="220" spans="3:69" outlineLevel="1" x14ac:dyDescent="0.4">
      <c r="D220" s="24"/>
      <c r="BN220">
        <f t="shared" si="8"/>
        <v>0</v>
      </c>
      <c r="BP220" t="str">
        <f>素材!M115&amp;".webp"</f>
        <v>.webp</v>
      </c>
      <c r="BQ220" t="str">
        <f t="shared" si="7"/>
        <v>i_220</v>
      </c>
    </row>
    <row r="221" spans="3:69" outlineLevel="1" x14ac:dyDescent="0.4">
      <c r="D221" s="24"/>
      <c r="BN221">
        <f t="shared" si="8"/>
        <v>0</v>
      </c>
      <c r="BP221" t="str">
        <f>素材!M116&amp;".webp"</f>
        <v>.webp</v>
      </c>
      <c r="BQ221" t="str">
        <f t="shared" si="7"/>
        <v>i_221</v>
      </c>
    </row>
    <row r="222" spans="3:69" outlineLevel="1" x14ac:dyDescent="0.4">
      <c r="D222" s="24"/>
      <c r="BN222">
        <f t="shared" si="8"/>
        <v>0</v>
      </c>
      <c r="BP222" t="str">
        <f>素材!M117&amp;".webp"</f>
        <v>.webp</v>
      </c>
      <c r="BQ222" t="str">
        <f t="shared" si="7"/>
        <v>i_222</v>
      </c>
    </row>
    <row r="223" spans="3:69" outlineLevel="1" x14ac:dyDescent="0.4">
      <c r="D223" s="24"/>
      <c r="BN223">
        <f t="shared" si="8"/>
        <v>0</v>
      </c>
      <c r="BP223" t="str">
        <f>素材!M118&amp;".webp"</f>
        <v>.webp</v>
      </c>
      <c r="BQ223" t="str">
        <f t="shared" si="7"/>
        <v>i_223</v>
      </c>
    </row>
    <row r="224" spans="3:69" outlineLevel="1" x14ac:dyDescent="0.4">
      <c r="D224" s="24"/>
      <c r="BN224">
        <f t="shared" si="8"/>
        <v>0</v>
      </c>
      <c r="BP224" t="str">
        <f>素材!M119&amp;".webp"</f>
        <v>.webp</v>
      </c>
      <c r="BQ224" t="str">
        <f t="shared" si="7"/>
        <v>i_224</v>
      </c>
    </row>
    <row r="225" spans="4:69" outlineLevel="1" x14ac:dyDescent="0.4">
      <c r="D225" s="24"/>
      <c r="BN225">
        <f t="shared" si="8"/>
        <v>0</v>
      </c>
      <c r="BP225" t="str">
        <f>素材!M120&amp;".webp"</f>
        <v>.webp</v>
      </c>
      <c r="BQ225" t="str">
        <f t="shared" si="7"/>
        <v>i_225</v>
      </c>
    </row>
    <row r="226" spans="4:69" outlineLevel="1" x14ac:dyDescent="0.4">
      <c r="D226" s="24"/>
      <c r="BN226">
        <f t="shared" si="8"/>
        <v>0</v>
      </c>
      <c r="BP226" t="str">
        <f>素材!M121&amp;".webp"</f>
        <v>.webp</v>
      </c>
      <c r="BQ226" t="str">
        <f t="shared" si="7"/>
        <v>i_226</v>
      </c>
    </row>
    <row r="227" spans="4:69" outlineLevel="1" x14ac:dyDescent="0.4">
      <c r="D227" s="24"/>
      <c r="BN227">
        <f t="shared" si="8"/>
        <v>0</v>
      </c>
      <c r="BP227" t="str">
        <f>素材!M122&amp;".webp"</f>
        <v>.webp</v>
      </c>
      <c r="BQ227" t="str">
        <f t="shared" si="7"/>
        <v>i_227</v>
      </c>
    </row>
    <row r="228" spans="4:69" outlineLevel="1" x14ac:dyDescent="0.4">
      <c r="D228" s="24"/>
      <c r="BN228">
        <f t="shared" si="8"/>
        <v>0</v>
      </c>
      <c r="BP228" t="str">
        <f>素材!M123&amp;".webp"</f>
        <v>.webp</v>
      </c>
      <c r="BQ228" t="str">
        <f t="shared" si="7"/>
        <v>i_228</v>
      </c>
    </row>
    <row r="229" spans="4:69" outlineLevel="1" x14ac:dyDescent="0.4">
      <c r="D229" s="24"/>
      <c r="BN229">
        <f t="shared" si="8"/>
        <v>0</v>
      </c>
      <c r="BP229" t="str">
        <f>素材!M124&amp;".webp"</f>
        <v>.webp</v>
      </c>
      <c r="BQ229" t="str">
        <f t="shared" si="7"/>
        <v>i_229</v>
      </c>
    </row>
    <row r="230" spans="4:69" outlineLevel="1" x14ac:dyDescent="0.4">
      <c r="D230" s="24"/>
      <c r="BN230">
        <f t="shared" si="8"/>
        <v>0</v>
      </c>
      <c r="BP230" t="str">
        <f>素材!M125&amp;".webp"</f>
        <v>.webp</v>
      </c>
      <c r="BQ230" t="str">
        <f t="shared" si="7"/>
        <v>i_230</v>
      </c>
    </row>
    <row r="231" spans="4:69" outlineLevel="1" x14ac:dyDescent="0.4">
      <c r="D231" s="24"/>
      <c r="BN231">
        <f t="shared" si="8"/>
        <v>0</v>
      </c>
      <c r="BP231" t="str">
        <f>素材!M126&amp;".webp"</f>
        <v>.webp</v>
      </c>
      <c r="BQ231" t="str">
        <f t="shared" si="7"/>
        <v>i_231</v>
      </c>
    </row>
    <row r="232" spans="4:69" outlineLevel="1" x14ac:dyDescent="0.4">
      <c r="D232" s="24"/>
      <c r="BN232">
        <f t="shared" si="8"/>
        <v>0</v>
      </c>
      <c r="BP232" t="str">
        <f>素材!M127&amp;".webp"</f>
        <v>.webp</v>
      </c>
      <c r="BQ232" t="str">
        <f t="shared" si="7"/>
        <v>i_232</v>
      </c>
    </row>
    <row r="233" spans="4:69" outlineLevel="1" x14ac:dyDescent="0.4">
      <c r="D233" s="24"/>
      <c r="BN233">
        <f t="shared" si="8"/>
        <v>0</v>
      </c>
      <c r="BP233" t="str">
        <f>素材!M128&amp;".webp"</f>
        <v>.webp</v>
      </c>
      <c r="BQ233" t="str">
        <f t="shared" si="7"/>
        <v>i_233</v>
      </c>
    </row>
    <row r="234" spans="4:69" outlineLevel="1" x14ac:dyDescent="0.4">
      <c r="D234" s="24"/>
      <c r="BN234">
        <f t="shared" si="8"/>
        <v>0</v>
      </c>
      <c r="BP234" t="str">
        <f>素材!M129&amp;".webp"</f>
        <v>.webp</v>
      </c>
      <c r="BQ234" t="str">
        <f t="shared" si="7"/>
        <v>i_234</v>
      </c>
    </row>
    <row r="235" spans="4:69" outlineLevel="1" x14ac:dyDescent="0.4">
      <c r="D235" s="24"/>
      <c r="BN235">
        <f t="shared" si="8"/>
        <v>0</v>
      </c>
      <c r="BP235" t="str">
        <f>素材!M130&amp;".webp"</f>
        <v>.webp</v>
      </c>
      <c r="BQ235" t="str">
        <f t="shared" si="7"/>
        <v>i_235</v>
      </c>
    </row>
    <row r="236" spans="4:69" outlineLevel="1" x14ac:dyDescent="0.4">
      <c r="D236" s="24"/>
      <c r="BN236">
        <f t="shared" si="8"/>
        <v>0</v>
      </c>
      <c r="BP236" t="str">
        <f>素材!M131&amp;".webp"</f>
        <v>.webp</v>
      </c>
      <c r="BQ236" t="str">
        <f t="shared" si="7"/>
        <v>i_236</v>
      </c>
    </row>
    <row r="237" spans="4:69" outlineLevel="1" x14ac:dyDescent="0.4">
      <c r="D237" s="24"/>
      <c r="BN237">
        <f t="shared" si="8"/>
        <v>0</v>
      </c>
      <c r="BP237" t="str">
        <f>素材!M132&amp;".webp"</f>
        <v>.webp</v>
      </c>
      <c r="BQ237" t="str">
        <f t="shared" si="7"/>
        <v>i_237</v>
      </c>
    </row>
    <row r="238" spans="4:69" outlineLevel="1" x14ac:dyDescent="0.4">
      <c r="D238" s="24"/>
      <c r="BN238">
        <f t="shared" si="8"/>
        <v>0</v>
      </c>
      <c r="BP238" t="str">
        <f>素材!M133&amp;".webp"</f>
        <v>.webp</v>
      </c>
      <c r="BQ238" t="str">
        <f t="shared" si="7"/>
        <v>i_238</v>
      </c>
    </row>
    <row r="239" spans="4:69" outlineLevel="1" x14ac:dyDescent="0.4">
      <c r="D239" s="24"/>
      <c r="BN239">
        <f t="shared" si="8"/>
        <v>0</v>
      </c>
      <c r="BP239" t="str">
        <f>素材!M134&amp;".webp"</f>
        <v>.webp</v>
      </c>
      <c r="BQ239" t="str">
        <f t="shared" si="7"/>
        <v>i_239</v>
      </c>
    </row>
    <row r="240" spans="4:69" outlineLevel="1" x14ac:dyDescent="0.4">
      <c r="D240" s="24"/>
      <c r="BN240">
        <f t="shared" si="8"/>
        <v>0</v>
      </c>
      <c r="BP240" t="str">
        <f>素材!M135&amp;".webp"</f>
        <v>.webp</v>
      </c>
      <c r="BQ240" t="str">
        <f t="shared" si="7"/>
        <v>i_240</v>
      </c>
    </row>
    <row r="241" spans="3:69" outlineLevel="1" x14ac:dyDescent="0.4">
      <c r="D241" s="24"/>
      <c r="BN241">
        <f t="shared" si="8"/>
        <v>0</v>
      </c>
      <c r="BP241" t="str">
        <f>素材!M136&amp;".webp"</f>
        <v>.webp</v>
      </c>
      <c r="BQ241" t="str">
        <f t="shared" si="7"/>
        <v>i_241</v>
      </c>
    </row>
    <row r="242" spans="3:69" outlineLevel="1" x14ac:dyDescent="0.4">
      <c r="D242" s="24"/>
      <c r="BN242">
        <f t="shared" si="8"/>
        <v>0</v>
      </c>
      <c r="BP242" t="str">
        <f>素材!M137&amp;".webp"</f>
        <v>.webp</v>
      </c>
      <c r="BQ242" t="str">
        <f t="shared" si="7"/>
        <v>i_242</v>
      </c>
    </row>
    <row r="243" spans="3:69" outlineLevel="1" x14ac:dyDescent="0.4">
      <c r="D243" s="24"/>
      <c r="BN243">
        <f t="shared" si="8"/>
        <v>0</v>
      </c>
      <c r="BP243" t="str">
        <f>素材!M138&amp;".webp"</f>
        <v>.webp</v>
      </c>
      <c r="BQ243" t="str">
        <f t="shared" si="7"/>
        <v>i_243</v>
      </c>
    </row>
    <row r="244" spans="3:69" outlineLevel="1" x14ac:dyDescent="0.4">
      <c r="D244" s="24"/>
      <c r="BN244">
        <f t="shared" si="8"/>
        <v>0</v>
      </c>
      <c r="BP244" t="str">
        <f>素材!M139&amp;".webp"</f>
        <v>.webp</v>
      </c>
      <c r="BQ244" t="str">
        <f t="shared" si="7"/>
        <v>i_244</v>
      </c>
    </row>
    <row r="245" spans="3:69" outlineLevel="1" x14ac:dyDescent="0.4">
      <c r="D245" s="24"/>
      <c r="BN245">
        <f t="shared" si="8"/>
        <v>0</v>
      </c>
      <c r="BP245" t="str">
        <f>素材!M140&amp;".webp"</f>
        <v>.webp</v>
      </c>
      <c r="BQ245" t="str">
        <f t="shared" si="7"/>
        <v>i_245</v>
      </c>
    </row>
    <row r="246" spans="3:69" outlineLevel="1" x14ac:dyDescent="0.4">
      <c r="D246" s="24"/>
      <c r="BN246">
        <f t="shared" si="8"/>
        <v>0</v>
      </c>
      <c r="BP246" t="str">
        <f>素材!M141&amp;".webp"</f>
        <v>.webp</v>
      </c>
      <c r="BQ246" t="str">
        <f t="shared" si="7"/>
        <v>i_246</v>
      </c>
    </row>
    <row r="247" spans="3:69" outlineLevel="1" x14ac:dyDescent="0.4">
      <c r="D247" s="24"/>
      <c r="BN247">
        <f t="shared" si="8"/>
        <v>0</v>
      </c>
      <c r="BP247" t="str">
        <f>素材!M142&amp;".webp"</f>
        <v>.webp</v>
      </c>
      <c r="BQ247" t="str">
        <f t="shared" si="7"/>
        <v>i_247</v>
      </c>
    </row>
    <row r="248" spans="3:69" outlineLevel="1" x14ac:dyDescent="0.4">
      <c r="D248" s="24"/>
      <c r="BN248">
        <f t="shared" si="8"/>
        <v>0</v>
      </c>
      <c r="BP248" t="str">
        <f>素材!M143&amp;".webp"</f>
        <v>.webp</v>
      </c>
      <c r="BQ248" t="str">
        <f t="shared" si="7"/>
        <v>i_248</v>
      </c>
    </row>
    <row r="249" spans="3:69" outlineLevel="1" x14ac:dyDescent="0.4">
      <c r="D249" s="24"/>
      <c r="BN249">
        <f t="shared" si="8"/>
        <v>0</v>
      </c>
      <c r="BP249" t="str">
        <f>素材!M144&amp;".webp"</f>
        <v>.webp</v>
      </c>
      <c r="BQ249" t="str">
        <f t="shared" si="7"/>
        <v>i_249</v>
      </c>
    </row>
    <row r="250" spans="3:69" outlineLevel="1" x14ac:dyDescent="0.4">
      <c r="D250" s="24"/>
      <c r="BN250">
        <f t="shared" si="8"/>
        <v>0</v>
      </c>
      <c r="BP250" t="str">
        <f>素材!M145&amp;".webp"</f>
        <v>.webp</v>
      </c>
      <c r="BQ250" t="str">
        <f t="shared" si="7"/>
        <v>i_250</v>
      </c>
    </row>
    <row r="251" spans="3:69" outlineLevel="1" x14ac:dyDescent="0.4">
      <c r="D251" s="24"/>
      <c r="BN251">
        <f t="shared" si="8"/>
        <v>0</v>
      </c>
      <c r="BP251" t="str">
        <f>素材!M146&amp;".webp"</f>
        <v>.webp</v>
      </c>
      <c r="BQ251" t="str">
        <f t="shared" si="7"/>
        <v>i_251</v>
      </c>
    </row>
    <row r="252" spans="3:69" outlineLevel="1" x14ac:dyDescent="0.4">
      <c r="D252" s="24"/>
      <c r="BN252">
        <f t="shared" si="8"/>
        <v>0</v>
      </c>
      <c r="BP252" t="str">
        <f>素材!M147&amp;".webp"</f>
        <v>.webp</v>
      </c>
      <c r="BQ252" t="str">
        <f t="shared" si="7"/>
        <v>i_252</v>
      </c>
    </row>
    <row r="253" spans="3:69" outlineLevel="1" x14ac:dyDescent="0.4">
      <c r="D253" s="24"/>
      <c r="BN253">
        <f t="shared" si="8"/>
        <v>0</v>
      </c>
      <c r="BP253" t="str">
        <f>素材!M148&amp;".webp"</f>
        <v>.webp</v>
      </c>
      <c r="BQ253" t="str">
        <f t="shared" si="7"/>
        <v>i_253</v>
      </c>
    </row>
    <row r="254" spans="3:69" outlineLevel="1" x14ac:dyDescent="0.4">
      <c r="D254" s="24"/>
      <c r="BN254">
        <f t="shared" si="8"/>
        <v>0</v>
      </c>
      <c r="BP254" t="str">
        <f>素材!M149&amp;".webp"</f>
        <v>.webp</v>
      </c>
      <c r="BQ254" t="str">
        <f t="shared" si="7"/>
        <v>i_254</v>
      </c>
    </row>
    <row r="255" spans="3:69" outlineLevel="1" x14ac:dyDescent="0.4">
      <c r="C255" s="24"/>
      <c r="D255" s="24"/>
      <c r="BN255">
        <f t="shared" si="8"/>
        <v>0</v>
      </c>
      <c r="BP255" t="str">
        <f>素材!M150&amp;".webp"</f>
        <v>.webp</v>
      </c>
      <c r="BQ255" t="str">
        <f t="shared" si="7"/>
        <v>i_255</v>
      </c>
    </row>
    <row r="256" spans="3:69" outlineLevel="1" x14ac:dyDescent="0.4">
      <c r="C256" s="24"/>
      <c r="D256" s="24"/>
      <c r="BN256">
        <f t="shared" si="8"/>
        <v>0</v>
      </c>
      <c r="BP256" t="str">
        <f>素材!M151&amp;".webp"</f>
        <v>.webp</v>
      </c>
      <c r="BQ256" t="str">
        <f t="shared" si="7"/>
        <v>i_256</v>
      </c>
    </row>
    <row r="257" spans="3:69" outlineLevel="1" x14ac:dyDescent="0.4">
      <c r="C257" s="24"/>
      <c r="D257" s="24"/>
      <c r="BN257">
        <f t="shared" si="8"/>
        <v>0</v>
      </c>
      <c r="BP257" t="str">
        <f>素材!M152&amp;".webp"</f>
        <v>.webp</v>
      </c>
      <c r="BQ257" t="str">
        <f t="shared" si="7"/>
        <v>i_257</v>
      </c>
    </row>
    <row r="258" spans="3:69" outlineLevel="1" x14ac:dyDescent="0.4">
      <c r="C258" s="24"/>
      <c r="D258" s="24"/>
      <c r="BN258">
        <f t="shared" si="8"/>
        <v>0</v>
      </c>
      <c r="BP258" t="str">
        <f>素材!M153&amp;".webp"</f>
        <v>.webp</v>
      </c>
      <c r="BQ258" t="str">
        <f t="shared" si="7"/>
        <v>i_258</v>
      </c>
    </row>
    <row r="259" spans="3:69" outlineLevel="1" x14ac:dyDescent="0.4">
      <c r="C259" s="24"/>
      <c r="D259" s="24"/>
      <c r="BN259">
        <f t="shared" si="8"/>
        <v>0</v>
      </c>
      <c r="BP259" t="str">
        <f>素材!M154&amp;".webp"</f>
        <v>.webp</v>
      </c>
      <c r="BQ259" t="str">
        <f t="shared" si="7"/>
        <v>i_259</v>
      </c>
    </row>
    <row r="260" spans="3:69" outlineLevel="1" x14ac:dyDescent="0.4">
      <c r="C260" s="24"/>
      <c r="D260" s="24"/>
      <c r="BN260">
        <f t="shared" si="8"/>
        <v>0</v>
      </c>
      <c r="BP260" t="str">
        <f>素材!M155&amp;".webp"</f>
        <v>.webp</v>
      </c>
      <c r="BQ260" t="str">
        <f t="shared" si="7"/>
        <v>i_260</v>
      </c>
    </row>
    <row r="261" spans="3:69" outlineLevel="1" x14ac:dyDescent="0.4">
      <c r="C261" s="24"/>
      <c r="D261" s="24"/>
      <c r="BN261">
        <f t="shared" si="8"/>
        <v>0</v>
      </c>
      <c r="BP261" t="str">
        <f>素材!M156&amp;".webp"</f>
        <v>.webp</v>
      </c>
      <c r="BQ261" t="str">
        <f t="shared" ref="BQ261:BQ324" si="9">"i_"&amp;ROW(BQ261)</f>
        <v>i_261</v>
      </c>
    </row>
    <row r="262" spans="3:69" outlineLevel="1" x14ac:dyDescent="0.4">
      <c r="C262" s="24"/>
      <c r="D262" s="24"/>
      <c r="BN262">
        <f t="shared" ref="BN262:BN325" si="10">BM262*100</f>
        <v>0</v>
      </c>
      <c r="BP262" t="str">
        <f>素材!M157&amp;".webp"</f>
        <v>.webp</v>
      </c>
      <c r="BQ262" t="str">
        <f t="shared" si="9"/>
        <v>i_262</v>
      </c>
    </row>
    <row r="263" spans="3:69" outlineLevel="1" x14ac:dyDescent="0.4">
      <c r="C263" s="24"/>
      <c r="D263" s="24"/>
      <c r="BN263">
        <f t="shared" si="10"/>
        <v>0</v>
      </c>
      <c r="BP263" t="str">
        <f>素材!M158&amp;".webp"</f>
        <v>.webp</v>
      </c>
      <c r="BQ263" t="str">
        <f t="shared" si="9"/>
        <v>i_263</v>
      </c>
    </row>
    <row r="264" spans="3:69" outlineLevel="1" x14ac:dyDescent="0.4">
      <c r="C264" s="24"/>
      <c r="D264" s="24"/>
      <c r="BN264">
        <f t="shared" si="10"/>
        <v>0</v>
      </c>
      <c r="BP264" t="str">
        <f>素材!M159&amp;".webp"</f>
        <v>.webp</v>
      </c>
      <c r="BQ264" t="str">
        <f t="shared" si="9"/>
        <v>i_264</v>
      </c>
    </row>
    <row r="265" spans="3:69" outlineLevel="1" x14ac:dyDescent="0.4">
      <c r="C265" s="24"/>
      <c r="D265" s="24"/>
      <c r="BN265">
        <f t="shared" si="10"/>
        <v>0</v>
      </c>
      <c r="BP265" t="str">
        <f>素材!M160&amp;".webp"</f>
        <v>.webp</v>
      </c>
      <c r="BQ265" t="str">
        <f t="shared" si="9"/>
        <v>i_265</v>
      </c>
    </row>
    <row r="266" spans="3:69" outlineLevel="1" x14ac:dyDescent="0.4">
      <c r="C266" s="24"/>
      <c r="D266" s="24"/>
      <c r="BN266">
        <f t="shared" si="10"/>
        <v>0</v>
      </c>
      <c r="BP266" t="str">
        <f>素材!M161&amp;".webp"</f>
        <v>.webp</v>
      </c>
      <c r="BQ266" t="str">
        <f t="shared" si="9"/>
        <v>i_266</v>
      </c>
    </row>
    <row r="267" spans="3:69" outlineLevel="1" x14ac:dyDescent="0.4">
      <c r="C267" s="24"/>
      <c r="D267" s="24"/>
      <c r="BN267">
        <f t="shared" si="10"/>
        <v>0</v>
      </c>
      <c r="BP267" t="str">
        <f>素材!M162&amp;".webp"</f>
        <v>.webp</v>
      </c>
      <c r="BQ267" t="str">
        <f t="shared" si="9"/>
        <v>i_267</v>
      </c>
    </row>
    <row r="268" spans="3:69" outlineLevel="1" x14ac:dyDescent="0.4">
      <c r="C268" s="24"/>
      <c r="D268" s="24"/>
      <c r="BN268">
        <f t="shared" si="10"/>
        <v>0</v>
      </c>
      <c r="BP268" t="str">
        <f>素材!M163&amp;".webp"</f>
        <v>.webp</v>
      </c>
      <c r="BQ268" t="str">
        <f t="shared" si="9"/>
        <v>i_268</v>
      </c>
    </row>
    <row r="269" spans="3:69" outlineLevel="1" x14ac:dyDescent="0.4">
      <c r="D269" s="24"/>
      <c r="BN269">
        <f t="shared" si="10"/>
        <v>0</v>
      </c>
      <c r="BP269" t="str">
        <f>素材!M164&amp;".webp"</f>
        <v>.webp</v>
      </c>
      <c r="BQ269" t="str">
        <f t="shared" si="9"/>
        <v>i_269</v>
      </c>
    </row>
    <row r="270" spans="3:69" outlineLevel="1" x14ac:dyDescent="0.4">
      <c r="D270" s="24"/>
      <c r="BN270">
        <f t="shared" si="10"/>
        <v>0</v>
      </c>
      <c r="BP270" t="str">
        <f>素材!M165&amp;".webp"</f>
        <v>.webp</v>
      </c>
      <c r="BQ270" t="str">
        <f t="shared" si="9"/>
        <v>i_270</v>
      </c>
    </row>
    <row r="271" spans="3:69" outlineLevel="1" x14ac:dyDescent="0.4">
      <c r="D271" s="24"/>
      <c r="BN271">
        <f t="shared" si="10"/>
        <v>0</v>
      </c>
      <c r="BP271" t="str">
        <f>素材!M166&amp;".webp"</f>
        <v>.webp</v>
      </c>
      <c r="BQ271" t="str">
        <f t="shared" si="9"/>
        <v>i_271</v>
      </c>
    </row>
    <row r="272" spans="3:69" outlineLevel="1" x14ac:dyDescent="0.4">
      <c r="D272" s="24"/>
      <c r="BN272">
        <f t="shared" si="10"/>
        <v>0</v>
      </c>
      <c r="BP272" t="str">
        <f>素材!M167&amp;".webp"</f>
        <v>.webp</v>
      </c>
      <c r="BQ272" t="str">
        <f t="shared" si="9"/>
        <v>i_272</v>
      </c>
    </row>
    <row r="273" spans="4:69" outlineLevel="1" x14ac:dyDescent="0.4">
      <c r="D273" s="24"/>
      <c r="BN273">
        <f t="shared" si="10"/>
        <v>0</v>
      </c>
      <c r="BP273" t="str">
        <f>素材!M168&amp;".webp"</f>
        <v>.webp</v>
      </c>
      <c r="BQ273" t="str">
        <f t="shared" si="9"/>
        <v>i_273</v>
      </c>
    </row>
    <row r="274" spans="4:69" outlineLevel="1" x14ac:dyDescent="0.4">
      <c r="D274" s="24"/>
      <c r="BN274">
        <f t="shared" si="10"/>
        <v>0</v>
      </c>
      <c r="BP274" t="str">
        <f>素材!M169&amp;".webp"</f>
        <v>.webp</v>
      </c>
      <c r="BQ274" t="str">
        <f t="shared" si="9"/>
        <v>i_274</v>
      </c>
    </row>
    <row r="275" spans="4:69" outlineLevel="1" x14ac:dyDescent="0.4">
      <c r="D275" s="24"/>
      <c r="BN275">
        <f t="shared" si="10"/>
        <v>0</v>
      </c>
      <c r="BP275" t="str">
        <f>素材!M170&amp;".webp"</f>
        <v>.webp</v>
      </c>
      <c r="BQ275" t="str">
        <f t="shared" si="9"/>
        <v>i_275</v>
      </c>
    </row>
    <row r="276" spans="4:69" outlineLevel="1" x14ac:dyDescent="0.4">
      <c r="D276" s="24"/>
      <c r="BN276">
        <f t="shared" si="10"/>
        <v>0</v>
      </c>
      <c r="BP276" t="str">
        <f>素材!M171&amp;".webp"</f>
        <v>.webp</v>
      </c>
      <c r="BQ276" t="str">
        <f t="shared" si="9"/>
        <v>i_276</v>
      </c>
    </row>
    <row r="277" spans="4:69" outlineLevel="1" x14ac:dyDescent="0.4">
      <c r="D277" s="24"/>
      <c r="BN277">
        <f t="shared" si="10"/>
        <v>0</v>
      </c>
      <c r="BP277" t="str">
        <f>素材!M172&amp;".webp"</f>
        <v>.webp</v>
      </c>
      <c r="BQ277" t="str">
        <f t="shared" si="9"/>
        <v>i_277</v>
      </c>
    </row>
    <row r="278" spans="4:69" outlineLevel="1" x14ac:dyDescent="0.4">
      <c r="D278" s="24"/>
      <c r="BN278">
        <f t="shared" si="10"/>
        <v>0</v>
      </c>
      <c r="BP278" t="str">
        <f>素材!M173&amp;".webp"</f>
        <v>.webp</v>
      </c>
      <c r="BQ278" t="str">
        <f t="shared" si="9"/>
        <v>i_278</v>
      </c>
    </row>
    <row r="279" spans="4:69" outlineLevel="1" x14ac:dyDescent="0.4">
      <c r="D279" s="24"/>
      <c r="BN279">
        <f t="shared" si="10"/>
        <v>0</v>
      </c>
      <c r="BP279" t="str">
        <f>素材!M174&amp;".webp"</f>
        <v>.webp</v>
      </c>
      <c r="BQ279" t="str">
        <f t="shared" si="9"/>
        <v>i_279</v>
      </c>
    </row>
    <row r="280" spans="4:69" outlineLevel="1" x14ac:dyDescent="0.4">
      <c r="D280" s="24"/>
      <c r="BN280">
        <f t="shared" si="10"/>
        <v>0</v>
      </c>
      <c r="BP280" t="str">
        <f>素材!M175&amp;".webp"</f>
        <v>.webp</v>
      </c>
      <c r="BQ280" t="str">
        <f t="shared" si="9"/>
        <v>i_280</v>
      </c>
    </row>
    <row r="281" spans="4:69" outlineLevel="1" x14ac:dyDescent="0.4">
      <c r="D281" s="24"/>
      <c r="BN281">
        <f t="shared" si="10"/>
        <v>0</v>
      </c>
      <c r="BP281" t="str">
        <f>素材!M176&amp;".webp"</f>
        <v>.webp</v>
      </c>
      <c r="BQ281" t="str">
        <f t="shared" si="9"/>
        <v>i_281</v>
      </c>
    </row>
    <row r="282" spans="4:69" outlineLevel="1" x14ac:dyDescent="0.4">
      <c r="D282" s="24"/>
      <c r="BN282">
        <f t="shared" si="10"/>
        <v>0</v>
      </c>
      <c r="BP282" t="str">
        <f>素材!M177&amp;".webp"</f>
        <v>.webp</v>
      </c>
      <c r="BQ282" t="str">
        <f t="shared" si="9"/>
        <v>i_282</v>
      </c>
    </row>
    <row r="283" spans="4:69" outlineLevel="1" x14ac:dyDescent="0.4">
      <c r="D283" s="24"/>
      <c r="BN283">
        <f t="shared" si="10"/>
        <v>0</v>
      </c>
      <c r="BP283" t="str">
        <f>素材!M178&amp;".webp"</f>
        <v>.webp</v>
      </c>
      <c r="BQ283" t="str">
        <f t="shared" si="9"/>
        <v>i_283</v>
      </c>
    </row>
    <row r="284" spans="4:69" outlineLevel="1" x14ac:dyDescent="0.4">
      <c r="D284" s="24"/>
      <c r="BN284">
        <f t="shared" si="10"/>
        <v>0</v>
      </c>
      <c r="BP284" t="str">
        <f>素材!M179&amp;".webp"</f>
        <v>.webp</v>
      </c>
      <c r="BQ284" t="str">
        <f t="shared" si="9"/>
        <v>i_284</v>
      </c>
    </row>
    <row r="285" spans="4:69" outlineLevel="1" x14ac:dyDescent="0.4">
      <c r="D285" s="24"/>
      <c r="BN285">
        <f t="shared" si="10"/>
        <v>0</v>
      </c>
      <c r="BP285" t="str">
        <f>素材!M180&amp;".webp"</f>
        <v>.webp</v>
      </c>
      <c r="BQ285" t="str">
        <f t="shared" si="9"/>
        <v>i_285</v>
      </c>
    </row>
    <row r="286" spans="4:69" outlineLevel="1" x14ac:dyDescent="0.4">
      <c r="D286" s="24"/>
      <c r="BN286">
        <f t="shared" si="10"/>
        <v>0</v>
      </c>
      <c r="BP286" t="str">
        <f>素材!M181&amp;".webp"</f>
        <v>.webp</v>
      </c>
      <c r="BQ286" t="str">
        <f t="shared" si="9"/>
        <v>i_286</v>
      </c>
    </row>
    <row r="287" spans="4:69" outlineLevel="1" x14ac:dyDescent="0.4">
      <c r="D287" s="24"/>
      <c r="BN287">
        <f t="shared" si="10"/>
        <v>0</v>
      </c>
      <c r="BP287" t="str">
        <f>素材!M182&amp;".webp"</f>
        <v>.webp</v>
      </c>
      <c r="BQ287" t="str">
        <f t="shared" si="9"/>
        <v>i_287</v>
      </c>
    </row>
    <row r="288" spans="4:69" outlineLevel="1" x14ac:dyDescent="0.4">
      <c r="D288" s="24"/>
      <c r="BN288">
        <f t="shared" si="10"/>
        <v>0</v>
      </c>
      <c r="BP288" t="str">
        <f>素材!M183&amp;".webp"</f>
        <v>.webp</v>
      </c>
      <c r="BQ288" t="str">
        <f t="shared" si="9"/>
        <v>i_288</v>
      </c>
    </row>
    <row r="289" spans="3:69" outlineLevel="1" x14ac:dyDescent="0.4">
      <c r="D289" s="24"/>
      <c r="BN289">
        <f t="shared" si="10"/>
        <v>0</v>
      </c>
      <c r="BP289" t="str">
        <f>素材!M184&amp;".webp"</f>
        <v>.webp</v>
      </c>
      <c r="BQ289" t="str">
        <f t="shared" si="9"/>
        <v>i_289</v>
      </c>
    </row>
    <row r="290" spans="3:69" outlineLevel="1" x14ac:dyDescent="0.4">
      <c r="D290" s="24"/>
      <c r="BN290">
        <f t="shared" si="10"/>
        <v>0</v>
      </c>
      <c r="BP290" t="str">
        <f>素材!M185&amp;".webp"</f>
        <v>.webp</v>
      </c>
      <c r="BQ290" t="str">
        <f t="shared" si="9"/>
        <v>i_290</v>
      </c>
    </row>
    <row r="291" spans="3:69" outlineLevel="1" x14ac:dyDescent="0.4">
      <c r="D291" s="24"/>
      <c r="BN291">
        <f t="shared" si="10"/>
        <v>0</v>
      </c>
      <c r="BP291" t="str">
        <f>素材!M186&amp;".webp"</f>
        <v>.webp</v>
      </c>
      <c r="BQ291" t="str">
        <f t="shared" si="9"/>
        <v>i_291</v>
      </c>
    </row>
    <row r="292" spans="3:69" outlineLevel="1" x14ac:dyDescent="0.4">
      <c r="D292" s="24"/>
      <c r="BN292">
        <f t="shared" si="10"/>
        <v>0</v>
      </c>
      <c r="BP292" t="str">
        <f>素材!M187&amp;".webp"</f>
        <v>.webp</v>
      </c>
      <c r="BQ292" t="str">
        <f t="shared" si="9"/>
        <v>i_292</v>
      </c>
    </row>
    <row r="293" spans="3:69" outlineLevel="1" x14ac:dyDescent="0.4">
      <c r="D293" s="24"/>
      <c r="BN293">
        <f t="shared" si="10"/>
        <v>0</v>
      </c>
      <c r="BP293" t="str">
        <f>素材!M188&amp;".webp"</f>
        <v>.webp</v>
      </c>
      <c r="BQ293" t="str">
        <f t="shared" si="9"/>
        <v>i_293</v>
      </c>
    </row>
    <row r="294" spans="3:69" outlineLevel="1" x14ac:dyDescent="0.4">
      <c r="D294" s="24"/>
      <c r="BN294">
        <f t="shared" si="10"/>
        <v>0</v>
      </c>
      <c r="BP294" t="str">
        <f>素材!M189&amp;".webp"</f>
        <v>.webp</v>
      </c>
      <c r="BQ294" t="str">
        <f t="shared" si="9"/>
        <v>i_294</v>
      </c>
    </row>
    <row r="295" spans="3:69" outlineLevel="1" x14ac:dyDescent="0.4">
      <c r="D295" s="24"/>
      <c r="BN295">
        <f t="shared" si="10"/>
        <v>0</v>
      </c>
      <c r="BP295" t="str">
        <f>素材!M190&amp;".webp"</f>
        <v>.webp</v>
      </c>
      <c r="BQ295" t="str">
        <f t="shared" si="9"/>
        <v>i_295</v>
      </c>
    </row>
    <row r="296" spans="3:69" outlineLevel="1" x14ac:dyDescent="0.4">
      <c r="D296" s="24"/>
      <c r="BN296">
        <f t="shared" si="10"/>
        <v>0</v>
      </c>
      <c r="BP296" t="str">
        <f>素材!M191&amp;".webp"</f>
        <v>.webp</v>
      </c>
      <c r="BQ296" t="str">
        <f t="shared" si="9"/>
        <v>i_296</v>
      </c>
    </row>
    <row r="297" spans="3:69" outlineLevel="1" x14ac:dyDescent="0.4">
      <c r="D297" s="24"/>
      <c r="BN297">
        <f t="shared" si="10"/>
        <v>0</v>
      </c>
      <c r="BP297" t="str">
        <f>素材!M192&amp;".webp"</f>
        <v>.webp</v>
      </c>
      <c r="BQ297" t="str">
        <f t="shared" si="9"/>
        <v>i_297</v>
      </c>
    </row>
    <row r="298" spans="3:69" outlineLevel="1" x14ac:dyDescent="0.4">
      <c r="D298" s="24"/>
      <c r="BN298">
        <f t="shared" si="10"/>
        <v>0</v>
      </c>
      <c r="BP298" t="str">
        <f>素材!M193&amp;".webp"</f>
        <v>.webp</v>
      </c>
      <c r="BQ298" t="str">
        <f t="shared" si="9"/>
        <v>i_298</v>
      </c>
    </row>
    <row r="299" spans="3:69" outlineLevel="1" x14ac:dyDescent="0.4">
      <c r="D299" s="24"/>
      <c r="BN299">
        <f t="shared" si="10"/>
        <v>0</v>
      </c>
      <c r="BP299" t="str">
        <f>素材!M194&amp;".webp"</f>
        <v>.webp</v>
      </c>
      <c r="BQ299" t="str">
        <f t="shared" si="9"/>
        <v>i_299</v>
      </c>
    </row>
    <row r="300" spans="3:69" outlineLevel="1" x14ac:dyDescent="0.4">
      <c r="D300" s="24"/>
      <c r="BN300">
        <f t="shared" si="10"/>
        <v>0</v>
      </c>
      <c r="BP300" t="str">
        <f>素材!M195&amp;".webp"</f>
        <v>.webp</v>
      </c>
      <c r="BQ300" t="str">
        <f t="shared" si="9"/>
        <v>i_300</v>
      </c>
    </row>
    <row r="301" spans="3:69" outlineLevel="1" x14ac:dyDescent="0.4">
      <c r="D301" s="24"/>
      <c r="BN301">
        <f t="shared" si="10"/>
        <v>0</v>
      </c>
      <c r="BP301" t="str">
        <f>素材!M196&amp;".webp"</f>
        <v>.webp</v>
      </c>
      <c r="BQ301" t="str">
        <f t="shared" si="9"/>
        <v>i_301</v>
      </c>
    </row>
    <row r="302" spans="3:69" outlineLevel="1" x14ac:dyDescent="0.4">
      <c r="D302" s="24"/>
      <c r="BN302">
        <f t="shared" si="10"/>
        <v>0</v>
      </c>
      <c r="BP302" t="str">
        <f>素材!M197&amp;".webp"</f>
        <v>.webp</v>
      </c>
      <c r="BQ302" t="str">
        <f t="shared" si="9"/>
        <v>i_302</v>
      </c>
    </row>
    <row r="303" spans="3:69" outlineLevel="1" x14ac:dyDescent="0.4">
      <c r="D303" s="24"/>
      <c r="BN303">
        <f t="shared" si="10"/>
        <v>0</v>
      </c>
      <c r="BP303" t="str">
        <f>素材!M198&amp;".webp"</f>
        <v>.webp</v>
      </c>
      <c r="BQ303" t="str">
        <f t="shared" si="9"/>
        <v>i_303</v>
      </c>
    </row>
    <row r="304" spans="3:69" outlineLevel="1" x14ac:dyDescent="0.4">
      <c r="C304" s="24"/>
      <c r="D304" s="24"/>
      <c r="BN304">
        <f t="shared" si="10"/>
        <v>0</v>
      </c>
      <c r="BP304" t="str">
        <f>素材!M199&amp;".webp"</f>
        <v>.webp</v>
      </c>
      <c r="BQ304" t="str">
        <f t="shared" si="9"/>
        <v>i_304</v>
      </c>
    </row>
    <row r="305" spans="3:69" outlineLevel="1" x14ac:dyDescent="0.4">
      <c r="C305" s="24"/>
      <c r="D305" s="24"/>
      <c r="BN305">
        <f t="shared" si="10"/>
        <v>0</v>
      </c>
      <c r="BP305" t="str">
        <f>素材!M200&amp;".webp"</f>
        <v>.webp</v>
      </c>
      <c r="BQ305" t="str">
        <f t="shared" si="9"/>
        <v>i_305</v>
      </c>
    </row>
    <row r="306" spans="3:69" outlineLevel="1" x14ac:dyDescent="0.4">
      <c r="C306" s="24"/>
      <c r="D306" s="24"/>
      <c r="BN306">
        <f t="shared" si="10"/>
        <v>0</v>
      </c>
      <c r="BP306" t="str">
        <f>素材!M201&amp;".webp"</f>
        <v>.webp</v>
      </c>
      <c r="BQ306" t="str">
        <f t="shared" si="9"/>
        <v>i_306</v>
      </c>
    </row>
    <row r="307" spans="3:69" outlineLevel="1" x14ac:dyDescent="0.4">
      <c r="C307" s="24"/>
      <c r="D307" s="24"/>
      <c r="BN307">
        <f t="shared" si="10"/>
        <v>0</v>
      </c>
      <c r="BP307" t="str">
        <f>素材!M202&amp;".webp"</f>
        <v>.webp</v>
      </c>
      <c r="BQ307" t="str">
        <f t="shared" si="9"/>
        <v>i_307</v>
      </c>
    </row>
    <row r="308" spans="3:69" outlineLevel="1" x14ac:dyDescent="0.4">
      <c r="C308" s="24"/>
      <c r="D308" s="24"/>
      <c r="BN308">
        <f t="shared" si="10"/>
        <v>0</v>
      </c>
      <c r="BP308" t="str">
        <f>素材!M203&amp;".webp"</f>
        <v>.webp</v>
      </c>
      <c r="BQ308" t="str">
        <f t="shared" si="9"/>
        <v>i_308</v>
      </c>
    </row>
    <row r="309" spans="3:69" outlineLevel="1" x14ac:dyDescent="0.4">
      <c r="C309" s="24"/>
      <c r="D309" s="24"/>
      <c r="BN309">
        <f t="shared" si="10"/>
        <v>0</v>
      </c>
      <c r="BP309" t="str">
        <f>素材!M204&amp;".webp"</f>
        <v>.webp</v>
      </c>
      <c r="BQ309" t="str">
        <f t="shared" si="9"/>
        <v>i_309</v>
      </c>
    </row>
    <row r="310" spans="3:69" outlineLevel="1" x14ac:dyDescent="0.4">
      <c r="C310" s="24"/>
      <c r="D310" s="24"/>
      <c r="BN310">
        <f t="shared" si="10"/>
        <v>0</v>
      </c>
      <c r="BP310" t="str">
        <f>素材!M205&amp;".webp"</f>
        <v>.webp</v>
      </c>
      <c r="BQ310" t="str">
        <f t="shared" si="9"/>
        <v>i_310</v>
      </c>
    </row>
    <row r="311" spans="3:69" outlineLevel="1" x14ac:dyDescent="0.4">
      <c r="C311" s="24"/>
      <c r="D311" s="24"/>
      <c r="BN311">
        <f t="shared" si="10"/>
        <v>0</v>
      </c>
      <c r="BP311" t="str">
        <f>素材!M206&amp;".webp"</f>
        <v>.webp</v>
      </c>
      <c r="BQ311" t="str">
        <f t="shared" si="9"/>
        <v>i_311</v>
      </c>
    </row>
    <row r="312" spans="3:69" outlineLevel="1" x14ac:dyDescent="0.4">
      <c r="C312" s="24"/>
      <c r="D312" s="24"/>
      <c r="BN312">
        <f t="shared" si="10"/>
        <v>0</v>
      </c>
      <c r="BP312" t="str">
        <f>素材!M207&amp;".webp"</f>
        <v>.webp</v>
      </c>
      <c r="BQ312" t="str">
        <f t="shared" si="9"/>
        <v>i_312</v>
      </c>
    </row>
    <row r="313" spans="3:69" outlineLevel="1" x14ac:dyDescent="0.4">
      <c r="C313" s="24"/>
      <c r="D313" s="24"/>
      <c r="BN313">
        <f t="shared" si="10"/>
        <v>0</v>
      </c>
      <c r="BP313" t="str">
        <f>素材!M208&amp;".webp"</f>
        <v>.webp</v>
      </c>
      <c r="BQ313" t="str">
        <f t="shared" si="9"/>
        <v>i_313</v>
      </c>
    </row>
    <row r="314" spans="3:69" outlineLevel="1" x14ac:dyDescent="0.4">
      <c r="C314" s="24"/>
      <c r="D314" s="24"/>
      <c r="BN314">
        <f t="shared" si="10"/>
        <v>0</v>
      </c>
      <c r="BP314" t="str">
        <f>素材!M209&amp;".webp"</f>
        <v>.webp</v>
      </c>
      <c r="BQ314" t="str">
        <f t="shared" si="9"/>
        <v>i_314</v>
      </c>
    </row>
    <row r="315" spans="3:69" outlineLevel="1" x14ac:dyDescent="0.4">
      <c r="C315" s="24"/>
      <c r="D315" s="24"/>
      <c r="BN315">
        <f t="shared" si="10"/>
        <v>0</v>
      </c>
      <c r="BP315" t="str">
        <f>素材!M210&amp;".webp"</f>
        <v>.webp</v>
      </c>
      <c r="BQ315" t="str">
        <f t="shared" si="9"/>
        <v>i_315</v>
      </c>
    </row>
    <row r="316" spans="3:69" outlineLevel="1" x14ac:dyDescent="0.4">
      <c r="C316" s="24"/>
      <c r="D316" s="24"/>
      <c r="BN316">
        <f t="shared" si="10"/>
        <v>0</v>
      </c>
      <c r="BP316" t="str">
        <f>素材!M211&amp;".webp"</f>
        <v>.webp</v>
      </c>
      <c r="BQ316" t="str">
        <f t="shared" si="9"/>
        <v>i_316</v>
      </c>
    </row>
    <row r="317" spans="3:69" outlineLevel="1" x14ac:dyDescent="0.4">
      <c r="C317" s="24"/>
      <c r="D317" s="24"/>
      <c r="BN317">
        <f t="shared" si="10"/>
        <v>0</v>
      </c>
      <c r="BP317" t="str">
        <f>素材!M212&amp;".webp"</f>
        <v>.webp</v>
      </c>
      <c r="BQ317" t="str">
        <f t="shared" si="9"/>
        <v>i_317</v>
      </c>
    </row>
    <row r="318" spans="3:69" outlineLevel="1" x14ac:dyDescent="0.4">
      <c r="D318" s="24"/>
      <c r="BN318">
        <f t="shared" si="10"/>
        <v>0</v>
      </c>
      <c r="BP318" t="str">
        <f>素材!M213&amp;".webp"</f>
        <v>.webp</v>
      </c>
      <c r="BQ318" t="str">
        <f t="shared" si="9"/>
        <v>i_318</v>
      </c>
    </row>
    <row r="319" spans="3:69" outlineLevel="1" x14ac:dyDescent="0.4">
      <c r="D319" s="24"/>
      <c r="BN319">
        <f t="shared" si="10"/>
        <v>0</v>
      </c>
      <c r="BP319" t="str">
        <f>素材!M214&amp;".webp"</f>
        <v>.webp</v>
      </c>
      <c r="BQ319" t="str">
        <f t="shared" si="9"/>
        <v>i_319</v>
      </c>
    </row>
    <row r="320" spans="3:69" outlineLevel="1" x14ac:dyDescent="0.4">
      <c r="D320" s="24"/>
      <c r="BN320">
        <f t="shared" si="10"/>
        <v>0</v>
      </c>
      <c r="BP320" t="str">
        <f>素材!M215&amp;".webp"</f>
        <v>.webp</v>
      </c>
      <c r="BQ320" t="str">
        <f t="shared" si="9"/>
        <v>i_320</v>
      </c>
    </row>
    <row r="321" spans="4:69" outlineLevel="1" x14ac:dyDescent="0.4">
      <c r="D321" s="24"/>
      <c r="BN321">
        <f t="shared" si="10"/>
        <v>0</v>
      </c>
      <c r="BP321" t="str">
        <f>素材!M216&amp;".webp"</f>
        <v>.webp</v>
      </c>
      <c r="BQ321" t="str">
        <f t="shared" si="9"/>
        <v>i_321</v>
      </c>
    </row>
    <row r="322" spans="4:69" outlineLevel="1" x14ac:dyDescent="0.4">
      <c r="D322" s="24"/>
      <c r="BN322">
        <f t="shared" si="10"/>
        <v>0</v>
      </c>
      <c r="BP322" t="str">
        <f>素材!M217&amp;".webp"</f>
        <v>.webp</v>
      </c>
      <c r="BQ322" t="str">
        <f t="shared" si="9"/>
        <v>i_322</v>
      </c>
    </row>
    <row r="323" spans="4:69" outlineLevel="1" x14ac:dyDescent="0.4">
      <c r="D323" s="24"/>
      <c r="BN323">
        <f t="shared" si="10"/>
        <v>0</v>
      </c>
      <c r="BP323" t="str">
        <f>素材!M218&amp;".webp"</f>
        <v>.webp</v>
      </c>
      <c r="BQ323" t="str">
        <f t="shared" si="9"/>
        <v>i_323</v>
      </c>
    </row>
    <row r="324" spans="4:69" outlineLevel="1" x14ac:dyDescent="0.4">
      <c r="D324" s="24"/>
      <c r="BN324">
        <f t="shared" si="10"/>
        <v>0</v>
      </c>
      <c r="BP324" t="str">
        <f>素材!M219&amp;".webp"</f>
        <v>.webp</v>
      </c>
      <c r="BQ324" t="str">
        <f t="shared" si="9"/>
        <v>i_324</v>
      </c>
    </row>
    <row r="325" spans="4:69" outlineLevel="1" x14ac:dyDescent="0.4">
      <c r="D325" s="24"/>
      <c r="BN325">
        <f t="shared" si="10"/>
        <v>0</v>
      </c>
      <c r="BP325" t="str">
        <f>素材!M220&amp;".webp"</f>
        <v>.webp</v>
      </c>
      <c r="BQ325" t="str">
        <f t="shared" ref="BQ325:BQ351" si="11">"i_"&amp;ROW(BQ325)</f>
        <v>i_325</v>
      </c>
    </row>
    <row r="326" spans="4:69" outlineLevel="1" x14ac:dyDescent="0.4">
      <c r="D326" s="24"/>
      <c r="BN326">
        <f t="shared" ref="BN326:BN351" si="12">BM326*100</f>
        <v>0</v>
      </c>
      <c r="BP326" t="str">
        <f>素材!M221&amp;".webp"</f>
        <v>.webp</v>
      </c>
      <c r="BQ326" t="str">
        <f t="shared" si="11"/>
        <v>i_326</v>
      </c>
    </row>
    <row r="327" spans="4:69" outlineLevel="1" x14ac:dyDescent="0.4">
      <c r="D327" s="24"/>
      <c r="BN327">
        <f t="shared" si="12"/>
        <v>0</v>
      </c>
      <c r="BP327" t="str">
        <f>素材!M222&amp;".webp"</f>
        <v>.webp</v>
      </c>
      <c r="BQ327" t="str">
        <f t="shared" si="11"/>
        <v>i_327</v>
      </c>
    </row>
    <row r="328" spans="4:69" outlineLevel="1" x14ac:dyDescent="0.4">
      <c r="D328" s="24"/>
      <c r="BN328">
        <f t="shared" si="12"/>
        <v>0</v>
      </c>
      <c r="BP328" t="str">
        <f>素材!M223&amp;".webp"</f>
        <v>.webp</v>
      </c>
      <c r="BQ328" t="str">
        <f t="shared" si="11"/>
        <v>i_328</v>
      </c>
    </row>
    <row r="329" spans="4:69" outlineLevel="1" x14ac:dyDescent="0.4">
      <c r="D329" s="24"/>
      <c r="BN329">
        <f t="shared" si="12"/>
        <v>0</v>
      </c>
      <c r="BP329" t="str">
        <f>素材!M224&amp;".webp"</f>
        <v>.webp</v>
      </c>
      <c r="BQ329" t="str">
        <f t="shared" si="11"/>
        <v>i_329</v>
      </c>
    </row>
    <row r="330" spans="4:69" outlineLevel="1" x14ac:dyDescent="0.4">
      <c r="D330" s="24"/>
      <c r="BN330">
        <f t="shared" si="12"/>
        <v>0</v>
      </c>
      <c r="BP330" t="str">
        <f>素材!M225&amp;".webp"</f>
        <v>.webp</v>
      </c>
      <c r="BQ330" t="str">
        <f t="shared" si="11"/>
        <v>i_330</v>
      </c>
    </row>
    <row r="331" spans="4:69" outlineLevel="1" x14ac:dyDescent="0.4">
      <c r="D331" s="24"/>
      <c r="BN331">
        <f t="shared" si="12"/>
        <v>0</v>
      </c>
      <c r="BP331" t="str">
        <f>素材!M226&amp;".webp"</f>
        <v>.webp</v>
      </c>
      <c r="BQ331" t="str">
        <f t="shared" si="11"/>
        <v>i_331</v>
      </c>
    </row>
    <row r="332" spans="4:69" outlineLevel="1" x14ac:dyDescent="0.4">
      <c r="D332" s="24"/>
      <c r="BN332">
        <f t="shared" si="12"/>
        <v>0</v>
      </c>
      <c r="BP332" t="str">
        <f>素材!M227&amp;".webp"</f>
        <v>.webp</v>
      </c>
      <c r="BQ332" t="str">
        <f t="shared" si="11"/>
        <v>i_332</v>
      </c>
    </row>
    <row r="333" spans="4:69" outlineLevel="1" x14ac:dyDescent="0.4">
      <c r="D333" s="24"/>
      <c r="BN333">
        <f t="shared" si="12"/>
        <v>0</v>
      </c>
      <c r="BP333" t="str">
        <f>素材!M228&amp;".webp"</f>
        <v>.webp</v>
      </c>
      <c r="BQ333" t="str">
        <f t="shared" si="11"/>
        <v>i_333</v>
      </c>
    </row>
    <row r="334" spans="4:69" outlineLevel="1" x14ac:dyDescent="0.4">
      <c r="D334" s="24"/>
      <c r="BN334">
        <f t="shared" si="12"/>
        <v>0</v>
      </c>
      <c r="BP334" t="str">
        <f>素材!M229&amp;".webp"</f>
        <v>.webp</v>
      </c>
      <c r="BQ334" t="str">
        <f t="shared" si="11"/>
        <v>i_334</v>
      </c>
    </row>
    <row r="335" spans="4:69" outlineLevel="1" x14ac:dyDescent="0.4">
      <c r="D335" s="24"/>
      <c r="BN335">
        <f t="shared" si="12"/>
        <v>0</v>
      </c>
      <c r="BP335" t="str">
        <f>素材!M230&amp;".webp"</f>
        <v>.webp</v>
      </c>
      <c r="BQ335" t="str">
        <f t="shared" si="11"/>
        <v>i_335</v>
      </c>
    </row>
    <row r="336" spans="4:69" outlineLevel="1" x14ac:dyDescent="0.4">
      <c r="D336" s="24"/>
      <c r="BN336">
        <f t="shared" si="12"/>
        <v>0</v>
      </c>
      <c r="BP336" t="str">
        <f>素材!M231&amp;".webp"</f>
        <v>.webp</v>
      </c>
      <c r="BQ336" t="str">
        <f t="shared" si="11"/>
        <v>i_336</v>
      </c>
    </row>
    <row r="337" spans="4:69" outlineLevel="1" x14ac:dyDescent="0.4">
      <c r="D337" s="24"/>
      <c r="BN337">
        <f t="shared" si="12"/>
        <v>0</v>
      </c>
      <c r="BP337" t="str">
        <f>素材!M232&amp;".webp"</f>
        <v>.webp</v>
      </c>
      <c r="BQ337" t="str">
        <f t="shared" si="11"/>
        <v>i_337</v>
      </c>
    </row>
    <row r="338" spans="4:69" outlineLevel="1" x14ac:dyDescent="0.4">
      <c r="D338" s="24"/>
      <c r="BN338">
        <f t="shared" si="12"/>
        <v>0</v>
      </c>
      <c r="BP338" t="str">
        <f>素材!M233&amp;".webp"</f>
        <v>.webp</v>
      </c>
      <c r="BQ338" t="str">
        <f t="shared" si="11"/>
        <v>i_338</v>
      </c>
    </row>
    <row r="339" spans="4:69" outlineLevel="1" x14ac:dyDescent="0.4">
      <c r="D339" s="24"/>
      <c r="BN339">
        <f t="shared" si="12"/>
        <v>0</v>
      </c>
      <c r="BP339" t="str">
        <f>素材!M234&amp;".webp"</f>
        <v>.webp</v>
      </c>
      <c r="BQ339" t="str">
        <f t="shared" si="11"/>
        <v>i_339</v>
      </c>
    </row>
    <row r="340" spans="4:69" outlineLevel="1" x14ac:dyDescent="0.4">
      <c r="D340" s="24"/>
      <c r="BN340">
        <f t="shared" si="12"/>
        <v>0</v>
      </c>
      <c r="BP340" t="str">
        <f>素材!M235&amp;".webp"</f>
        <v>.webp</v>
      </c>
      <c r="BQ340" t="str">
        <f t="shared" si="11"/>
        <v>i_340</v>
      </c>
    </row>
    <row r="341" spans="4:69" outlineLevel="1" x14ac:dyDescent="0.4">
      <c r="D341" s="24"/>
      <c r="BN341">
        <f t="shared" si="12"/>
        <v>0</v>
      </c>
      <c r="BP341" t="str">
        <f>素材!M236&amp;".webp"</f>
        <v>.webp</v>
      </c>
      <c r="BQ341" t="str">
        <f t="shared" si="11"/>
        <v>i_341</v>
      </c>
    </row>
    <row r="342" spans="4:69" outlineLevel="1" x14ac:dyDescent="0.4">
      <c r="D342" s="24"/>
      <c r="BN342">
        <f t="shared" si="12"/>
        <v>0</v>
      </c>
      <c r="BP342" t="str">
        <f>素材!M237&amp;".webp"</f>
        <v>.webp</v>
      </c>
      <c r="BQ342" t="str">
        <f t="shared" si="11"/>
        <v>i_342</v>
      </c>
    </row>
    <row r="343" spans="4:69" outlineLevel="1" x14ac:dyDescent="0.4">
      <c r="D343" s="24"/>
      <c r="BN343">
        <f t="shared" si="12"/>
        <v>0</v>
      </c>
      <c r="BP343" t="str">
        <f>素材!M238&amp;".webp"</f>
        <v>.webp</v>
      </c>
      <c r="BQ343" t="str">
        <f t="shared" si="11"/>
        <v>i_343</v>
      </c>
    </row>
    <row r="344" spans="4:69" outlineLevel="1" x14ac:dyDescent="0.4">
      <c r="D344" s="24"/>
      <c r="BN344">
        <f t="shared" si="12"/>
        <v>0</v>
      </c>
      <c r="BP344" t="str">
        <f>素材!M239&amp;".webp"</f>
        <v>.webp</v>
      </c>
      <c r="BQ344" t="str">
        <f t="shared" si="11"/>
        <v>i_344</v>
      </c>
    </row>
    <row r="345" spans="4:69" outlineLevel="1" x14ac:dyDescent="0.4">
      <c r="D345" s="24"/>
      <c r="BN345">
        <f t="shared" si="12"/>
        <v>0</v>
      </c>
      <c r="BP345" t="str">
        <f>素材!M240&amp;".webp"</f>
        <v>.webp</v>
      </c>
      <c r="BQ345" t="str">
        <f t="shared" si="11"/>
        <v>i_345</v>
      </c>
    </row>
    <row r="346" spans="4:69" outlineLevel="1" x14ac:dyDescent="0.4">
      <c r="D346" s="24"/>
      <c r="BN346">
        <f t="shared" si="12"/>
        <v>0</v>
      </c>
      <c r="BP346" t="str">
        <f>素材!M241&amp;".webp"</f>
        <v>.webp</v>
      </c>
      <c r="BQ346" t="str">
        <f t="shared" si="11"/>
        <v>i_346</v>
      </c>
    </row>
    <row r="347" spans="4:69" outlineLevel="1" x14ac:dyDescent="0.4">
      <c r="D347" s="24"/>
      <c r="BN347">
        <f t="shared" si="12"/>
        <v>0</v>
      </c>
      <c r="BP347" t="str">
        <f>素材!M242&amp;".webp"</f>
        <v>.webp</v>
      </c>
      <c r="BQ347" t="str">
        <f t="shared" si="11"/>
        <v>i_347</v>
      </c>
    </row>
    <row r="348" spans="4:69" outlineLevel="1" x14ac:dyDescent="0.4">
      <c r="D348" s="24"/>
      <c r="BN348">
        <f t="shared" si="12"/>
        <v>0</v>
      </c>
      <c r="BP348" t="str">
        <f>素材!M243&amp;".webp"</f>
        <v>.webp</v>
      </c>
      <c r="BQ348" t="str">
        <f t="shared" si="11"/>
        <v>i_348</v>
      </c>
    </row>
    <row r="349" spans="4:69" outlineLevel="1" x14ac:dyDescent="0.4">
      <c r="D349" s="24"/>
      <c r="BN349">
        <f t="shared" si="12"/>
        <v>0</v>
      </c>
      <c r="BP349" t="str">
        <f>素材!M244&amp;".webp"</f>
        <v>.webp</v>
      </c>
      <c r="BQ349" t="str">
        <f t="shared" si="11"/>
        <v>i_349</v>
      </c>
    </row>
    <row r="350" spans="4:69" outlineLevel="1" x14ac:dyDescent="0.4">
      <c r="D350" s="24"/>
      <c r="BN350">
        <f t="shared" si="12"/>
        <v>0</v>
      </c>
      <c r="BP350" t="str">
        <f>素材!M245&amp;".webp"</f>
        <v>.webp</v>
      </c>
      <c r="BQ350" t="str">
        <f t="shared" si="11"/>
        <v>i_350</v>
      </c>
    </row>
    <row r="351" spans="4:69" outlineLevel="1" x14ac:dyDescent="0.4">
      <c r="D351" s="24"/>
      <c r="BN351">
        <f t="shared" si="12"/>
        <v>0</v>
      </c>
      <c r="BP351" t="str">
        <f>素材!M246&amp;".webp"</f>
        <v>.webp</v>
      </c>
      <c r="BQ351" t="str">
        <f t="shared" si="11"/>
        <v>i_351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06AF-5519-4AC2-ABDD-8F459CDD6E6E}">
  <sheetPr codeName="Sheet4">
    <tabColor theme="8" tint="0.79998168889431442"/>
  </sheetPr>
  <dimension ref="A1:AQ73"/>
  <sheetViews>
    <sheetView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A20" sqref="A20"/>
    </sheetView>
  </sheetViews>
  <sheetFormatPr defaultColWidth="7.625" defaultRowHeight="18.75" outlineLevelCol="1" x14ac:dyDescent="0.4"/>
  <cols>
    <col min="1" max="1" width="11.25" customWidth="1"/>
    <col min="2" max="2" width="15.125" bestFit="1" customWidth="1"/>
    <col min="3" max="3" width="4" bestFit="1" customWidth="1"/>
    <col min="4" max="4" width="9.25" customWidth="1"/>
    <col min="5" max="5" width="5.375" bestFit="1" customWidth="1"/>
    <col min="6" max="6" width="5.25" bestFit="1" customWidth="1"/>
    <col min="7" max="7" width="6.75" customWidth="1"/>
    <col min="8" max="8" width="6" style="29" bestFit="1" customWidth="1"/>
    <col min="9" max="9" width="7.75" style="29" bestFit="1" customWidth="1"/>
    <col min="10" max="10" width="7.75" style="29" customWidth="1"/>
    <col min="11" max="12" width="9.75" style="1" customWidth="1"/>
    <col min="14" max="14" width="9.625" bestFit="1" customWidth="1"/>
    <col min="15" max="15" width="36.5" customWidth="1"/>
    <col min="16" max="16" width="9.625" bestFit="1" customWidth="1"/>
    <col min="19" max="43" width="7.625" outlineLevel="1"/>
  </cols>
  <sheetData>
    <row r="1" spans="1:43" s="48" customFormat="1" ht="24.75" thickBot="1" x14ac:dyDescent="0.45">
      <c r="A1" s="48" t="s">
        <v>1044</v>
      </c>
      <c r="B1" s="48" t="s">
        <v>1043</v>
      </c>
      <c r="C1" s="48" t="s">
        <v>135</v>
      </c>
      <c r="D1" s="48" t="s">
        <v>1042</v>
      </c>
      <c r="E1" s="48" t="s">
        <v>949</v>
      </c>
      <c r="F1" s="48" t="s">
        <v>182</v>
      </c>
      <c r="G1" s="48" t="s">
        <v>181</v>
      </c>
      <c r="H1" s="51" t="s">
        <v>1041</v>
      </c>
      <c r="I1" s="51" t="s">
        <v>1040</v>
      </c>
      <c r="J1" s="51" t="s">
        <v>1278</v>
      </c>
      <c r="K1" s="47" t="s">
        <v>1039</v>
      </c>
      <c r="L1" s="47" t="s">
        <v>1038</v>
      </c>
      <c r="M1" s="48" t="s">
        <v>189</v>
      </c>
      <c r="N1" s="48" t="s">
        <v>105</v>
      </c>
      <c r="O1" s="48" t="s">
        <v>102</v>
      </c>
      <c r="P1" s="48" t="s">
        <v>1037</v>
      </c>
      <c r="Q1" s="48" t="s">
        <v>1277</v>
      </c>
      <c r="R1" s="53" t="s">
        <v>961</v>
      </c>
      <c r="S1" s="53" t="s">
        <v>958</v>
      </c>
      <c r="T1" s="53" t="s">
        <v>935</v>
      </c>
      <c r="U1" s="53" t="s">
        <v>1200</v>
      </c>
      <c r="V1" s="53" t="s">
        <v>940</v>
      </c>
      <c r="W1" s="54" t="s">
        <v>987</v>
      </c>
      <c r="X1" s="54" t="s">
        <v>1211</v>
      </c>
      <c r="Y1" s="55" t="s">
        <v>929</v>
      </c>
      <c r="Z1" s="55" t="s">
        <v>899</v>
      </c>
      <c r="AA1" s="56" t="s">
        <v>1201</v>
      </c>
      <c r="AB1" s="56" t="s">
        <v>1202</v>
      </c>
      <c r="AC1" s="57" t="s">
        <v>1212</v>
      </c>
      <c r="AD1" s="58" t="s">
        <v>1203</v>
      </c>
      <c r="AE1" s="58" t="s">
        <v>893</v>
      </c>
      <c r="AF1" s="58" t="s">
        <v>888</v>
      </c>
      <c r="AG1" s="58" t="s">
        <v>1204</v>
      </c>
      <c r="AH1" s="58" t="s">
        <v>1205</v>
      </c>
      <c r="AI1" s="58" t="s">
        <v>1206</v>
      </c>
      <c r="AJ1" s="58" t="s">
        <v>883</v>
      </c>
      <c r="AK1" s="58" t="s">
        <v>1207</v>
      </c>
      <c r="AL1" s="59" t="s">
        <v>1208</v>
      </c>
      <c r="AM1" s="60" t="s">
        <v>1209</v>
      </c>
      <c r="AN1" s="60" t="s">
        <v>1210</v>
      </c>
      <c r="AO1" s="4" t="s">
        <v>1213</v>
      </c>
      <c r="AP1" s="61" t="s">
        <v>1214</v>
      </c>
      <c r="AQ1" s="62" t="s">
        <v>1215</v>
      </c>
    </row>
    <row r="2" spans="1:43" ht="26.25" customHeight="1" x14ac:dyDescent="0.4">
      <c r="A2" s="1" t="s">
        <v>258</v>
      </c>
      <c r="B2" s="1" t="s">
        <v>258</v>
      </c>
      <c r="C2" s="1" t="s">
        <v>258</v>
      </c>
      <c r="D2" s="1" t="s">
        <v>258</v>
      </c>
      <c r="E2" s="1" t="s">
        <v>258</v>
      </c>
      <c r="F2" s="1" t="s">
        <v>258</v>
      </c>
      <c r="G2" s="1" t="s">
        <v>258</v>
      </c>
      <c r="H2" s="30" t="s">
        <v>258</v>
      </c>
      <c r="I2" s="30" t="s">
        <v>258</v>
      </c>
      <c r="J2" s="30"/>
      <c r="K2" s="1" t="s">
        <v>1036</v>
      </c>
      <c r="L2" s="1" t="s">
        <v>1035</v>
      </c>
      <c r="M2" s="1" t="s">
        <v>1034</v>
      </c>
      <c r="N2" s="1" t="s">
        <v>258</v>
      </c>
      <c r="O2" s="1" t="s">
        <v>258</v>
      </c>
      <c r="P2" s="1" t="s">
        <v>258</v>
      </c>
    </row>
    <row r="3" spans="1:43" x14ac:dyDescent="0.4">
      <c r="A3" s="47" t="s">
        <v>1033</v>
      </c>
      <c r="B3" s="1" t="s">
        <v>1032</v>
      </c>
      <c r="C3" s="1">
        <v>10</v>
      </c>
      <c r="D3" s="1">
        <v>100</v>
      </c>
      <c r="E3" s="1">
        <v>10</v>
      </c>
      <c r="F3" s="1"/>
      <c r="G3" s="1">
        <v>0</v>
      </c>
      <c r="H3" s="30"/>
      <c r="I3" s="30"/>
      <c r="J3" s="30"/>
      <c r="M3" s="1" t="s">
        <v>871</v>
      </c>
      <c r="N3" s="1">
        <f t="shared" ref="N3:N26" si="0">IF(P3&lt;&gt;"",P3/100,"")</f>
        <v>50</v>
      </c>
      <c r="O3" s="1" t="s">
        <v>1031</v>
      </c>
      <c r="P3" s="1">
        <v>5000</v>
      </c>
      <c r="T3">
        <v>-5</v>
      </c>
    </row>
    <row r="4" spans="1:43" ht="37.5" x14ac:dyDescent="0.4">
      <c r="A4" s="47" t="s">
        <v>1030</v>
      </c>
      <c r="B4" s="1" t="s">
        <v>1029</v>
      </c>
      <c r="C4" s="1">
        <v>15</v>
      </c>
      <c r="D4" s="1">
        <v>50</v>
      </c>
      <c r="E4" s="1">
        <v>15</v>
      </c>
      <c r="F4" s="1"/>
      <c r="G4" s="1">
        <v>0</v>
      </c>
      <c r="H4" s="30"/>
      <c r="I4" s="30"/>
      <c r="J4" s="30"/>
      <c r="M4" s="1" t="s">
        <v>871</v>
      </c>
      <c r="N4" s="1">
        <f t="shared" si="0"/>
        <v>500</v>
      </c>
      <c r="O4" s="1" t="s">
        <v>1028</v>
      </c>
      <c r="P4" s="1">
        <v>50000</v>
      </c>
      <c r="T4">
        <v>-5</v>
      </c>
    </row>
    <row r="5" spans="1:43" ht="37.5" x14ac:dyDescent="0.4">
      <c r="A5" s="47" t="s">
        <v>1027</v>
      </c>
      <c r="B5" s="1" t="s">
        <v>1026</v>
      </c>
      <c r="C5" s="1">
        <v>25</v>
      </c>
      <c r="D5" s="1">
        <v>120</v>
      </c>
      <c r="E5" s="1">
        <v>10</v>
      </c>
      <c r="F5" s="1"/>
      <c r="G5" s="1">
        <v>0</v>
      </c>
      <c r="H5" s="30"/>
      <c r="I5" s="30"/>
      <c r="J5" s="30"/>
      <c r="M5" s="1" t="s">
        <v>871</v>
      </c>
      <c r="N5" s="1">
        <f t="shared" si="0"/>
        <v>2500</v>
      </c>
      <c r="O5" s="1" t="s">
        <v>1025</v>
      </c>
      <c r="P5" s="1">
        <v>250000</v>
      </c>
      <c r="T5">
        <v>-5</v>
      </c>
    </row>
    <row r="6" spans="1:43" ht="37.5" x14ac:dyDescent="0.4">
      <c r="A6" s="47" t="s">
        <v>1024</v>
      </c>
      <c r="B6" s="1" t="s">
        <v>1023</v>
      </c>
      <c r="C6" s="1">
        <v>35</v>
      </c>
      <c r="D6" s="1">
        <v>105</v>
      </c>
      <c r="E6" s="1">
        <v>20</v>
      </c>
      <c r="F6" s="1"/>
      <c r="G6" s="1">
        <v>0</v>
      </c>
      <c r="H6" s="30"/>
      <c r="I6" s="30"/>
      <c r="J6" s="30"/>
      <c r="M6" s="1" t="s">
        <v>871</v>
      </c>
      <c r="N6" s="1">
        <f t="shared" si="0"/>
        <v>5000</v>
      </c>
      <c r="O6" s="1" t="s">
        <v>1022</v>
      </c>
      <c r="P6" s="1">
        <v>500000</v>
      </c>
      <c r="T6">
        <v>-5</v>
      </c>
    </row>
    <row r="7" spans="1:43" ht="37.5" x14ac:dyDescent="0.4">
      <c r="A7" t="s">
        <v>257</v>
      </c>
      <c r="B7" t="s">
        <v>1021</v>
      </c>
      <c r="C7">
        <v>15</v>
      </c>
      <c r="D7">
        <v>100</v>
      </c>
      <c r="E7">
        <v>20</v>
      </c>
      <c r="F7" s="1"/>
      <c r="G7" s="1">
        <v>0</v>
      </c>
      <c r="H7" s="30"/>
      <c r="I7" s="30"/>
      <c r="J7" s="30"/>
      <c r="M7" t="s">
        <v>1020</v>
      </c>
      <c r="N7" s="1">
        <f t="shared" si="0"/>
        <v>200</v>
      </c>
      <c r="O7" s="1" t="s">
        <v>1019</v>
      </c>
      <c r="P7">
        <v>20000</v>
      </c>
      <c r="T7">
        <v>-5</v>
      </c>
    </row>
    <row r="8" spans="1:43" ht="37.5" x14ac:dyDescent="0.4">
      <c r="A8" s="47" t="s">
        <v>1018</v>
      </c>
      <c r="B8" s="1" t="s">
        <v>1017</v>
      </c>
      <c r="C8" s="1">
        <v>20</v>
      </c>
      <c r="D8" s="1">
        <v>105</v>
      </c>
      <c r="E8" s="1">
        <v>27</v>
      </c>
      <c r="F8" s="1"/>
      <c r="G8" s="1">
        <v>0</v>
      </c>
      <c r="H8" s="30"/>
      <c r="I8" s="30"/>
      <c r="J8" s="30"/>
      <c r="M8" s="1" t="s">
        <v>871</v>
      </c>
      <c r="N8" s="1">
        <f t="shared" si="0"/>
        <v>450</v>
      </c>
      <c r="O8" s="1" t="s">
        <v>1016</v>
      </c>
      <c r="P8" s="1">
        <v>45000</v>
      </c>
      <c r="T8">
        <v>-5</v>
      </c>
    </row>
    <row r="9" spans="1:43" ht="56.25" x14ac:dyDescent="0.4">
      <c r="A9" s="50" t="s">
        <v>1015</v>
      </c>
      <c r="B9" s="50" t="s">
        <v>1014</v>
      </c>
      <c r="C9" s="1">
        <v>25</v>
      </c>
      <c r="D9" s="1">
        <v>100</v>
      </c>
      <c r="E9" s="1">
        <v>25</v>
      </c>
      <c r="F9" s="1"/>
      <c r="G9" s="1">
        <v>0</v>
      </c>
      <c r="H9" s="30"/>
      <c r="I9" s="30"/>
      <c r="J9" s="30"/>
      <c r="K9" s="1" t="s">
        <v>1013</v>
      </c>
      <c r="L9" s="1" t="s">
        <v>1012</v>
      </c>
      <c r="M9" s="1" t="s">
        <v>985</v>
      </c>
      <c r="N9" s="1">
        <f t="shared" si="0"/>
        <v>1500</v>
      </c>
      <c r="O9" s="1" t="s">
        <v>1011</v>
      </c>
      <c r="P9" s="1">
        <v>150000</v>
      </c>
    </row>
    <row r="10" spans="1:43" x14ac:dyDescent="0.4">
      <c r="A10" s="50" t="s">
        <v>244</v>
      </c>
      <c r="B10" s="50" t="s">
        <v>1010</v>
      </c>
      <c r="C10" s="1">
        <v>25</v>
      </c>
      <c r="D10" s="1">
        <v>100</v>
      </c>
      <c r="E10" s="1">
        <v>20</v>
      </c>
      <c r="F10" s="1" t="s">
        <v>1009</v>
      </c>
      <c r="G10" s="1">
        <v>35</v>
      </c>
      <c r="H10" s="30"/>
      <c r="I10" s="30"/>
      <c r="J10" s="30"/>
      <c r="M10" t="s">
        <v>871</v>
      </c>
      <c r="N10" s="1">
        <f t="shared" si="0"/>
        <v>1500</v>
      </c>
      <c r="P10" s="1">
        <v>150000</v>
      </c>
      <c r="T10">
        <v>10</v>
      </c>
    </row>
    <row r="11" spans="1:43" x14ac:dyDescent="0.4">
      <c r="A11" s="50" t="s">
        <v>243</v>
      </c>
      <c r="B11" s="50" t="s">
        <v>1008</v>
      </c>
      <c r="C11" s="1">
        <v>25</v>
      </c>
      <c r="D11" s="1">
        <v>100</v>
      </c>
      <c r="E11" s="1">
        <v>20</v>
      </c>
      <c r="F11" s="1" t="s">
        <v>1007</v>
      </c>
      <c r="G11" s="1">
        <v>35</v>
      </c>
      <c r="H11" s="30"/>
      <c r="I11" s="30"/>
      <c r="J11" s="30"/>
      <c r="M11" t="s">
        <v>871</v>
      </c>
      <c r="N11" s="1">
        <f t="shared" si="0"/>
        <v>1500</v>
      </c>
      <c r="P11" s="1">
        <v>150000</v>
      </c>
      <c r="R11">
        <v>10</v>
      </c>
    </row>
    <row r="12" spans="1:43" x14ac:dyDescent="0.4">
      <c r="A12" s="50" t="s">
        <v>205</v>
      </c>
      <c r="B12" s="50" t="s">
        <v>1006</v>
      </c>
      <c r="C12" s="1">
        <v>25</v>
      </c>
      <c r="D12" s="1">
        <v>100</v>
      </c>
      <c r="E12" s="1">
        <v>20</v>
      </c>
      <c r="F12" s="1" t="s">
        <v>1005</v>
      </c>
      <c r="G12" s="1">
        <v>35</v>
      </c>
      <c r="H12" s="30"/>
      <c r="I12" s="30"/>
      <c r="J12" s="30"/>
      <c r="M12" t="s">
        <v>871</v>
      </c>
      <c r="N12" s="1">
        <f t="shared" si="0"/>
        <v>1500</v>
      </c>
      <c r="P12" s="1">
        <v>150000</v>
      </c>
      <c r="S12">
        <v>10</v>
      </c>
    </row>
    <row r="13" spans="1:43" x14ac:dyDescent="0.4">
      <c r="A13" s="50" t="s">
        <v>1004</v>
      </c>
      <c r="B13" s="50" t="s">
        <v>1003</v>
      </c>
      <c r="C13" s="1">
        <v>25</v>
      </c>
      <c r="D13" s="1">
        <v>100</v>
      </c>
      <c r="E13" s="1">
        <v>20</v>
      </c>
      <c r="H13" s="30">
        <v>0.05</v>
      </c>
      <c r="I13" s="30">
        <v>0.1</v>
      </c>
      <c r="J13" s="30"/>
      <c r="M13" t="s">
        <v>871</v>
      </c>
      <c r="N13" s="1">
        <f t="shared" si="0"/>
        <v>1500</v>
      </c>
      <c r="P13" s="1">
        <v>150000</v>
      </c>
    </row>
    <row r="14" spans="1:43" ht="37.5" x14ac:dyDescent="0.4">
      <c r="A14" s="50" t="s">
        <v>1002</v>
      </c>
      <c r="B14" s="50" t="s">
        <v>1001</v>
      </c>
      <c r="C14" s="1">
        <v>25</v>
      </c>
      <c r="D14" s="1">
        <v>100</v>
      </c>
      <c r="E14" s="1">
        <v>20</v>
      </c>
      <c r="K14" s="1" t="s">
        <v>1000</v>
      </c>
      <c r="L14" s="1" t="s">
        <v>999</v>
      </c>
      <c r="M14" s="1" t="s">
        <v>985</v>
      </c>
      <c r="N14" s="1">
        <f t="shared" si="0"/>
        <v>1500</v>
      </c>
      <c r="O14" t="s">
        <v>998</v>
      </c>
      <c r="P14" s="1">
        <v>150000</v>
      </c>
    </row>
    <row r="15" spans="1:43" x14ac:dyDescent="0.4">
      <c r="A15" s="50" t="s">
        <v>997</v>
      </c>
      <c r="B15" s="50" t="s">
        <v>996</v>
      </c>
      <c r="C15" s="1">
        <v>25</v>
      </c>
      <c r="D15" s="1">
        <v>100</v>
      </c>
      <c r="E15" s="1">
        <v>20</v>
      </c>
      <c r="M15" t="s">
        <v>871</v>
      </c>
      <c r="N15" s="1">
        <f t="shared" si="0"/>
        <v>2000</v>
      </c>
      <c r="P15" s="1">
        <v>200000</v>
      </c>
    </row>
    <row r="16" spans="1:43" x14ac:dyDescent="0.4">
      <c r="A16" s="50" t="s">
        <v>995</v>
      </c>
      <c r="B16" s="50" t="s">
        <v>994</v>
      </c>
      <c r="C16" s="1">
        <v>25</v>
      </c>
      <c r="D16" s="1">
        <v>100</v>
      </c>
      <c r="E16" s="1">
        <v>20</v>
      </c>
      <c r="F16" t="s">
        <v>993</v>
      </c>
      <c r="G16" s="1">
        <v>35</v>
      </c>
      <c r="M16" t="s">
        <v>871</v>
      </c>
      <c r="N16" s="1">
        <f t="shared" si="0"/>
        <v>2000</v>
      </c>
      <c r="P16" s="1">
        <v>200000</v>
      </c>
    </row>
    <row r="17" spans="1:24" x14ac:dyDescent="0.4">
      <c r="A17" s="50" t="s">
        <v>992</v>
      </c>
      <c r="B17" s="50" t="s">
        <v>991</v>
      </c>
      <c r="C17" s="1">
        <v>25</v>
      </c>
      <c r="D17" s="1">
        <v>100</v>
      </c>
      <c r="E17" s="1">
        <v>20</v>
      </c>
      <c r="F17" t="s">
        <v>990</v>
      </c>
      <c r="G17" s="1">
        <v>35</v>
      </c>
      <c r="M17" t="s">
        <v>871</v>
      </c>
      <c r="N17" s="1">
        <f t="shared" si="0"/>
        <v>2000</v>
      </c>
      <c r="P17" s="1">
        <v>200000</v>
      </c>
    </row>
    <row r="18" spans="1:24" x14ac:dyDescent="0.4">
      <c r="A18" s="50" t="s">
        <v>1216</v>
      </c>
      <c r="B18" s="50" t="s">
        <v>1217</v>
      </c>
      <c r="C18" s="1">
        <v>30</v>
      </c>
      <c r="D18" s="1">
        <v>100</v>
      </c>
      <c r="E18" s="1">
        <v>25</v>
      </c>
      <c r="F18" t="s">
        <v>1005</v>
      </c>
      <c r="G18" s="1">
        <v>35</v>
      </c>
      <c r="H18" s="30">
        <v>0.02</v>
      </c>
      <c r="M18" t="s">
        <v>871</v>
      </c>
      <c r="N18" s="1">
        <f t="shared" si="0"/>
        <v>3500</v>
      </c>
      <c r="P18" s="1">
        <v>350000</v>
      </c>
      <c r="R18">
        <v>5</v>
      </c>
      <c r="S18">
        <v>10</v>
      </c>
    </row>
    <row r="19" spans="1:24" ht="37.5" x14ac:dyDescent="0.4">
      <c r="A19" s="50" t="s">
        <v>989</v>
      </c>
      <c r="B19" s="50" t="s">
        <v>988</v>
      </c>
      <c r="C19" s="1">
        <v>35</v>
      </c>
      <c r="D19" s="1">
        <v>100</v>
      </c>
      <c r="E19" s="1">
        <v>25</v>
      </c>
      <c r="F19" t="s">
        <v>987</v>
      </c>
      <c r="G19" s="1">
        <v>40</v>
      </c>
      <c r="H19" s="30">
        <v>0.05</v>
      </c>
      <c r="K19" s="1" t="s">
        <v>986</v>
      </c>
      <c r="M19" s="1" t="s">
        <v>985</v>
      </c>
      <c r="N19" s="1">
        <f t="shared" si="0"/>
        <v>5000</v>
      </c>
      <c r="P19" s="1">
        <v>500000</v>
      </c>
      <c r="X19">
        <v>10</v>
      </c>
    </row>
    <row r="20" spans="1:24" ht="37.5" x14ac:dyDescent="0.4">
      <c r="A20" s="50" t="s">
        <v>1218</v>
      </c>
      <c r="B20" s="50" t="s">
        <v>1220</v>
      </c>
      <c r="C20" s="1">
        <v>35</v>
      </c>
      <c r="D20" s="1">
        <v>100</v>
      </c>
      <c r="E20" s="1">
        <v>25</v>
      </c>
      <c r="F20" t="s">
        <v>1219</v>
      </c>
      <c r="G20" s="1">
        <v>40</v>
      </c>
      <c r="H20" s="30">
        <v>0.02</v>
      </c>
      <c r="I20" s="29">
        <v>0.05</v>
      </c>
      <c r="K20" s="1" t="s">
        <v>1229</v>
      </c>
      <c r="M20" t="s">
        <v>871</v>
      </c>
      <c r="N20" s="1">
        <f>IF(P20&lt;&gt;"",P20/100,"")</f>
        <v>5000</v>
      </c>
      <c r="P20" s="1">
        <v>500000</v>
      </c>
      <c r="W20">
        <v>10</v>
      </c>
    </row>
    <row r="21" spans="1:24" x14ac:dyDescent="0.4">
      <c r="A21" s="50" t="s">
        <v>984</v>
      </c>
      <c r="B21" s="50" t="s">
        <v>983</v>
      </c>
      <c r="C21" s="1">
        <v>35</v>
      </c>
      <c r="D21" s="1">
        <v>65</v>
      </c>
      <c r="E21" s="1">
        <v>25</v>
      </c>
      <c r="H21" s="30">
        <v>0.02</v>
      </c>
      <c r="I21" s="29">
        <v>0.05</v>
      </c>
      <c r="M21" t="s">
        <v>871</v>
      </c>
      <c r="N21" s="1">
        <f t="shared" si="0"/>
        <v>4000</v>
      </c>
      <c r="P21" s="1">
        <v>400000</v>
      </c>
    </row>
    <row r="22" spans="1:24" x14ac:dyDescent="0.4">
      <c r="A22" s="50" t="s">
        <v>200</v>
      </c>
      <c r="B22" s="50" t="s">
        <v>982</v>
      </c>
      <c r="C22" s="1">
        <v>35</v>
      </c>
      <c r="D22" s="1">
        <v>100</v>
      </c>
      <c r="E22" s="1">
        <v>35</v>
      </c>
      <c r="F22" t="s">
        <v>978</v>
      </c>
      <c r="H22" s="29">
        <v>0.02</v>
      </c>
      <c r="I22" s="29">
        <v>0.05</v>
      </c>
      <c r="M22" t="s">
        <v>871</v>
      </c>
      <c r="N22" s="1">
        <f t="shared" si="0"/>
        <v>4500</v>
      </c>
      <c r="P22" s="1">
        <v>450000</v>
      </c>
    </row>
    <row r="23" spans="1:24" x14ac:dyDescent="0.4">
      <c r="A23" s="50" t="s">
        <v>199</v>
      </c>
      <c r="B23" s="50" t="s">
        <v>981</v>
      </c>
      <c r="C23" s="1">
        <v>35</v>
      </c>
      <c r="D23" s="1">
        <v>115</v>
      </c>
      <c r="E23" s="1">
        <v>40</v>
      </c>
      <c r="H23" s="29">
        <v>0.02</v>
      </c>
      <c r="I23" s="29">
        <v>0.05</v>
      </c>
      <c r="M23" t="s">
        <v>871</v>
      </c>
      <c r="N23" s="1">
        <f t="shared" si="0"/>
        <v>5000</v>
      </c>
      <c r="P23" s="1">
        <v>500000</v>
      </c>
    </row>
    <row r="24" spans="1:24" x14ac:dyDescent="0.4">
      <c r="A24" s="50" t="s">
        <v>197</v>
      </c>
      <c r="B24" s="50" t="s">
        <v>980</v>
      </c>
      <c r="C24" s="1">
        <v>45</v>
      </c>
      <c r="D24" s="1">
        <v>50</v>
      </c>
      <c r="E24" s="1">
        <v>35</v>
      </c>
      <c r="H24" s="30">
        <v>0.05</v>
      </c>
      <c r="I24" s="29">
        <v>0.1</v>
      </c>
      <c r="M24" t="s">
        <v>871</v>
      </c>
      <c r="N24" s="1">
        <f t="shared" si="0"/>
        <v>8000</v>
      </c>
      <c r="P24" s="1">
        <v>800000</v>
      </c>
      <c r="Q24" t="s">
        <v>1226</v>
      </c>
    </row>
    <row r="25" spans="1:24" x14ac:dyDescent="0.4">
      <c r="A25" s="50" t="s">
        <v>196</v>
      </c>
      <c r="B25" s="50" t="s">
        <v>979</v>
      </c>
      <c r="C25" s="1">
        <v>45</v>
      </c>
      <c r="D25" s="1">
        <v>100</v>
      </c>
      <c r="E25" s="1">
        <v>40</v>
      </c>
      <c r="F25" t="s">
        <v>978</v>
      </c>
      <c r="H25" s="30">
        <v>0.05</v>
      </c>
      <c r="I25" s="29">
        <v>0.1</v>
      </c>
      <c r="M25" t="s">
        <v>871</v>
      </c>
      <c r="N25" s="1">
        <f t="shared" si="0"/>
        <v>9000</v>
      </c>
      <c r="P25" s="1">
        <v>900000</v>
      </c>
      <c r="Q25" t="s">
        <v>1227</v>
      </c>
    </row>
    <row r="26" spans="1:24" x14ac:dyDescent="0.4">
      <c r="A26" s="50" t="s">
        <v>977</v>
      </c>
      <c r="B26" s="50" t="s">
        <v>976</v>
      </c>
      <c r="C26" s="1">
        <v>45</v>
      </c>
      <c r="D26" s="1">
        <v>120</v>
      </c>
      <c r="E26" s="1">
        <v>50</v>
      </c>
      <c r="F26" t="s">
        <v>949</v>
      </c>
      <c r="H26" s="30">
        <v>0.05</v>
      </c>
      <c r="I26" s="29">
        <v>0.1</v>
      </c>
      <c r="M26" t="s">
        <v>871</v>
      </c>
      <c r="N26" s="1">
        <f t="shared" si="0"/>
        <v>10000</v>
      </c>
      <c r="P26" s="1">
        <v>1000000</v>
      </c>
      <c r="Q26" t="s">
        <v>1228</v>
      </c>
    </row>
    <row r="27" spans="1:24" x14ac:dyDescent="0.4">
      <c r="A27" s="50" t="s">
        <v>1225</v>
      </c>
      <c r="B27" s="50" t="s">
        <v>1221</v>
      </c>
      <c r="C27" s="1">
        <v>55</v>
      </c>
      <c r="D27" s="1">
        <v>100</v>
      </c>
      <c r="E27" s="1">
        <v>35</v>
      </c>
      <c r="F27" t="s">
        <v>1222</v>
      </c>
      <c r="G27" s="1">
        <v>180</v>
      </c>
      <c r="M27" t="s">
        <v>871</v>
      </c>
      <c r="N27" s="1">
        <f>IF(P27&lt;&gt;"",P27/100,"")</f>
        <v>500000</v>
      </c>
      <c r="P27" s="1">
        <v>50000000</v>
      </c>
      <c r="R27">
        <v>10</v>
      </c>
      <c r="S27">
        <v>10</v>
      </c>
      <c r="T27">
        <v>10</v>
      </c>
      <c r="U27">
        <v>10</v>
      </c>
      <c r="W27">
        <v>10</v>
      </c>
      <c r="X27">
        <v>10</v>
      </c>
    </row>
    <row r="28" spans="1:24" ht="27" x14ac:dyDescent="0.4">
      <c r="A28" s="50" t="s">
        <v>1223</v>
      </c>
      <c r="B28" s="50" t="s">
        <v>1224</v>
      </c>
      <c r="C28" s="1">
        <v>55</v>
      </c>
      <c r="D28" s="1">
        <v>100</v>
      </c>
      <c r="E28" s="1">
        <v>55</v>
      </c>
      <c r="G28" s="1"/>
      <c r="H28" s="29">
        <v>0.15</v>
      </c>
      <c r="I28" s="29">
        <v>0.2</v>
      </c>
      <c r="M28" t="s">
        <v>871</v>
      </c>
      <c r="N28" s="1">
        <f>IF(P28&lt;&gt;"",P28/100,"")</f>
        <v>500000</v>
      </c>
      <c r="P28" s="1">
        <v>50000000</v>
      </c>
    </row>
    <row r="29" spans="1:24" x14ac:dyDescent="0.4">
      <c r="N29" s="1"/>
    </row>
    <row r="30" spans="1:24" x14ac:dyDescent="0.4">
      <c r="N30" s="1" t="str">
        <f>IF(P30&lt;&gt;"",P30/500,"")</f>
        <v/>
      </c>
    </row>
    <row r="31" spans="1:24" ht="36" x14ac:dyDescent="0.4">
      <c r="A31" s="39" t="s">
        <v>193</v>
      </c>
      <c r="B31" s="39" t="s">
        <v>87</v>
      </c>
      <c r="C31" s="39" t="s">
        <v>913</v>
      </c>
      <c r="D31" s="39" t="s">
        <v>975</v>
      </c>
      <c r="E31" s="39" t="s">
        <v>974</v>
      </c>
      <c r="F31" s="39" t="s">
        <v>911</v>
      </c>
      <c r="G31" s="39" t="s">
        <v>910</v>
      </c>
      <c r="H31" s="49" t="s">
        <v>179</v>
      </c>
      <c r="I31" s="49" t="s">
        <v>178</v>
      </c>
      <c r="J31" s="49"/>
      <c r="K31" s="39" t="s">
        <v>909</v>
      </c>
      <c r="L31" s="39" t="s">
        <v>908</v>
      </c>
      <c r="M31" s="39" t="s">
        <v>457</v>
      </c>
      <c r="N31" s="48" t="s">
        <v>907</v>
      </c>
      <c r="O31" s="39" t="s">
        <v>869</v>
      </c>
      <c r="P31" s="39" t="s">
        <v>907</v>
      </c>
    </row>
    <row r="32" spans="1:24" ht="54" x14ac:dyDescent="0.4">
      <c r="A32" s="39" t="s">
        <v>964</v>
      </c>
      <c r="B32" s="39" t="s">
        <v>973</v>
      </c>
      <c r="C32" s="39">
        <v>10</v>
      </c>
      <c r="D32" s="39">
        <v>40</v>
      </c>
      <c r="E32" s="39">
        <v>10</v>
      </c>
      <c r="F32" s="39" t="s">
        <v>258</v>
      </c>
      <c r="G32" s="39" t="s">
        <v>258</v>
      </c>
      <c r="H32" s="49" t="s">
        <v>258</v>
      </c>
      <c r="I32" s="49" t="s">
        <v>258</v>
      </c>
      <c r="J32" s="49"/>
      <c r="K32" s="39" t="s">
        <v>258</v>
      </c>
      <c r="L32" s="39" t="s">
        <v>258</v>
      </c>
      <c r="M32" s="39" t="s">
        <v>964</v>
      </c>
      <c r="N32" s="48">
        <v>100</v>
      </c>
      <c r="O32" s="39" t="s">
        <v>972</v>
      </c>
      <c r="P32" s="39"/>
    </row>
    <row r="33" spans="1:23" ht="54" x14ac:dyDescent="0.4">
      <c r="A33" s="39" t="s">
        <v>971</v>
      </c>
      <c r="B33" s="39" t="s">
        <v>970</v>
      </c>
      <c r="C33" s="39">
        <v>15</v>
      </c>
      <c r="D33" s="39">
        <v>40</v>
      </c>
      <c r="E33" s="39">
        <v>15</v>
      </c>
      <c r="F33" s="39" t="s">
        <v>258</v>
      </c>
      <c r="G33" s="39" t="s">
        <v>258</v>
      </c>
      <c r="H33" s="49" t="s">
        <v>258</v>
      </c>
      <c r="I33" s="49" t="s">
        <v>258</v>
      </c>
      <c r="J33" s="49"/>
      <c r="K33" s="39" t="s">
        <v>258</v>
      </c>
      <c r="L33" s="39" t="s">
        <v>258</v>
      </c>
      <c r="M33" s="39" t="s">
        <v>964</v>
      </c>
      <c r="N33" s="48">
        <v>200</v>
      </c>
      <c r="O33" s="39" t="s">
        <v>969</v>
      </c>
      <c r="P33" s="39"/>
    </row>
    <row r="34" spans="1:23" ht="54" x14ac:dyDescent="0.4">
      <c r="A34" s="39" t="s">
        <v>250</v>
      </c>
      <c r="B34" s="39" t="s">
        <v>968</v>
      </c>
      <c r="C34" s="39">
        <v>20</v>
      </c>
      <c r="D34" s="39">
        <v>25</v>
      </c>
      <c r="E34" s="39">
        <v>15</v>
      </c>
      <c r="F34" s="39" t="s">
        <v>258</v>
      </c>
      <c r="G34" s="39" t="s">
        <v>258</v>
      </c>
      <c r="H34" s="49" t="s">
        <v>258</v>
      </c>
      <c r="I34" s="49" t="s">
        <v>258</v>
      </c>
      <c r="J34" s="49"/>
      <c r="K34" s="39" t="s">
        <v>258</v>
      </c>
      <c r="L34" s="39" t="s">
        <v>258</v>
      </c>
      <c r="M34" s="39" t="s">
        <v>964</v>
      </c>
      <c r="N34" s="48">
        <v>500</v>
      </c>
      <c r="O34" s="39" t="s">
        <v>967</v>
      </c>
      <c r="P34" s="39"/>
    </row>
    <row r="35" spans="1:23" ht="54" x14ac:dyDescent="0.4">
      <c r="A35" s="39" t="s">
        <v>202</v>
      </c>
      <c r="B35" s="39" t="s">
        <v>966</v>
      </c>
      <c r="C35" s="39">
        <v>25</v>
      </c>
      <c r="D35" s="39">
        <v>75</v>
      </c>
      <c r="E35" s="39">
        <v>15</v>
      </c>
      <c r="F35" s="39" t="s">
        <v>965</v>
      </c>
      <c r="G35" s="39" t="s">
        <v>258</v>
      </c>
      <c r="H35" s="49" t="s">
        <v>258</v>
      </c>
      <c r="I35" s="49" t="s">
        <v>258</v>
      </c>
      <c r="J35" s="49"/>
      <c r="K35" s="39" t="s">
        <v>258</v>
      </c>
      <c r="L35" s="39" t="s">
        <v>258</v>
      </c>
      <c r="M35" s="39" t="s">
        <v>964</v>
      </c>
      <c r="N35" s="48">
        <v>1500</v>
      </c>
      <c r="O35" s="39" t="s">
        <v>963</v>
      </c>
      <c r="P35" s="39"/>
    </row>
    <row r="36" spans="1:23" ht="72" x14ac:dyDescent="0.4">
      <c r="A36" s="39" t="s">
        <v>245</v>
      </c>
      <c r="B36" s="39" t="s">
        <v>962</v>
      </c>
      <c r="C36" s="39">
        <v>30</v>
      </c>
      <c r="D36" s="39">
        <v>80</v>
      </c>
      <c r="E36" s="39">
        <v>25</v>
      </c>
      <c r="F36" s="39" t="s">
        <v>961</v>
      </c>
      <c r="G36" s="39">
        <v>25</v>
      </c>
      <c r="H36" s="49" t="s">
        <v>258</v>
      </c>
      <c r="I36" s="49" t="s">
        <v>258</v>
      </c>
      <c r="J36" s="49"/>
      <c r="K36" s="39" t="s">
        <v>258</v>
      </c>
      <c r="L36" s="39" t="s">
        <v>258</v>
      </c>
      <c r="M36" s="39" t="s">
        <v>952</v>
      </c>
      <c r="N36" s="48">
        <v>5500</v>
      </c>
      <c r="O36" s="39" t="s">
        <v>960</v>
      </c>
      <c r="P36" s="39"/>
      <c r="S36">
        <v>10</v>
      </c>
    </row>
    <row r="37" spans="1:23" ht="56.25" x14ac:dyDescent="0.4">
      <c r="A37" s="47" t="s">
        <v>248</v>
      </c>
      <c r="B37" s="1" t="s">
        <v>959</v>
      </c>
      <c r="C37" s="39">
        <v>30</v>
      </c>
      <c r="D37" s="39">
        <v>80</v>
      </c>
      <c r="E37" s="39">
        <v>25</v>
      </c>
      <c r="F37" s="39" t="s">
        <v>958</v>
      </c>
      <c r="G37" s="39">
        <v>25</v>
      </c>
      <c r="H37" s="30" t="s">
        <v>258</v>
      </c>
      <c r="I37" s="30" t="s">
        <v>258</v>
      </c>
      <c r="J37" s="30"/>
      <c r="K37" s="1" t="s">
        <v>258</v>
      </c>
      <c r="L37" s="1" t="s">
        <v>258</v>
      </c>
      <c r="M37" s="1" t="s">
        <v>952</v>
      </c>
      <c r="N37" s="1">
        <v>5500</v>
      </c>
      <c r="O37" s="1" t="s">
        <v>957</v>
      </c>
      <c r="P37" s="1">
        <v>300000</v>
      </c>
      <c r="R37">
        <v>10</v>
      </c>
    </row>
    <row r="38" spans="1:23" ht="56.25" x14ac:dyDescent="0.4">
      <c r="A38" s="47" t="s">
        <v>249</v>
      </c>
      <c r="B38" s="1" t="s">
        <v>956</v>
      </c>
      <c r="C38" s="39">
        <v>30</v>
      </c>
      <c r="D38" s="39">
        <v>80</v>
      </c>
      <c r="E38" s="39">
        <v>25</v>
      </c>
      <c r="F38" s="39" t="s">
        <v>935</v>
      </c>
      <c r="G38" s="39">
        <v>25</v>
      </c>
      <c r="H38" s="30" t="s">
        <v>258</v>
      </c>
      <c r="I38" s="30" t="s">
        <v>258</v>
      </c>
      <c r="J38" s="30"/>
      <c r="K38" s="1" t="s">
        <v>258</v>
      </c>
      <c r="L38" s="1" t="s">
        <v>258</v>
      </c>
      <c r="M38" s="1" t="s">
        <v>952</v>
      </c>
      <c r="N38" s="1">
        <v>5500</v>
      </c>
      <c r="O38" s="1" t="s">
        <v>955</v>
      </c>
      <c r="P38" s="1">
        <v>300000</v>
      </c>
      <c r="T38">
        <v>10</v>
      </c>
    </row>
    <row r="39" spans="1:23" ht="75" x14ac:dyDescent="0.4">
      <c r="A39" s="47" t="s">
        <v>954</v>
      </c>
      <c r="B39" s="1" t="s">
        <v>953</v>
      </c>
      <c r="C39" s="39">
        <v>30</v>
      </c>
      <c r="D39" s="39">
        <v>80</v>
      </c>
      <c r="E39" s="39">
        <v>25</v>
      </c>
      <c r="F39" s="39" t="s">
        <v>935</v>
      </c>
      <c r="G39" s="39">
        <v>25</v>
      </c>
      <c r="H39" s="30" t="s">
        <v>258</v>
      </c>
      <c r="I39" s="30" t="s">
        <v>258</v>
      </c>
      <c r="J39" s="30"/>
      <c r="K39" s="1" t="s">
        <v>258</v>
      </c>
      <c r="L39" s="1" t="s">
        <v>258</v>
      </c>
      <c r="M39" s="1" t="s">
        <v>952</v>
      </c>
      <c r="N39" s="1">
        <v>5500</v>
      </c>
      <c r="O39" s="1" t="s">
        <v>951</v>
      </c>
      <c r="P39" s="1">
        <v>400000</v>
      </c>
      <c r="U39">
        <v>10</v>
      </c>
    </row>
    <row r="40" spans="1:23" ht="75" x14ac:dyDescent="0.4">
      <c r="A40" s="47" t="s">
        <v>1273</v>
      </c>
      <c r="B40" s="1" t="s">
        <v>1274</v>
      </c>
      <c r="C40" s="39">
        <v>30</v>
      </c>
      <c r="D40" s="39">
        <v>80</v>
      </c>
      <c r="E40" s="39">
        <v>25</v>
      </c>
      <c r="F40" s="39" t="s">
        <v>1219</v>
      </c>
      <c r="G40" s="39">
        <v>25</v>
      </c>
      <c r="H40" s="30" t="s">
        <v>258</v>
      </c>
      <c r="I40" s="30" t="s">
        <v>258</v>
      </c>
      <c r="J40" s="30"/>
      <c r="K40" s="1" t="s">
        <v>258</v>
      </c>
      <c r="L40" s="1" t="s">
        <v>258</v>
      </c>
      <c r="M40" s="1" t="s">
        <v>952</v>
      </c>
      <c r="N40" s="1">
        <v>5500</v>
      </c>
      <c r="O40" s="1" t="s">
        <v>951</v>
      </c>
      <c r="P40" s="1">
        <v>400000</v>
      </c>
      <c r="W40">
        <v>10</v>
      </c>
    </row>
    <row r="41" spans="1:23" x14ac:dyDescent="0.4">
      <c r="A41" s="47"/>
      <c r="B41" s="1"/>
      <c r="C41" s="1"/>
      <c r="D41" s="1"/>
      <c r="E41" s="1"/>
      <c r="F41" s="1"/>
      <c r="G41" s="1"/>
      <c r="H41" s="30"/>
      <c r="I41" s="30"/>
      <c r="J41" s="30"/>
      <c r="M41" s="1"/>
      <c r="N41" s="1"/>
      <c r="O41" s="1"/>
      <c r="P41" s="1"/>
    </row>
    <row r="42" spans="1:23" x14ac:dyDescent="0.4">
      <c r="N42" s="1" t="str">
        <f>IF(P42&lt;&gt;"",P42/500,"")</f>
        <v/>
      </c>
    </row>
    <row r="43" spans="1:23" x14ac:dyDescent="0.4">
      <c r="N43" s="1" t="str">
        <f>IF(P43&lt;&gt;"",P43/500,"")</f>
        <v/>
      </c>
    </row>
    <row r="44" spans="1:23" x14ac:dyDescent="0.4">
      <c r="A44" s="48" t="s">
        <v>950</v>
      </c>
      <c r="N44" s="1" t="str">
        <f>IF(P44&lt;&gt;"",P44/500,"")</f>
        <v/>
      </c>
    </row>
    <row r="45" spans="1:23" x14ac:dyDescent="0.4">
      <c r="N45" s="1" t="str">
        <f>IF(P45&lt;&gt;"",P45/500,"")</f>
        <v/>
      </c>
    </row>
    <row r="46" spans="1:23" x14ac:dyDescent="0.4">
      <c r="A46" s="39" t="s">
        <v>193</v>
      </c>
      <c r="B46" s="39" t="s">
        <v>87</v>
      </c>
      <c r="C46" s="39" t="s">
        <v>913</v>
      </c>
      <c r="D46" s="39" t="s">
        <v>912</v>
      </c>
      <c r="E46" s="39" t="s">
        <v>949</v>
      </c>
      <c r="F46" s="39" t="s">
        <v>911</v>
      </c>
      <c r="G46" s="39" t="s">
        <v>910</v>
      </c>
      <c r="H46" s="49"/>
      <c r="I46" s="49"/>
      <c r="J46" s="49"/>
      <c r="K46" s="39" t="s">
        <v>909</v>
      </c>
      <c r="L46" s="39" t="s">
        <v>908</v>
      </c>
      <c r="M46" s="39" t="s">
        <v>457</v>
      </c>
      <c r="N46" s="48" t="s">
        <v>105</v>
      </c>
      <c r="O46" s="39" t="s">
        <v>869</v>
      </c>
      <c r="P46" s="39" t="s">
        <v>907</v>
      </c>
    </row>
    <row r="47" spans="1:23" x14ac:dyDescent="0.4">
      <c r="A47" s="47" t="s">
        <v>255</v>
      </c>
      <c r="B47" s="1" t="s">
        <v>948</v>
      </c>
      <c r="C47" s="1">
        <v>10</v>
      </c>
      <c r="D47" s="1">
        <v>75</v>
      </c>
      <c r="E47" s="1">
        <v>15</v>
      </c>
      <c r="F47" s="1"/>
      <c r="G47" s="1"/>
      <c r="H47" s="30"/>
      <c r="I47" s="30"/>
      <c r="J47" s="30"/>
      <c r="M47" s="1" t="s">
        <v>916</v>
      </c>
      <c r="N47" s="1">
        <v>100</v>
      </c>
      <c r="O47" s="1" t="s">
        <v>947</v>
      </c>
      <c r="P47" s="1">
        <v>150000</v>
      </c>
    </row>
    <row r="48" spans="1:23" ht="56.25" x14ac:dyDescent="0.4">
      <c r="A48" s="47" t="s">
        <v>946</v>
      </c>
      <c r="B48" s="1" t="s">
        <v>945</v>
      </c>
      <c r="C48" s="1">
        <v>20</v>
      </c>
      <c r="D48" s="1">
        <v>65</v>
      </c>
      <c r="E48" s="1">
        <v>20</v>
      </c>
      <c r="F48" s="1"/>
      <c r="G48" s="1"/>
      <c r="H48" s="30"/>
      <c r="I48" s="30"/>
      <c r="J48" s="30"/>
      <c r="M48" s="1" t="s">
        <v>916</v>
      </c>
      <c r="N48" s="1">
        <v>300</v>
      </c>
      <c r="O48" s="1" t="s">
        <v>938</v>
      </c>
      <c r="P48" s="1">
        <v>150000</v>
      </c>
    </row>
    <row r="49" spans="1:39" ht="56.25" x14ac:dyDescent="0.4">
      <c r="A49" s="47" t="s">
        <v>944</v>
      </c>
      <c r="B49" s="1" t="s">
        <v>943</v>
      </c>
      <c r="C49" s="1">
        <v>30</v>
      </c>
      <c r="D49" s="1">
        <v>65</v>
      </c>
      <c r="E49" s="1">
        <v>25</v>
      </c>
      <c r="F49" s="1"/>
      <c r="G49" s="1"/>
      <c r="H49" s="30"/>
      <c r="I49" s="30"/>
      <c r="J49" s="30"/>
      <c r="M49" s="1" t="s">
        <v>916</v>
      </c>
      <c r="N49" s="1">
        <v>600</v>
      </c>
      <c r="O49" s="1" t="s">
        <v>938</v>
      </c>
      <c r="P49" s="1">
        <v>150000</v>
      </c>
    </row>
    <row r="50" spans="1:39" ht="56.25" x14ac:dyDescent="0.4">
      <c r="A50" s="47" t="s">
        <v>942</v>
      </c>
      <c r="B50" s="1" t="s">
        <v>941</v>
      </c>
      <c r="C50" s="1">
        <v>20</v>
      </c>
      <c r="D50" s="1">
        <v>55</v>
      </c>
      <c r="E50" s="1">
        <v>10</v>
      </c>
      <c r="F50" s="1" t="s">
        <v>940</v>
      </c>
      <c r="G50" s="1">
        <v>20</v>
      </c>
      <c r="H50" s="30"/>
      <c r="I50" s="30"/>
      <c r="J50" s="30"/>
      <c r="K50" s="1" t="s">
        <v>939</v>
      </c>
      <c r="L50" s="1" t="s">
        <v>159</v>
      </c>
      <c r="M50" s="1" t="s">
        <v>916</v>
      </c>
      <c r="N50" s="1">
        <f t="shared" ref="N50:N62" si="1">IF(P50&lt;&gt;"",P50/500,"")</f>
        <v>300</v>
      </c>
      <c r="O50" s="1" t="s">
        <v>938</v>
      </c>
      <c r="P50" s="1">
        <v>150000</v>
      </c>
    </row>
    <row r="51" spans="1:39" ht="56.25" x14ac:dyDescent="0.4">
      <c r="A51" s="47" t="s">
        <v>937</v>
      </c>
      <c r="B51" s="1" t="s">
        <v>936</v>
      </c>
      <c r="C51" s="1">
        <v>30</v>
      </c>
      <c r="D51" s="1">
        <v>60</v>
      </c>
      <c r="E51" s="1">
        <v>15</v>
      </c>
      <c r="F51" s="1" t="s">
        <v>935</v>
      </c>
      <c r="G51" s="1">
        <v>25</v>
      </c>
      <c r="H51" s="30"/>
      <c r="I51" s="30"/>
      <c r="J51" s="30"/>
      <c r="K51" s="1" t="s">
        <v>934</v>
      </c>
      <c r="L51" s="1" t="s">
        <v>933</v>
      </c>
      <c r="M51" s="1" t="s">
        <v>916</v>
      </c>
      <c r="N51" s="1">
        <f t="shared" si="1"/>
        <v>360</v>
      </c>
      <c r="O51" s="1" t="s">
        <v>932</v>
      </c>
      <c r="P51" s="1">
        <v>180000</v>
      </c>
    </row>
    <row r="52" spans="1:39" ht="56.25" x14ac:dyDescent="0.4">
      <c r="A52" s="47" t="s">
        <v>931</v>
      </c>
      <c r="B52" s="1" t="s">
        <v>930</v>
      </c>
      <c r="C52" s="1">
        <v>35</v>
      </c>
      <c r="D52" s="1">
        <v>60</v>
      </c>
      <c r="E52" s="1">
        <v>20</v>
      </c>
      <c r="F52" s="1" t="s">
        <v>929</v>
      </c>
      <c r="G52" s="1">
        <v>20</v>
      </c>
      <c r="H52" s="30"/>
      <c r="I52" s="30"/>
      <c r="J52" s="30"/>
      <c r="K52" s="1" t="s">
        <v>928</v>
      </c>
      <c r="M52" s="1" t="s">
        <v>916</v>
      </c>
      <c r="N52" s="1">
        <f t="shared" si="1"/>
        <v>400</v>
      </c>
      <c r="O52" s="1" t="s">
        <v>927</v>
      </c>
      <c r="P52" s="1">
        <v>200000</v>
      </c>
      <c r="X52">
        <v>5</v>
      </c>
      <c r="Z52">
        <v>5</v>
      </c>
      <c r="AB52">
        <v>5</v>
      </c>
      <c r="AJ52">
        <v>5</v>
      </c>
      <c r="AM52">
        <v>5</v>
      </c>
    </row>
    <row r="53" spans="1:39" ht="56.25" x14ac:dyDescent="0.4">
      <c r="A53" s="47" t="s">
        <v>1230</v>
      </c>
      <c r="B53" s="1" t="s">
        <v>1232</v>
      </c>
      <c r="C53" s="1">
        <v>35</v>
      </c>
      <c r="D53" s="1">
        <v>75</v>
      </c>
      <c r="E53" s="1">
        <v>35</v>
      </c>
      <c r="F53" s="1" t="s">
        <v>993</v>
      </c>
      <c r="G53" s="1">
        <v>50</v>
      </c>
      <c r="H53" s="30"/>
      <c r="I53" s="30"/>
      <c r="J53" s="30"/>
      <c r="M53" s="1" t="s">
        <v>916</v>
      </c>
      <c r="N53" s="1">
        <f t="shared" ref="N53:N57" si="2">IF(P53&lt;&gt;"",P53/100,"")</f>
        <v>6000</v>
      </c>
      <c r="O53" s="1" t="s">
        <v>927</v>
      </c>
      <c r="P53" s="1">
        <v>600000</v>
      </c>
      <c r="X53">
        <v>5</v>
      </c>
      <c r="Z53">
        <v>5</v>
      </c>
      <c r="AB53">
        <v>5</v>
      </c>
      <c r="AJ53">
        <v>5</v>
      </c>
      <c r="AM53">
        <v>5</v>
      </c>
    </row>
    <row r="54" spans="1:39" ht="56.25" x14ac:dyDescent="0.4">
      <c r="A54" s="47" t="s">
        <v>1231</v>
      </c>
      <c r="B54" s="1" t="s">
        <v>1233</v>
      </c>
      <c r="C54" s="1">
        <v>35</v>
      </c>
      <c r="D54" s="1">
        <v>75</v>
      </c>
      <c r="E54" s="1">
        <v>35</v>
      </c>
      <c r="F54" s="1" t="s">
        <v>1234</v>
      </c>
      <c r="G54" s="1">
        <v>50</v>
      </c>
      <c r="H54" s="30"/>
      <c r="I54" s="30"/>
      <c r="J54" s="30"/>
      <c r="M54" s="1" t="s">
        <v>916</v>
      </c>
      <c r="N54" s="1">
        <f t="shared" si="2"/>
        <v>6000</v>
      </c>
      <c r="O54" s="1" t="s">
        <v>927</v>
      </c>
      <c r="P54" s="1">
        <v>600000</v>
      </c>
      <c r="R54">
        <v>5</v>
      </c>
      <c r="W54">
        <v>5</v>
      </c>
      <c r="Y54">
        <v>5</v>
      </c>
      <c r="AA54">
        <v>5</v>
      </c>
      <c r="AF54">
        <v>5</v>
      </c>
    </row>
    <row r="55" spans="1:39" ht="56.25" x14ac:dyDescent="0.4">
      <c r="A55" s="47" t="s">
        <v>1237</v>
      </c>
      <c r="B55" s="1" t="s">
        <v>1239</v>
      </c>
      <c r="C55" s="1">
        <v>50</v>
      </c>
      <c r="D55" s="1">
        <v>75</v>
      </c>
      <c r="E55" s="1">
        <v>45</v>
      </c>
      <c r="F55" s="1" t="s">
        <v>993</v>
      </c>
      <c r="G55" s="1">
        <v>75</v>
      </c>
      <c r="H55" s="30"/>
      <c r="I55" s="30"/>
      <c r="J55" s="30"/>
      <c r="K55" s="1" t="s">
        <v>1235</v>
      </c>
      <c r="M55" s="1" t="s">
        <v>916</v>
      </c>
      <c r="N55" s="1">
        <f t="shared" ref="N55:N56" si="3">IF(P55&lt;&gt;"",P55/100,"")</f>
        <v>35000</v>
      </c>
      <c r="O55" s="1" t="s">
        <v>927</v>
      </c>
      <c r="P55" s="1">
        <v>3500000</v>
      </c>
      <c r="X55">
        <v>5</v>
      </c>
      <c r="Z55">
        <v>5</v>
      </c>
      <c r="AB55">
        <v>5</v>
      </c>
      <c r="AJ55">
        <v>5</v>
      </c>
      <c r="AM55">
        <v>5</v>
      </c>
    </row>
    <row r="56" spans="1:39" ht="56.25" x14ac:dyDescent="0.4">
      <c r="A56" s="47" t="s">
        <v>1238</v>
      </c>
      <c r="B56" s="1" t="s">
        <v>1240</v>
      </c>
      <c r="C56" s="1">
        <v>50</v>
      </c>
      <c r="D56" s="1">
        <v>75</v>
      </c>
      <c r="E56" s="1">
        <v>45</v>
      </c>
      <c r="F56" s="1" t="s">
        <v>1234</v>
      </c>
      <c r="G56" s="1">
        <v>75</v>
      </c>
      <c r="H56" s="30"/>
      <c r="I56" s="30"/>
      <c r="J56" s="30"/>
      <c r="K56" s="1" t="s">
        <v>1236</v>
      </c>
      <c r="M56" s="1" t="s">
        <v>916</v>
      </c>
      <c r="N56" s="1">
        <f t="shared" si="3"/>
        <v>35000</v>
      </c>
      <c r="O56" s="1" t="s">
        <v>927</v>
      </c>
      <c r="P56" s="1">
        <v>3500000</v>
      </c>
      <c r="R56">
        <v>5</v>
      </c>
      <c r="W56">
        <v>5</v>
      </c>
      <c r="Y56">
        <v>5</v>
      </c>
      <c r="AA56">
        <v>5</v>
      </c>
      <c r="AF56">
        <v>5</v>
      </c>
    </row>
    <row r="57" spans="1:39" ht="56.25" x14ac:dyDescent="0.4">
      <c r="A57" s="47" t="s">
        <v>926</v>
      </c>
      <c r="B57" s="1" t="s">
        <v>925</v>
      </c>
      <c r="C57" s="1">
        <v>40</v>
      </c>
      <c r="D57" s="1">
        <v>50</v>
      </c>
      <c r="E57" s="1">
        <v>15</v>
      </c>
      <c r="F57" s="1" t="s">
        <v>924</v>
      </c>
      <c r="G57" s="1">
        <v>20</v>
      </c>
      <c r="H57" s="30"/>
      <c r="I57" s="30"/>
      <c r="J57" s="30"/>
      <c r="K57" s="1" t="s">
        <v>923</v>
      </c>
      <c r="M57" s="1" t="s">
        <v>916</v>
      </c>
      <c r="N57" s="1">
        <f t="shared" si="2"/>
        <v>2500</v>
      </c>
      <c r="O57" s="1" t="s">
        <v>922</v>
      </c>
      <c r="P57" s="1">
        <v>250000</v>
      </c>
      <c r="AC57">
        <v>15</v>
      </c>
    </row>
    <row r="58" spans="1:39" ht="75" x14ac:dyDescent="0.4">
      <c r="A58" s="47" t="s">
        <v>921</v>
      </c>
      <c r="B58" s="1" t="s">
        <v>920</v>
      </c>
      <c r="C58" s="1">
        <v>45</v>
      </c>
      <c r="D58" s="1">
        <v>55</v>
      </c>
      <c r="E58" s="1">
        <v>20</v>
      </c>
      <c r="F58" s="1" t="s">
        <v>919</v>
      </c>
      <c r="G58" s="1">
        <v>25</v>
      </c>
      <c r="H58" s="30"/>
      <c r="I58" s="30"/>
      <c r="J58" s="30"/>
      <c r="K58" s="1" t="s">
        <v>918</v>
      </c>
      <c r="L58" s="1" t="s">
        <v>917</v>
      </c>
      <c r="M58" s="1" t="s">
        <v>916</v>
      </c>
      <c r="N58" s="1">
        <f>IF(P58&lt;&gt;"",P58/100,"")</f>
        <v>2800</v>
      </c>
      <c r="O58" s="1" t="s">
        <v>915</v>
      </c>
      <c r="P58" s="1">
        <v>280000</v>
      </c>
    </row>
    <row r="59" spans="1:39" x14ac:dyDescent="0.4">
      <c r="N59" s="1" t="str">
        <f t="shared" si="1"/>
        <v/>
      </c>
    </row>
    <row r="60" spans="1:39" x14ac:dyDescent="0.4">
      <c r="N60" s="1" t="str">
        <f t="shared" si="1"/>
        <v/>
      </c>
    </row>
    <row r="61" spans="1:39" x14ac:dyDescent="0.4">
      <c r="A61" s="48" t="s">
        <v>914</v>
      </c>
      <c r="N61" s="1" t="str">
        <f t="shared" si="1"/>
        <v/>
      </c>
    </row>
    <row r="62" spans="1:39" x14ac:dyDescent="0.4">
      <c r="N62" s="1" t="str">
        <f t="shared" si="1"/>
        <v/>
      </c>
    </row>
    <row r="63" spans="1:39" x14ac:dyDescent="0.4">
      <c r="A63" s="39" t="s">
        <v>193</v>
      </c>
      <c r="B63" s="39" t="s">
        <v>87</v>
      </c>
      <c r="C63" s="39" t="s">
        <v>913</v>
      </c>
      <c r="D63" s="39" t="s">
        <v>912</v>
      </c>
      <c r="E63" s="48" t="s">
        <v>949</v>
      </c>
      <c r="F63" s="39" t="s">
        <v>911</v>
      </c>
      <c r="G63" s="39" t="s">
        <v>910</v>
      </c>
      <c r="H63" s="49"/>
      <c r="I63" s="49"/>
      <c r="J63" s="49"/>
      <c r="K63" s="39" t="s">
        <v>909</v>
      </c>
      <c r="L63" s="39" t="s">
        <v>908</v>
      </c>
      <c r="M63" s="39" t="s">
        <v>457</v>
      </c>
      <c r="N63" s="48" t="s">
        <v>105</v>
      </c>
      <c r="O63" s="39" t="s">
        <v>869</v>
      </c>
      <c r="P63" s="39" t="s">
        <v>907</v>
      </c>
    </row>
    <row r="64" spans="1:39" ht="37.5" x14ac:dyDescent="0.4">
      <c r="A64" s="47" t="s">
        <v>1187</v>
      </c>
      <c r="B64" s="1" t="s">
        <v>1190</v>
      </c>
      <c r="C64" s="1">
        <v>8</v>
      </c>
      <c r="D64" s="1">
        <v>75</v>
      </c>
      <c r="E64" s="1">
        <v>10</v>
      </c>
      <c r="F64" s="1" t="s">
        <v>1191</v>
      </c>
      <c r="G64" s="1">
        <v>10</v>
      </c>
      <c r="H64" s="30"/>
      <c r="I64" s="30"/>
      <c r="J64" s="30"/>
      <c r="M64" s="1" t="s">
        <v>880</v>
      </c>
      <c r="N64" s="1">
        <v>50</v>
      </c>
      <c r="O64" s="1" t="s">
        <v>1193</v>
      </c>
      <c r="P64" s="1"/>
    </row>
    <row r="65" spans="1:16" ht="37.5" x14ac:dyDescent="0.4">
      <c r="A65" s="47" t="s">
        <v>1188</v>
      </c>
      <c r="B65" s="1" t="s">
        <v>1190</v>
      </c>
      <c r="C65" s="1">
        <v>8</v>
      </c>
      <c r="D65" s="1">
        <v>75</v>
      </c>
      <c r="E65" s="1">
        <v>10</v>
      </c>
      <c r="F65" s="1" t="s">
        <v>1192</v>
      </c>
      <c r="G65" s="1">
        <v>10</v>
      </c>
      <c r="H65" s="30"/>
      <c r="I65" s="30"/>
      <c r="J65" s="30"/>
      <c r="M65" s="1" t="s">
        <v>880</v>
      </c>
      <c r="N65" s="1">
        <v>50</v>
      </c>
      <c r="O65" s="1" t="s">
        <v>1194</v>
      </c>
      <c r="P65" s="1">
        <v>400000</v>
      </c>
    </row>
    <row r="66" spans="1:16" x14ac:dyDescent="0.4">
      <c r="A66" s="47" t="s">
        <v>1189</v>
      </c>
      <c r="B66" s="1" t="s">
        <v>1190</v>
      </c>
      <c r="C66" s="1">
        <v>8</v>
      </c>
      <c r="D66" s="1">
        <v>75</v>
      </c>
      <c r="E66" s="1">
        <v>12</v>
      </c>
      <c r="F66" s="1"/>
      <c r="G66" s="1"/>
      <c r="H66" s="30"/>
      <c r="I66" s="30"/>
      <c r="J66" s="30"/>
      <c r="M66" s="1" t="s">
        <v>880</v>
      </c>
      <c r="N66" s="1">
        <v>75</v>
      </c>
      <c r="O66" s="1" t="s">
        <v>1195</v>
      </c>
      <c r="P66" s="1">
        <v>400000</v>
      </c>
    </row>
    <row r="67" spans="1:16" ht="56.25" x14ac:dyDescent="0.4">
      <c r="A67" s="47" t="s">
        <v>906</v>
      </c>
      <c r="B67" s="1" t="s">
        <v>1241</v>
      </c>
      <c r="C67" s="1">
        <v>45</v>
      </c>
      <c r="D67" s="1">
        <v>110</v>
      </c>
      <c r="E67" s="1">
        <v>25</v>
      </c>
      <c r="F67" s="1" t="s">
        <v>905</v>
      </c>
      <c r="G67" s="1">
        <v>30</v>
      </c>
      <c r="H67" s="30"/>
      <c r="I67" s="30"/>
      <c r="J67" s="30"/>
      <c r="K67" s="1" t="s">
        <v>904</v>
      </c>
      <c r="L67" s="1" t="s">
        <v>903</v>
      </c>
      <c r="M67" s="1" t="s">
        <v>880</v>
      </c>
      <c r="N67" s="1">
        <f t="shared" ref="N67:N72" si="4">IF(P67&lt;&gt;"",P67/500,"")</f>
        <v>800</v>
      </c>
      <c r="O67" s="1" t="s">
        <v>902</v>
      </c>
      <c r="P67" s="1">
        <v>400000</v>
      </c>
    </row>
    <row r="68" spans="1:16" ht="56.25" x14ac:dyDescent="0.4">
      <c r="A68" s="47" t="s">
        <v>901</v>
      </c>
      <c r="B68" s="1" t="s">
        <v>900</v>
      </c>
      <c r="C68" s="1">
        <v>35</v>
      </c>
      <c r="D68" s="1">
        <v>75</v>
      </c>
      <c r="E68" s="1">
        <v>15</v>
      </c>
      <c r="F68" s="1" t="s">
        <v>899</v>
      </c>
      <c r="G68" s="1">
        <v>20</v>
      </c>
      <c r="H68" s="30"/>
      <c r="I68" s="30"/>
      <c r="J68" s="30"/>
      <c r="K68" s="1" t="s">
        <v>898</v>
      </c>
      <c r="L68" s="1" t="s">
        <v>897</v>
      </c>
      <c r="M68" s="1" t="s">
        <v>880</v>
      </c>
      <c r="N68" s="1">
        <f t="shared" si="4"/>
        <v>400</v>
      </c>
      <c r="O68" s="1" t="s">
        <v>896</v>
      </c>
      <c r="P68" s="1">
        <v>200000</v>
      </c>
    </row>
    <row r="69" spans="1:16" ht="56.25" x14ac:dyDescent="0.4">
      <c r="A69" s="47" t="s">
        <v>895</v>
      </c>
      <c r="B69" s="1" t="s">
        <v>894</v>
      </c>
      <c r="C69" s="1">
        <v>30</v>
      </c>
      <c r="D69" s="1">
        <v>80</v>
      </c>
      <c r="E69" s="1">
        <v>15</v>
      </c>
      <c r="F69" s="1" t="s">
        <v>893</v>
      </c>
      <c r="G69" s="1">
        <v>20</v>
      </c>
      <c r="H69" s="30"/>
      <c r="I69" s="30"/>
      <c r="J69" s="30"/>
      <c r="K69" s="1" t="s">
        <v>892</v>
      </c>
      <c r="L69" s="1" t="s">
        <v>150</v>
      </c>
      <c r="M69" s="1" t="s">
        <v>880</v>
      </c>
      <c r="N69" s="1">
        <f t="shared" si="4"/>
        <v>360</v>
      </c>
      <c r="O69" s="1" t="s">
        <v>891</v>
      </c>
      <c r="P69" s="1">
        <v>180000</v>
      </c>
    </row>
    <row r="70" spans="1:16" ht="56.25" x14ac:dyDescent="0.4">
      <c r="A70" s="47" t="s">
        <v>890</v>
      </c>
      <c r="B70" s="1" t="s">
        <v>889</v>
      </c>
      <c r="C70" s="1">
        <v>40</v>
      </c>
      <c r="D70" s="1">
        <v>70</v>
      </c>
      <c r="E70" s="1">
        <v>15</v>
      </c>
      <c r="F70" s="1" t="s">
        <v>888</v>
      </c>
      <c r="G70" s="1">
        <v>25</v>
      </c>
      <c r="H70" s="30"/>
      <c r="I70" s="30"/>
      <c r="J70" s="30"/>
      <c r="K70" s="1" t="s">
        <v>887</v>
      </c>
      <c r="L70" s="1" t="s">
        <v>149</v>
      </c>
      <c r="M70" s="1" t="s">
        <v>880</v>
      </c>
      <c r="N70" s="1">
        <f t="shared" si="4"/>
        <v>500</v>
      </c>
      <c r="O70" s="1" t="s">
        <v>886</v>
      </c>
      <c r="P70" s="1">
        <v>250000</v>
      </c>
    </row>
    <row r="71" spans="1:16" ht="56.25" x14ac:dyDescent="0.4">
      <c r="A71" s="47" t="s">
        <v>885</v>
      </c>
      <c r="B71" s="1" t="s">
        <v>884</v>
      </c>
      <c r="C71" s="1">
        <v>50</v>
      </c>
      <c r="D71" s="1">
        <v>85</v>
      </c>
      <c r="E71" s="1">
        <v>25</v>
      </c>
      <c r="F71" s="1" t="s">
        <v>883</v>
      </c>
      <c r="G71" s="1">
        <v>30</v>
      </c>
      <c r="H71" s="30"/>
      <c r="I71" s="30"/>
      <c r="J71" s="30"/>
      <c r="K71" s="1" t="s">
        <v>882</v>
      </c>
      <c r="L71" s="1" t="s">
        <v>881</v>
      </c>
      <c r="M71" s="1" t="s">
        <v>880</v>
      </c>
      <c r="N71" s="1">
        <f t="shared" si="4"/>
        <v>600</v>
      </c>
      <c r="O71" s="1" t="s">
        <v>879</v>
      </c>
      <c r="P71" s="1">
        <v>300000</v>
      </c>
    </row>
    <row r="72" spans="1:16" x14ac:dyDescent="0.4">
      <c r="N72" s="1" t="str">
        <f t="shared" si="4"/>
        <v/>
      </c>
    </row>
    <row r="73" spans="1:16" x14ac:dyDescent="0.4">
      <c r="N73" s="1" t="str">
        <f>IF(P73&lt;&gt;"",P73/500,"")</f>
        <v/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D7C2-5DA0-4B4C-995A-4EBA5DA60E7B}">
  <sheetPr codeName="Sheet5">
    <tabColor theme="8" tint="0.79998168889431442"/>
  </sheetPr>
  <dimension ref="A1:AS1003"/>
  <sheetViews>
    <sheetView zoomScaleNormal="100" workbookViewId="0">
      <pane xSplit="3" ySplit="1" topLeftCell="D69" activePane="bottomRight" state="frozen"/>
      <selection pane="topRight" activeCell="D1" sqref="D1"/>
      <selection pane="bottomLeft" activeCell="A3" sqref="A3"/>
      <selection pane="bottomRight" activeCell="W106" sqref="W106"/>
    </sheetView>
  </sheetViews>
  <sheetFormatPr defaultRowHeight="18.75" outlineLevelRow="1" outlineLevelCol="1" x14ac:dyDescent="0.4"/>
  <cols>
    <col min="2" max="2" width="21.375" bestFit="1" customWidth="1"/>
    <col min="3" max="3" width="5.5" bestFit="1" customWidth="1"/>
    <col min="4" max="4" width="6" bestFit="1" customWidth="1"/>
    <col min="5" max="6" width="6.125" bestFit="1" customWidth="1"/>
    <col min="7" max="7" width="6" bestFit="1" customWidth="1"/>
    <col min="8" max="8" width="7.125" style="29" customWidth="1"/>
    <col min="9" max="9" width="6.125" style="29" customWidth="1"/>
    <col min="10" max="10" width="7.125" customWidth="1" outlineLevel="1"/>
    <col min="11" max="11" width="6.375" style="29" customWidth="1" outlineLevel="1"/>
    <col min="12" max="12" width="8" style="29" customWidth="1" outlineLevel="1"/>
    <col min="13" max="13" width="5.875" customWidth="1" outlineLevel="1"/>
    <col min="14" max="14" width="5.875" customWidth="1"/>
    <col min="15" max="15" width="5.875" hidden="1" customWidth="1" outlineLevel="1"/>
    <col min="16" max="16" width="9" hidden="1" customWidth="1" outlineLevel="1"/>
    <col min="17" max="17" width="7.375" hidden="1" customWidth="1" outlineLevel="1"/>
    <col min="18" max="18" width="9" hidden="1" customWidth="1" outlineLevel="1"/>
    <col min="19" max="20" width="9" style="33" hidden="1" customWidth="1" outlineLevel="1"/>
    <col min="21" max="21" width="18" customWidth="1" collapsed="1"/>
    <col min="22" max="22" width="5.5" customWidth="1" outlineLevel="1"/>
    <col min="23" max="23" width="31.75" customWidth="1" outlineLevel="1"/>
    <col min="24" max="24" width="24.75" customWidth="1" outlineLevel="1"/>
    <col min="25" max="25" width="9" customWidth="1" outlineLevel="1"/>
    <col min="26" max="26" width="6.25" customWidth="1"/>
    <col min="27" max="27" width="7.125" style="32" customWidth="1"/>
    <col min="28" max="28" width="6" bestFit="1" customWidth="1"/>
    <col min="29" max="29" width="6" customWidth="1"/>
    <col min="30" max="30" width="10.5" bestFit="1" customWidth="1"/>
    <col min="31" max="34" width="12.75" bestFit="1" customWidth="1"/>
  </cols>
  <sheetData>
    <row r="1" spans="1:37" ht="36.75" thickBot="1" x14ac:dyDescent="0.25">
      <c r="A1" s="18" t="s">
        <v>193</v>
      </c>
      <c r="B1" s="18" t="s">
        <v>192</v>
      </c>
      <c r="C1" s="21" t="s">
        <v>189</v>
      </c>
      <c r="D1" s="20" t="s">
        <v>188</v>
      </c>
      <c r="E1" s="20" t="s">
        <v>187</v>
      </c>
      <c r="F1" s="20" t="s">
        <v>186</v>
      </c>
      <c r="G1" s="20" t="s">
        <v>185</v>
      </c>
      <c r="H1" s="31" t="s">
        <v>184</v>
      </c>
      <c r="I1" s="31" t="s">
        <v>183</v>
      </c>
      <c r="J1" s="20" t="s">
        <v>878</v>
      </c>
      <c r="K1" s="31" t="s">
        <v>179</v>
      </c>
      <c r="L1" s="31" t="s">
        <v>178</v>
      </c>
      <c r="M1" s="18" t="s">
        <v>177</v>
      </c>
      <c r="N1" s="18" t="s">
        <v>176</v>
      </c>
      <c r="O1" s="17" t="s">
        <v>168</v>
      </c>
      <c r="P1" s="16" t="s">
        <v>175</v>
      </c>
      <c r="Q1" s="16" t="s">
        <v>174</v>
      </c>
      <c r="R1" s="16" t="s">
        <v>173</v>
      </c>
      <c r="S1" s="17" t="s">
        <v>172</v>
      </c>
      <c r="T1" s="16" t="s">
        <v>171</v>
      </c>
      <c r="U1" s="16" t="s">
        <v>877</v>
      </c>
      <c r="V1" s="16" t="s">
        <v>105</v>
      </c>
      <c r="W1" s="16" t="s">
        <v>102</v>
      </c>
      <c r="X1" s="16" t="s">
        <v>876</v>
      </c>
      <c r="Y1" s="16"/>
      <c r="Z1" s="16" t="s">
        <v>875</v>
      </c>
      <c r="AA1" s="46" t="s">
        <v>874</v>
      </c>
      <c r="AB1" t="s">
        <v>873</v>
      </c>
      <c r="AC1" t="s">
        <v>872</v>
      </c>
      <c r="AD1" t="s">
        <v>871</v>
      </c>
      <c r="AE1" t="s">
        <v>870</v>
      </c>
      <c r="AG1" s="25" t="s">
        <v>868</v>
      </c>
      <c r="AH1" s="25" t="s">
        <v>869</v>
      </c>
      <c r="AJ1" t="s">
        <v>868</v>
      </c>
      <c r="AK1" t="s">
        <v>867</v>
      </c>
    </row>
    <row r="2" spans="1:37" ht="9" customHeight="1" thickBot="1" x14ac:dyDescent="0.25">
      <c r="A2" s="18"/>
      <c r="B2" s="18"/>
      <c r="C2" s="21"/>
      <c r="D2" s="20"/>
      <c r="E2" s="20"/>
      <c r="F2" s="20"/>
      <c r="G2" s="20"/>
      <c r="H2" s="31"/>
      <c r="I2" s="31"/>
      <c r="J2" s="20"/>
      <c r="K2" s="31"/>
      <c r="L2" s="31"/>
      <c r="M2" s="18"/>
      <c r="N2" s="18"/>
      <c r="O2" s="18"/>
      <c r="P2" s="16"/>
      <c r="Q2" s="16"/>
      <c r="R2" s="16"/>
      <c r="S2" s="17"/>
      <c r="T2" s="16"/>
      <c r="U2" s="16"/>
      <c r="V2" s="16"/>
      <c r="W2" s="16"/>
      <c r="X2" s="16"/>
      <c r="Y2" s="16"/>
      <c r="Z2" s="16"/>
      <c r="AA2" s="46"/>
      <c r="AB2" s="42"/>
      <c r="AC2" s="42"/>
      <c r="AD2">
        <v>0</v>
      </c>
      <c r="AE2">
        <v>71</v>
      </c>
      <c r="AG2" s="25" t="s">
        <v>865</v>
      </c>
      <c r="AH2" s="44" t="s">
        <v>866</v>
      </c>
      <c r="AJ2" t="s">
        <v>865</v>
      </c>
      <c r="AK2" t="s">
        <v>843</v>
      </c>
    </row>
    <row r="3" spans="1:37" ht="38.25" thickBot="1" x14ac:dyDescent="0.2">
      <c r="A3" t="s">
        <v>242</v>
      </c>
      <c r="B3" t="s">
        <v>865</v>
      </c>
      <c r="C3" t="s">
        <v>566</v>
      </c>
      <c r="D3" s="29">
        <v>1</v>
      </c>
      <c r="E3" s="29">
        <f t="shared" ref="E3:E10" si="0">AA3-SUM(F3:G3)</f>
        <v>0.5</v>
      </c>
      <c r="F3" s="29">
        <v>0.4</v>
      </c>
      <c r="G3" s="29">
        <v>0.1</v>
      </c>
      <c r="H3" s="29">
        <v>0.65</v>
      </c>
      <c r="J3" s="42"/>
      <c r="K3" s="29">
        <v>0.1</v>
      </c>
      <c r="L3" s="29">
        <v>1.75</v>
      </c>
      <c r="S3" s="33">
        <v>1</v>
      </c>
      <c r="T3" s="33" t="s">
        <v>615</v>
      </c>
      <c r="U3" s="1" t="s">
        <v>820</v>
      </c>
      <c r="V3" s="1">
        <v>1</v>
      </c>
      <c r="W3" s="1" t="s">
        <v>864</v>
      </c>
      <c r="X3" t="s">
        <v>818</v>
      </c>
      <c r="Y3" s="30"/>
      <c r="Z3" s="30">
        <f t="shared" ref="Z3:Z14" si="1">SUM(E3:G3)</f>
        <v>1</v>
      </c>
      <c r="AA3" s="43">
        <v>1</v>
      </c>
      <c r="AB3" s="42">
        <f t="shared" ref="AB3:AB34" si="2">Z3*D3</f>
        <v>1</v>
      </c>
      <c r="AC3" s="42">
        <f t="shared" ref="AC3:AC34" si="3">Z3*(D3+SUM(M3:N3)/50)*(1+K3*(L3+0.25))</f>
        <v>1.2</v>
      </c>
      <c r="AD3" t="s">
        <v>242</v>
      </c>
      <c r="AE3">
        <v>1</v>
      </c>
      <c r="AG3" s="45" t="s">
        <v>863</v>
      </c>
      <c r="AH3" s="44" t="s">
        <v>862</v>
      </c>
      <c r="AJ3" t="s">
        <v>861</v>
      </c>
      <c r="AK3" t="s">
        <v>843</v>
      </c>
    </row>
    <row r="4" spans="1:37" ht="38.25" thickBot="1" x14ac:dyDescent="0.25">
      <c r="A4" t="s">
        <v>857</v>
      </c>
      <c r="B4" t="s">
        <v>861</v>
      </c>
      <c r="C4" t="s">
        <v>566</v>
      </c>
      <c r="D4" s="29">
        <v>1</v>
      </c>
      <c r="E4" s="29">
        <f t="shared" si="0"/>
        <v>0.55000000000000004</v>
      </c>
      <c r="F4" s="29">
        <v>0.4</v>
      </c>
      <c r="G4" s="29">
        <v>0.1</v>
      </c>
      <c r="H4" s="29">
        <v>0.85</v>
      </c>
      <c r="J4" s="42"/>
      <c r="K4" s="29">
        <v>0.1</v>
      </c>
      <c r="L4" s="29">
        <v>1.75</v>
      </c>
      <c r="S4" s="33">
        <v>1</v>
      </c>
      <c r="T4" s="33" t="s">
        <v>615</v>
      </c>
      <c r="U4" t="s">
        <v>860</v>
      </c>
      <c r="V4" s="1">
        <v>1.5</v>
      </c>
      <c r="W4" s="1" t="s">
        <v>859</v>
      </c>
      <c r="X4" t="s">
        <v>858</v>
      </c>
      <c r="Y4" s="30"/>
      <c r="Z4" s="30">
        <f t="shared" si="1"/>
        <v>1.05</v>
      </c>
      <c r="AA4" s="43">
        <v>1.05</v>
      </c>
      <c r="AB4" s="42">
        <f t="shared" si="2"/>
        <v>1.05</v>
      </c>
      <c r="AC4" s="42">
        <f t="shared" si="3"/>
        <v>1.26</v>
      </c>
      <c r="AD4" t="s">
        <v>857</v>
      </c>
      <c r="AE4">
        <v>2</v>
      </c>
      <c r="AG4" s="25" t="s">
        <v>855</v>
      </c>
      <c r="AH4" s="44" t="s">
        <v>856</v>
      </c>
      <c r="AJ4" t="s">
        <v>855</v>
      </c>
      <c r="AK4" t="s">
        <v>849</v>
      </c>
    </row>
    <row r="5" spans="1:37" ht="38.25" thickBot="1" x14ac:dyDescent="0.25">
      <c r="A5" t="s">
        <v>851</v>
      </c>
      <c r="B5" t="s">
        <v>855</v>
      </c>
      <c r="C5" t="s">
        <v>566</v>
      </c>
      <c r="D5" s="29">
        <v>1</v>
      </c>
      <c r="E5" s="29">
        <f t="shared" si="0"/>
        <v>0.4</v>
      </c>
      <c r="F5" s="29">
        <v>0.6</v>
      </c>
      <c r="G5" s="29">
        <v>0</v>
      </c>
      <c r="H5" s="29">
        <v>0.45</v>
      </c>
      <c r="J5" s="29"/>
      <c r="K5" s="29">
        <v>0.1</v>
      </c>
      <c r="L5" s="29">
        <v>1.75</v>
      </c>
      <c r="S5" s="33">
        <v>1</v>
      </c>
      <c r="T5" s="33" t="s">
        <v>615</v>
      </c>
      <c r="U5" t="s">
        <v>854</v>
      </c>
      <c r="V5" s="1">
        <v>1</v>
      </c>
      <c r="W5" s="1" t="s">
        <v>853</v>
      </c>
      <c r="X5" t="s">
        <v>852</v>
      </c>
      <c r="Y5" s="30"/>
      <c r="Z5" s="30">
        <f t="shared" si="1"/>
        <v>1</v>
      </c>
      <c r="AA5" s="43">
        <v>1</v>
      </c>
      <c r="AB5" s="42">
        <f t="shared" si="2"/>
        <v>1</v>
      </c>
      <c r="AC5" s="42">
        <f t="shared" si="3"/>
        <v>1.2</v>
      </c>
      <c r="AD5" t="s">
        <v>851</v>
      </c>
      <c r="AE5">
        <v>1</v>
      </c>
      <c r="AG5" s="25" t="s">
        <v>848</v>
      </c>
      <c r="AH5" s="44" t="s">
        <v>850</v>
      </c>
      <c r="AJ5" t="s">
        <v>848</v>
      </c>
      <c r="AK5" t="s">
        <v>849</v>
      </c>
    </row>
    <row r="6" spans="1:37" ht="38.25" thickBot="1" x14ac:dyDescent="0.25">
      <c r="A6" t="s">
        <v>845</v>
      </c>
      <c r="B6" t="s">
        <v>848</v>
      </c>
      <c r="C6" t="s">
        <v>566</v>
      </c>
      <c r="D6" s="29">
        <v>1</v>
      </c>
      <c r="E6" s="29">
        <f t="shared" si="0"/>
        <v>0.4</v>
      </c>
      <c r="F6" s="29">
        <v>0.55000000000000004</v>
      </c>
      <c r="G6" s="29">
        <v>0.1</v>
      </c>
      <c r="H6" s="29">
        <v>0.85</v>
      </c>
      <c r="J6" s="42"/>
      <c r="K6" s="29">
        <v>0.1</v>
      </c>
      <c r="L6" s="29">
        <v>1.75</v>
      </c>
      <c r="S6" s="33">
        <v>1</v>
      </c>
      <c r="T6" s="33" t="s">
        <v>615</v>
      </c>
      <c r="U6" t="s">
        <v>651</v>
      </c>
      <c r="V6" s="1">
        <v>1.5</v>
      </c>
      <c r="W6" s="1" t="s">
        <v>847</v>
      </c>
      <c r="X6" t="s">
        <v>846</v>
      </c>
      <c r="Y6" s="30"/>
      <c r="Z6" s="30">
        <f t="shared" si="1"/>
        <v>1.05</v>
      </c>
      <c r="AA6" s="43">
        <v>1.05</v>
      </c>
      <c r="AB6" s="42">
        <f t="shared" si="2"/>
        <v>1.05</v>
      </c>
      <c r="AC6" s="42">
        <f t="shared" si="3"/>
        <v>1.26</v>
      </c>
      <c r="AD6" t="s">
        <v>845</v>
      </c>
      <c r="AE6">
        <v>2</v>
      </c>
      <c r="AG6" s="25" t="s">
        <v>842</v>
      </c>
      <c r="AH6" s="44" t="s">
        <v>844</v>
      </c>
      <c r="AJ6" t="s">
        <v>842</v>
      </c>
      <c r="AK6" t="s">
        <v>843</v>
      </c>
    </row>
    <row r="7" spans="1:37" ht="38.25" thickBot="1" x14ac:dyDescent="0.25">
      <c r="A7" t="s">
        <v>839</v>
      </c>
      <c r="B7" t="s">
        <v>842</v>
      </c>
      <c r="C7" t="s">
        <v>566</v>
      </c>
      <c r="D7" s="29">
        <v>1</v>
      </c>
      <c r="E7" s="29">
        <f t="shared" si="0"/>
        <v>0.60000000000000009</v>
      </c>
      <c r="F7" s="29">
        <v>0.4</v>
      </c>
      <c r="G7" s="29">
        <v>0.1</v>
      </c>
      <c r="H7" s="29">
        <v>0.85</v>
      </c>
      <c r="J7" s="42"/>
      <c r="K7" s="29">
        <v>0.1</v>
      </c>
      <c r="L7" s="29">
        <v>1.75</v>
      </c>
      <c r="S7" s="33">
        <v>1</v>
      </c>
      <c r="T7" s="33" t="s">
        <v>615</v>
      </c>
      <c r="U7" t="s">
        <v>651</v>
      </c>
      <c r="V7" s="1">
        <v>1.5</v>
      </c>
      <c r="W7" s="1" t="s">
        <v>841</v>
      </c>
      <c r="X7" t="s">
        <v>840</v>
      </c>
      <c r="Y7" s="30"/>
      <c r="Z7" s="30">
        <f t="shared" si="1"/>
        <v>1.1000000000000001</v>
      </c>
      <c r="AA7" s="43">
        <v>1.1000000000000001</v>
      </c>
      <c r="AB7" s="42">
        <f t="shared" si="2"/>
        <v>1.1000000000000001</v>
      </c>
      <c r="AC7" s="42">
        <f t="shared" si="3"/>
        <v>1.32</v>
      </c>
      <c r="AD7" t="s">
        <v>839</v>
      </c>
      <c r="AE7">
        <v>2.5</v>
      </c>
      <c r="AG7" s="25" t="s">
        <v>837</v>
      </c>
      <c r="AH7" s="44" t="s">
        <v>838</v>
      </c>
      <c r="AJ7" t="s">
        <v>837</v>
      </c>
      <c r="AK7" t="s">
        <v>798</v>
      </c>
    </row>
    <row r="8" spans="1:37" ht="38.25" thickBot="1" x14ac:dyDescent="0.25">
      <c r="A8" t="s">
        <v>241</v>
      </c>
      <c r="B8" t="s">
        <v>837</v>
      </c>
      <c r="C8" t="s">
        <v>566</v>
      </c>
      <c r="D8" s="29">
        <v>1.05</v>
      </c>
      <c r="E8" s="29">
        <f t="shared" si="0"/>
        <v>0.7</v>
      </c>
      <c r="F8" s="29">
        <v>0.4</v>
      </c>
      <c r="G8" s="29">
        <v>0.1</v>
      </c>
      <c r="H8" s="29">
        <v>0.85</v>
      </c>
      <c r="J8" s="42"/>
      <c r="K8" s="29">
        <v>0.1</v>
      </c>
      <c r="L8" s="29">
        <v>1.75</v>
      </c>
      <c r="S8" s="33">
        <v>1</v>
      </c>
      <c r="T8" s="33" t="s">
        <v>615</v>
      </c>
      <c r="V8" s="1">
        <v>2</v>
      </c>
      <c r="W8" s="1" t="s">
        <v>836</v>
      </c>
      <c r="X8" t="s">
        <v>707</v>
      </c>
      <c r="Y8" s="30"/>
      <c r="Z8" s="30">
        <f t="shared" si="1"/>
        <v>1.2000000000000002</v>
      </c>
      <c r="AA8" s="43">
        <v>1.2</v>
      </c>
      <c r="AB8" s="42">
        <f t="shared" si="2"/>
        <v>1.2600000000000002</v>
      </c>
      <c r="AC8" s="42">
        <f t="shared" si="3"/>
        <v>1.5120000000000002</v>
      </c>
      <c r="AD8" t="s">
        <v>241</v>
      </c>
      <c r="AE8">
        <v>3</v>
      </c>
      <c r="AG8" s="25" t="s">
        <v>834</v>
      </c>
      <c r="AH8" s="44" t="s">
        <v>835</v>
      </c>
      <c r="AJ8" t="s">
        <v>834</v>
      </c>
      <c r="AK8" t="s">
        <v>768</v>
      </c>
    </row>
    <row r="9" spans="1:37" ht="38.25" thickBot="1" x14ac:dyDescent="0.25">
      <c r="A9" t="s">
        <v>832</v>
      </c>
      <c r="B9" t="s">
        <v>834</v>
      </c>
      <c r="C9" t="s">
        <v>566</v>
      </c>
      <c r="D9" s="29">
        <v>1.1000000000000001</v>
      </c>
      <c r="E9" s="29">
        <f t="shared" si="0"/>
        <v>0.8</v>
      </c>
      <c r="F9" s="29">
        <v>0.4</v>
      </c>
      <c r="G9" s="29">
        <v>0.1</v>
      </c>
      <c r="H9" s="29">
        <v>0.85</v>
      </c>
      <c r="J9" s="42"/>
      <c r="K9" s="29">
        <v>0.1</v>
      </c>
      <c r="L9" s="29">
        <v>1.75</v>
      </c>
      <c r="M9">
        <v>-2.5</v>
      </c>
      <c r="N9">
        <v>-2.5</v>
      </c>
      <c r="S9" s="33">
        <v>1</v>
      </c>
      <c r="T9" s="33" t="s">
        <v>615</v>
      </c>
      <c r="V9" s="1">
        <v>2</v>
      </c>
      <c r="W9" s="1" t="s">
        <v>833</v>
      </c>
      <c r="X9" t="s">
        <v>774</v>
      </c>
      <c r="Y9" s="30"/>
      <c r="Z9" s="30">
        <f t="shared" si="1"/>
        <v>1.3000000000000003</v>
      </c>
      <c r="AA9" s="43">
        <v>1.3</v>
      </c>
      <c r="AB9" s="42">
        <f t="shared" si="2"/>
        <v>1.4300000000000004</v>
      </c>
      <c r="AC9" s="42">
        <f t="shared" si="3"/>
        <v>1.5600000000000003</v>
      </c>
      <c r="AD9" t="s">
        <v>832</v>
      </c>
      <c r="AE9">
        <v>3.5</v>
      </c>
      <c r="AG9" s="25" t="s">
        <v>830</v>
      </c>
      <c r="AH9" s="44" t="s">
        <v>831</v>
      </c>
      <c r="AJ9" t="s">
        <v>830</v>
      </c>
      <c r="AK9" t="s">
        <v>768</v>
      </c>
    </row>
    <row r="10" spans="1:37" ht="38.25" thickBot="1" x14ac:dyDescent="0.25">
      <c r="A10" t="s">
        <v>827</v>
      </c>
      <c r="B10" t="s">
        <v>830</v>
      </c>
      <c r="C10" t="s">
        <v>566</v>
      </c>
      <c r="D10" s="29">
        <v>1.1499999999999999</v>
      </c>
      <c r="E10" s="29">
        <f t="shared" si="0"/>
        <v>0.95</v>
      </c>
      <c r="F10" s="29">
        <v>0.4</v>
      </c>
      <c r="G10" s="29">
        <v>0.15</v>
      </c>
      <c r="H10" s="29">
        <v>0.85</v>
      </c>
      <c r="J10" s="42"/>
      <c r="K10" s="29">
        <v>0.1</v>
      </c>
      <c r="L10" s="29">
        <v>1.75</v>
      </c>
      <c r="M10">
        <v>-7.5</v>
      </c>
      <c r="N10">
        <v>-5</v>
      </c>
      <c r="S10" s="33">
        <v>1</v>
      </c>
      <c r="T10" s="33" t="s">
        <v>615</v>
      </c>
      <c r="V10" s="1">
        <v>3</v>
      </c>
      <c r="W10" s="1" t="s">
        <v>829</v>
      </c>
      <c r="X10" t="s">
        <v>828</v>
      </c>
      <c r="Y10" s="30"/>
      <c r="Z10" s="30">
        <f t="shared" si="1"/>
        <v>1.5</v>
      </c>
      <c r="AA10" s="43">
        <v>1.5</v>
      </c>
      <c r="AB10" s="42">
        <f t="shared" si="2"/>
        <v>1.7249999999999999</v>
      </c>
      <c r="AC10" s="42">
        <f t="shared" si="3"/>
        <v>1.6199999999999999</v>
      </c>
      <c r="AD10" t="s">
        <v>827</v>
      </c>
      <c r="AE10">
        <v>4</v>
      </c>
      <c r="AG10" s="25" t="s">
        <v>821</v>
      </c>
      <c r="AH10" s="44" t="s">
        <v>819</v>
      </c>
      <c r="AJ10" t="s">
        <v>821</v>
      </c>
      <c r="AK10" t="s">
        <v>826</v>
      </c>
    </row>
    <row r="11" spans="1:37" ht="26.25" thickBot="1" x14ac:dyDescent="0.25">
      <c r="H11"/>
      <c r="I11"/>
      <c r="J11" s="42"/>
      <c r="K11" s="29">
        <v>0</v>
      </c>
      <c r="L11" s="29">
        <v>0</v>
      </c>
      <c r="S11" s="33">
        <v>1</v>
      </c>
      <c r="T11" s="33" t="s">
        <v>615</v>
      </c>
      <c r="V11" s="1">
        <v>71</v>
      </c>
      <c r="W11" s="1" t="s">
        <v>500</v>
      </c>
      <c r="X11" t="s">
        <v>500</v>
      </c>
      <c r="Z11" s="30">
        <f t="shared" si="1"/>
        <v>0</v>
      </c>
      <c r="AA11" s="43">
        <v>0</v>
      </c>
      <c r="AB11" s="42">
        <f t="shared" si="2"/>
        <v>0</v>
      </c>
      <c r="AC11" s="42">
        <f t="shared" si="3"/>
        <v>0</v>
      </c>
      <c r="AD11" t="s">
        <v>822</v>
      </c>
      <c r="AE11">
        <v>1</v>
      </c>
      <c r="AG11" s="25" t="s">
        <v>824</v>
      </c>
      <c r="AH11" s="44" t="s">
        <v>825</v>
      </c>
      <c r="AJ11" t="s">
        <v>824</v>
      </c>
      <c r="AK11" t="s">
        <v>823</v>
      </c>
    </row>
    <row r="12" spans="1:37" ht="38.25" thickBot="1" x14ac:dyDescent="0.25">
      <c r="A12" t="s">
        <v>822</v>
      </c>
      <c r="B12" t="s">
        <v>821</v>
      </c>
      <c r="C12" t="s">
        <v>566</v>
      </c>
      <c r="D12" s="29">
        <v>1</v>
      </c>
      <c r="E12" s="29">
        <v>0.47499999999999998</v>
      </c>
      <c r="F12" s="29">
        <v>0.47499999999999998</v>
      </c>
      <c r="G12" s="29">
        <v>0.1</v>
      </c>
      <c r="H12" s="29">
        <v>0.65</v>
      </c>
      <c r="K12" s="29">
        <v>0.1</v>
      </c>
      <c r="L12" s="29">
        <v>1.5</v>
      </c>
      <c r="S12" s="33">
        <v>1</v>
      </c>
      <c r="T12" s="33" t="s">
        <v>615</v>
      </c>
      <c r="U12" s="1" t="s">
        <v>820</v>
      </c>
      <c r="V12" s="1">
        <v>1</v>
      </c>
      <c r="W12" s="1" t="s">
        <v>819</v>
      </c>
      <c r="X12" t="s">
        <v>818</v>
      </c>
      <c r="Y12" s="30"/>
      <c r="Z12" s="30">
        <f t="shared" si="1"/>
        <v>1.05</v>
      </c>
      <c r="AA12" s="43">
        <v>1.05</v>
      </c>
      <c r="AB12" s="42">
        <f t="shared" si="2"/>
        <v>1.05</v>
      </c>
      <c r="AC12" s="42">
        <f t="shared" si="3"/>
        <v>1.2337500000000001</v>
      </c>
      <c r="AD12" t="s">
        <v>240</v>
      </c>
      <c r="AE12">
        <v>2</v>
      </c>
      <c r="AG12" s="25" t="s">
        <v>813</v>
      </c>
      <c r="AH12" s="44" t="s">
        <v>817</v>
      </c>
      <c r="AJ12" t="s">
        <v>813</v>
      </c>
      <c r="AK12" t="s">
        <v>810</v>
      </c>
    </row>
    <row r="13" spans="1:37" ht="38.25" thickBot="1" x14ac:dyDescent="0.25">
      <c r="A13" t="s">
        <v>240</v>
      </c>
      <c r="B13" t="s">
        <v>816</v>
      </c>
      <c r="C13" t="s">
        <v>566</v>
      </c>
      <c r="D13" s="29">
        <v>1</v>
      </c>
      <c r="E13" s="29">
        <v>0.6</v>
      </c>
      <c r="F13" s="29">
        <v>0.45</v>
      </c>
      <c r="G13" s="29">
        <v>0.15</v>
      </c>
      <c r="H13" s="29">
        <v>0.95</v>
      </c>
      <c r="J13" s="42"/>
      <c r="K13" s="29">
        <v>0.1</v>
      </c>
      <c r="L13" s="29">
        <v>1.5</v>
      </c>
      <c r="S13" s="33">
        <v>1</v>
      </c>
      <c r="T13" s="33" t="s">
        <v>615</v>
      </c>
      <c r="U13" t="s">
        <v>651</v>
      </c>
      <c r="V13" s="1">
        <v>1.5</v>
      </c>
      <c r="W13" s="1" t="s">
        <v>815</v>
      </c>
      <c r="X13" t="s">
        <v>542</v>
      </c>
      <c r="Y13" s="30"/>
      <c r="Z13" s="30">
        <f t="shared" si="1"/>
        <v>1.2</v>
      </c>
      <c r="AA13" s="43">
        <v>1.1499999999999999</v>
      </c>
      <c r="AB13" s="42">
        <f t="shared" si="2"/>
        <v>1.2</v>
      </c>
      <c r="AC13" s="42">
        <f t="shared" si="3"/>
        <v>1.41</v>
      </c>
      <c r="AD13" t="s">
        <v>239</v>
      </c>
      <c r="AE13">
        <v>2.5</v>
      </c>
      <c r="AG13" s="25" t="s">
        <v>809</v>
      </c>
      <c r="AH13" s="44" t="s">
        <v>814</v>
      </c>
      <c r="AJ13" t="s">
        <v>809</v>
      </c>
      <c r="AK13" t="s">
        <v>810</v>
      </c>
    </row>
    <row r="14" spans="1:37" ht="57" thickBot="1" x14ac:dyDescent="0.25">
      <c r="A14" t="s">
        <v>239</v>
      </c>
      <c r="B14" t="s">
        <v>813</v>
      </c>
      <c r="C14" t="s">
        <v>566</v>
      </c>
      <c r="D14" s="29">
        <v>1.1000000000000001</v>
      </c>
      <c r="E14" s="29">
        <v>0.6</v>
      </c>
      <c r="F14" s="29">
        <v>0.4</v>
      </c>
      <c r="G14" s="29">
        <v>0.16</v>
      </c>
      <c r="H14" s="29">
        <v>1.1499999999999999</v>
      </c>
      <c r="J14" s="42"/>
      <c r="K14" s="29">
        <v>0.1</v>
      </c>
      <c r="L14" s="29">
        <v>1.5</v>
      </c>
      <c r="M14">
        <v>-2.5</v>
      </c>
      <c r="N14">
        <v>-2.5</v>
      </c>
      <c r="S14" s="33">
        <v>1</v>
      </c>
      <c r="T14" s="33" t="s">
        <v>615</v>
      </c>
      <c r="V14" s="1">
        <v>2</v>
      </c>
      <c r="W14" s="1" t="s">
        <v>812</v>
      </c>
      <c r="X14" t="s">
        <v>585</v>
      </c>
      <c r="Y14" s="30"/>
      <c r="Z14" s="30">
        <f t="shared" si="1"/>
        <v>1.1599999999999999</v>
      </c>
      <c r="AA14" s="43">
        <v>1.1499999999999999</v>
      </c>
      <c r="AB14" s="42">
        <f t="shared" si="2"/>
        <v>1.276</v>
      </c>
      <c r="AC14" s="42">
        <f t="shared" si="3"/>
        <v>1.363</v>
      </c>
      <c r="AD14" t="s">
        <v>238</v>
      </c>
      <c r="AE14">
        <v>3</v>
      </c>
      <c r="AG14" s="25" t="s">
        <v>805</v>
      </c>
      <c r="AH14" s="44" t="s">
        <v>811</v>
      </c>
      <c r="AJ14" t="s">
        <v>805</v>
      </c>
      <c r="AK14" t="s">
        <v>810</v>
      </c>
    </row>
    <row r="15" spans="1:37" ht="38.25" thickBot="1" x14ac:dyDescent="0.25">
      <c r="A15" t="s">
        <v>238</v>
      </c>
      <c r="B15" t="s">
        <v>809</v>
      </c>
      <c r="C15" t="s">
        <v>566</v>
      </c>
      <c r="D15" s="29">
        <v>1.1499999999999999</v>
      </c>
      <c r="E15" s="29">
        <f>AA15-SUM(F15:G15)</f>
        <v>0.75000000000000011</v>
      </c>
      <c r="F15" s="29">
        <v>0.45</v>
      </c>
      <c r="G15" s="29">
        <v>0.15</v>
      </c>
      <c r="H15" s="29">
        <v>1</v>
      </c>
      <c r="J15" s="42"/>
      <c r="K15" s="29">
        <v>0.1</v>
      </c>
      <c r="L15" s="29">
        <v>1.5</v>
      </c>
      <c r="M15">
        <v>-2.5</v>
      </c>
      <c r="N15">
        <v>-2.5</v>
      </c>
      <c r="S15" s="33">
        <v>1</v>
      </c>
      <c r="T15" s="33" t="s">
        <v>615</v>
      </c>
      <c r="V15" s="1">
        <v>2</v>
      </c>
      <c r="W15" s="1" t="s">
        <v>808</v>
      </c>
      <c r="X15" t="s">
        <v>585</v>
      </c>
      <c r="Y15" s="30"/>
      <c r="Z15" s="30">
        <v>1.25</v>
      </c>
      <c r="AA15" s="43">
        <v>1.35</v>
      </c>
      <c r="AB15" s="42">
        <f t="shared" si="2"/>
        <v>1.4375</v>
      </c>
      <c r="AC15" s="42">
        <f t="shared" si="3"/>
        <v>1.5421874999999998</v>
      </c>
      <c r="AD15" t="s">
        <v>237</v>
      </c>
      <c r="AE15">
        <v>4</v>
      </c>
      <c r="AG15" s="25" t="s">
        <v>801</v>
      </c>
      <c r="AH15" s="44" t="s">
        <v>807</v>
      </c>
      <c r="AJ15" t="s">
        <v>801</v>
      </c>
      <c r="AK15" t="s">
        <v>806</v>
      </c>
    </row>
    <row r="16" spans="1:37" ht="57" thickBot="1" x14ac:dyDescent="0.25">
      <c r="A16" t="s">
        <v>237</v>
      </c>
      <c r="B16" t="s">
        <v>805</v>
      </c>
      <c r="C16" t="s">
        <v>566</v>
      </c>
      <c r="D16" s="29">
        <v>1.25</v>
      </c>
      <c r="E16" s="29">
        <f>AA16-SUM(F16:G16)</f>
        <v>0.9</v>
      </c>
      <c r="F16" s="29">
        <v>0.45</v>
      </c>
      <c r="G16" s="29">
        <v>0.2</v>
      </c>
      <c r="H16" s="29">
        <v>1.1000000000000001</v>
      </c>
      <c r="K16" s="29">
        <v>0.1</v>
      </c>
      <c r="L16" s="29">
        <v>1.5</v>
      </c>
      <c r="M16">
        <v>-7.5</v>
      </c>
      <c r="N16">
        <v>-7.5</v>
      </c>
      <c r="S16" s="33">
        <v>1</v>
      </c>
      <c r="T16" s="33" t="s">
        <v>615</v>
      </c>
      <c r="V16" s="1">
        <v>3</v>
      </c>
      <c r="W16" s="1" t="s">
        <v>804</v>
      </c>
      <c r="X16" t="s">
        <v>710</v>
      </c>
      <c r="Y16" s="30"/>
      <c r="Z16" s="30">
        <v>1.25</v>
      </c>
      <c r="AA16" s="43">
        <v>1.55</v>
      </c>
      <c r="AB16" s="42">
        <f t="shared" si="2"/>
        <v>1.5625</v>
      </c>
      <c r="AC16" s="42">
        <f t="shared" si="3"/>
        <v>1.3953125</v>
      </c>
      <c r="AD16" t="s">
        <v>236</v>
      </c>
      <c r="AE16">
        <v>2.5</v>
      </c>
      <c r="AG16" s="25" t="s">
        <v>797</v>
      </c>
      <c r="AH16" s="44" t="s">
        <v>803</v>
      </c>
      <c r="AJ16" t="s">
        <v>797</v>
      </c>
      <c r="AK16" t="s">
        <v>802</v>
      </c>
    </row>
    <row r="17" spans="1:37" ht="38.25" thickBot="1" x14ac:dyDescent="0.25">
      <c r="A17" t="s">
        <v>236</v>
      </c>
      <c r="B17" t="s">
        <v>801</v>
      </c>
      <c r="C17" t="s">
        <v>566</v>
      </c>
      <c r="D17" s="29">
        <v>1</v>
      </c>
      <c r="E17" s="29">
        <v>0.45</v>
      </c>
      <c r="F17" s="29">
        <v>0.65</v>
      </c>
      <c r="G17" s="29">
        <v>0</v>
      </c>
      <c r="H17" s="29">
        <v>0.8</v>
      </c>
      <c r="K17" s="29">
        <v>0.15</v>
      </c>
      <c r="L17" s="29">
        <v>1.25</v>
      </c>
      <c r="S17" s="33">
        <v>1</v>
      </c>
      <c r="T17" s="33" t="s">
        <v>615</v>
      </c>
      <c r="U17" t="s">
        <v>651</v>
      </c>
      <c r="V17" s="1">
        <v>2</v>
      </c>
      <c r="W17" s="1" t="s">
        <v>800</v>
      </c>
      <c r="X17" t="s">
        <v>503</v>
      </c>
      <c r="Y17" s="30"/>
      <c r="Z17" s="30">
        <f t="shared" ref="Z17:Z56" si="4">SUM(E17:G17)</f>
        <v>1.1000000000000001</v>
      </c>
      <c r="AA17" s="43">
        <v>1.2</v>
      </c>
      <c r="AB17" s="42">
        <f t="shared" si="2"/>
        <v>1.1000000000000001</v>
      </c>
      <c r="AC17" s="42">
        <f t="shared" si="3"/>
        <v>1.3475000000000001</v>
      </c>
      <c r="AD17" t="s">
        <v>235</v>
      </c>
      <c r="AE17">
        <v>2</v>
      </c>
      <c r="AG17" s="25" t="s">
        <v>791</v>
      </c>
      <c r="AH17" s="44" t="s">
        <v>799</v>
      </c>
      <c r="AJ17" t="s">
        <v>791</v>
      </c>
      <c r="AK17" t="s">
        <v>798</v>
      </c>
    </row>
    <row r="18" spans="1:37" ht="38.25" thickBot="1" x14ac:dyDescent="0.25">
      <c r="A18" t="s">
        <v>235</v>
      </c>
      <c r="B18" t="s">
        <v>797</v>
      </c>
      <c r="C18" t="s">
        <v>566</v>
      </c>
      <c r="D18" s="29">
        <v>1.1000000000000001</v>
      </c>
      <c r="E18" s="29">
        <f>AA18-SUM(F18:G18)</f>
        <v>0.20000000000000007</v>
      </c>
      <c r="F18" s="29">
        <v>0.9</v>
      </c>
      <c r="G18" s="29">
        <v>0</v>
      </c>
      <c r="H18" s="29">
        <v>0.85</v>
      </c>
      <c r="K18" s="29">
        <v>0.1</v>
      </c>
      <c r="L18" s="29">
        <v>1.5</v>
      </c>
      <c r="S18" s="33">
        <v>1</v>
      </c>
      <c r="T18" s="33" t="s">
        <v>615</v>
      </c>
      <c r="U18" t="s">
        <v>651</v>
      </c>
      <c r="V18" s="1">
        <v>1.5</v>
      </c>
      <c r="W18" s="1" t="s">
        <v>796</v>
      </c>
      <c r="X18" t="s">
        <v>503</v>
      </c>
      <c r="Y18" s="30"/>
      <c r="Z18" s="30">
        <f t="shared" si="4"/>
        <v>1.1000000000000001</v>
      </c>
      <c r="AA18" s="43">
        <v>1.1000000000000001</v>
      </c>
      <c r="AB18" s="42">
        <f t="shared" si="2"/>
        <v>1.2100000000000002</v>
      </c>
      <c r="AC18" s="42">
        <f t="shared" si="3"/>
        <v>1.4217500000000003</v>
      </c>
      <c r="AD18">
        <v>0</v>
      </c>
      <c r="AE18">
        <v>70</v>
      </c>
      <c r="AG18" s="25" t="s">
        <v>787</v>
      </c>
      <c r="AH18" s="44" t="s">
        <v>795</v>
      </c>
      <c r="AJ18" t="s">
        <v>787</v>
      </c>
      <c r="AK18" t="s">
        <v>794</v>
      </c>
    </row>
    <row r="19" spans="1:37" ht="19.5" thickBot="1" x14ac:dyDescent="0.25">
      <c r="D19" s="29"/>
      <c r="E19" s="29"/>
      <c r="F19" s="29"/>
      <c r="G19" s="29"/>
      <c r="J19" s="29"/>
      <c r="M19" s="23"/>
      <c r="V19" s="1">
        <v>71</v>
      </c>
      <c r="W19" s="1" t="s">
        <v>500</v>
      </c>
      <c r="X19" t="s">
        <v>500</v>
      </c>
      <c r="Y19" s="30"/>
      <c r="Z19" s="30">
        <f t="shared" si="4"/>
        <v>0</v>
      </c>
      <c r="AA19" s="43">
        <v>0</v>
      </c>
      <c r="AB19" s="42">
        <f t="shared" si="2"/>
        <v>0</v>
      </c>
      <c r="AC19" s="42">
        <f t="shared" si="3"/>
        <v>0</v>
      </c>
      <c r="AD19" t="s">
        <v>792</v>
      </c>
      <c r="AE19">
        <v>2</v>
      </c>
      <c r="AG19" s="25" t="s">
        <v>783</v>
      </c>
      <c r="AH19" s="44" t="s">
        <v>781</v>
      </c>
      <c r="AJ19" t="s">
        <v>783</v>
      </c>
      <c r="AK19" t="s">
        <v>793</v>
      </c>
    </row>
    <row r="20" spans="1:37" ht="38.25" thickBot="1" x14ac:dyDescent="0.25">
      <c r="A20" t="s">
        <v>792</v>
      </c>
      <c r="B20" t="s">
        <v>791</v>
      </c>
      <c r="C20" t="s">
        <v>566</v>
      </c>
      <c r="D20" s="29">
        <v>1.1499999999999999</v>
      </c>
      <c r="E20" s="29">
        <f t="shared" ref="E20:E38" si="5">AA20-SUM(F20:G20)</f>
        <v>0.75000000000000011</v>
      </c>
      <c r="F20" s="29">
        <v>0</v>
      </c>
      <c r="G20" s="29">
        <v>0.35</v>
      </c>
      <c r="H20" s="29">
        <v>0.9</v>
      </c>
      <c r="K20" s="29">
        <v>0.1</v>
      </c>
      <c r="L20" s="29">
        <v>1.75</v>
      </c>
      <c r="N20">
        <v>-5</v>
      </c>
      <c r="S20" s="33">
        <v>1</v>
      </c>
      <c r="T20" s="33" t="s">
        <v>615</v>
      </c>
      <c r="U20" t="s">
        <v>651</v>
      </c>
      <c r="V20" s="1">
        <v>2</v>
      </c>
      <c r="W20" s="1" t="s">
        <v>790</v>
      </c>
      <c r="X20" t="s">
        <v>739</v>
      </c>
      <c r="Y20" s="30"/>
      <c r="Z20" s="30">
        <f t="shared" si="4"/>
        <v>1.1000000000000001</v>
      </c>
      <c r="AA20" s="43">
        <v>1.1000000000000001</v>
      </c>
      <c r="AB20" s="42">
        <f t="shared" si="2"/>
        <v>1.2649999999999999</v>
      </c>
      <c r="AC20" s="42">
        <f t="shared" si="3"/>
        <v>1.3859999999999997</v>
      </c>
      <c r="AD20" t="s">
        <v>788</v>
      </c>
      <c r="AE20">
        <v>2</v>
      </c>
      <c r="AG20" s="25" t="s">
        <v>779</v>
      </c>
      <c r="AH20" s="44" t="s">
        <v>778</v>
      </c>
      <c r="AJ20" t="s">
        <v>779</v>
      </c>
      <c r="AK20" t="s">
        <v>789</v>
      </c>
    </row>
    <row r="21" spans="1:37" ht="38.25" thickBot="1" x14ac:dyDescent="0.25">
      <c r="A21" t="s">
        <v>788</v>
      </c>
      <c r="B21" t="s">
        <v>787</v>
      </c>
      <c r="C21" t="s">
        <v>566</v>
      </c>
      <c r="D21" s="29">
        <v>1.1499999999999999</v>
      </c>
      <c r="E21" s="29">
        <f t="shared" si="5"/>
        <v>0.75000000000000011</v>
      </c>
      <c r="F21" s="29">
        <v>0</v>
      </c>
      <c r="G21" s="29">
        <v>0.35</v>
      </c>
      <c r="H21" s="29">
        <v>0.9</v>
      </c>
      <c r="K21" s="29">
        <v>0.15</v>
      </c>
      <c r="L21" s="29">
        <v>1.5</v>
      </c>
      <c r="N21">
        <v>-5</v>
      </c>
      <c r="S21" s="33">
        <v>1</v>
      </c>
      <c r="T21" s="33" t="s">
        <v>615</v>
      </c>
      <c r="U21" t="s">
        <v>651</v>
      </c>
      <c r="V21" s="1">
        <v>2</v>
      </c>
      <c r="W21" s="1" t="s">
        <v>786</v>
      </c>
      <c r="X21" t="s">
        <v>739</v>
      </c>
      <c r="Y21" s="30"/>
      <c r="Z21" s="30">
        <f t="shared" si="4"/>
        <v>1.1000000000000001</v>
      </c>
      <c r="AA21" s="43">
        <v>1.1000000000000001</v>
      </c>
      <c r="AB21" s="42">
        <f t="shared" si="2"/>
        <v>1.2649999999999999</v>
      </c>
      <c r="AC21" s="42">
        <f t="shared" si="3"/>
        <v>1.4581874999999997</v>
      </c>
      <c r="AD21" t="s">
        <v>784</v>
      </c>
      <c r="AE21">
        <v>1</v>
      </c>
      <c r="AG21" s="25" t="s">
        <v>776</v>
      </c>
      <c r="AH21" s="44" t="s">
        <v>775</v>
      </c>
      <c r="AJ21" t="s">
        <v>776</v>
      </c>
      <c r="AK21" t="s">
        <v>785</v>
      </c>
    </row>
    <row r="22" spans="1:37" ht="38.25" thickBot="1" x14ac:dyDescent="0.25">
      <c r="A22" t="s">
        <v>784</v>
      </c>
      <c r="B22" t="s">
        <v>783</v>
      </c>
      <c r="C22" t="s">
        <v>566</v>
      </c>
      <c r="D22" s="29">
        <v>1</v>
      </c>
      <c r="E22" s="29">
        <f t="shared" si="5"/>
        <v>0.42499999999999999</v>
      </c>
      <c r="F22" s="29">
        <v>0.42499999999999999</v>
      </c>
      <c r="G22" s="29">
        <v>0</v>
      </c>
      <c r="H22" s="29">
        <v>0.5</v>
      </c>
      <c r="K22" s="29">
        <v>0.2</v>
      </c>
      <c r="L22" s="29">
        <v>1.25</v>
      </c>
      <c r="S22" s="33">
        <v>1</v>
      </c>
      <c r="T22" s="33" t="s">
        <v>615</v>
      </c>
      <c r="U22" t="s">
        <v>782</v>
      </c>
      <c r="V22" s="1">
        <v>1</v>
      </c>
      <c r="W22" s="1" t="s">
        <v>781</v>
      </c>
      <c r="X22" t="s">
        <v>505</v>
      </c>
      <c r="Y22" s="30"/>
      <c r="Z22" s="30">
        <f t="shared" si="4"/>
        <v>0.85</v>
      </c>
      <c r="AA22" s="43">
        <v>0.85</v>
      </c>
      <c r="AB22" s="42">
        <f t="shared" si="2"/>
        <v>0.85</v>
      </c>
      <c r="AC22" s="42">
        <f t="shared" si="3"/>
        <v>1.105</v>
      </c>
      <c r="AD22" t="s">
        <v>233</v>
      </c>
      <c r="AE22">
        <v>3</v>
      </c>
      <c r="AG22" s="25" t="s">
        <v>770</v>
      </c>
      <c r="AH22" s="44" t="s">
        <v>769</v>
      </c>
      <c r="AJ22" t="s">
        <v>770</v>
      </c>
      <c r="AK22" t="s">
        <v>780</v>
      </c>
    </row>
    <row r="23" spans="1:37" ht="38.25" thickBot="1" x14ac:dyDescent="0.25">
      <c r="A23" t="s">
        <v>234</v>
      </c>
      <c r="B23" t="s">
        <v>779</v>
      </c>
      <c r="C23" t="s">
        <v>566</v>
      </c>
      <c r="D23" s="29">
        <v>1.05</v>
      </c>
      <c r="E23" s="29">
        <f t="shared" si="5"/>
        <v>0.4</v>
      </c>
      <c r="F23" s="29">
        <v>0.7</v>
      </c>
      <c r="G23" s="29">
        <v>0.15</v>
      </c>
      <c r="H23" s="29">
        <v>0.85</v>
      </c>
      <c r="K23" s="29">
        <v>0.1</v>
      </c>
      <c r="L23" s="29">
        <v>1.5</v>
      </c>
      <c r="S23" s="33">
        <v>1</v>
      </c>
      <c r="T23" s="33" t="s">
        <v>615</v>
      </c>
      <c r="U23" t="s">
        <v>746</v>
      </c>
      <c r="V23" s="1">
        <v>1.5</v>
      </c>
      <c r="W23" s="1" t="s">
        <v>778</v>
      </c>
      <c r="X23" t="s">
        <v>777</v>
      </c>
      <c r="Y23" s="30"/>
      <c r="Z23" s="30">
        <f t="shared" si="4"/>
        <v>1.25</v>
      </c>
      <c r="AA23" s="43">
        <v>1.25</v>
      </c>
      <c r="AB23" s="42">
        <f t="shared" si="2"/>
        <v>1.3125</v>
      </c>
      <c r="AC23" s="42">
        <f t="shared" si="3"/>
        <v>1.5421875</v>
      </c>
      <c r="AD23" t="s">
        <v>234</v>
      </c>
      <c r="AE23">
        <v>2</v>
      </c>
      <c r="AG23" s="25" t="s">
        <v>767</v>
      </c>
      <c r="AH23" s="44" t="s">
        <v>765</v>
      </c>
      <c r="AJ23" t="s">
        <v>767</v>
      </c>
      <c r="AK23" t="s">
        <v>730</v>
      </c>
    </row>
    <row r="24" spans="1:37" ht="38.25" thickBot="1" x14ac:dyDescent="0.25">
      <c r="A24" t="s">
        <v>233</v>
      </c>
      <c r="B24" t="s">
        <v>776</v>
      </c>
      <c r="C24" t="s">
        <v>566</v>
      </c>
      <c r="D24" s="29">
        <v>1.1499999999999999</v>
      </c>
      <c r="E24" s="29">
        <f t="shared" si="5"/>
        <v>0.4</v>
      </c>
      <c r="F24" s="29">
        <v>0.8</v>
      </c>
      <c r="G24" s="29">
        <v>0.15</v>
      </c>
      <c r="H24" s="29">
        <v>0.85</v>
      </c>
      <c r="K24" s="29">
        <v>0.1</v>
      </c>
      <c r="L24" s="29">
        <v>1.5</v>
      </c>
      <c r="N24">
        <v>-5</v>
      </c>
      <c r="S24" s="33">
        <v>1</v>
      </c>
      <c r="T24" s="33" t="s">
        <v>615</v>
      </c>
      <c r="U24" t="s">
        <v>714</v>
      </c>
      <c r="V24" s="1">
        <v>2</v>
      </c>
      <c r="W24" s="1" t="s">
        <v>775</v>
      </c>
      <c r="X24" t="s">
        <v>774</v>
      </c>
      <c r="Y24" s="30"/>
      <c r="Z24" s="30">
        <f t="shared" si="4"/>
        <v>1.35</v>
      </c>
      <c r="AA24" s="43">
        <v>1.35</v>
      </c>
      <c r="AB24" s="42">
        <f t="shared" si="2"/>
        <v>1.5525</v>
      </c>
      <c r="AC24" s="42">
        <f t="shared" si="3"/>
        <v>1.6655624999999998</v>
      </c>
      <c r="AD24" t="s">
        <v>771</v>
      </c>
      <c r="AE24">
        <v>3.5</v>
      </c>
      <c r="AG24" s="25" t="s">
        <v>762</v>
      </c>
      <c r="AH24" s="44" t="s">
        <v>773</v>
      </c>
      <c r="AJ24" t="s">
        <v>762</v>
      </c>
      <c r="AK24" t="s">
        <v>772</v>
      </c>
    </row>
    <row r="25" spans="1:37" ht="38.25" thickBot="1" x14ac:dyDescent="0.25">
      <c r="A25" t="s">
        <v>771</v>
      </c>
      <c r="B25" t="s">
        <v>770</v>
      </c>
      <c r="C25" t="s">
        <v>566</v>
      </c>
      <c r="D25" s="29">
        <v>1.1000000000000001</v>
      </c>
      <c r="E25" s="29">
        <f t="shared" si="5"/>
        <v>0.44999999999999996</v>
      </c>
      <c r="F25" s="29">
        <v>0.85</v>
      </c>
      <c r="G25" s="29">
        <v>0.15</v>
      </c>
      <c r="H25" s="29">
        <v>0.95</v>
      </c>
      <c r="K25" s="29">
        <v>0.1</v>
      </c>
      <c r="L25" s="29">
        <v>1.5</v>
      </c>
      <c r="M25">
        <v>-7.5</v>
      </c>
      <c r="N25">
        <v>-7.5</v>
      </c>
      <c r="S25" s="33">
        <v>1</v>
      </c>
      <c r="T25" s="33" t="s">
        <v>615</v>
      </c>
      <c r="U25" t="s">
        <v>714</v>
      </c>
      <c r="V25" s="1">
        <v>3</v>
      </c>
      <c r="W25" s="1" t="s">
        <v>769</v>
      </c>
      <c r="X25" t="s">
        <v>661</v>
      </c>
      <c r="Y25" s="30"/>
      <c r="Z25" s="30">
        <f t="shared" si="4"/>
        <v>1.4499999999999997</v>
      </c>
      <c r="AA25" s="43">
        <v>1.45</v>
      </c>
      <c r="AB25" s="42">
        <f t="shared" si="2"/>
        <v>1.5949999999999998</v>
      </c>
      <c r="AC25" s="42">
        <f t="shared" si="3"/>
        <v>1.363</v>
      </c>
      <c r="AD25" t="s">
        <v>232</v>
      </c>
      <c r="AE25">
        <v>4</v>
      </c>
      <c r="AG25" s="25" t="s">
        <v>758</v>
      </c>
      <c r="AH25" s="44" t="s">
        <v>757</v>
      </c>
      <c r="AJ25" t="s">
        <v>758</v>
      </c>
      <c r="AK25" t="s">
        <v>768</v>
      </c>
    </row>
    <row r="26" spans="1:37" ht="38.25" thickBot="1" x14ac:dyDescent="0.25">
      <c r="A26" t="s">
        <v>232</v>
      </c>
      <c r="B26" t="s">
        <v>767</v>
      </c>
      <c r="C26" t="s">
        <v>566</v>
      </c>
      <c r="D26" s="29">
        <v>1.1499999999999999</v>
      </c>
      <c r="E26" s="29">
        <f t="shared" si="5"/>
        <v>0</v>
      </c>
      <c r="F26" s="29">
        <v>0.95</v>
      </c>
      <c r="G26" s="29">
        <v>0.45</v>
      </c>
      <c r="H26" s="29">
        <v>1</v>
      </c>
      <c r="J26">
        <v>-5</v>
      </c>
      <c r="K26" s="29">
        <v>0.05</v>
      </c>
      <c r="L26" s="29">
        <v>1.75</v>
      </c>
      <c r="M26">
        <v>-5</v>
      </c>
      <c r="N26">
        <v>-5</v>
      </c>
      <c r="S26" s="33">
        <v>1</v>
      </c>
      <c r="T26" s="33" t="s">
        <v>615</v>
      </c>
      <c r="U26" t="s">
        <v>766</v>
      </c>
      <c r="V26" s="1">
        <v>3</v>
      </c>
      <c r="W26" s="1" t="s">
        <v>765</v>
      </c>
      <c r="X26" t="s">
        <v>710</v>
      </c>
      <c r="Y26" s="30"/>
      <c r="Z26" s="30">
        <f t="shared" si="4"/>
        <v>1.4</v>
      </c>
      <c r="AA26" s="43">
        <v>1.4</v>
      </c>
      <c r="AB26" s="42">
        <f t="shared" si="2"/>
        <v>1.6099999999999999</v>
      </c>
      <c r="AC26" s="42">
        <f t="shared" si="3"/>
        <v>1.4629999999999999</v>
      </c>
      <c r="AD26" t="s">
        <v>764</v>
      </c>
      <c r="AE26">
        <v>3</v>
      </c>
      <c r="AG26" s="25" t="s">
        <v>753</v>
      </c>
      <c r="AH26" s="44" t="s">
        <v>752</v>
      </c>
      <c r="AJ26" t="s">
        <v>753</v>
      </c>
      <c r="AK26" t="s">
        <v>763</v>
      </c>
    </row>
    <row r="27" spans="1:37" ht="38.25" thickBot="1" x14ac:dyDescent="0.25">
      <c r="A27" t="s">
        <v>231</v>
      </c>
      <c r="B27" t="s">
        <v>762</v>
      </c>
      <c r="C27" t="s">
        <v>566</v>
      </c>
      <c r="D27" s="29">
        <v>1.1000000000000001</v>
      </c>
      <c r="E27" s="29">
        <f t="shared" si="5"/>
        <v>0.39999999999999991</v>
      </c>
      <c r="F27" s="29">
        <v>0.5</v>
      </c>
      <c r="G27" s="29">
        <v>0.3</v>
      </c>
      <c r="H27" s="29">
        <v>0.95</v>
      </c>
      <c r="K27" s="29">
        <v>0.1</v>
      </c>
      <c r="L27" s="29">
        <v>1.5</v>
      </c>
      <c r="M27">
        <v>-5</v>
      </c>
      <c r="N27">
        <v>-5</v>
      </c>
      <c r="S27" s="33">
        <v>1</v>
      </c>
      <c r="T27" s="33" t="s">
        <v>615</v>
      </c>
      <c r="V27" s="1">
        <v>2.5</v>
      </c>
      <c r="W27" s="1" t="s">
        <v>761</v>
      </c>
      <c r="X27" t="s">
        <v>500</v>
      </c>
      <c r="Y27" s="30"/>
      <c r="Z27" s="30">
        <f t="shared" si="4"/>
        <v>1.2</v>
      </c>
      <c r="AA27" s="43">
        <v>1.2</v>
      </c>
      <c r="AB27" s="42">
        <f t="shared" si="2"/>
        <v>1.32</v>
      </c>
      <c r="AC27" s="42">
        <f t="shared" si="3"/>
        <v>1.2690000000000001</v>
      </c>
      <c r="AD27" t="s">
        <v>748</v>
      </c>
      <c r="AE27">
        <v>3</v>
      </c>
      <c r="AG27" s="25" t="s">
        <v>747</v>
      </c>
      <c r="AH27" s="44" t="s">
        <v>745</v>
      </c>
      <c r="AJ27" t="s">
        <v>747</v>
      </c>
      <c r="AK27" t="s">
        <v>760</v>
      </c>
    </row>
    <row r="28" spans="1:37" ht="38.25" thickBot="1" x14ac:dyDescent="0.25">
      <c r="A28" t="s">
        <v>759</v>
      </c>
      <c r="B28" t="s">
        <v>758</v>
      </c>
      <c r="C28" t="s">
        <v>566</v>
      </c>
      <c r="D28" s="29">
        <v>1.1000000000000001</v>
      </c>
      <c r="E28" s="29">
        <f t="shared" si="5"/>
        <v>0.54999999999999993</v>
      </c>
      <c r="F28" s="29">
        <v>0.45</v>
      </c>
      <c r="G28" s="29">
        <v>0.2</v>
      </c>
      <c r="H28" s="29">
        <v>0.95</v>
      </c>
      <c r="K28" s="29">
        <v>0.1</v>
      </c>
      <c r="L28" s="29">
        <v>1.75</v>
      </c>
      <c r="M28">
        <v>-7.5</v>
      </c>
      <c r="N28">
        <v>-7.5</v>
      </c>
      <c r="S28" s="33">
        <v>1</v>
      </c>
      <c r="T28" s="33" t="s">
        <v>615</v>
      </c>
      <c r="V28" s="1">
        <v>2.5</v>
      </c>
      <c r="W28" s="1" t="s">
        <v>757</v>
      </c>
      <c r="X28" t="s">
        <v>756</v>
      </c>
      <c r="Y28" s="30"/>
      <c r="Z28" s="30">
        <f t="shared" si="4"/>
        <v>1.2</v>
      </c>
      <c r="AA28" s="43">
        <v>1.2</v>
      </c>
      <c r="AB28" s="42">
        <f t="shared" si="2"/>
        <v>1.32</v>
      </c>
      <c r="AC28" s="42">
        <f t="shared" si="3"/>
        <v>1.1519999999999999</v>
      </c>
      <c r="AD28" t="s">
        <v>230</v>
      </c>
      <c r="AE28">
        <v>2</v>
      </c>
      <c r="AG28" s="25" t="s">
        <v>742</v>
      </c>
      <c r="AH28" s="44" t="s">
        <v>740</v>
      </c>
      <c r="AJ28" t="s">
        <v>742</v>
      </c>
      <c r="AK28" t="s">
        <v>755</v>
      </c>
    </row>
    <row r="29" spans="1:37" ht="38.25" thickBot="1" x14ac:dyDescent="0.25">
      <c r="A29" t="s">
        <v>754</v>
      </c>
      <c r="B29" t="s">
        <v>753</v>
      </c>
      <c r="C29" t="s">
        <v>566</v>
      </c>
      <c r="D29" s="29">
        <v>1.05</v>
      </c>
      <c r="E29" s="29">
        <f t="shared" si="5"/>
        <v>0.60000000000000009</v>
      </c>
      <c r="F29" s="29">
        <v>0.6</v>
      </c>
      <c r="G29" s="29">
        <v>0.1</v>
      </c>
      <c r="H29" s="29">
        <v>0.95</v>
      </c>
      <c r="K29" s="29">
        <v>0.1</v>
      </c>
      <c r="L29" s="29">
        <v>1.5</v>
      </c>
      <c r="M29">
        <v>-2.5</v>
      </c>
      <c r="N29">
        <v>-5</v>
      </c>
      <c r="S29" s="33">
        <v>1</v>
      </c>
      <c r="T29" s="33" t="s">
        <v>615</v>
      </c>
      <c r="V29" s="1">
        <v>2.5</v>
      </c>
      <c r="W29" s="1" t="s">
        <v>752</v>
      </c>
      <c r="X29" t="s">
        <v>500</v>
      </c>
      <c r="Y29" s="30"/>
      <c r="Z29" s="30">
        <f t="shared" si="4"/>
        <v>1.3000000000000003</v>
      </c>
      <c r="AA29" s="43">
        <v>1.3</v>
      </c>
      <c r="AB29" s="42">
        <f t="shared" si="2"/>
        <v>1.3650000000000004</v>
      </c>
      <c r="AC29" s="42">
        <f t="shared" si="3"/>
        <v>1.3747500000000006</v>
      </c>
      <c r="AD29" t="s">
        <v>751</v>
      </c>
      <c r="AE29">
        <v>4</v>
      </c>
      <c r="AG29" s="25" t="s">
        <v>749</v>
      </c>
      <c r="AH29" s="44" t="s">
        <v>750</v>
      </c>
      <c r="AJ29" t="s">
        <v>749</v>
      </c>
      <c r="AK29" t="s">
        <v>733</v>
      </c>
    </row>
    <row r="30" spans="1:37" ht="19.5" thickBot="1" x14ac:dyDescent="0.25">
      <c r="A30" t="s">
        <v>748</v>
      </c>
      <c r="B30" t="s">
        <v>747</v>
      </c>
      <c r="C30" t="s">
        <v>566</v>
      </c>
      <c r="D30" s="29">
        <v>1</v>
      </c>
      <c r="E30" s="29">
        <f t="shared" si="5"/>
        <v>0.14999999999999991</v>
      </c>
      <c r="F30" s="29">
        <v>0.9</v>
      </c>
      <c r="G30" s="29">
        <v>0.15</v>
      </c>
      <c r="H30" s="29">
        <v>0.95</v>
      </c>
      <c r="K30" s="29">
        <v>0.15</v>
      </c>
      <c r="L30" s="29">
        <v>1.5</v>
      </c>
      <c r="M30">
        <v>-2.5</v>
      </c>
      <c r="N30">
        <v>-2.5</v>
      </c>
      <c r="S30" s="33">
        <v>1</v>
      </c>
      <c r="T30" s="33" t="s">
        <v>615</v>
      </c>
      <c r="U30" t="s">
        <v>746</v>
      </c>
      <c r="V30" s="1">
        <v>2</v>
      </c>
      <c r="W30" s="1" t="s">
        <v>745</v>
      </c>
      <c r="X30" t="s">
        <v>696</v>
      </c>
      <c r="Y30" s="30"/>
      <c r="Z30" s="30">
        <f t="shared" si="4"/>
        <v>1.1999999999999997</v>
      </c>
      <c r="AA30" s="43">
        <v>1.2</v>
      </c>
      <c r="AB30" s="42">
        <f t="shared" si="2"/>
        <v>1.1999999999999997</v>
      </c>
      <c r="AC30" s="42">
        <f t="shared" si="3"/>
        <v>1.3634999999999997</v>
      </c>
      <c r="AD30" t="s">
        <v>229</v>
      </c>
      <c r="AE30">
        <v>3</v>
      </c>
      <c r="AG30" s="25" t="s">
        <v>736</v>
      </c>
      <c r="AH30" s="44" t="s">
        <v>744</v>
      </c>
      <c r="AJ30" t="s">
        <v>736</v>
      </c>
      <c r="AK30" t="s">
        <v>743</v>
      </c>
    </row>
    <row r="31" spans="1:37" ht="38.25" thickBot="1" x14ac:dyDescent="0.25">
      <c r="A31" t="s">
        <v>230</v>
      </c>
      <c r="B31" t="s">
        <v>742</v>
      </c>
      <c r="C31" t="s">
        <v>566</v>
      </c>
      <c r="D31" s="29">
        <v>1.05</v>
      </c>
      <c r="E31" s="29">
        <f t="shared" si="5"/>
        <v>0</v>
      </c>
      <c r="F31" s="29">
        <v>0</v>
      </c>
      <c r="G31" s="29">
        <v>1.1000000000000001</v>
      </c>
      <c r="H31" s="29">
        <v>0.95</v>
      </c>
      <c r="J31">
        <v>25</v>
      </c>
      <c r="K31" s="29">
        <v>0.05</v>
      </c>
      <c r="L31" s="29">
        <v>1.5</v>
      </c>
      <c r="S31" s="33">
        <v>1</v>
      </c>
      <c r="T31" s="33" t="s">
        <v>615</v>
      </c>
      <c r="U31" t="s">
        <v>741</v>
      </c>
      <c r="V31" s="1">
        <v>1.5</v>
      </c>
      <c r="W31" s="1" t="s">
        <v>740</v>
      </c>
      <c r="X31" t="s">
        <v>739</v>
      </c>
      <c r="Y31" s="30"/>
      <c r="Z31" s="30">
        <f t="shared" si="4"/>
        <v>1.1000000000000001</v>
      </c>
      <c r="AA31" s="43">
        <v>1.1000000000000001</v>
      </c>
      <c r="AB31" s="42">
        <f t="shared" si="2"/>
        <v>1.1550000000000002</v>
      </c>
      <c r="AC31" s="42">
        <f t="shared" si="3"/>
        <v>1.2560625000000001</v>
      </c>
      <c r="AD31" t="s">
        <v>738</v>
      </c>
      <c r="AE31">
        <v>4</v>
      </c>
      <c r="AG31" s="25" t="s">
        <v>732</v>
      </c>
      <c r="AH31" s="44" t="s">
        <v>731</v>
      </c>
      <c r="AJ31" t="s">
        <v>732</v>
      </c>
      <c r="AK31" t="s">
        <v>737</v>
      </c>
    </row>
    <row r="32" spans="1:37" ht="38.25" thickBot="1" x14ac:dyDescent="0.25">
      <c r="A32" t="s">
        <v>229</v>
      </c>
      <c r="B32" t="s">
        <v>736</v>
      </c>
      <c r="C32" t="s">
        <v>566</v>
      </c>
      <c r="D32" s="29">
        <v>1.1000000000000001</v>
      </c>
      <c r="E32" s="29">
        <f t="shared" si="5"/>
        <v>0</v>
      </c>
      <c r="F32" s="29">
        <v>0</v>
      </c>
      <c r="G32" s="29">
        <v>1.1499999999999999</v>
      </c>
      <c r="H32" s="29">
        <v>0.95</v>
      </c>
      <c r="K32" s="29">
        <v>0.15</v>
      </c>
      <c r="L32" s="29">
        <v>1.25</v>
      </c>
      <c r="N32">
        <v>-2</v>
      </c>
      <c r="S32" s="33">
        <v>1</v>
      </c>
      <c r="T32" s="33" t="s">
        <v>615</v>
      </c>
      <c r="V32" s="1">
        <v>2</v>
      </c>
      <c r="W32" s="1" t="s">
        <v>734</v>
      </c>
      <c r="X32" t="s">
        <v>696</v>
      </c>
      <c r="Y32" s="30"/>
      <c r="Z32" s="30">
        <f t="shared" si="4"/>
        <v>1.1499999999999999</v>
      </c>
      <c r="AA32" s="43">
        <v>1.1499999999999999</v>
      </c>
      <c r="AB32" s="42">
        <f t="shared" si="2"/>
        <v>1.2649999999999999</v>
      </c>
      <c r="AC32" s="42">
        <f t="shared" si="3"/>
        <v>1.4932749999999999</v>
      </c>
      <c r="AD32" t="s">
        <v>718</v>
      </c>
      <c r="AE32">
        <v>3.5</v>
      </c>
      <c r="AG32" s="25" t="s">
        <v>724</v>
      </c>
      <c r="AH32" s="44" t="s">
        <v>723</v>
      </c>
      <c r="AJ32" t="s">
        <v>724</v>
      </c>
      <c r="AK32" t="s">
        <v>733</v>
      </c>
    </row>
    <row r="33" spans="1:37" ht="38.25" thickBot="1" x14ac:dyDescent="0.25">
      <c r="A33" t="s">
        <v>256</v>
      </c>
      <c r="B33" t="s">
        <v>735</v>
      </c>
      <c r="C33" t="s">
        <v>566</v>
      </c>
      <c r="D33" s="29">
        <v>1.2</v>
      </c>
      <c r="E33" s="29">
        <f t="shared" si="5"/>
        <v>0</v>
      </c>
      <c r="F33" s="29">
        <v>0</v>
      </c>
      <c r="G33" s="29">
        <v>1.1499999999999999</v>
      </c>
      <c r="H33" s="29">
        <v>0.95</v>
      </c>
      <c r="K33" s="29">
        <v>0.15</v>
      </c>
      <c r="L33" s="29">
        <v>1.25</v>
      </c>
      <c r="N33">
        <v>-5</v>
      </c>
      <c r="S33" s="33">
        <v>1</v>
      </c>
      <c r="T33" s="33" t="s">
        <v>615</v>
      </c>
      <c r="V33" s="1">
        <v>3</v>
      </c>
      <c r="W33" s="1" t="s">
        <v>734</v>
      </c>
      <c r="X33" t="s">
        <v>696</v>
      </c>
      <c r="Y33" s="30"/>
      <c r="Z33" s="30">
        <f t="shared" si="4"/>
        <v>1.1499999999999999</v>
      </c>
      <c r="AA33" s="43">
        <v>1.1499999999999999</v>
      </c>
      <c r="AB33" s="42">
        <f t="shared" si="2"/>
        <v>1.38</v>
      </c>
      <c r="AC33" s="42">
        <f t="shared" si="3"/>
        <v>1.5496249999999998</v>
      </c>
      <c r="AD33" t="s">
        <v>718</v>
      </c>
      <c r="AE33">
        <v>3.5</v>
      </c>
      <c r="AG33" s="25" t="s">
        <v>724</v>
      </c>
      <c r="AH33" s="44" t="s">
        <v>723</v>
      </c>
      <c r="AJ33" t="s">
        <v>724</v>
      </c>
      <c r="AK33" t="s">
        <v>733</v>
      </c>
    </row>
    <row r="34" spans="1:37" ht="38.25" thickBot="1" x14ac:dyDescent="0.25">
      <c r="A34" t="s">
        <v>228</v>
      </c>
      <c r="B34" t="s">
        <v>732</v>
      </c>
      <c r="C34" t="s">
        <v>566</v>
      </c>
      <c r="D34" s="29">
        <v>1.05</v>
      </c>
      <c r="E34" s="29">
        <f t="shared" si="5"/>
        <v>0</v>
      </c>
      <c r="F34" s="29">
        <v>0.6</v>
      </c>
      <c r="G34" s="29">
        <v>0.6</v>
      </c>
      <c r="H34" s="29">
        <v>0.95</v>
      </c>
      <c r="J34">
        <v>10</v>
      </c>
      <c r="K34" s="29">
        <v>0.1</v>
      </c>
      <c r="L34" s="29">
        <v>1.25</v>
      </c>
      <c r="M34">
        <v>-2.5</v>
      </c>
      <c r="N34">
        <v>-2.5</v>
      </c>
      <c r="S34" s="33">
        <v>1</v>
      </c>
      <c r="T34" s="33" t="s">
        <v>615</v>
      </c>
      <c r="V34" s="1">
        <v>2</v>
      </c>
      <c r="W34" s="1" t="s">
        <v>731</v>
      </c>
      <c r="X34" t="s">
        <v>500</v>
      </c>
      <c r="Y34" s="30"/>
      <c r="Z34" s="30">
        <f t="shared" si="4"/>
        <v>1.2</v>
      </c>
      <c r="AA34" s="43">
        <v>1.2</v>
      </c>
      <c r="AB34" s="42">
        <f t="shared" si="2"/>
        <v>1.26</v>
      </c>
      <c r="AC34" s="42">
        <f t="shared" si="3"/>
        <v>1.3109999999999999</v>
      </c>
      <c r="AD34" t="s">
        <v>227</v>
      </c>
      <c r="AE34">
        <v>3</v>
      </c>
      <c r="AG34" s="25" t="s">
        <v>721</v>
      </c>
      <c r="AH34" s="44" t="s">
        <v>720</v>
      </c>
      <c r="AJ34" t="s">
        <v>721</v>
      </c>
      <c r="AK34" t="s">
        <v>730</v>
      </c>
    </row>
    <row r="35" spans="1:37" ht="19.5" thickBot="1" x14ac:dyDescent="0.25">
      <c r="A35" t="s">
        <v>729</v>
      </c>
      <c r="B35" t="s">
        <v>728</v>
      </c>
      <c r="C35" t="s">
        <v>566</v>
      </c>
      <c r="D35" s="29">
        <v>1.05</v>
      </c>
      <c r="E35" s="29">
        <f t="shared" si="5"/>
        <v>0</v>
      </c>
      <c r="F35" s="29">
        <v>0.3</v>
      </c>
      <c r="G35" s="29">
        <v>0.95</v>
      </c>
      <c r="H35" s="29">
        <v>0.95</v>
      </c>
      <c r="K35" s="29">
        <v>0.05</v>
      </c>
      <c r="L35" s="29">
        <v>1.25</v>
      </c>
      <c r="S35" s="33">
        <v>1</v>
      </c>
      <c r="T35" s="33" t="s">
        <v>615</v>
      </c>
      <c r="V35" s="1">
        <v>2</v>
      </c>
      <c r="W35" s="1" t="s">
        <v>727</v>
      </c>
      <c r="X35" t="s">
        <v>661</v>
      </c>
      <c r="Y35" s="30"/>
      <c r="Z35" s="30">
        <f t="shared" si="4"/>
        <v>1.25</v>
      </c>
      <c r="AA35" s="43">
        <v>1.25</v>
      </c>
      <c r="AB35" s="42">
        <f t="shared" ref="AB35:AB72" si="6">Z35*D35</f>
        <v>1.3125</v>
      </c>
      <c r="AC35" s="42">
        <f t="shared" ref="AC35:AC58" si="7">Z35*(D35+SUM(M35:N35)/50)*(1+K35*(L35+0.25))</f>
        <v>1.4109375</v>
      </c>
      <c r="AD35" t="s">
        <v>226</v>
      </c>
      <c r="AE35">
        <v>3.5</v>
      </c>
      <c r="AG35" s="25" t="s">
        <v>717</v>
      </c>
      <c r="AH35" s="44" t="s">
        <v>716</v>
      </c>
      <c r="AJ35" t="s">
        <v>717</v>
      </c>
      <c r="AK35" t="s">
        <v>726</v>
      </c>
    </row>
    <row r="36" spans="1:37" ht="38.25" thickBot="1" x14ac:dyDescent="0.25">
      <c r="A36" t="s">
        <v>725</v>
      </c>
      <c r="B36" t="s">
        <v>724</v>
      </c>
      <c r="C36" t="s">
        <v>566</v>
      </c>
      <c r="D36" s="29">
        <v>1.1000000000000001</v>
      </c>
      <c r="E36" s="29">
        <f t="shared" si="5"/>
        <v>0</v>
      </c>
      <c r="F36" s="29">
        <v>0</v>
      </c>
      <c r="G36" s="29">
        <v>1.25</v>
      </c>
      <c r="H36" s="29">
        <v>0.95</v>
      </c>
      <c r="J36">
        <v>-15</v>
      </c>
      <c r="K36" s="29">
        <v>0.05</v>
      </c>
      <c r="L36" s="29">
        <v>1.5</v>
      </c>
      <c r="M36">
        <v>-2.5</v>
      </c>
      <c r="N36">
        <v>-2.5</v>
      </c>
      <c r="S36" s="33">
        <v>1</v>
      </c>
      <c r="T36" s="33" t="s">
        <v>615</v>
      </c>
      <c r="V36" s="1">
        <v>2</v>
      </c>
      <c r="W36" s="1" t="s">
        <v>723</v>
      </c>
      <c r="X36" t="s">
        <v>500</v>
      </c>
      <c r="Y36" s="30"/>
      <c r="Z36" s="30">
        <f t="shared" si="4"/>
        <v>1.25</v>
      </c>
      <c r="AA36" s="43">
        <v>1.25</v>
      </c>
      <c r="AB36" s="42">
        <f t="shared" si="6"/>
        <v>1.375</v>
      </c>
      <c r="AC36" s="42">
        <f t="shared" si="7"/>
        <v>1.359375</v>
      </c>
      <c r="AD36" t="s">
        <v>225</v>
      </c>
      <c r="AE36">
        <v>2</v>
      </c>
      <c r="AG36" s="25" t="s">
        <v>715</v>
      </c>
      <c r="AH36" s="44" t="s">
        <v>713</v>
      </c>
    </row>
    <row r="37" spans="1:37" ht="38.25" thickBot="1" x14ac:dyDescent="0.25">
      <c r="A37" t="s">
        <v>722</v>
      </c>
      <c r="B37" t="s">
        <v>721</v>
      </c>
      <c r="C37" t="s">
        <v>566</v>
      </c>
      <c r="D37" s="29">
        <v>1.1499999999999999</v>
      </c>
      <c r="E37" s="29">
        <f t="shared" si="5"/>
        <v>0</v>
      </c>
      <c r="F37" s="29">
        <v>0.85</v>
      </c>
      <c r="G37" s="29">
        <v>0.35</v>
      </c>
      <c r="H37" s="29">
        <v>0.9</v>
      </c>
      <c r="J37">
        <v>-15</v>
      </c>
      <c r="K37" s="29">
        <v>7.4999999999999997E-2</v>
      </c>
      <c r="L37" s="29">
        <v>1.7</v>
      </c>
      <c r="S37" s="33">
        <v>1</v>
      </c>
      <c r="T37" s="33" t="s">
        <v>615</v>
      </c>
      <c r="V37" s="1">
        <v>1.5</v>
      </c>
      <c r="W37" s="1" t="s">
        <v>720</v>
      </c>
      <c r="X37" t="s">
        <v>719</v>
      </c>
      <c r="Y37" s="30"/>
      <c r="Z37" s="30">
        <f t="shared" si="4"/>
        <v>1.2</v>
      </c>
      <c r="AA37" s="43">
        <v>1.2</v>
      </c>
      <c r="AB37" s="42">
        <f t="shared" si="6"/>
        <v>1.38</v>
      </c>
      <c r="AC37" s="42">
        <f t="shared" si="7"/>
        <v>1.5818249999999998</v>
      </c>
      <c r="AD37" t="s">
        <v>706</v>
      </c>
      <c r="AE37">
        <v>3</v>
      </c>
      <c r="AG37" s="25" t="s">
        <v>712</v>
      </c>
      <c r="AH37" s="44" t="s">
        <v>711</v>
      </c>
    </row>
    <row r="38" spans="1:37" ht="38.25" thickBot="1" x14ac:dyDescent="0.25">
      <c r="A38" t="s">
        <v>718</v>
      </c>
      <c r="B38" t="s">
        <v>717</v>
      </c>
      <c r="C38" t="s">
        <v>566</v>
      </c>
      <c r="D38" s="29">
        <v>1.3</v>
      </c>
      <c r="E38" s="29">
        <f t="shared" si="5"/>
        <v>0</v>
      </c>
      <c r="F38" s="29">
        <v>0.85</v>
      </c>
      <c r="G38" s="29">
        <v>0.35</v>
      </c>
      <c r="H38" s="29">
        <v>0.9</v>
      </c>
      <c r="J38">
        <v>-15</v>
      </c>
      <c r="K38" s="29">
        <v>7.4999999999999997E-2</v>
      </c>
      <c r="L38" s="29">
        <v>1.7</v>
      </c>
      <c r="M38">
        <v>-2.5</v>
      </c>
      <c r="N38">
        <v>-2.5</v>
      </c>
      <c r="S38" s="33">
        <v>1</v>
      </c>
      <c r="T38" s="33" t="s">
        <v>615</v>
      </c>
      <c r="V38" s="1">
        <v>2</v>
      </c>
      <c r="W38" s="1" t="s">
        <v>716</v>
      </c>
      <c r="X38" t="s">
        <v>696</v>
      </c>
      <c r="Y38" s="30"/>
      <c r="Z38" s="30">
        <f t="shared" si="4"/>
        <v>1.2</v>
      </c>
      <c r="AA38" s="43">
        <v>1.2</v>
      </c>
      <c r="AB38" s="42">
        <f t="shared" si="6"/>
        <v>1.56</v>
      </c>
      <c r="AC38" s="42">
        <f t="shared" si="7"/>
        <v>1.6505999999999998</v>
      </c>
      <c r="AD38" t="s">
        <v>702</v>
      </c>
      <c r="AE38">
        <v>3</v>
      </c>
      <c r="AG38" s="25" t="s">
        <v>709</v>
      </c>
      <c r="AH38" s="44" t="s">
        <v>708</v>
      </c>
    </row>
    <row r="39" spans="1:37" ht="19.5" thickBot="1" x14ac:dyDescent="0.25">
      <c r="D39" s="29"/>
      <c r="E39" s="29"/>
      <c r="F39" s="29"/>
      <c r="G39" s="29"/>
      <c r="V39" s="1">
        <v>71</v>
      </c>
      <c r="W39" s="1" t="s">
        <v>500</v>
      </c>
      <c r="X39" t="s">
        <v>500</v>
      </c>
      <c r="Y39" s="30"/>
      <c r="Z39" s="30">
        <f t="shared" si="4"/>
        <v>0</v>
      </c>
      <c r="AA39" s="43">
        <v>0</v>
      </c>
      <c r="AB39" s="42">
        <f t="shared" si="6"/>
        <v>0</v>
      </c>
      <c r="AC39" s="42">
        <f t="shared" si="7"/>
        <v>0</v>
      </c>
      <c r="AD39" t="s">
        <v>224</v>
      </c>
      <c r="AE39">
        <v>3.5</v>
      </c>
      <c r="AG39" s="25" t="s">
        <v>705</v>
      </c>
      <c r="AH39" s="44" t="s">
        <v>704</v>
      </c>
    </row>
    <row r="40" spans="1:37" ht="19.5" thickBot="1" x14ac:dyDescent="0.25">
      <c r="A40" t="s">
        <v>227</v>
      </c>
      <c r="B40" t="s">
        <v>715</v>
      </c>
      <c r="C40" t="s">
        <v>566</v>
      </c>
      <c r="D40" s="29">
        <v>1.1000000000000001</v>
      </c>
      <c r="E40" s="29">
        <f>AA40-SUM(F40:G40)</f>
        <v>0</v>
      </c>
      <c r="F40" s="29">
        <v>0</v>
      </c>
      <c r="G40" s="29">
        <v>1.1000000000000001</v>
      </c>
      <c r="H40" s="29">
        <v>0.95</v>
      </c>
      <c r="J40">
        <v>-5</v>
      </c>
      <c r="K40" s="29">
        <v>0.1</v>
      </c>
      <c r="L40" s="29">
        <v>1.5</v>
      </c>
      <c r="M40">
        <v>-2.5</v>
      </c>
      <c r="S40" s="33">
        <v>1</v>
      </c>
      <c r="T40" s="33" t="s">
        <v>615</v>
      </c>
      <c r="U40" t="s">
        <v>714</v>
      </c>
      <c r="V40" s="1">
        <v>2</v>
      </c>
      <c r="W40" s="1" t="s">
        <v>713</v>
      </c>
      <c r="X40" t="s">
        <v>696</v>
      </c>
      <c r="Y40" s="30"/>
      <c r="Z40" s="30">
        <f t="shared" si="4"/>
        <v>1.1000000000000001</v>
      </c>
      <c r="AA40" s="43">
        <v>1.1000000000000001</v>
      </c>
      <c r="AB40" s="42">
        <f t="shared" si="6"/>
        <v>1.2100000000000002</v>
      </c>
      <c r="AC40" s="42">
        <f t="shared" si="7"/>
        <v>1.3571250000000004</v>
      </c>
      <c r="AD40" t="s">
        <v>694</v>
      </c>
      <c r="AE40">
        <v>4</v>
      </c>
      <c r="AG40" s="25" t="s">
        <v>701</v>
      </c>
      <c r="AH40" s="44" t="s">
        <v>699</v>
      </c>
    </row>
    <row r="41" spans="1:37" ht="38.25" thickBot="1" x14ac:dyDescent="0.25">
      <c r="A41" t="s">
        <v>226</v>
      </c>
      <c r="B41" t="s">
        <v>712</v>
      </c>
      <c r="C41" t="s">
        <v>566</v>
      </c>
      <c r="D41" s="29">
        <v>1.25</v>
      </c>
      <c r="E41" s="29">
        <f>AA41-SUM(F41:G41)</f>
        <v>0</v>
      </c>
      <c r="F41" s="29">
        <v>0</v>
      </c>
      <c r="G41" s="29">
        <v>1.2</v>
      </c>
      <c r="H41" s="29">
        <v>1.05</v>
      </c>
      <c r="J41">
        <v>-15</v>
      </c>
      <c r="K41" s="29">
        <v>0.1</v>
      </c>
      <c r="L41" s="29">
        <v>1.5</v>
      </c>
      <c r="M41">
        <v>-5</v>
      </c>
      <c r="N41">
        <v>-5</v>
      </c>
      <c r="S41" s="33">
        <v>1</v>
      </c>
      <c r="T41" s="33" t="s">
        <v>615</v>
      </c>
      <c r="V41" s="1">
        <v>2.5</v>
      </c>
      <c r="W41" s="1" t="s">
        <v>711</v>
      </c>
      <c r="X41" t="s">
        <v>710</v>
      </c>
      <c r="Y41" s="30"/>
      <c r="Z41" s="30">
        <f t="shared" si="4"/>
        <v>1.2</v>
      </c>
      <c r="AA41" s="43">
        <v>1.2</v>
      </c>
      <c r="AB41" s="42">
        <f t="shared" si="6"/>
        <v>1.5</v>
      </c>
      <c r="AC41" s="42">
        <f t="shared" si="7"/>
        <v>1.4805000000000001</v>
      </c>
      <c r="AD41" t="s">
        <v>223</v>
      </c>
      <c r="AE41">
        <v>3</v>
      </c>
      <c r="AG41" s="25" t="s">
        <v>698</v>
      </c>
      <c r="AH41" s="44" t="s">
        <v>697</v>
      </c>
    </row>
    <row r="42" spans="1:37" ht="26.25" thickBot="1" x14ac:dyDescent="0.25">
      <c r="D42" s="29"/>
      <c r="E42" s="29"/>
      <c r="F42" s="29"/>
      <c r="G42" s="29"/>
      <c r="V42" s="1">
        <v>71</v>
      </c>
      <c r="W42" s="1" t="s">
        <v>500</v>
      </c>
      <c r="X42" t="s">
        <v>500</v>
      </c>
      <c r="Y42" s="30"/>
      <c r="Z42" s="30">
        <f t="shared" si="4"/>
        <v>0</v>
      </c>
      <c r="AA42" s="43">
        <v>0</v>
      </c>
      <c r="AB42" s="42">
        <f t="shared" si="6"/>
        <v>0</v>
      </c>
      <c r="AC42" s="42">
        <f t="shared" si="7"/>
        <v>0</v>
      </c>
      <c r="AD42" t="s">
        <v>688</v>
      </c>
      <c r="AE42">
        <v>3.5</v>
      </c>
      <c r="AG42" s="25" t="s">
        <v>693</v>
      </c>
      <c r="AH42" s="44" t="s">
        <v>692</v>
      </c>
    </row>
    <row r="43" spans="1:37" ht="38.25" thickBot="1" x14ac:dyDescent="0.25">
      <c r="A43" t="s">
        <v>225</v>
      </c>
      <c r="B43" t="s">
        <v>709</v>
      </c>
      <c r="C43" t="s">
        <v>566</v>
      </c>
      <c r="D43" s="29">
        <v>1.25</v>
      </c>
      <c r="E43" s="29">
        <f>AA43-SUM(F43:G43)</f>
        <v>0.44999999999999996</v>
      </c>
      <c r="F43" s="29">
        <v>0.55000000000000004</v>
      </c>
      <c r="G43" s="29">
        <v>0.05</v>
      </c>
      <c r="H43" s="29">
        <v>0.85</v>
      </c>
      <c r="J43">
        <v>-15</v>
      </c>
      <c r="K43" s="29">
        <v>0.05</v>
      </c>
      <c r="L43" s="29">
        <v>2</v>
      </c>
      <c r="S43" s="33">
        <v>1</v>
      </c>
      <c r="T43" s="33" t="s">
        <v>615</v>
      </c>
      <c r="U43" t="s">
        <v>700</v>
      </c>
      <c r="V43" s="1">
        <v>2</v>
      </c>
      <c r="W43" s="1" t="s">
        <v>708</v>
      </c>
      <c r="X43" t="s">
        <v>707</v>
      </c>
      <c r="Y43" s="30"/>
      <c r="Z43" s="30">
        <f t="shared" si="4"/>
        <v>1.05</v>
      </c>
      <c r="AA43" s="43">
        <v>1.05</v>
      </c>
      <c r="AB43" s="42">
        <f t="shared" si="6"/>
        <v>1.3125</v>
      </c>
      <c r="AC43" s="42">
        <f t="shared" si="7"/>
        <v>1.46015625</v>
      </c>
      <c r="AD43" t="s">
        <v>684</v>
      </c>
      <c r="AE43">
        <v>4</v>
      </c>
      <c r="AG43" s="25" t="s">
        <v>691</v>
      </c>
      <c r="AH43" s="44" t="s">
        <v>690</v>
      </c>
    </row>
    <row r="44" spans="1:37" ht="38.25" thickBot="1" x14ac:dyDescent="0.25">
      <c r="A44" t="s">
        <v>706</v>
      </c>
      <c r="B44" t="s">
        <v>705</v>
      </c>
      <c r="C44" t="s">
        <v>566</v>
      </c>
      <c r="D44" s="29">
        <v>1.3</v>
      </c>
      <c r="E44" s="29">
        <f>AA44-SUM(F44:G44)</f>
        <v>0.54999999999999993</v>
      </c>
      <c r="F44" s="29">
        <v>0.6</v>
      </c>
      <c r="G44" s="29">
        <v>0.05</v>
      </c>
      <c r="H44" s="29">
        <v>0.9</v>
      </c>
      <c r="J44">
        <v>-15</v>
      </c>
      <c r="K44" s="29">
        <v>0.05</v>
      </c>
      <c r="L44" s="29">
        <v>2</v>
      </c>
      <c r="M44">
        <v>-2.5</v>
      </c>
      <c r="N44">
        <v>-2.5</v>
      </c>
      <c r="S44" s="33">
        <v>1</v>
      </c>
      <c r="T44" s="33" t="s">
        <v>615</v>
      </c>
      <c r="V44" s="1">
        <v>2.5</v>
      </c>
      <c r="W44" s="1" t="s">
        <v>704</v>
      </c>
      <c r="X44" t="s">
        <v>661</v>
      </c>
      <c r="Y44" s="30"/>
      <c r="Z44" s="30">
        <f t="shared" si="4"/>
        <v>1.2</v>
      </c>
      <c r="AA44" s="43">
        <v>1.2</v>
      </c>
      <c r="AB44" s="42">
        <f t="shared" si="6"/>
        <v>1.56</v>
      </c>
      <c r="AC44" s="42">
        <f t="shared" si="7"/>
        <v>1.6020000000000001</v>
      </c>
      <c r="AD44" t="s">
        <v>703</v>
      </c>
      <c r="AE44">
        <v>1</v>
      </c>
      <c r="AG44" s="25" t="s">
        <v>687</v>
      </c>
      <c r="AH44" s="44" t="s">
        <v>686</v>
      </c>
    </row>
    <row r="45" spans="1:37" ht="26.25" thickBot="1" x14ac:dyDescent="0.25">
      <c r="D45" s="29"/>
      <c r="E45" s="29"/>
      <c r="F45" s="29"/>
      <c r="G45" s="29"/>
      <c r="V45" s="1">
        <v>71</v>
      </c>
      <c r="W45" s="1" t="s">
        <v>500</v>
      </c>
      <c r="X45" t="s">
        <v>500</v>
      </c>
      <c r="Y45" s="30"/>
      <c r="Z45" s="30">
        <f t="shared" si="4"/>
        <v>0</v>
      </c>
      <c r="AA45" s="43">
        <v>0</v>
      </c>
      <c r="AB45" s="42">
        <f t="shared" si="6"/>
        <v>0</v>
      </c>
      <c r="AC45" s="42">
        <f t="shared" si="7"/>
        <v>0</v>
      </c>
      <c r="AD45" s="1" t="s">
        <v>222</v>
      </c>
      <c r="AE45" s="1">
        <v>2</v>
      </c>
      <c r="AF45" s="1"/>
      <c r="AG45" s="25" t="s">
        <v>683</v>
      </c>
      <c r="AH45" s="44" t="s">
        <v>682</v>
      </c>
    </row>
    <row r="46" spans="1:37" ht="19.5" thickBot="1" x14ac:dyDescent="0.25">
      <c r="A46" t="s">
        <v>702</v>
      </c>
      <c r="B46" t="s">
        <v>701</v>
      </c>
      <c r="C46" t="s">
        <v>566</v>
      </c>
      <c r="D46" s="29">
        <v>1.1499999999999999</v>
      </c>
      <c r="E46" s="29">
        <f>AA46-SUM(F46:G46)</f>
        <v>0.90000000000000013</v>
      </c>
      <c r="F46" s="29">
        <v>0</v>
      </c>
      <c r="G46" s="29">
        <v>0.2</v>
      </c>
      <c r="H46" s="29">
        <v>0.9</v>
      </c>
      <c r="J46">
        <v>-15</v>
      </c>
      <c r="K46" s="29">
        <v>0.05</v>
      </c>
      <c r="L46" s="29">
        <v>1.75</v>
      </c>
      <c r="M46">
        <v>-2.5</v>
      </c>
      <c r="S46" s="33">
        <v>1</v>
      </c>
      <c r="T46" s="33" t="s">
        <v>615</v>
      </c>
      <c r="U46" t="s">
        <v>700</v>
      </c>
      <c r="V46" s="1">
        <v>1.5</v>
      </c>
      <c r="W46" s="1" t="s">
        <v>699</v>
      </c>
      <c r="X46" t="s">
        <v>585</v>
      </c>
      <c r="Y46" s="30"/>
      <c r="Z46" s="30">
        <f t="shared" si="4"/>
        <v>1.1000000000000001</v>
      </c>
      <c r="AA46" s="43">
        <v>1.1000000000000001</v>
      </c>
      <c r="AB46" s="42">
        <f t="shared" si="6"/>
        <v>1.2649999999999999</v>
      </c>
      <c r="AC46" s="42">
        <f t="shared" si="7"/>
        <v>1.331</v>
      </c>
      <c r="AD46" s="1" t="s">
        <v>221</v>
      </c>
      <c r="AE46" s="1">
        <v>3</v>
      </c>
      <c r="AF46" s="1"/>
      <c r="AG46" s="25" t="s">
        <v>672</v>
      </c>
      <c r="AH46" s="44" t="s">
        <v>670</v>
      </c>
    </row>
    <row r="47" spans="1:37" ht="38.25" thickBot="1" x14ac:dyDescent="0.25">
      <c r="A47" t="s">
        <v>224</v>
      </c>
      <c r="B47" t="s">
        <v>698</v>
      </c>
      <c r="C47" t="s">
        <v>566</v>
      </c>
      <c r="D47" s="29">
        <v>1.1499999999999999</v>
      </c>
      <c r="E47" s="29">
        <f>AA47-SUM(F47:G47)</f>
        <v>0.95</v>
      </c>
      <c r="F47" s="29">
        <v>0</v>
      </c>
      <c r="G47" s="29">
        <v>0.3</v>
      </c>
      <c r="H47" s="29">
        <v>1</v>
      </c>
      <c r="J47">
        <v>-15</v>
      </c>
      <c r="K47" s="29">
        <v>0.05</v>
      </c>
      <c r="L47" s="29">
        <v>1.75</v>
      </c>
      <c r="M47">
        <v>-2.5</v>
      </c>
      <c r="S47" s="33">
        <v>1</v>
      </c>
      <c r="T47" s="33" t="s">
        <v>615</v>
      </c>
      <c r="V47" s="1">
        <v>2</v>
      </c>
      <c r="W47" s="1" t="s">
        <v>697</v>
      </c>
      <c r="X47" t="s">
        <v>696</v>
      </c>
      <c r="Y47" s="30"/>
      <c r="Z47" s="30">
        <f t="shared" si="4"/>
        <v>1.25</v>
      </c>
      <c r="AA47" s="43">
        <v>1.25</v>
      </c>
      <c r="AB47" s="42">
        <f t="shared" si="6"/>
        <v>1.4375</v>
      </c>
      <c r="AC47" s="42">
        <f t="shared" si="7"/>
        <v>1.5125</v>
      </c>
      <c r="AD47" s="1" t="s">
        <v>695</v>
      </c>
      <c r="AE47" s="1">
        <v>3</v>
      </c>
      <c r="AF47" s="1"/>
      <c r="AG47" s="25" t="s">
        <v>668</v>
      </c>
      <c r="AH47" s="44" t="s">
        <v>666</v>
      </c>
    </row>
    <row r="48" spans="1:37" ht="38.25" thickBot="1" x14ac:dyDescent="0.25">
      <c r="A48" t="s">
        <v>694</v>
      </c>
      <c r="B48" t="s">
        <v>693</v>
      </c>
      <c r="C48" t="s">
        <v>566</v>
      </c>
      <c r="D48" s="29">
        <v>1.3</v>
      </c>
      <c r="E48" s="29">
        <f>AA48-SUM(F48:G48)</f>
        <v>0.85</v>
      </c>
      <c r="F48" s="29">
        <v>0</v>
      </c>
      <c r="G48" s="29">
        <v>0.4</v>
      </c>
      <c r="H48" s="29">
        <v>1.05</v>
      </c>
      <c r="J48">
        <v>-15</v>
      </c>
      <c r="K48" s="29">
        <v>0.05</v>
      </c>
      <c r="L48" s="29">
        <v>1.75</v>
      </c>
      <c r="M48">
        <v>-5</v>
      </c>
      <c r="N48">
        <v>-5</v>
      </c>
      <c r="S48" s="33">
        <v>1</v>
      </c>
      <c r="T48" s="33" t="s">
        <v>615</v>
      </c>
      <c r="V48" s="1">
        <v>2.5</v>
      </c>
      <c r="W48" s="1" t="s">
        <v>692</v>
      </c>
      <c r="X48" t="s">
        <v>649</v>
      </c>
      <c r="Y48" s="30"/>
      <c r="Z48" s="30">
        <f t="shared" si="4"/>
        <v>1.25</v>
      </c>
      <c r="AA48" s="43">
        <v>1.25</v>
      </c>
      <c r="AB48" s="42">
        <f t="shared" si="6"/>
        <v>1.625</v>
      </c>
      <c r="AC48" s="42">
        <f t="shared" si="7"/>
        <v>1.5125000000000002</v>
      </c>
      <c r="AD48" s="1" t="s">
        <v>219</v>
      </c>
      <c r="AE48" s="1">
        <v>3.5</v>
      </c>
      <c r="AF48" s="1"/>
      <c r="AG48" s="25" t="s">
        <v>664</v>
      </c>
      <c r="AH48" s="44" t="s">
        <v>662</v>
      </c>
    </row>
    <row r="49" spans="1:45" ht="26.25" thickBot="1" x14ac:dyDescent="0.25">
      <c r="D49" s="29"/>
      <c r="E49" s="29"/>
      <c r="F49" s="29"/>
      <c r="G49" s="29"/>
      <c r="V49" s="1">
        <v>71</v>
      </c>
      <c r="W49" s="1" t="s">
        <v>500</v>
      </c>
      <c r="X49" t="s">
        <v>500</v>
      </c>
      <c r="Y49" s="30"/>
      <c r="Z49" s="30">
        <f t="shared" si="4"/>
        <v>0</v>
      </c>
      <c r="AA49" s="43">
        <v>0</v>
      </c>
      <c r="AB49" s="42">
        <f t="shared" si="6"/>
        <v>0</v>
      </c>
      <c r="AC49" s="42">
        <f t="shared" si="7"/>
        <v>0</v>
      </c>
      <c r="AD49" s="1" t="s">
        <v>654</v>
      </c>
      <c r="AE49" s="1">
        <v>4</v>
      </c>
      <c r="AF49" s="1"/>
      <c r="AG49" s="25" t="s">
        <v>659</v>
      </c>
      <c r="AH49" s="44" t="s">
        <v>658</v>
      </c>
    </row>
    <row r="50" spans="1:45" ht="38.25" thickBot="1" x14ac:dyDescent="0.25">
      <c r="A50" t="s">
        <v>223</v>
      </c>
      <c r="B50" t="s">
        <v>691</v>
      </c>
      <c r="C50" t="s">
        <v>566</v>
      </c>
      <c r="D50" s="29">
        <v>1.05</v>
      </c>
      <c r="E50" s="29">
        <f>AA50-SUM(F50:G50)</f>
        <v>0.90000000000000013</v>
      </c>
      <c r="F50" s="29">
        <v>0</v>
      </c>
      <c r="G50" s="29">
        <v>0.2</v>
      </c>
      <c r="H50" s="29">
        <v>0.55000000000000004</v>
      </c>
      <c r="K50" s="29">
        <v>0.1</v>
      </c>
      <c r="L50" s="29">
        <v>1.5</v>
      </c>
      <c r="P50">
        <v>1</v>
      </c>
      <c r="S50" s="33">
        <v>1</v>
      </c>
      <c r="T50" s="33" t="s">
        <v>615</v>
      </c>
      <c r="V50" s="1">
        <v>2.5</v>
      </c>
      <c r="W50" s="1" t="s">
        <v>690</v>
      </c>
      <c r="X50" t="s">
        <v>689</v>
      </c>
      <c r="Y50" s="30"/>
      <c r="Z50" s="30">
        <f t="shared" si="4"/>
        <v>1.1000000000000001</v>
      </c>
      <c r="AA50" s="43">
        <v>1.1000000000000001</v>
      </c>
      <c r="AB50" s="42">
        <f t="shared" si="6"/>
        <v>1.1550000000000002</v>
      </c>
      <c r="AC50" s="42">
        <f t="shared" si="7"/>
        <v>1.3571250000000004</v>
      </c>
      <c r="AD50" t="s">
        <v>218</v>
      </c>
      <c r="AE50">
        <v>2</v>
      </c>
      <c r="AG50" s="25" t="s">
        <v>656</v>
      </c>
      <c r="AH50" s="44" t="s">
        <v>655</v>
      </c>
    </row>
    <row r="51" spans="1:45" ht="38.25" thickBot="1" x14ac:dyDescent="0.25">
      <c r="A51" t="s">
        <v>688</v>
      </c>
      <c r="B51" t="s">
        <v>687</v>
      </c>
      <c r="C51" t="s">
        <v>566</v>
      </c>
      <c r="D51" s="29">
        <v>1.1499999999999999</v>
      </c>
      <c r="E51" s="29">
        <f>AA51-SUM(F51:G51)</f>
        <v>0.89999999999999991</v>
      </c>
      <c r="F51" s="29">
        <v>0</v>
      </c>
      <c r="G51" s="29">
        <v>0.25</v>
      </c>
      <c r="H51" s="29">
        <v>0.65</v>
      </c>
      <c r="K51" s="29">
        <v>0.1</v>
      </c>
      <c r="L51" s="29">
        <v>1.5</v>
      </c>
      <c r="M51">
        <v>-5</v>
      </c>
      <c r="N51">
        <v>-2.5</v>
      </c>
      <c r="P51">
        <v>1</v>
      </c>
      <c r="S51" s="33">
        <v>1</v>
      </c>
      <c r="T51" s="33" t="s">
        <v>615</v>
      </c>
      <c r="V51" s="1">
        <v>3</v>
      </c>
      <c r="W51" s="1" t="s">
        <v>686</v>
      </c>
      <c r="X51" t="s">
        <v>685</v>
      </c>
      <c r="Y51" s="30"/>
      <c r="Z51" s="30">
        <f t="shared" si="4"/>
        <v>1.1499999999999999</v>
      </c>
      <c r="AA51" s="43">
        <v>1.1499999999999999</v>
      </c>
      <c r="AB51" s="42">
        <f t="shared" si="6"/>
        <v>1.3224999999999998</v>
      </c>
      <c r="AC51" s="42">
        <f t="shared" si="7"/>
        <v>1.3512499999999996</v>
      </c>
      <c r="AD51" t="s">
        <v>217</v>
      </c>
      <c r="AE51">
        <v>3</v>
      </c>
      <c r="AG51" s="25" t="s">
        <v>653</v>
      </c>
      <c r="AH51" s="44" t="s">
        <v>650</v>
      </c>
    </row>
    <row r="52" spans="1:45" ht="38.25" thickBot="1" x14ac:dyDescent="0.25">
      <c r="A52" t="s">
        <v>684</v>
      </c>
      <c r="B52" t="s">
        <v>683</v>
      </c>
      <c r="C52" t="s">
        <v>566</v>
      </c>
      <c r="D52" s="29">
        <v>1.25</v>
      </c>
      <c r="E52" s="29">
        <f>AA52-SUM(F52:G52)</f>
        <v>0.79999999999999993</v>
      </c>
      <c r="F52" s="29">
        <v>0</v>
      </c>
      <c r="G52" s="29">
        <v>0.35</v>
      </c>
      <c r="H52" s="29">
        <v>0.65</v>
      </c>
      <c r="K52" s="29">
        <v>0.1</v>
      </c>
      <c r="L52" s="29">
        <v>1.5</v>
      </c>
      <c r="M52">
        <v>-7.5</v>
      </c>
      <c r="N52">
        <v>-5</v>
      </c>
      <c r="P52">
        <v>1</v>
      </c>
      <c r="S52" s="33">
        <v>1</v>
      </c>
      <c r="T52" s="33" t="s">
        <v>615</v>
      </c>
      <c r="V52" s="1">
        <v>4</v>
      </c>
      <c r="W52" s="1" t="s">
        <v>682</v>
      </c>
      <c r="X52" t="s">
        <v>681</v>
      </c>
      <c r="Y52" s="30"/>
      <c r="Z52" s="30">
        <f t="shared" si="4"/>
        <v>1.1499999999999999</v>
      </c>
      <c r="AA52" s="43">
        <v>1.1499999999999999</v>
      </c>
      <c r="AB52" s="42">
        <f t="shared" si="6"/>
        <v>1.4375</v>
      </c>
      <c r="AC52" s="42">
        <f t="shared" si="7"/>
        <v>1.3512499999999998</v>
      </c>
      <c r="AD52" t="s">
        <v>680</v>
      </c>
      <c r="AG52" s="25" t="s">
        <v>679</v>
      </c>
      <c r="AH52" s="44" t="s">
        <v>678</v>
      </c>
    </row>
    <row r="53" spans="1:45" ht="19.5" thickBot="1" x14ac:dyDescent="0.25">
      <c r="D53" s="29"/>
      <c r="E53" s="29"/>
      <c r="F53" s="29"/>
      <c r="G53" s="29"/>
      <c r="V53" s="1">
        <v>71</v>
      </c>
      <c r="W53" s="1" t="s">
        <v>500</v>
      </c>
      <c r="Y53" s="30"/>
      <c r="Z53" s="30">
        <f t="shared" si="4"/>
        <v>0</v>
      </c>
      <c r="AA53" s="43">
        <v>0</v>
      </c>
      <c r="AB53" s="42">
        <f t="shared" si="6"/>
        <v>0</v>
      </c>
      <c r="AC53" s="42">
        <f t="shared" si="7"/>
        <v>0</v>
      </c>
      <c r="AD53" t="s">
        <v>214</v>
      </c>
      <c r="AE53">
        <v>2.5</v>
      </c>
      <c r="AG53" s="25" t="s">
        <v>674</v>
      </c>
      <c r="AH53" s="44" t="s">
        <v>677</v>
      </c>
    </row>
    <row r="54" spans="1:45" ht="38.25" thickBot="1" x14ac:dyDescent="0.25">
      <c r="A54" s="1" t="s">
        <v>218</v>
      </c>
      <c r="B54" s="1" t="s">
        <v>676</v>
      </c>
      <c r="C54" t="s">
        <v>566</v>
      </c>
      <c r="D54" s="36">
        <v>1.1000000000000001</v>
      </c>
      <c r="E54" s="36">
        <v>0.25</v>
      </c>
      <c r="F54" s="36">
        <v>0.25</v>
      </c>
      <c r="G54" s="36"/>
      <c r="H54" s="30"/>
      <c r="I54" s="36">
        <v>1</v>
      </c>
      <c r="J54" s="36"/>
      <c r="K54" s="30">
        <v>0.1</v>
      </c>
      <c r="L54" s="30">
        <v>1.3</v>
      </c>
      <c r="M54">
        <v>-2.5</v>
      </c>
      <c r="P54">
        <v>2</v>
      </c>
      <c r="S54" s="33">
        <v>1</v>
      </c>
      <c r="T54" s="33" t="s">
        <v>615</v>
      </c>
      <c r="V54" s="1">
        <v>1.5</v>
      </c>
      <c r="W54" s="1" t="s">
        <v>675</v>
      </c>
      <c r="X54" t="s">
        <v>624</v>
      </c>
      <c r="Y54" s="30"/>
      <c r="Z54" s="30">
        <f t="shared" si="4"/>
        <v>0.5</v>
      </c>
      <c r="AA54" s="43">
        <v>1</v>
      </c>
      <c r="AB54" s="42">
        <f t="shared" si="6"/>
        <v>0.55000000000000004</v>
      </c>
      <c r="AC54" s="42">
        <f t="shared" si="7"/>
        <v>0.606375</v>
      </c>
      <c r="AD54" s="1" t="s">
        <v>211</v>
      </c>
      <c r="AE54" s="1">
        <v>2</v>
      </c>
      <c r="AF54" s="36"/>
      <c r="AG54" s="25"/>
      <c r="AH54" s="25"/>
      <c r="AI54" s="36"/>
      <c r="AJ54" s="36"/>
      <c r="AK54" s="36"/>
      <c r="AL54" s="36"/>
      <c r="AM54" s="1"/>
      <c r="AN54" s="1"/>
      <c r="AO54" s="1"/>
      <c r="AP54" s="1"/>
      <c r="AQ54" s="1"/>
      <c r="AR54" s="1"/>
      <c r="AS54" s="1"/>
    </row>
    <row r="55" spans="1:45" ht="38.25" outlineLevel="1" thickBot="1" x14ac:dyDescent="0.25">
      <c r="A55" s="1" t="s">
        <v>217</v>
      </c>
      <c r="B55" s="1" t="s">
        <v>674</v>
      </c>
      <c r="C55" t="s">
        <v>566</v>
      </c>
      <c r="D55" s="36">
        <v>1.2</v>
      </c>
      <c r="E55" s="36">
        <v>0.25</v>
      </c>
      <c r="F55" s="36">
        <v>0.25</v>
      </c>
      <c r="G55" s="36"/>
      <c r="H55" s="30"/>
      <c r="I55" s="36">
        <v>1.1499999999999999</v>
      </c>
      <c r="J55" s="36"/>
      <c r="K55" s="30">
        <v>0.1</v>
      </c>
      <c r="L55" s="30">
        <v>1.3</v>
      </c>
      <c r="M55">
        <v>-5</v>
      </c>
      <c r="N55">
        <v>-2.5</v>
      </c>
      <c r="P55">
        <v>2</v>
      </c>
      <c r="S55" s="33">
        <v>1</v>
      </c>
      <c r="T55" s="33" t="s">
        <v>615</v>
      </c>
      <c r="V55" s="1">
        <v>2</v>
      </c>
      <c r="W55" s="1" t="s">
        <v>673</v>
      </c>
      <c r="X55" t="s">
        <v>562</v>
      </c>
      <c r="Y55" s="30"/>
      <c r="Z55" s="30">
        <f t="shared" si="4"/>
        <v>0.5</v>
      </c>
      <c r="AA55" s="43">
        <v>1.1499999999999999</v>
      </c>
      <c r="AB55" s="42">
        <f t="shared" si="6"/>
        <v>0.6</v>
      </c>
      <c r="AC55" s="42">
        <f t="shared" si="7"/>
        <v>0.606375</v>
      </c>
      <c r="AD55" s="1" t="s">
        <v>608</v>
      </c>
      <c r="AE55" s="1">
        <v>5</v>
      </c>
      <c r="AF55" s="36"/>
      <c r="AG55" s="25"/>
      <c r="AH55" s="25"/>
      <c r="AI55" s="36"/>
      <c r="AJ55" s="36"/>
      <c r="AK55" s="36"/>
      <c r="AL55" s="36"/>
      <c r="AM55" s="1"/>
      <c r="AN55" s="1"/>
      <c r="AO55" s="1"/>
      <c r="AP55" s="1"/>
      <c r="AQ55" s="1"/>
      <c r="AR55" s="1"/>
      <c r="AS55" s="1"/>
    </row>
    <row r="56" spans="1:45" ht="38.25" outlineLevel="1" thickBot="1" x14ac:dyDescent="0.25">
      <c r="A56" s="1" t="s">
        <v>577</v>
      </c>
      <c r="B56" s="1" t="s">
        <v>576</v>
      </c>
      <c r="C56" t="s">
        <v>566</v>
      </c>
      <c r="D56" s="36">
        <v>1.2</v>
      </c>
      <c r="E56" s="36">
        <v>0.25</v>
      </c>
      <c r="F56" s="36">
        <v>0.25</v>
      </c>
      <c r="G56" s="36"/>
      <c r="H56" s="30"/>
      <c r="I56" s="36">
        <v>1</v>
      </c>
      <c r="J56" s="36"/>
      <c r="K56" s="30">
        <v>0.1</v>
      </c>
      <c r="L56" s="30">
        <v>1.3</v>
      </c>
      <c r="M56">
        <v>-7.5</v>
      </c>
      <c r="N56">
        <v>-7.5</v>
      </c>
      <c r="P56">
        <v>2</v>
      </c>
      <c r="S56" s="33">
        <v>1</v>
      </c>
      <c r="T56" s="33" t="s">
        <v>615</v>
      </c>
      <c r="V56" s="1">
        <v>3</v>
      </c>
      <c r="W56" s="1" t="s">
        <v>574</v>
      </c>
      <c r="X56" t="s">
        <v>573</v>
      </c>
      <c r="Y56" s="30"/>
      <c r="Z56" s="30">
        <f t="shared" si="4"/>
        <v>0.5</v>
      </c>
      <c r="AA56" s="43">
        <v>1</v>
      </c>
      <c r="AB56" s="42">
        <f t="shared" si="6"/>
        <v>0.6</v>
      </c>
      <c r="AC56" s="42">
        <f t="shared" si="7"/>
        <v>0.51974999999999993</v>
      </c>
      <c r="AD56" s="1" t="s">
        <v>605</v>
      </c>
      <c r="AE56" s="1">
        <v>2.5</v>
      </c>
      <c r="AF56" s="1"/>
      <c r="AG56" s="25"/>
      <c r="AH56" s="25"/>
    </row>
    <row r="57" spans="1:45" ht="19.5" outlineLevel="1" thickBot="1" x14ac:dyDescent="0.25">
      <c r="A57" s="1"/>
      <c r="B57" s="1"/>
      <c r="D57" s="36"/>
      <c r="E57" s="36"/>
      <c r="F57" s="36"/>
      <c r="G57" s="36"/>
      <c r="H57" s="30"/>
      <c r="I57" s="36"/>
      <c r="J57" s="36"/>
      <c r="K57" s="30"/>
      <c r="L57" s="30"/>
      <c r="V57" s="1"/>
      <c r="W57" s="1"/>
      <c r="Y57" s="30"/>
      <c r="Z57" s="30"/>
      <c r="AA57" s="43"/>
      <c r="AB57" s="42">
        <f t="shared" si="6"/>
        <v>0</v>
      </c>
      <c r="AC57" s="42">
        <f t="shared" si="7"/>
        <v>0</v>
      </c>
      <c r="AD57" s="1"/>
      <c r="AE57" s="1"/>
      <c r="AF57" s="1"/>
      <c r="AG57" s="25"/>
      <c r="AH57" s="25"/>
    </row>
    <row r="58" spans="1:45" ht="19.5" thickBot="1" x14ac:dyDescent="0.25">
      <c r="A58" s="1"/>
      <c r="B58" s="1"/>
      <c r="C58" s="1"/>
      <c r="D58" s="36"/>
      <c r="E58" s="36"/>
      <c r="F58" s="36"/>
      <c r="G58" s="36"/>
      <c r="H58" s="30"/>
      <c r="I58" s="30"/>
      <c r="J58" s="36"/>
      <c r="K58" s="30"/>
      <c r="L58" s="30"/>
      <c r="V58" s="1">
        <v>71</v>
      </c>
      <c r="W58" s="1" t="s">
        <v>500</v>
      </c>
      <c r="Y58" s="30"/>
      <c r="Z58" s="30">
        <f t="shared" ref="Z58:Z72" si="8">SUM(E58:G58)</f>
        <v>0</v>
      </c>
      <c r="AA58" s="43">
        <v>0</v>
      </c>
      <c r="AB58" s="42">
        <f t="shared" si="6"/>
        <v>0</v>
      </c>
      <c r="AC58" s="42">
        <f t="shared" si="7"/>
        <v>0</v>
      </c>
      <c r="AD58" s="1" t="s">
        <v>602</v>
      </c>
      <c r="AE58" s="1">
        <v>4</v>
      </c>
      <c r="AF58" s="1"/>
      <c r="AG58" s="25"/>
      <c r="AH58" s="25"/>
    </row>
    <row r="59" spans="1:45" ht="19.5" thickBot="1" x14ac:dyDescent="0.25">
      <c r="A59" t="s">
        <v>222</v>
      </c>
      <c r="B59" t="s">
        <v>672</v>
      </c>
      <c r="C59" t="s">
        <v>652</v>
      </c>
      <c r="D59" s="29">
        <v>1</v>
      </c>
      <c r="E59" s="29">
        <f t="shared" ref="E59:E64" si="9">AA59-SUM(F59:G59)</f>
        <v>0.4</v>
      </c>
      <c r="F59" s="29">
        <v>0</v>
      </c>
      <c r="G59" s="29">
        <v>0.4</v>
      </c>
      <c r="H59" s="29">
        <v>1.1499999999999999</v>
      </c>
      <c r="K59" s="29">
        <v>0.05</v>
      </c>
      <c r="L59" s="29">
        <v>1.25</v>
      </c>
      <c r="S59" s="33">
        <v>1</v>
      </c>
      <c r="T59" s="33" t="s">
        <v>615</v>
      </c>
      <c r="U59" t="s">
        <v>671</v>
      </c>
      <c r="V59" s="1">
        <v>1.5</v>
      </c>
      <c r="W59" s="1" t="s">
        <v>670</v>
      </c>
      <c r="X59" t="s">
        <v>669</v>
      </c>
      <c r="Y59" s="30"/>
      <c r="Z59" s="30">
        <f t="shared" si="8"/>
        <v>0.8</v>
      </c>
      <c r="AA59" s="43">
        <v>0.8</v>
      </c>
      <c r="AB59" s="42">
        <f t="shared" si="6"/>
        <v>0.8</v>
      </c>
      <c r="AC59" s="42">
        <f t="shared" ref="AC59:AC64" si="10">MAX(Z59,H59)*(D59+SUM(M59:N59)/50)*(1+K59*(L59+0.25))</f>
        <v>1.2362499999999998</v>
      </c>
      <c r="AD59" t="s">
        <v>213</v>
      </c>
      <c r="AE59">
        <v>3</v>
      </c>
      <c r="AG59" s="25" t="s">
        <v>576</v>
      </c>
      <c r="AH59" s="44" t="s">
        <v>574</v>
      </c>
    </row>
    <row r="60" spans="1:45" ht="38.25" outlineLevel="1" thickBot="1" x14ac:dyDescent="0.25">
      <c r="A60" s="1" t="s">
        <v>221</v>
      </c>
      <c r="B60" s="1" t="s">
        <v>668</v>
      </c>
      <c r="C60" t="s">
        <v>652</v>
      </c>
      <c r="D60" s="36">
        <v>1</v>
      </c>
      <c r="E60" s="29">
        <f t="shared" si="9"/>
        <v>0</v>
      </c>
      <c r="F60" s="36">
        <v>0</v>
      </c>
      <c r="G60" s="36">
        <v>0.8</v>
      </c>
      <c r="H60" s="30">
        <v>1.25</v>
      </c>
      <c r="I60" s="30"/>
      <c r="J60" s="36"/>
      <c r="K60" s="30">
        <v>0.05</v>
      </c>
      <c r="L60" s="30">
        <v>1.25</v>
      </c>
      <c r="S60" s="33">
        <v>1</v>
      </c>
      <c r="T60" s="33" t="s">
        <v>615</v>
      </c>
      <c r="U60" t="s">
        <v>667</v>
      </c>
      <c r="V60" s="1">
        <v>1.5</v>
      </c>
      <c r="W60" s="1" t="s">
        <v>666</v>
      </c>
      <c r="X60" t="s">
        <v>665</v>
      </c>
      <c r="Y60" s="30"/>
      <c r="Z60" s="30">
        <f t="shared" si="8"/>
        <v>0.8</v>
      </c>
      <c r="AA60" s="43">
        <v>0.8</v>
      </c>
      <c r="AB60" s="42">
        <f t="shared" si="6"/>
        <v>0.8</v>
      </c>
      <c r="AC60" s="42">
        <f t="shared" si="10"/>
        <v>1.34375</v>
      </c>
      <c r="AD60" s="1" t="s">
        <v>620</v>
      </c>
      <c r="AE60" s="1">
        <v>4</v>
      </c>
      <c r="AF60" s="36"/>
      <c r="AG60" s="25" t="s">
        <v>645</v>
      </c>
      <c r="AH60" s="44" t="s">
        <v>643</v>
      </c>
      <c r="AI60" s="36"/>
      <c r="AJ60" s="36"/>
      <c r="AK60" s="36"/>
      <c r="AL60" s="36"/>
      <c r="AM60" s="1"/>
      <c r="AN60" s="1"/>
      <c r="AO60" s="1"/>
      <c r="AP60" s="1"/>
      <c r="AQ60" s="1"/>
      <c r="AR60" s="1"/>
      <c r="AS60" s="1"/>
    </row>
    <row r="61" spans="1:45" ht="38.25" outlineLevel="1" thickBot="1" x14ac:dyDescent="0.25">
      <c r="A61" s="1" t="s">
        <v>220</v>
      </c>
      <c r="B61" s="1" t="s">
        <v>664</v>
      </c>
      <c r="C61" t="s">
        <v>652</v>
      </c>
      <c r="D61" s="36">
        <v>1.1000000000000001</v>
      </c>
      <c r="E61" s="29">
        <f t="shared" si="9"/>
        <v>0.45</v>
      </c>
      <c r="F61" s="36">
        <v>0</v>
      </c>
      <c r="G61" s="36">
        <v>0.45</v>
      </c>
      <c r="H61" s="30">
        <v>1.25</v>
      </c>
      <c r="I61" s="30"/>
      <c r="J61" s="36"/>
      <c r="K61" s="30">
        <v>0.05</v>
      </c>
      <c r="L61" s="30">
        <v>1.25</v>
      </c>
      <c r="M61">
        <v>-5</v>
      </c>
      <c r="S61" s="33">
        <v>1</v>
      </c>
      <c r="T61" s="33" t="s">
        <v>615</v>
      </c>
      <c r="U61" t="s">
        <v>663</v>
      </c>
      <c r="V61" s="1">
        <v>2</v>
      </c>
      <c r="W61" s="1" t="s">
        <v>662</v>
      </c>
      <c r="X61" t="s">
        <v>661</v>
      </c>
      <c r="Y61" s="30"/>
      <c r="Z61" s="30">
        <f t="shared" si="8"/>
        <v>0.9</v>
      </c>
      <c r="AA61" s="43">
        <v>0.9</v>
      </c>
      <c r="AB61" s="42">
        <f t="shared" si="6"/>
        <v>0.9900000000000001</v>
      </c>
      <c r="AC61" s="42">
        <f t="shared" si="10"/>
        <v>1.34375</v>
      </c>
      <c r="AD61" s="1" t="s">
        <v>660</v>
      </c>
      <c r="AE61" s="1"/>
      <c r="AF61" s="36"/>
      <c r="AG61" s="25" t="s">
        <v>641</v>
      </c>
      <c r="AH61" s="44" t="s">
        <v>639</v>
      </c>
      <c r="AI61" s="36"/>
      <c r="AJ61" s="36"/>
      <c r="AK61" s="36"/>
      <c r="AL61" s="36"/>
      <c r="AM61" s="1"/>
      <c r="AN61" s="1"/>
      <c r="AO61" s="1"/>
      <c r="AP61" s="1"/>
      <c r="AQ61" s="1"/>
      <c r="AR61" s="1"/>
      <c r="AS61" s="1"/>
    </row>
    <row r="62" spans="1:45" ht="38.25" outlineLevel="1" thickBot="1" x14ac:dyDescent="0.25">
      <c r="A62" s="1" t="s">
        <v>219</v>
      </c>
      <c r="B62" s="1" t="s">
        <v>659</v>
      </c>
      <c r="C62" t="s">
        <v>652</v>
      </c>
      <c r="D62" s="36">
        <v>1.1499999999999999</v>
      </c>
      <c r="E62" s="29">
        <f t="shared" si="9"/>
        <v>0</v>
      </c>
      <c r="F62" s="36">
        <v>0</v>
      </c>
      <c r="G62" s="36">
        <v>0.85</v>
      </c>
      <c r="H62" s="30">
        <v>1.35</v>
      </c>
      <c r="I62" s="30"/>
      <c r="J62" s="36"/>
      <c r="K62" s="30">
        <v>0.05</v>
      </c>
      <c r="L62" s="30">
        <v>1.25</v>
      </c>
      <c r="M62">
        <v>-5</v>
      </c>
      <c r="S62" s="33">
        <v>1</v>
      </c>
      <c r="T62" s="33" t="s">
        <v>615</v>
      </c>
      <c r="U62" t="s">
        <v>651</v>
      </c>
      <c r="V62" s="1">
        <v>2</v>
      </c>
      <c r="W62" s="1" t="s">
        <v>658</v>
      </c>
      <c r="X62" t="s">
        <v>649</v>
      </c>
      <c r="Y62" s="30"/>
      <c r="Z62" s="30">
        <f t="shared" si="8"/>
        <v>0.85</v>
      </c>
      <c r="AA62" s="43">
        <v>0.85</v>
      </c>
      <c r="AB62" s="42">
        <f t="shared" si="6"/>
        <v>0.97749999999999992</v>
      </c>
      <c r="AC62" s="42">
        <f t="shared" si="10"/>
        <v>1.5238124999999996</v>
      </c>
      <c r="AD62" s="1" t="s">
        <v>646</v>
      </c>
      <c r="AE62" s="1">
        <v>2</v>
      </c>
      <c r="AF62" s="36"/>
      <c r="AG62" s="25" t="s">
        <v>638</v>
      </c>
      <c r="AH62" s="44" t="s">
        <v>635</v>
      </c>
      <c r="AI62" s="36"/>
      <c r="AJ62" s="36"/>
      <c r="AK62" s="36"/>
      <c r="AL62" s="36"/>
      <c r="AM62" s="1"/>
      <c r="AN62" s="1"/>
      <c r="AO62" s="1"/>
      <c r="AP62" s="1"/>
      <c r="AQ62" s="1"/>
      <c r="AR62" s="1"/>
      <c r="AS62" s="1"/>
    </row>
    <row r="63" spans="1:45" ht="38.25" outlineLevel="1" thickBot="1" x14ac:dyDescent="0.25">
      <c r="A63" s="1" t="s">
        <v>657</v>
      </c>
      <c r="B63" s="1" t="s">
        <v>656</v>
      </c>
      <c r="C63" t="s">
        <v>652</v>
      </c>
      <c r="D63" s="36">
        <v>1.1000000000000001</v>
      </c>
      <c r="E63" s="29">
        <f t="shared" si="9"/>
        <v>0</v>
      </c>
      <c r="F63" s="36">
        <v>0.6</v>
      </c>
      <c r="G63" s="36">
        <v>0.4</v>
      </c>
      <c r="H63" s="30">
        <v>1.35</v>
      </c>
      <c r="I63" s="30"/>
      <c r="J63" s="36"/>
      <c r="K63" s="30">
        <v>0.05</v>
      </c>
      <c r="L63" s="30">
        <v>1.25</v>
      </c>
      <c r="M63">
        <v>-5</v>
      </c>
      <c r="N63">
        <v>-5</v>
      </c>
      <c r="S63" s="33">
        <v>1</v>
      </c>
      <c r="T63" s="33" t="s">
        <v>615</v>
      </c>
      <c r="U63" t="s">
        <v>651</v>
      </c>
      <c r="V63" s="1">
        <v>3</v>
      </c>
      <c r="W63" s="1" t="s">
        <v>655</v>
      </c>
      <c r="X63" t="s">
        <v>649</v>
      </c>
      <c r="Y63" s="30"/>
      <c r="Z63" s="30">
        <f t="shared" si="8"/>
        <v>1</v>
      </c>
      <c r="AA63" s="43">
        <v>1</v>
      </c>
      <c r="AB63" s="42">
        <f t="shared" si="6"/>
        <v>1.1000000000000001</v>
      </c>
      <c r="AC63" s="42">
        <f t="shared" si="10"/>
        <v>1.3061250000000002</v>
      </c>
      <c r="AD63" s="1" t="s">
        <v>216</v>
      </c>
      <c r="AE63" s="1">
        <v>3</v>
      </c>
      <c r="AF63" s="36"/>
      <c r="AG63" s="25" t="s">
        <v>633</v>
      </c>
      <c r="AH63" s="44" t="s">
        <v>630</v>
      </c>
      <c r="AI63" s="36"/>
      <c r="AJ63" s="36"/>
      <c r="AK63" s="36"/>
      <c r="AL63" s="36"/>
      <c r="AM63" s="1"/>
      <c r="AN63" s="1"/>
      <c r="AO63" s="1"/>
      <c r="AP63" s="1"/>
      <c r="AQ63" s="1"/>
      <c r="AR63" s="1"/>
      <c r="AS63" s="1"/>
    </row>
    <row r="64" spans="1:45" ht="38.25" outlineLevel="1" thickBot="1" x14ac:dyDescent="0.25">
      <c r="A64" s="1" t="s">
        <v>654</v>
      </c>
      <c r="B64" s="1" t="s">
        <v>653</v>
      </c>
      <c r="C64" t="s">
        <v>652</v>
      </c>
      <c r="D64" s="36">
        <v>1.1499999999999999</v>
      </c>
      <c r="E64" s="29">
        <f t="shared" si="9"/>
        <v>0</v>
      </c>
      <c r="F64" s="36">
        <v>0</v>
      </c>
      <c r="G64" s="36">
        <v>0.85</v>
      </c>
      <c r="H64" s="30">
        <v>1.4</v>
      </c>
      <c r="I64" s="30"/>
      <c r="J64" s="36"/>
      <c r="K64" s="30">
        <v>0.05</v>
      </c>
      <c r="L64" s="30">
        <v>1.25</v>
      </c>
      <c r="M64">
        <v>-7.5</v>
      </c>
      <c r="N64">
        <v>-5</v>
      </c>
      <c r="S64" s="33">
        <v>1</v>
      </c>
      <c r="T64" s="33" t="s">
        <v>615</v>
      </c>
      <c r="U64" t="s">
        <v>651</v>
      </c>
      <c r="V64" s="1">
        <v>3</v>
      </c>
      <c r="W64" s="1" t="s">
        <v>650</v>
      </c>
      <c r="X64" t="s">
        <v>649</v>
      </c>
      <c r="Y64" s="30"/>
      <c r="Z64" s="30">
        <f t="shared" si="8"/>
        <v>0.85</v>
      </c>
      <c r="AA64" s="43">
        <v>0.85</v>
      </c>
      <c r="AB64" s="42">
        <f t="shared" si="6"/>
        <v>0.97749999999999992</v>
      </c>
      <c r="AC64" s="42">
        <f t="shared" si="10"/>
        <v>1.3544999999999998</v>
      </c>
      <c r="AD64" s="1" t="s">
        <v>215</v>
      </c>
      <c r="AE64" s="1">
        <v>3.5</v>
      </c>
      <c r="AF64" s="36"/>
      <c r="AG64" s="25"/>
      <c r="AH64" s="25"/>
      <c r="AI64" s="36"/>
      <c r="AJ64" s="36"/>
      <c r="AK64" s="36"/>
      <c r="AL64" s="36"/>
      <c r="AM64" s="1"/>
      <c r="AN64" s="1"/>
      <c r="AO64" s="1"/>
      <c r="AP64" s="1"/>
      <c r="AQ64" s="1"/>
      <c r="AR64" s="1"/>
      <c r="AS64" s="1"/>
    </row>
    <row r="65" spans="1:45" ht="19.5" outlineLevel="1" thickBot="1" x14ac:dyDescent="0.25">
      <c r="A65" s="1"/>
      <c r="B65" s="1"/>
      <c r="C65" s="1"/>
      <c r="D65" s="36"/>
      <c r="E65" s="36"/>
      <c r="F65" s="36"/>
      <c r="G65" s="36"/>
      <c r="H65" s="30"/>
      <c r="I65" s="30"/>
      <c r="J65" s="36"/>
      <c r="K65" s="30"/>
      <c r="L65" s="30"/>
      <c r="V65" s="1">
        <v>71</v>
      </c>
      <c r="W65" s="1" t="s">
        <v>500</v>
      </c>
      <c r="X65" t="s">
        <v>500</v>
      </c>
      <c r="Y65" s="30"/>
      <c r="Z65" s="30">
        <f t="shared" ref="Z65:Z67" si="11">SUM(E65:G65)</f>
        <v>0</v>
      </c>
      <c r="AA65" s="43">
        <v>0.85</v>
      </c>
      <c r="AB65" s="42">
        <f t="shared" ref="AB65:AB67" si="12">Z65*D65</f>
        <v>0</v>
      </c>
      <c r="AC65" s="42">
        <f t="shared" ref="AC65:AC67" si="13">MAX(Z65,H65)*(D65+SUM(M65:N65)/50)*(1+K65*(L65+0.25))</f>
        <v>0</v>
      </c>
      <c r="AD65" s="1" t="s">
        <v>648</v>
      </c>
      <c r="AE65" s="1">
        <v>2</v>
      </c>
      <c r="AF65" s="36"/>
      <c r="AG65" s="25"/>
      <c r="AH65" s="25"/>
      <c r="AI65" s="36"/>
      <c r="AJ65" s="36"/>
      <c r="AK65" s="36"/>
      <c r="AL65" s="36"/>
      <c r="AM65" s="1"/>
      <c r="AN65" s="1"/>
      <c r="AO65" s="1"/>
      <c r="AP65" s="1"/>
      <c r="AQ65" s="1"/>
      <c r="AR65" s="1"/>
      <c r="AS65" s="1"/>
    </row>
    <row r="66" spans="1:45" ht="19.5" thickBot="1" x14ac:dyDescent="0.25">
      <c r="A66" s="1" t="s">
        <v>1261</v>
      </c>
      <c r="B66" s="1" t="s">
        <v>1262</v>
      </c>
      <c r="C66" s="1" t="s">
        <v>566</v>
      </c>
      <c r="D66" s="36">
        <v>1.05</v>
      </c>
      <c r="E66" s="36"/>
      <c r="F66" s="36"/>
      <c r="G66" s="36">
        <v>0.85</v>
      </c>
      <c r="H66" s="30">
        <v>0.85</v>
      </c>
      <c r="I66" s="30"/>
      <c r="J66" s="36"/>
      <c r="K66" s="30">
        <v>0.1</v>
      </c>
      <c r="L66" s="30">
        <v>1.35</v>
      </c>
      <c r="M66" s="1"/>
      <c r="N66" s="1"/>
      <c r="O66" s="36">
        <v>0.05</v>
      </c>
      <c r="S66" s="33">
        <v>1</v>
      </c>
      <c r="T66" s="33" t="s">
        <v>615</v>
      </c>
      <c r="U66" t="s">
        <v>510</v>
      </c>
      <c r="V66" s="1">
        <v>1</v>
      </c>
      <c r="W66" s="1" t="s">
        <v>500</v>
      </c>
      <c r="X66" t="s">
        <v>509</v>
      </c>
      <c r="Y66" s="30"/>
      <c r="Z66" s="30">
        <f t="shared" si="11"/>
        <v>0.85</v>
      </c>
      <c r="AA66" s="43">
        <v>0.85</v>
      </c>
      <c r="AB66" s="42">
        <f t="shared" si="12"/>
        <v>0.89249999999999996</v>
      </c>
      <c r="AC66" s="42">
        <f t="shared" si="13"/>
        <v>1.0353000000000001</v>
      </c>
      <c r="AD66" s="37"/>
      <c r="AE66" s="29"/>
      <c r="AF66" s="29"/>
      <c r="AG66" s="25"/>
      <c r="AH66" s="25"/>
    </row>
    <row r="67" spans="1:45" ht="19.5" thickBot="1" x14ac:dyDescent="0.25">
      <c r="A67" s="1" t="s">
        <v>1199</v>
      </c>
      <c r="B67" s="1" t="s">
        <v>1198</v>
      </c>
      <c r="C67" s="1" t="s">
        <v>566</v>
      </c>
      <c r="D67" s="36">
        <v>1</v>
      </c>
      <c r="E67" s="36">
        <v>0.35</v>
      </c>
      <c r="F67" s="36">
        <v>0.5</v>
      </c>
      <c r="G67" s="36">
        <v>0.05</v>
      </c>
      <c r="H67" s="30">
        <v>0.45</v>
      </c>
      <c r="I67" s="30"/>
      <c r="J67" s="36"/>
      <c r="K67" s="30">
        <v>0.1</v>
      </c>
      <c r="L67" s="30">
        <v>1.5</v>
      </c>
      <c r="M67" s="1"/>
      <c r="N67" s="1"/>
      <c r="O67" s="36">
        <v>0</v>
      </c>
      <c r="S67" s="33">
        <v>1</v>
      </c>
      <c r="T67" s="33" t="s">
        <v>615</v>
      </c>
      <c r="U67" t="s">
        <v>510</v>
      </c>
      <c r="V67" s="1">
        <v>1</v>
      </c>
      <c r="W67" s="1" t="s">
        <v>500</v>
      </c>
      <c r="X67" t="s">
        <v>509</v>
      </c>
      <c r="Y67" s="30"/>
      <c r="Z67" s="30">
        <f t="shared" si="11"/>
        <v>0.9</v>
      </c>
      <c r="AA67" s="43">
        <v>0.85</v>
      </c>
      <c r="AB67" s="42">
        <f t="shared" si="12"/>
        <v>0.9</v>
      </c>
      <c r="AC67" s="42">
        <f t="shared" si="13"/>
        <v>1.0575000000000001</v>
      </c>
      <c r="AD67" s="37"/>
      <c r="AE67" s="29"/>
      <c r="AF67" s="29"/>
      <c r="AG67" s="25"/>
      <c r="AH67" s="25"/>
    </row>
    <row r="68" spans="1:45" ht="19.5" thickBot="1" x14ac:dyDescent="0.25">
      <c r="A68" s="1"/>
      <c r="B68" s="1"/>
      <c r="C68" s="1"/>
      <c r="D68" s="36"/>
      <c r="E68" s="36"/>
      <c r="F68" s="36"/>
      <c r="G68" s="36"/>
      <c r="H68" s="30"/>
      <c r="I68" s="30"/>
      <c r="J68" s="36"/>
      <c r="K68" s="30"/>
      <c r="L68" s="30"/>
      <c r="M68" s="1"/>
      <c r="N68" s="1"/>
      <c r="O68" s="1"/>
      <c r="V68" s="1">
        <v>71</v>
      </c>
      <c r="W68" s="1" t="s">
        <v>500</v>
      </c>
      <c r="X68" t="s">
        <v>500</v>
      </c>
      <c r="Y68" s="30"/>
      <c r="Z68" s="30">
        <f t="shared" si="8"/>
        <v>0</v>
      </c>
      <c r="AA68" s="43">
        <v>0</v>
      </c>
      <c r="AB68" s="42">
        <f t="shared" si="6"/>
        <v>0</v>
      </c>
      <c r="AC68" s="42">
        <f t="shared" ref="AC68:AC75" si="14">Z68*(D68+SUM(M68:N68)/50)*(1+K68*(L68+0.25))</f>
        <v>0</v>
      </c>
      <c r="AD68" s="1" t="s">
        <v>647</v>
      </c>
      <c r="AE68" s="1">
        <v>8</v>
      </c>
      <c r="AF68" s="1"/>
      <c r="AG68" s="25"/>
      <c r="AH68" s="25"/>
    </row>
    <row r="69" spans="1:45" ht="38.25" thickBot="1" x14ac:dyDescent="0.25">
      <c r="A69" s="1" t="s">
        <v>646</v>
      </c>
      <c r="B69" s="1" t="s">
        <v>645</v>
      </c>
      <c r="C69" s="1" t="s">
        <v>637</v>
      </c>
      <c r="D69" s="36">
        <v>1</v>
      </c>
      <c r="E69" s="36">
        <v>0</v>
      </c>
      <c r="F69" s="36">
        <v>0.15</v>
      </c>
      <c r="G69" s="36">
        <v>0.5</v>
      </c>
      <c r="H69" s="30">
        <v>0.75</v>
      </c>
      <c r="I69" s="30"/>
      <c r="J69" s="36"/>
      <c r="K69" s="30">
        <v>0.05</v>
      </c>
      <c r="L69" s="30">
        <v>1.5</v>
      </c>
      <c r="M69" s="1"/>
      <c r="N69" s="1"/>
      <c r="O69" s="1"/>
      <c r="T69" s="33" t="s">
        <v>615</v>
      </c>
      <c r="U69" t="s">
        <v>644</v>
      </c>
      <c r="V69" s="1">
        <v>1.5</v>
      </c>
      <c r="W69" s="1" t="s">
        <v>643</v>
      </c>
      <c r="X69" t="s">
        <v>642</v>
      </c>
      <c r="Y69" s="30"/>
      <c r="Z69" s="30">
        <f t="shared" si="8"/>
        <v>0.65</v>
      </c>
      <c r="AA69" s="43">
        <v>0.65</v>
      </c>
      <c r="AB69" s="42">
        <f t="shared" si="6"/>
        <v>0.65</v>
      </c>
      <c r="AC69" s="42">
        <f t="shared" si="14"/>
        <v>0.70687499999999992</v>
      </c>
      <c r="AD69" s="1" t="s">
        <v>597</v>
      </c>
      <c r="AE69" s="1">
        <v>6</v>
      </c>
      <c r="AF69" s="1"/>
      <c r="AG69" s="25"/>
      <c r="AH69" s="25"/>
    </row>
    <row r="70" spans="1:45" ht="19.5" thickBot="1" x14ac:dyDescent="0.25">
      <c r="A70" s="1" t="s">
        <v>216</v>
      </c>
      <c r="B70" s="1" t="s">
        <v>641</v>
      </c>
      <c r="C70" s="1" t="s">
        <v>637</v>
      </c>
      <c r="D70" s="36">
        <v>1.1000000000000001</v>
      </c>
      <c r="E70" s="36">
        <v>0</v>
      </c>
      <c r="F70" s="36">
        <v>0.25</v>
      </c>
      <c r="G70" s="36">
        <v>0.7</v>
      </c>
      <c r="H70" s="30">
        <v>0.9</v>
      </c>
      <c r="I70" s="30"/>
      <c r="J70" s="36"/>
      <c r="K70" s="30">
        <v>0.05</v>
      </c>
      <c r="L70" s="30">
        <v>1.5</v>
      </c>
      <c r="M70" s="1"/>
      <c r="N70" s="1"/>
      <c r="O70" s="1"/>
      <c r="T70" s="33" t="s">
        <v>615</v>
      </c>
      <c r="U70" t="s">
        <v>640</v>
      </c>
      <c r="V70" s="1">
        <v>2</v>
      </c>
      <c r="W70" s="1" t="s">
        <v>639</v>
      </c>
      <c r="X70" t="s">
        <v>624</v>
      </c>
      <c r="Y70" s="30"/>
      <c r="Z70" s="30">
        <f t="shared" si="8"/>
        <v>0.95</v>
      </c>
      <c r="AA70" s="43">
        <v>0.95</v>
      </c>
      <c r="AB70" s="42">
        <f t="shared" si="6"/>
        <v>1.0449999999999999</v>
      </c>
      <c r="AC70" s="42">
        <f t="shared" si="14"/>
        <v>1.1364374999999998</v>
      </c>
      <c r="AD70" s="1" t="s">
        <v>593</v>
      </c>
      <c r="AE70" s="1">
        <v>4</v>
      </c>
      <c r="AF70" s="1"/>
      <c r="AG70" s="25"/>
      <c r="AH70" s="25"/>
    </row>
    <row r="71" spans="1:45" ht="38.25" thickBot="1" x14ac:dyDescent="0.25">
      <c r="A71" s="1" t="s">
        <v>215</v>
      </c>
      <c r="B71" s="1" t="s">
        <v>638</v>
      </c>
      <c r="C71" s="1" t="s">
        <v>637</v>
      </c>
      <c r="D71" s="36">
        <v>1.1499999999999999</v>
      </c>
      <c r="E71" s="36">
        <v>0</v>
      </c>
      <c r="F71" s="36">
        <v>0.3</v>
      </c>
      <c r="G71" s="36">
        <v>0.8</v>
      </c>
      <c r="H71" s="30">
        <v>0.95</v>
      </c>
      <c r="I71" s="30"/>
      <c r="J71" s="36"/>
      <c r="K71" s="30">
        <v>0.05</v>
      </c>
      <c r="L71" s="30">
        <v>1.5</v>
      </c>
      <c r="M71" s="1">
        <v>-4</v>
      </c>
      <c r="N71" s="1">
        <v>-4</v>
      </c>
      <c r="O71" s="1"/>
      <c r="T71" s="33" t="s">
        <v>615</v>
      </c>
      <c r="U71" t="s">
        <v>636</v>
      </c>
      <c r="V71" s="1">
        <v>3</v>
      </c>
      <c r="W71" s="1" t="s">
        <v>635</v>
      </c>
      <c r="X71" t="s">
        <v>562</v>
      </c>
      <c r="Y71" s="30"/>
      <c r="Z71" s="30">
        <f t="shared" si="8"/>
        <v>1.1000000000000001</v>
      </c>
      <c r="AA71" s="43">
        <v>1.1000000000000001</v>
      </c>
      <c r="AB71" s="42">
        <f t="shared" si="6"/>
        <v>1.2649999999999999</v>
      </c>
      <c r="AC71" s="42">
        <f t="shared" si="14"/>
        <v>1.1842874999999999</v>
      </c>
      <c r="AD71" s="1" t="s">
        <v>634</v>
      </c>
      <c r="AE71" s="1">
        <v>10</v>
      </c>
      <c r="AF71" s="1"/>
      <c r="AG71" s="25"/>
      <c r="AH71" s="25"/>
    </row>
    <row r="72" spans="1:45" ht="19.5" thickBot="1" x14ac:dyDescent="0.25">
      <c r="A72" s="1" t="s">
        <v>632</v>
      </c>
      <c r="B72" s="1" t="s">
        <v>633</v>
      </c>
      <c r="C72" s="1" t="s">
        <v>632</v>
      </c>
      <c r="D72" s="36">
        <v>1.2</v>
      </c>
      <c r="E72" s="36">
        <v>0</v>
      </c>
      <c r="F72" s="36">
        <v>0</v>
      </c>
      <c r="G72" s="36">
        <v>0.65</v>
      </c>
      <c r="H72" s="30">
        <v>0.75</v>
      </c>
      <c r="I72" s="30"/>
      <c r="J72" s="36"/>
      <c r="K72" s="30">
        <v>0.05</v>
      </c>
      <c r="L72" s="30">
        <v>1.25</v>
      </c>
      <c r="M72" s="1"/>
      <c r="N72" s="1"/>
      <c r="O72" s="1"/>
      <c r="T72" s="33" t="s">
        <v>615</v>
      </c>
      <c r="U72" t="s">
        <v>631</v>
      </c>
      <c r="V72" s="1">
        <v>2</v>
      </c>
      <c r="W72" s="1" t="s">
        <v>630</v>
      </c>
      <c r="X72" t="s">
        <v>629</v>
      </c>
      <c r="Y72" s="30"/>
      <c r="Z72" s="30">
        <f t="shared" si="8"/>
        <v>0.65</v>
      </c>
      <c r="AA72" s="43">
        <v>0.65</v>
      </c>
      <c r="AB72" s="42">
        <f t="shared" si="6"/>
        <v>0.78</v>
      </c>
      <c r="AC72" s="42">
        <f t="shared" si="14"/>
        <v>0.83850000000000002</v>
      </c>
      <c r="AD72" s="1" t="s">
        <v>587</v>
      </c>
      <c r="AE72" s="1">
        <v>2</v>
      </c>
      <c r="AF72" s="1"/>
      <c r="AG72" s="25"/>
      <c r="AH72" s="25"/>
    </row>
    <row r="73" spans="1:45" ht="19.5" thickBot="1" x14ac:dyDescent="0.25">
      <c r="A73" s="1"/>
      <c r="B73" s="1"/>
      <c r="C73" s="1"/>
      <c r="D73" s="36"/>
      <c r="E73" s="36"/>
      <c r="F73" s="36"/>
      <c r="G73" s="36"/>
      <c r="H73" s="30"/>
      <c r="I73" s="30"/>
      <c r="J73" s="36"/>
      <c r="K73" s="30"/>
      <c r="L73" s="30"/>
      <c r="M73" s="1"/>
      <c r="N73" s="1"/>
      <c r="O73" s="1"/>
      <c r="V73" s="1">
        <v>71</v>
      </c>
      <c r="W73" s="1" t="s">
        <v>500</v>
      </c>
      <c r="X73" t="s">
        <v>500</v>
      </c>
      <c r="Y73" s="30"/>
      <c r="Z73" s="30"/>
      <c r="AB73" s="1"/>
      <c r="AC73" s="42">
        <f t="shared" si="14"/>
        <v>0</v>
      </c>
      <c r="AD73" s="1" t="s">
        <v>583</v>
      </c>
      <c r="AE73" s="1">
        <v>2</v>
      </c>
      <c r="AF73" s="1"/>
      <c r="AG73" s="25"/>
      <c r="AH73" s="25"/>
    </row>
    <row r="74" spans="1:45" ht="19.5" thickBot="1" x14ac:dyDescent="0.25">
      <c r="A74" t="s">
        <v>628</v>
      </c>
      <c r="B74" t="s">
        <v>627</v>
      </c>
      <c r="C74" t="s">
        <v>581</v>
      </c>
      <c r="E74">
        <v>0</v>
      </c>
      <c r="F74" s="36"/>
      <c r="G74" s="36"/>
      <c r="I74" s="41">
        <v>2</v>
      </c>
      <c r="K74" s="29">
        <v>0.1</v>
      </c>
      <c r="L74" s="29">
        <v>1.5</v>
      </c>
      <c r="Q74">
        <v>1</v>
      </c>
      <c r="R74">
        <v>1</v>
      </c>
      <c r="S74">
        <v>1</v>
      </c>
      <c r="T74" s="33" t="s">
        <v>625</v>
      </c>
      <c r="V74" s="1">
        <v>2.5</v>
      </c>
      <c r="W74" s="1" t="s">
        <v>500</v>
      </c>
      <c r="X74" t="s">
        <v>624</v>
      </c>
      <c r="Y74" s="30"/>
      <c r="Z74" s="30"/>
      <c r="AA74" s="43">
        <f>I74/2</f>
        <v>1</v>
      </c>
      <c r="AB74" s="1"/>
      <c r="AC74" s="42">
        <f t="shared" si="14"/>
        <v>0</v>
      </c>
      <c r="AD74" s="1" t="s">
        <v>623</v>
      </c>
      <c r="AE74" s="1">
        <v>4</v>
      </c>
      <c r="AF74" s="1"/>
      <c r="AG74" s="25"/>
      <c r="AH74" s="25"/>
    </row>
    <row r="75" spans="1:45" ht="19.5" thickBot="1" x14ac:dyDescent="0.25">
      <c r="A75" t="s">
        <v>214</v>
      </c>
      <c r="B75" t="s">
        <v>626</v>
      </c>
      <c r="C75" t="s">
        <v>581</v>
      </c>
      <c r="E75">
        <v>0</v>
      </c>
      <c r="F75" s="36"/>
      <c r="G75" s="36"/>
      <c r="I75" s="41">
        <v>2.7</v>
      </c>
      <c r="K75" s="29">
        <v>0.1</v>
      </c>
      <c r="L75" s="29">
        <v>1.5</v>
      </c>
      <c r="Q75">
        <v>1</v>
      </c>
      <c r="R75">
        <v>1</v>
      </c>
      <c r="S75">
        <v>1</v>
      </c>
      <c r="T75" s="33" t="s">
        <v>625</v>
      </c>
      <c r="V75" s="1">
        <v>2.5</v>
      </c>
      <c r="W75" s="1" t="s">
        <v>500</v>
      </c>
      <c r="X75" t="s">
        <v>624</v>
      </c>
      <c r="Y75" s="30"/>
      <c r="Z75" s="30"/>
      <c r="AA75" s="43">
        <f>I75/2</f>
        <v>1.35</v>
      </c>
      <c r="AB75" s="1"/>
      <c r="AC75" s="42">
        <f t="shared" si="14"/>
        <v>0</v>
      </c>
      <c r="AD75" s="1" t="s">
        <v>623</v>
      </c>
      <c r="AE75" s="1">
        <v>4</v>
      </c>
      <c r="AF75" s="1"/>
      <c r="AG75" s="25"/>
      <c r="AH75" s="25"/>
    </row>
    <row r="76" spans="1:45" ht="19.5" hidden="1" outlineLevel="1" thickBot="1" x14ac:dyDescent="0.25">
      <c r="A76" t="s">
        <v>213</v>
      </c>
      <c r="B76" t="s">
        <v>622</v>
      </c>
      <c r="C76" t="s">
        <v>581</v>
      </c>
      <c r="E76">
        <v>0</v>
      </c>
      <c r="F76" s="36"/>
      <c r="G76" s="36"/>
      <c r="I76" s="41">
        <v>3.9</v>
      </c>
      <c r="K76" s="29">
        <v>0.1</v>
      </c>
      <c r="L76" s="29">
        <v>1.5</v>
      </c>
      <c r="Q76">
        <v>1</v>
      </c>
      <c r="R76">
        <v>1</v>
      </c>
      <c r="S76">
        <v>1</v>
      </c>
      <c r="T76" s="33" t="s">
        <v>464</v>
      </c>
      <c r="V76" s="1">
        <v>3</v>
      </c>
      <c r="W76" s="1" t="s">
        <v>500</v>
      </c>
      <c r="X76" t="s">
        <v>562</v>
      </c>
      <c r="Y76" s="30"/>
      <c r="Z76" s="30"/>
      <c r="AA76" s="43"/>
      <c r="AB76" s="1"/>
      <c r="AC76" s="1"/>
      <c r="AD76" s="1" t="s">
        <v>621</v>
      </c>
      <c r="AE76" s="1">
        <v>1</v>
      </c>
      <c r="AF76" s="1"/>
      <c r="AG76" s="25"/>
      <c r="AH76" s="25"/>
    </row>
    <row r="77" spans="1:45" ht="19.5" hidden="1" outlineLevel="1" thickBot="1" x14ac:dyDescent="0.25">
      <c r="A77" s="1" t="s">
        <v>620</v>
      </c>
      <c r="B77" s="1" t="s">
        <v>619</v>
      </c>
      <c r="C77" t="s">
        <v>581</v>
      </c>
      <c r="D77" s="36"/>
      <c r="E77" s="36">
        <v>0</v>
      </c>
      <c r="F77" s="36"/>
      <c r="G77" s="36"/>
      <c r="H77" s="30"/>
      <c r="I77" s="36">
        <v>6</v>
      </c>
      <c r="J77" s="36"/>
      <c r="K77" s="30">
        <v>0.1</v>
      </c>
      <c r="L77" s="30">
        <v>1.5</v>
      </c>
      <c r="M77" s="1">
        <v>-15</v>
      </c>
      <c r="N77" s="1">
        <v>-15</v>
      </c>
      <c r="O77" s="1"/>
      <c r="Q77">
        <v>1</v>
      </c>
      <c r="R77">
        <v>1</v>
      </c>
      <c r="S77">
        <v>1</v>
      </c>
      <c r="T77" s="33" t="s">
        <v>615</v>
      </c>
      <c r="V77" s="1">
        <v>4</v>
      </c>
      <c r="W77" s="1" t="s">
        <v>500</v>
      </c>
      <c r="X77" t="s">
        <v>618</v>
      </c>
      <c r="Y77" s="30"/>
      <c r="Z77" s="30"/>
      <c r="AB77" s="1"/>
      <c r="AC77" s="1"/>
      <c r="AD77" s="1"/>
      <c r="AE77" s="1"/>
      <c r="AF77" s="1"/>
      <c r="AG77" s="25"/>
      <c r="AH77" s="25"/>
    </row>
    <row r="78" spans="1:45" ht="19.5" hidden="1" outlineLevel="1" thickBot="1" x14ac:dyDescent="0.25">
      <c r="A78" s="1" t="s">
        <v>617</v>
      </c>
      <c r="B78" s="1" t="s">
        <v>616</v>
      </c>
      <c r="C78" t="s">
        <v>581</v>
      </c>
      <c r="D78" s="36"/>
      <c r="E78" s="36">
        <v>0</v>
      </c>
      <c r="F78" s="36"/>
      <c r="G78" s="36"/>
      <c r="H78" s="30"/>
      <c r="I78" s="36">
        <v>10</v>
      </c>
      <c r="J78" s="36"/>
      <c r="K78" s="30">
        <v>0.1</v>
      </c>
      <c r="L78" s="30">
        <v>1.5</v>
      </c>
      <c r="M78" s="1">
        <v>-50</v>
      </c>
      <c r="N78" s="1">
        <v>-40</v>
      </c>
      <c r="O78" s="1"/>
      <c r="Q78">
        <v>1</v>
      </c>
      <c r="R78">
        <v>1</v>
      </c>
      <c r="S78">
        <v>1</v>
      </c>
      <c r="T78" s="33" t="s">
        <v>615</v>
      </c>
      <c r="V78" s="1">
        <v>6</v>
      </c>
      <c r="W78" s="1" t="s">
        <v>500</v>
      </c>
      <c r="X78" t="s">
        <v>614</v>
      </c>
      <c r="Y78" s="30"/>
      <c r="Z78" s="30"/>
      <c r="AB78" s="1"/>
      <c r="AC78" s="1"/>
      <c r="AD78" s="1"/>
      <c r="AE78" s="1"/>
      <c r="AF78" s="1"/>
      <c r="AG78" s="25"/>
      <c r="AH78" s="25"/>
    </row>
    <row r="79" spans="1:45" ht="19.5" hidden="1" outlineLevel="1" thickBot="1" x14ac:dyDescent="0.25">
      <c r="A79" s="1"/>
      <c r="B79" s="1"/>
      <c r="D79" s="36"/>
      <c r="E79" s="36"/>
      <c r="F79" s="36"/>
      <c r="G79" s="36"/>
      <c r="H79" s="30"/>
      <c r="I79" s="36"/>
      <c r="J79" s="36"/>
      <c r="K79" s="30"/>
      <c r="L79" s="30"/>
      <c r="M79" s="1"/>
      <c r="N79" s="1"/>
      <c r="O79" s="1"/>
      <c r="V79" s="1">
        <v>71</v>
      </c>
      <c r="W79" s="1" t="s">
        <v>500</v>
      </c>
      <c r="Y79" s="30"/>
      <c r="Z79" s="30"/>
      <c r="AB79" s="1"/>
      <c r="AC79" s="1"/>
      <c r="AD79" s="1"/>
      <c r="AE79" s="1"/>
      <c r="AF79" s="1"/>
      <c r="AG79" s="25"/>
      <c r="AH79" s="25"/>
    </row>
    <row r="80" spans="1:45" ht="19.5" hidden="1" outlineLevel="1" thickBot="1" x14ac:dyDescent="0.25">
      <c r="A80" s="1"/>
      <c r="B80" s="1"/>
      <c r="D80" s="36"/>
      <c r="E80" s="36"/>
      <c r="F80" s="36"/>
      <c r="G80" s="36"/>
      <c r="H80" s="30"/>
      <c r="I80" s="36"/>
      <c r="J80" s="36"/>
      <c r="K80" s="30"/>
      <c r="L80" s="30"/>
      <c r="M80" s="1"/>
      <c r="N80" s="1"/>
      <c r="O80" s="1"/>
      <c r="V80" s="1">
        <v>71</v>
      </c>
      <c r="W80" s="1" t="s">
        <v>500</v>
      </c>
      <c r="Y80" s="30"/>
      <c r="Z80" s="30"/>
      <c r="AB80" s="1"/>
      <c r="AC80" s="1"/>
      <c r="AD80" s="1"/>
      <c r="AE80" s="1"/>
      <c r="AF80" s="1"/>
      <c r="AG80" s="25"/>
      <c r="AH80" s="25"/>
    </row>
    <row r="81" spans="1:34" ht="38.25" hidden="1" outlineLevel="1" thickBot="1" x14ac:dyDescent="0.25">
      <c r="A81" s="1" t="s">
        <v>212</v>
      </c>
      <c r="B81" s="1" t="s">
        <v>613</v>
      </c>
      <c r="C81" s="1" t="s">
        <v>581</v>
      </c>
      <c r="D81" s="36"/>
      <c r="E81" s="36">
        <v>0</v>
      </c>
      <c r="F81" s="36"/>
      <c r="G81" s="36"/>
      <c r="H81" s="30"/>
      <c r="I81" s="36">
        <v>2.5700000000000003</v>
      </c>
      <c r="J81" s="36"/>
      <c r="K81" s="30">
        <v>0.1</v>
      </c>
      <c r="L81" s="30">
        <v>1.4</v>
      </c>
      <c r="M81" s="1"/>
      <c r="N81" s="1">
        <v>-15</v>
      </c>
      <c r="O81" s="1"/>
      <c r="Q81" s="40">
        <v>2</v>
      </c>
      <c r="R81" s="40">
        <v>6</v>
      </c>
      <c r="S81" s="40">
        <v>6</v>
      </c>
      <c r="V81" s="1">
        <v>2</v>
      </c>
      <c r="W81" s="1" t="s">
        <v>500</v>
      </c>
      <c r="X81" t="s">
        <v>612</v>
      </c>
      <c r="Y81" s="30"/>
      <c r="Z81" s="30"/>
      <c r="AB81" s="1"/>
      <c r="AC81" s="1"/>
      <c r="AD81" s="1" t="s">
        <v>611</v>
      </c>
      <c r="AE81" s="1">
        <v>1</v>
      </c>
      <c r="AF81" s="1"/>
      <c r="AG81" s="25"/>
      <c r="AH81" s="25"/>
    </row>
    <row r="82" spans="1:34" ht="19.5" hidden="1" outlineLevel="1" thickBot="1" x14ac:dyDescent="0.25">
      <c r="A82" s="1" t="s">
        <v>211</v>
      </c>
      <c r="B82" s="1" t="s">
        <v>610</v>
      </c>
      <c r="C82" s="1" t="s">
        <v>581</v>
      </c>
      <c r="D82" s="36"/>
      <c r="E82" s="36">
        <v>0</v>
      </c>
      <c r="F82" s="36"/>
      <c r="G82" s="36"/>
      <c r="H82" s="30"/>
      <c r="I82" s="36">
        <v>1.8</v>
      </c>
      <c r="J82" s="36"/>
      <c r="K82" s="30">
        <v>0.15</v>
      </c>
      <c r="L82" s="30">
        <v>1.75</v>
      </c>
      <c r="M82" s="1"/>
      <c r="N82" s="1"/>
      <c r="O82" s="1"/>
      <c r="Q82" s="40">
        <v>3</v>
      </c>
      <c r="R82" s="40">
        <v>1</v>
      </c>
      <c r="S82" s="40">
        <v>12</v>
      </c>
      <c r="V82" s="1">
        <v>2</v>
      </c>
      <c r="W82" s="1" t="s">
        <v>500</v>
      </c>
      <c r="X82" t="s">
        <v>542</v>
      </c>
      <c r="Y82" s="30"/>
      <c r="Z82" s="30"/>
      <c r="AB82" s="1"/>
      <c r="AC82" s="1"/>
      <c r="AD82" s="1" t="s">
        <v>609</v>
      </c>
      <c r="AE82" s="1">
        <v>1</v>
      </c>
      <c r="AF82" s="1"/>
      <c r="AG82" s="25"/>
      <c r="AH82" s="25"/>
    </row>
    <row r="83" spans="1:34" ht="19.5" hidden="1" outlineLevel="1" thickBot="1" x14ac:dyDescent="0.25">
      <c r="A83" s="1" t="s">
        <v>608</v>
      </c>
      <c r="B83" s="1" t="s">
        <v>607</v>
      </c>
      <c r="C83" s="1" t="s">
        <v>581</v>
      </c>
      <c r="D83" s="36"/>
      <c r="E83" s="36">
        <v>0</v>
      </c>
      <c r="F83" s="36"/>
      <c r="G83" s="36"/>
      <c r="H83" s="30"/>
      <c r="I83" s="36">
        <v>3.2</v>
      </c>
      <c r="J83" s="36"/>
      <c r="K83" s="30">
        <v>0.1</v>
      </c>
      <c r="L83" s="30">
        <v>1.4</v>
      </c>
      <c r="M83" s="1">
        <v>-7.5</v>
      </c>
      <c r="N83" s="1"/>
      <c r="O83" s="1"/>
      <c r="Q83" s="40">
        <v>2</v>
      </c>
      <c r="R83" s="40">
        <v>1</v>
      </c>
      <c r="S83" s="40">
        <v>10</v>
      </c>
      <c r="V83" s="1">
        <v>5</v>
      </c>
      <c r="W83" s="1" t="s">
        <v>500</v>
      </c>
      <c r="X83" t="s">
        <v>603</v>
      </c>
      <c r="Y83" s="30"/>
      <c r="Z83" s="30"/>
      <c r="AB83" s="1"/>
      <c r="AC83" s="1"/>
      <c r="AD83" s="1" t="s">
        <v>606</v>
      </c>
      <c r="AE83" s="1">
        <v>1</v>
      </c>
      <c r="AF83" s="1"/>
      <c r="AG83" s="25"/>
      <c r="AH83" s="25"/>
    </row>
    <row r="84" spans="1:34" ht="19.5" hidden="1" outlineLevel="1" thickBot="1" x14ac:dyDescent="0.25">
      <c r="A84" s="1" t="s">
        <v>605</v>
      </c>
      <c r="B84" s="1" t="s">
        <v>604</v>
      </c>
      <c r="C84" s="1" t="s">
        <v>581</v>
      </c>
      <c r="D84" s="36"/>
      <c r="E84" s="36">
        <v>0</v>
      </c>
      <c r="F84" s="36"/>
      <c r="G84" s="36"/>
      <c r="H84" s="30"/>
      <c r="I84" s="36">
        <v>1.6</v>
      </c>
      <c r="J84" s="36"/>
      <c r="K84" s="30">
        <v>0.1</v>
      </c>
      <c r="L84" s="30">
        <v>1.25</v>
      </c>
      <c r="M84" s="1"/>
      <c r="N84" s="1"/>
      <c r="O84" s="1"/>
      <c r="Q84" s="40">
        <v>8</v>
      </c>
      <c r="R84" s="40">
        <v>1</v>
      </c>
      <c r="S84" s="40">
        <v>24</v>
      </c>
      <c r="V84" s="1">
        <v>2.5</v>
      </c>
      <c r="W84" s="1" t="s">
        <v>500</v>
      </c>
      <c r="X84" t="s">
        <v>603</v>
      </c>
      <c r="Y84" s="30"/>
      <c r="Z84" s="30"/>
      <c r="AB84" s="1"/>
      <c r="AC84" s="1"/>
      <c r="AD84" s="1" t="s">
        <v>541</v>
      </c>
      <c r="AE84" s="1">
        <v>1</v>
      </c>
      <c r="AF84" s="1"/>
      <c r="AG84" s="25"/>
      <c r="AH84" s="25"/>
    </row>
    <row r="85" spans="1:34" ht="19.5" hidden="1" outlineLevel="1" thickBot="1" x14ac:dyDescent="0.25">
      <c r="A85" s="1" t="s">
        <v>602</v>
      </c>
      <c r="B85" s="1" t="s">
        <v>601</v>
      </c>
      <c r="C85" s="1" t="s">
        <v>581</v>
      </c>
      <c r="D85" s="36"/>
      <c r="E85" s="36">
        <v>0</v>
      </c>
      <c r="F85" s="36"/>
      <c r="G85" s="36"/>
      <c r="H85" s="30"/>
      <c r="I85" s="36">
        <v>2.0499999999999998</v>
      </c>
      <c r="J85" s="36"/>
      <c r="K85" s="30">
        <v>0.1</v>
      </c>
      <c r="L85" s="30">
        <v>1.5</v>
      </c>
      <c r="M85" s="1">
        <v>-5</v>
      </c>
      <c r="N85" s="1"/>
      <c r="O85" s="1"/>
      <c r="Q85" s="40">
        <v>4</v>
      </c>
      <c r="R85" s="40">
        <v>1</v>
      </c>
      <c r="S85" s="40">
        <v>20</v>
      </c>
      <c r="V85" s="1">
        <v>4</v>
      </c>
      <c r="W85" s="1" t="s">
        <v>500</v>
      </c>
      <c r="X85" t="s">
        <v>595</v>
      </c>
      <c r="Y85" s="30"/>
      <c r="Z85" s="30"/>
      <c r="AB85" s="1"/>
      <c r="AC85" s="1"/>
      <c r="AD85" s="1" t="s">
        <v>600</v>
      </c>
      <c r="AE85" s="1">
        <v>1</v>
      </c>
      <c r="AF85" s="1"/>
      <c r="AG85" s="25"/>
      <c r="AH85" s="25"/>
    </row>
    <row r="86" spans="1:34" ht="19.5" hidden="1" outlineLevel="1" thickBot="1" x14ac:dyDescent="0.25">
      <c r="A86" s="1" t="s">
        <v>599</v>
      </c>
      <c r="B86" s="1" t="s">
        <v>598</v>
      </c>
      <c r="C86" s="1" t="s">
        <v>581</v>
      </c>
      <c r="D86" s="36"/>
      <c r="E86" s="36">
        <v>0</v>
      </c>
      <c r="F86" s="36"/>
      <c r="G86" s="36"/>
      <c r="H86" s="30"/>
      <c r="I86" s="36">
        <v>2.0499999999999998</v>
      </c>
      <c r="J86" s="36"/>
      <c r="K86" s="30">
        <v>0.1</v>
      </c>
      <c r="L86" s="30">
        <v>1.5</v>
      </c>
      <c r="M86" s="1">
        <v>-10</v>
      </c>
      <c r="N86" s="1">
        <v>-20</v>
      </c>
      <c r="O86" s="1"/>
      <c r="Q86" s="40">
        <v>7</v>
      </c>
      <c r="R86" s="40">
        <v>2</v>
      </c>
      <c r="S86" s="40">
        <v>70</v>
      </c>
      <c r="V86" s="1">
        <v>8</v>
      </c>
      <c r="W86" s="1" t="s">
        <v>500</v>
      </c>
      <c r="X86" t="s">
        <v>589</v>
      </c>
      <c r="Y86" s="30"/>
      <c r="Z86" s="30"/>
      <c r="AB86" s="1"/>
      <c r="AC86" s="1"/>
      <c r="AD86" s="1" t="s">
        <v>0</v>
      </c>
      <c r="AE86" s="1">
        <v>1</v>
      </c>
      <c r="AF86" s="1"/>
      <c r="AG86" s="25"/>
      <c r="AH86" s="25"/>
    </row>
    <row r="87" spans="1:34" ht="19.5" hidden="1" outlineLevel="1" thickBot="1" x14ac:dyDescent="0.25">
      <c r="A87" s="1" t="s">
        <v>597</v>
      </c>
      <c r="B87" s="1" t="s">
        <v>596</v>
      </c>
      <c r="C87" s="1" t="s">
        <v>581</v>
      </c>
      <c r="D87" s="36"/>
      <c r="E87" s="36">
        <v>0</v>
      </c>
      <c r="F87" s="36"/>
      <c r="G87" s="36"/>
      <c r="H87" s="30"/>
      <c r="I87" s="36">
        <v>5.04</v>
      </c>
      <c r="J87" s="36"/>
      <c r="K87" s="30">
        <v>0.1</v>
      </c>
      <c r="L87" s="30">
        <v>1.75</v>
      </c>
      <c r="M87" s="1">
        <v>-15</v>
      </c>
      <c r="N87" s="1"/>
      <c r="O87" s="1"/>
      <c r="Q87" s="40">
        <v>1</v>
      </c>
      <c r="R87" s="40">
        <v>1</v>
      </c>
      <c r="S87" s="40">
        <v>5</v>
      </c>
      <c r="V87" s="1">
        <v>6</v>
      </c>
      <c r="W87" s="1" t="s">
        <v>500</v>
      </c>
      <c r="X87" t="s">
        <v>595</v>
      </c>
      <c r="Y87" s="30"/>
      <c r="Z87" s="30"/>
      <c r="AB87" s="1"/>
      <c r="AC87" s="1"/>
      <c r="AD87" s="1" t="s">
        <v>208</v>
      </c>
      <c r="AE87" s="1">
        <v>3</v>
      </c>
      <c r="AF87" s="1"/>
      <c r="AG87" s="25"/>
      <c r="AH87" s="25"/>
    </row>
    <row r="88" spans="1:34" ht="19.5" hidden="1" outlineLevel="1" thickBot="1" x14ac:dyDescent="0.25">
      <c r="A88" s="1"/>
      <c r="B88" s="1"/>
      <c r="C88" s="1"/>
      <c r="D88" s="36"/>
      <c r="E88" s="36"/>
      <c r="F88" s="36"/>
      <c r="G88" s="36"/>
      <c r="H88" s="30"/>
      <c r="I88" s="36"/>
      <c r="J88" s="36"/>
      <c r="K88" s="30"/>
      <c r="L88" s="30"/>
      <c r="M88" s="1"/>
      <c r="N88" s="1"/>
      <c r="O88" s="1"/>
      <c r="P88" s="1"/>
      <c r="Q88" s="1"/>
      <c r="R88" s="1"/>
      <c r="S88" s="1"/>
      <c r="V88" s="1">
        <v>71</v>
      </c>
      <c r="W88" s="1" t="s">
        <v>500</v>
      </c>
      <c r="X88" t="s">
        <v>500</v>
      </c>
      <c r="Y88" s="30"/>
      <c r="Z88" s="30"/>
      <c r="AB88" s="1"/>
      <c r="AC88" s="1"/>
      <c r="AD88" s="1" t="s">
        <v>594</v>
      </c>
      <c r="AE88" s="1">
        <v>2.5</v>
      </c>
      <c r="AF88" s="1"/>
      <c r="AG88" s="25"/>
      <c r="AH88" s="25"/>
    </row>
    <row r="89" spans="1:34" ht="19.5" hidden="1" outlineLevel="1" thickBot="1" x14ac:dyDescent="0.25">
      <c r="A89" s="1" t="s">
        <v>593</v>
      </c>
      <c r="B89" s="1" t="s">
        <v>592</v>
      </c>
      <c r="C89" s="1" t="s">
        <v>581</v>
      </c>
      <c r="D89" s="36"/>
      <c r="E89" s="36">
        <v>0</v>
      </c>
      <c r="F89" s="36"/>
      <c r="G89" s="36"/>
      <c r="H89" s="30"/>
      <c r="I89" s="36">
        <v>3.5</v>
      </c>
      <c r="J89" s="36"/>
      <c r="K89" s="30">
        <v>0.15</v>
      </c>
      <c r="L89" s="30">
        <v>1.35</v>
      </c>
      <c r="M89" s="1">
        <v>-4</v>
      </c>
      <c r="N89" s="1">
        <v>-5.5</v>
      </c>
      <c r="O89" s="1"/>
      <c r="Q89" s="40">
        <v>1</v>
      </c>
      <c r="R89" s="40">
        <v>1</v>
      </c>
      <c r="S89" s="40">
        <v>6</v>
      </c>
      <c r="V89" s="1">
        <v>4</v>
      </c>
      <c r="W89" s="1" t="s">
        <v>500</v>
      </c>
      <c r="X89" t="s">
        <v>585</v>
      </c>
      <c r="Y89" s="30"/>
      <c r="Z89" s="30"/>
      <c r="AB89" s="1"/>
      <c r="AC89" s="1"/>
      <c r="AD89" s="1" t="s">
        <v>246</v>
      </c>
      <c r="AE89" s="1">
        <v>2</v>
      </c>
      <c r="AF89" s="1"/>
      <c r="AG89" s="25"/>
      <c r="AH89" s="25"/>
    </row>
    <row r="90" spans="1:34" ht="19.5" hidden="1" outlineLevel="1" thickBot="1" x14ac:dyDescent="0.25">
      <c r="A90" s="1" t="s">
        <v>591</v>
      </c>
      <c r="B90" s="1" t="s">
        <v>590</v>
      </c>
      <c r="C90" s="1" t="s">
        <v>581</v>
      </c>
      <c r="D90" s="36"/>
      <c r="E90" s="36">
        <v>0</v>
      </c>
      <c r="F90" s="36"/>
      <c r="G90" s="36"/>
      <c r="H90" s="30"/>
      <c r="I90" s="36">
        <v>2.5</v>
      </c>
      <c r="J90" s="36"/>
      <c r="K90" s="30">
        <v>0.1</v>
      </c>
      <c r="L90" s="30">
        <v>1.5</v>
      </c>
      <c r="M90" s="1">
        <v>-25</v>
      </c>
      <c r="N90" s="1">
        <v>-40</v>
      </c>
      <c r="O90" s="1"/>
      <c r="Q90" s="40">
        <v>10</v>
      </c>
      <c r="R90" s="40">
        <v>2</v>
      </c>
      <c r="S90" s="40">
        <v>100</v>
      </c>
      <c r="V90" s="1">
        <v>10</v>
      </c>
      <c r="W90" s="1" t="s">
        <v>500</v>
      </c>
      <c r="X90" t="s">
        <v>589</v>
      </c>
      <c r="Y90" s="30"/>
      <c r="Z90" s="30"/>
      <c r="AB90" s="1"/>
      <c r="AC90" s="1"/>
      <c r="AD90" s="1" t="s">
        <v>588</v>
      </c>
      <c r="AE90" s="1">
        <v>2</v>
      </c>
      <c r="AF90" s="1"/>
      <c r="AG90" s="25"/>
      <c r="AH90" s="25"/>
    </row>
    <row r="91" spans="1:34" ht="19.5" hidden="1" outlineLevel="1" thickBot="1" x14ac:dyDescent="0.25">
      <c r="A91" s="1" t="s">
        <v>587</v>
      </c>
      <c r="B91" s="1" t="s">
        <v>586</v>
      </c>
      <c r="C91" s="1" t="s">
        <v>581</v>
      </c>
      <c r="D91" s="36"/>
      <c r="E91" s="36">
        <v>0</v>
      </c>
      <c r="F91" s="36"/>
      <c r="G91" s="36"/>
      <c r="H91" s="30"/>
      <c r="I91" s="36">
        <v>2.5</v>
      </c>
      <c r="J91" s="36"/>
      <c r="K91" s="30">
        <v>0.2</v>
      </c>
      <c r="L91" s="30">
        <v>2</v>
      </c>
      <c r="M91" s="1"/>
      <c r="N91" s="1"/>
      <c r="O91" s="1"/>
      <c r="Q91" s="40">
        <v>1</v>
      </c>
      <c r="R91" s="40">
        <v>4</v>
      </c>
      <c r="S91" s="40">
        <v>1</v>
      </c>
      <c r="V91" s="1">
        <v>2</v>
      </c>
      <c r="W91" s="1" t="s">
        <v>500</v>
      </c>
      <c r="X91" t="s">
        <v>585</v>
      </c>
      <c r="Y91" s="30"/>
      <c r="Z91" s="30"/>
      <c r="AB91" s="1"/>
      <c r="AC91" s="1"/>
      <c r="AD91" s="1" t="s">
        <v>584</v>
      </c>
      <c r="AE91" s="1">
        <v>1</v>
      </c>
      <c r="AF91" s="1"/>
      <c r="AG91" s="25"/>
      <c r="AH91" s="25"/>
    </row>
    <row r="92" spans="1:34" ht="38.25" hidden="1" outlineLevel="1" thickBot="1" x14ac:dyDescent="0.25">
      <c r="A92" s="1" t="s">
        <v>583</v>
      </c>
      <c r="B92" s="1" t="s">
        <v>582</v>
      </c>
      <c r="C92" s="1" t="s">
        <v>581</v>
      </c>
      <c r="D92" s="36"/>
      <c r="E92" s="36">
        <v>0</v>
      </c>
      <c r="F92" s="36"/>
      <c r="G92" s="36"/>
      <c r="H92" s="30"/>
      <c r="I92" s="36">
        <v>4</v>
      </c>
      <c r="J92" s="36"/>
      <c r="K92" s="30">
        <v>0.2</v>
      </c>
      <c r="L92" s="30">
        <v>1.75</v>
      </c>
      <c r="M92" s="1">
        <v>-5</v>
      </c>
      <c r="N92" s="1">
        <v>-5</v>
      </c>
      <c r="O92" s="1"/>
      <c r="Q92" s="40">
        <v>1</v>
      </c>
      <c r="R92" s="40">
        <v>4</v>
      </c>
      <c r="S92" s="40">
        <v>1</v>
      </c>
      <c r="V92" s="1">
        <v>2</v>
      </c>
      <c r="W92" s="1" t="s">
        <v>500</v>
      </c>
      <c r="X92" t="s">
        <v>580</v>
      </c>
      <c r="Y92" s="30"/>
      <c r="Z92" s="30"/>
      <c r="AB92" s="1"/>
      <c r="AC92" s="1"/>
      <c r="AD92" s="1" t="s">
        <v>579</v>
      </c>
      <c r="AE92" s="1">
        <v>1</v>
      </c>
      <c r="AF92" s="1"/>
      <c r="AG92" s="25"/>
      <c r="AH92" s="25"/>
    </row>
    <row r="93" spans="1:34" ht="19.5" hidden="1" outlineLevel="1" thickBot="1" x14ac:dyDescent="0.25">
      <c r="A93" s="1"/>
      <c r="B93" s="1"/>
      <c r="C93" s="1"/>
      <c r="D93" s="36"/>
      <c r="E93" s="36"/>
      <c r="F93" s="36"/>
      <c r="G93" s="36"/>
      <c r="H93" s="30"/>
      <c r="I93" s="30"/>
      <c r="J93" s="36"/>
      <c r="K93" s="30"/>
      <c r="L93" s="30"/>
      <c r="M93" s="30"/>
      <c r="N93" s="30"/>
      <c r="O93" s="30"/>
      <c r="V93" s="1">
        <v>71</v>
      </c>
      <c r="W93" s="1" t="s">
        <v>500</v>
      </c>
      <c r="X93" t="s">
        <v>500</v>
      </c>
      <c r="Y93" s="30"/>
      <c r="Z93" s="30"/>
      <c r="AB93" s="1"/>
      <c r="AC93" s="1"/>
      <c r="AD93" s="1" t="s">
        <v>578</v>
      </c>
      <c r="AE93" s="1">
        <v>1</v>
      </c>
      <c r="AF93" s="1"/>
      <c r="AG93" s="25"/>
      <c r="AH93" s="25"/>
    </row>
    <row r="94" spans="1:34" ht="38.25" hidden="1" outlineLevel="1" thickBot="1" x14ac:dyDescent="0.25">
      <c r="A94" s="1" t="s">
        <v>577</v>
      </c>
      <c r="B94" s="1" t="s">
        <v>576</v>
      </c>
      <c r="C94" s="1" t="s">
        <v>575</v>
      </c>
      <c r="D94" s="36">
        <v>1</v>
      </c>
      <c r="E94" s="36">
        <v>0</v>
      </c>
      <c r="F94" s="36"/>
      <c r="G94" s="36"/>
      <c r="H94" s="30"/>
      <c r="I94" s="30"/>
      <c r="J94" s="36"/>
      <c r="K94" s="30">
        <v>0.05</v>
      </c>
      <c r="L94" s="30">
        <v>1.5</v>
      </c>
      <c r="M94" s="1">
        <v>-7.5</v>
      </c>
      <c r="N94" s="1">
        <v>-7.5</v>
      </c>
      <c r="O94" s="1"/>
      <c r="V94" s="1">
        <v>3</v>
      </c>
      <c r="W94" s="1" t="s">
        <v>574</v>
      </c>
      <c r="X94" t="s">
        <v>573</v>
      </c>
      <c r="Y94" s="30"/>
      <c r="Z94" s="30"/>
      <c r="AB94" s="1"/>
      <c r="AC94" s="1"/>
      <c r="AD94" s="1" t="s">
        <v>572</v>
      </c>
      <c r="AE94" s="1">
        <v>1</v>
      </c>
      <c r="AF94" s="1"/>
      <c r="AG94" s="25"/>
      <c r="AH94" s="25"/>
    </row>
    <row r="95" spans="1:34" ht="19.5" hidden="1" outlineLevel="1" thickBot="1" x14ac:dyDescent="0.25">
      <c r="A95" s="1" t="s">
        <v>571</v>
      </c>
      <c r="B95" s="1" t="s">
        <v>570</v>
      </c>
      <c r="C95" s="1" t="s">
        <v>566</v>
      </c>
      <c r="D95" s="36">
        <v>1</v>
      </c>
      <c r="E95" s="36">
        <v>1.1000000000000001</v>
      </c>
      <c r="F95" s="36"/>
      <c r="G95" s="36">
        <v>0.35</v>
      </c>
      <c r="H95" s="30"/>
      <c r="I95" s="30"/>
      <c r="J95" s="36"/>
      <c r="K95" s="30">
        <v>0.05</v>
      </c>
      <c r="L95" s="30">
        <v>1.5</v>
      </c>
      <c r="M95" s="1"/>
      <c r="N95" s="1">
        <v>-4</v>
      </c>
      <c r="O95" s="1"/>
      <c r="V95" s="1">
        <v>3</v>
      </c>
      <c r="W95" s="1" t="s">
        <v>500</v>
      </c>
      <c r="X95" t="s">
        <v>569</v>
      </c>
      <c r="Y95" s="30"/>
      <c r="Z95" s="30"/>
      <c r="AB95" s="1"/>
      <c r="AC95" s="1"/>
      <c r="AD95" s="1" t="s">
        <v>90</v>
      </c>
      <c r="AE95" s="1">
        <v>1</v>
      </c>
      <c r="AF95" s="1"/>
      <c r="AG95" s="25"/>
      <c r="AH95" s="25"/>
    </row>
    <row r="96" spans="1:34" ht="19.5" hidden="1" outlineLevel="1" thickBot="1" x14ac:dyDescent="0.25">
      <c r="A96" s="1" t="s">
        <v>568</v>
      </c>
      <c r="B96" s="1" t="s">
        <v>567</v>
      </c>
      <c r="C96" s="1" t="s">
        <v>566</v>
      </c>
      <c r="D96" s="36">
        <v>1</v>
      </c>
      <c r="E96" s="36">
        <v>0</v>
      </c>
      <c r="F96" s="36"/>
      <c r="G96" s="36">
        <v>1.1000000000000001</v>
      </c>
      <c r="H96" s="30"/>
      <c r="I96" s="30"/>
      <c r="J96" s="36"/>
      <c r="K96" s="30">
        <v>0.05</v>
      </c>
      <c r="L96" s="30">
        <v>1.5</v>
      </c>
      <c r="M96" s="1">
        <v>-3.5</v>
      </c>
      <c r="N96" s="1">
        <v>-2.5</v>
      </c>
      <c r="O96" s="1"/>
      <c r="V96" s="1">
        <v>3</v>
      </c>
      <c r="W96" s="1" t="s">
        <v>500</v>
      </c>
      <c r="X96" t="s">
        <v>515</v>
      </c>
      <c r="Y96" s="30"/>
      <c r="Z96" s="30"/>
      <c r="AB96" s="1"/>
      <c r="AC96" s="1"/>
      <c r="AD96" s="1" t="s">
        <v>96</v>
      </c>
      <c r="AE96" s="1">
        <v>1</v>
      </c>
      <c r="AF96" s="1"/>
      <c r="AG96" s="25"/>
      <c r="AH96" s="25"/>
    </row>
    <row r="97" spans="1:34" ht="19.5" hidden="1" outlineLevel="1" thickBot="1" x14ac:dyDescent="0.25">
      <c r="A97" s="1"/>
      <c r="B97" s="1"/>
      <c r="C97" s="1"/>
      <c r="D97" s="36"/>
      <c r="E97" s="36"/>
      <c r="F97" s="36"/>
      <c r="G97" s="36"/>
      <c r="H97" s="30"/>
      <c r="I97" s="30"/>
      <c r="J97" s="36"/>
      <c r="K97" s="30"/>
      <c r="L97" s="30"/>
      <c r="M97" s="1"/>
      <c r="N97" s="1"/>
      <c r="O97" s="1"/>
      <c r="V97" s="1">
        <v>71</v>
      </c>
      <c r="W97" s="1" t="s">
        <v>500</v>
      </c>
      <c r="X97" t="s">
        <v>500</v>
      </c>
      <c r="Y97" s="30"/>
      <c r="Z97" s="30"/>
      <c r="AB97" s="1"/>
      <c r="AC97" s="1"/>
      <c r="AD97" s="1" t="s">
        <v>565</v>
      </c>
      <c r="AE97" s="1">
        <v>1</v>
      </c>
      <c r="AF97" s="1"/>
      <c r="AG97" s="25"/>
      <c r="AH97" s="25"/>
    </row>
    <row r="98" spans="1:34" ht="19.5" hidden="1" outlineLevel="1" thickBot="1" x14ac:dyDescent="0.25">
      <c r="A98" s="1" t="s">
        <v>564</v>
      </c>
      <c r="B98" s="1" t="s">
        <v>563</v>
      </c>
      <c r="C98" s="1" t="s">
        <v>558</v>
      </c>
      <c r="D98" s="36">
        <v>1</v>
      </c>
      <c r="E98" s="36"/>
      <c r="F98" s="36"/>
      <c r="G98" s="36"/>
      <c r="H98" s="30"/>
      <c r="I98" s="30"/>
      <c r="J98" s="36"/>
      <c r="K98" s="30">
        <v>0.05</v>
      </c>
      <c r="L98" s="30">
        <v>1.5</v>
      </c>
      <c r="M98" s="1"/>
      <c r="N98" s="1"/>
      <c r="O98" s="1"/>
      <c r="V98" s="1">
        <v>2</v>
      </c>
      <c r="W98" s="1" t="s">
        <v>500</v>
      </c>
      <c r="X98" t="s">
        <v>562</v>
      </c>
      <c r="Y98" s="30"/>
      <c r="Z98" s="30"/>
      <c r="AB98" s="39"/>
      <c r="AC98" s="39"/>
      <c r="AD98" s="39" t="s">
        <v>561</v>
      </c>
      <c r="AE98" s="39">
        <v>1</v>
      </c>
      <c r="AF98" s="39"/>
      <c r="AG98" s="25"/>
      <c r="AH98" s="25"/>
    </row>
    <row r="99" spans="1:34" ht="19.5" hidden="1" outlineLevel="1" thickBot="1" x14ac:dyDescent="0.25">
      <c r="A99" s="1" t="s">
        <v>560</v>
      </c>
      <c r="B99" s="1" t="s">
        <v>559</v>
      </c>
      <c r="C99" s="1" t="s">
        <v>558</v>
      </c>
      <c r="D99" s="36">
        <v>1</v>
      </c>
      <c r="E99" s="36"/>
      <c r="F99" s="36"/>
      <c r="G99" s="36"/>
      <c r="H99" s="30"/>
      <c r="I99" s="30"/>
      <c r="J99" s="36"/>
      <c r="K99" s="30">
        <v>0.05</v>
      </c>
      <c r="L99" s="30">
        <v>1.5</v>
      </c>
      <c r="M99" s="1"/>
      <c r="N99" s="1"/>
      <c r="O99" s="1"/>
      <c r="V99" s="1">
        <v>2</v>
      </c>
      <c r="W99" s="1" t="s">
        <v>500</v>
      </c>
      <c r="X99" t="s">
        <v>557</v>
      </c>
      <c r="Y99" s="30"/>
      <c r="Z99" s="30"/>
      <c r="AB99" s="1"/>
      <c r="AC99" s="1"/>
      <c r="AD99" s="1" t="s">
        <v>556</v>
      </c>
      <c r="AE99" s="1">
        <v>1</v>
      </c>
      <c r="AF99" s="1"/>
      <c r="AG99" s="25"/>
      <c r="AH99" s="25"/>
    </row>
    <row r="100" spans="1:34" ht="19.5" hidden="1" outlineLevel="1" thickBot="1" x14ac:dyDescent="0.25">
      <c r="A100" s="1"/>
      <c r="B100" s="1"/>
      <c r="C100" s="1"/>
      <c r="D100" s="36"/>
      <c r="E100" s="36"/>
      <c r="F100" s="36"/>
      <c r="G100" s="36"/>
      <c r="H100" s="30"/>
      <c r="I100" s="30"/>
      <c r="J100" s="36"/>
      <c r="K100" s="30"/>
      <c r="L100" s="30"/>
      <c r="M100" s="1"/>
      <c r="N100" s="1"/>
      <c r="O100" s="1"/>
      <c r="V100" s="1">
        <v>71</v>
      </c>
      <c r="W100" s="1" t="s">
        <v>500</v>
      </c>
      <c r="X100" t="s">
        <v>500</v>
      </c>
      <c r="Y100" s="30"/>
      <c r="Z100" s="30"/>
      <c r="AB100" s="1"/>
      <c r="AC100" s="1"/>
      <c r="AD100" s="1" t="s">
        <v>206</v>
      </c>
      <c r="AE100" s="1">
        <v>1</v>
      </c>
      <c r="AF100" s="1"/>
      <c r="AG100" s="25"/>
      <c r="AH100" s="25"/>
    </row>
    <row r="101" spans="1:34" ht="19.5" collapsed="1" thickBot="1" x14ac:dyDescent="0.25">
      <c r="A101" s="1"/>
      <c r="B101" s="1"/>
      <c r="C101" s="1"/>
      <c r="D101" s="36"/>
      <c r="E101" s="36"/>
      <c r="F101" s="36"/>
      <c r="G101" s="36"/>
      <c r="H101" s="30"/>
      <c r="I101" s="30"/>
      <c r="J101" s="36"/>
      <c r="K101" s="30"/>
      <c r="L101" s="30"/>
      <c r="M101" s="1"/>
      <c r="N101" s="1"/>
      <c r="O101" s="1"/>
      <c r="V101" s="1">
        <v>71</v>
      </c>
      <c r="W101" s="1" t="s">
        <v>500</v>
      </c>
      <c r="X101" t="s">
        <v>500</v>
      </c>
      <c r="Y101" s="30"/>
      <c r="Z101" s="30"/>
      <c r="AD101" t="s">
        <v>555</v>
      </c>
      <c r="AE101">
        <v>1</v>
      </c>
      <c r="AG101" s="25"/>
      <c r="AH101" s="25"/>
    </row>
    <row r="102" spans="1:34" ht="19.5" thickBot="1" x14ac:dyDescent="0.25">
      <c r="A102" s="1"/>
      <c r="B102" s="1"/>
      <c r="C102" s="1"/>
      <c r="D102" s="36"/>
      <c r="E102" s="36"/>
      <c r="F102" s="36"/>
      <c r="G102" s="36"/>
      <c r="H102" s="30"/>
      <c r="I102" s="30"/>
      <c r="J102" s="36"/>
      <c r="K102" s="30"/>
      <c r="L102" s="30"/>
      <c r="M102" s="1"/>
      <c r="N102" s="1"/>
      <c r="O102" s="1"/>
      <c r="V102" s="1">
        <v>71</v>
      </c>
      <c r="W102" s="1" t="s">
        <v>500</v>
      </c>
      <c r="X102" t="s">
        <v>500</v>
      </c>
      <c r="Y102" s="30"/>
      <c r="Z102" s="30"/>
      <c r="AD102" t="s">
        <v>554</v>
      </c>
      <c r="AE102">
        <v>5</v>
      </c>
      <c r="AG102" s="25"/>
      <c r="AH102" s="25"/>
    </row>
    <row r="103" spans="1:34" ht="19.5" thickBot="1" x14ac:dyDescent="0.25">
      <c r="A103" s="1" t="s">
        <v>553</v>
      </c>
      <c r="B103" s="1" t="s">
        <v>552</v>
      </c>
      <c r="C103" s="1" t="s">
        <v>525</v>
      </c>
      <c r="D103" s="36"/>
      <c r="E103" s="36"/>
      <c r="F103" s="36"/>
      <c r="G103" s="36">
        <v>0.85</v>
      </c>
      <c r="H103" s="30"/>
      <c r="I103" s="30"/>
      <c r="J103" s="36"/>
      <c r="K103" s="30">
        <v>0.05</v>
      </c>
      <c r="L103" s="30">
        <v>1.25</v>
      </c>
      <c r="M103" s="1">
        <v>-7.5</v>
      </c>
      <c r="N103" s="1"/>
      <c r="O103" s="36">
        <v>0.35</v>
      </c>
      <c r="V103" s="1">
        <v>2</v>
      </c>
      <c r="W103" s="1" t="s">
        <v>1286</v>
      </c>
      <c r="X103" t="s">
        <v>500</v>
      </c>
      <c r="Y103" s="30"/>
      <c r="Z103" s="30"/>
      <c r="AD103" t="s">
        <v>551</v>
      </c>
      <c r="AE103">
        <v>3</v>
      </c>
      <c r="AG103" s="25"/>
      <c r="AH103" s="25"/>
    </row>
    <row r="104" spans="1:34" ht="19.5" thickBot="1" x14ac:dyDescent="0.25">
      <c r="A104" s="1" t="s">
        <v>550</v>
      </c>
      <c r="B104" s="1" t="s">
        <v>549</v>
      </c>
      <c r="C104" s="1" t="s">
        <v>525</v>
      </c>
      <c r="D104" s="36"/>
      <c r="E104" s="36"/>
      <c r="F104" s="36"/>
      <c r="G104" s="36">
        <v>0.85</v>
      </c>
      <c r="H104" s="30"/>
      <c r="I104" s="30"/>
      <c r="J104" s="36"/>
      <c r="K104" s="30">
        <v>0.05</v>
      </c>
      <c r="L104" s="30">
        <v>1.25</v>
      </c>
      <c r="M104" s="1">
        <v>-5</v>
      </c>
      <c r="N104" s="1"/>
      <c r="O104" s="36">
        <v>0.2</v>
      </c>
      <c r="V104" s="1">
        <v>1.5</v>
      </c>
      <c r="W104" s="1" t="s">
        <v>1286</v>
      </c>
      <c r="X104" t="s">
        <v>548</v>
      </c>
      <c r="Y104" s="30"/>
      <c r="Z104" s="30"/>
      <c r="AB104" s="38"/>
      <c r="AC104" s="38"/>
      <c r="AD104" s="37" t="s">
        <v>547</v>
      </c>
      <c r="AE104" s="29">
        <v>4</v>
      </c>
      <c r="AF104" s="29"/>
      <c r="AG104" s="25"/>
      <c r="AH104" s="25"/>
    </row>
    <row r="105" spans="1:34" ht="19.5" thickBot="1" x14ac:dyDescent="0.25">
      <c r="A105" s="1" t="s">
        <v>1196</v>
      </c>
      <c r="B105" s="1" t="s">
        <v>1197</v>
      </c>
      <c r="C105" s="1" t="s">
        <v>525</v>
      </c>
      <c r="D105" s="36"/>
      <c r="E105" s="36"/>
      <c r="F105" s="36"/>
      <c r="G105" s="36"/>
      <c r="H105" s="30"/>
      <c r="I105" s="30"/>
      <c r="J105" s="36"/>
      <c r="K105" s="30"/>
      <c r="L105" s="30"/>
      <c r="M105" s="1"/>
      <c r="N105" s="1"/>
      <c r="O105" s="36">
        <v>0.1</v>
      </c>
      <c r="V105" s="1">
        <v>1</v>
      </c>
      <c r="W105" s="1" t="s">
        <v>1286</v>
      </c>
      <c r="X105" t="s">
        <v>503</v>
      </c>
      <c r="Y105" s="30"/>
      <c r="Z105" s="30"/>
      <c r="AB105" s="38"/>
      <c r="AC105" s="38"/>
      <c r="AD105" s="37"/>
      <c r="AE105" s="29"/>
      <c r="AF105" s="29"/>
      <c r="AG105" s="25"/>
      <c r="AH105" s="25"/>
    </row>
    <row r="106" spans="1:34" ht="19.5" thickBot="1" x14ac:dyDescent="0.25">
      <c r="A106" s="1" t="s">
        <v>546</v>
      </c>
      <c r="B106" s="1" t="s">
        <v>545</v>
      </c>
      <c r="C106" s="1" t="s">
        <v>525</v>
      </c>
      <c r="D106" s="36"/>
      <c r="E106" s="36"/>
      <c r="F106" s="36"/>
      <c r="G106" s="36"/>
      <c r="H106" s="30"/>
      <c r="I106" s="30"/>
      <c r="J106" s="36"/>
      <c r="K106" s="30"/>
      <c r="L106" s="30"/>
      <c r="M106" s="1"/>
      <c r="N106" s="1"/>
      <c r="O106" s="36">
        <v>7.0000000000000007E-2</v>
      </c>
      <c r="V106" s="1">
        <v>1</v>
      </c>
      <c r="W106" s="1" t="s">
        <v>1288</v>
      </c>
      <c r="X106" t="s">
        <v>503</v>
      </c>
      <c r="Y106" s="30"/>
      <c r="Z106" s="30"/>
      <c r="AB106" s="38"/>
      <c r="AC106" s="38"/>
      <c r="AD106" s="37"/>
      <c r="AE106" s="29"/>
      <c r="AF106" s="29"/>
      <c r="AG106" s="25"/>
      <c r="AH106" s="25"/>
    </row>
    <row r="107" spans="1:34" ht="19.5" thickBot="1" x14ac:dyDescent="0.25">
      <c r="A107" s="1" t="s">
        <v>544</v>
      </c>
      <c r="B107" s="1" t="s">
        <v>543</v>
      </c>
      <c r="C107" s="1" t="s">
        <v>525</v>
      </c>
      <c r="D107" s="36"/>
      <c r="E107" s="36"/>
      <c r="F107" s="36"/>
      <c r="G107" s="36"/>
      <c r="H107" s="30"/>
      <c r="I107" s="30"/>
      <c r="J107" s="36"/>
      <c r="K107" s="30"/>
      <c r="L107" s="30"/>
      <c r="M107" s="1"/>
      <c r="N107" s="1"/>
      <c r="O107" s="36">
        <v>0.1</v>
      </c>
      <c r="V107" s="1">
        <v>1</v>
      </c>
      <c r="W107" s="1" t="s">
        <v>1286</v>
      </c>
      <c r="X107" t="s">
        <v>542</v>
      </c>
      <c r="Y107" s="30"/>
      <c r="Z107" s="30"/>
      <c r="AB107" s="38"/>
      <c r="AC107" s="38"/>
      <c r="AD107" s="37"/>
      <c r="AE107" s="29"/>
      <c r="AF107" s="29"/>
      <c r="AG107" s="25"/>
      <c r="AH107" s="25"/>
    </row>
    <row r="108" spans="1:34" ht="19.5" thickBot="1" x14ac:dyDescent="0.25">
      <c r="A108" s="1" t="s">
        <v>541</v>
      </c>
      <c r="B108" s="1" t="s">
        <v>540</v>
      </c>
      <c r="C108" s="1" t="s">
        <v>525</v>
      </c>
      <c r="D108" s="36"/>
      <c r="E108" s="36"/>
      <c r="F108" s="36"/>
      <c r="G108" s="36"/>
      <c r="H108" s="30"/>
      <c r="I108" s="30"/>
      <c r="J108" s="36"/>
      <c r="K108" s="30"/>
      <c r="L108" s="30"/>
      <c r="M108" s="1"/>
      <c r="N108" s="1"/>
      <c r="O108" s="36">
        <v>0.05</v>
      </c>
      <c r="V108" s="1">
        <v>1</v>
      </c>
      <c r="W108" s="1" t="s">
        <v>1287</v>
      </c>
      <c r="X108" t="s">
        <v>507</v>
      </c>
      <c r="Y108" s="30"/>
      <c r="Z108" s="30"/>
      <c r="AB108" s="38"/>
      <c r="AC108" s="38"/>
      <c r="AD108" s="37"/>
      <c r="AE108" s="29"/>
      <c r="AF108" s="29"/>
      <c r="AG108" s="25"/>
      <c r="AH108" s="25"/>
    </row>
    <row r="109" spans="1:34" ht="19.5" thickBot="1" x14ac:dyDescent="0.25">
      <c r="A109" s="1" t="s">
        <v>208</v>
      </c>
      <c r="B109" s="1" t="s">
        <v>539</v>
      </c>
      <c r="C109" s="1" t="s">
        <v>521</v>
      </c>
      <c r="D109" s="36"/>
      <c r="E109" s="36"/>
      <c r="F109" s="36"/>
      <c r="G109" s="36"/>
      <c r="H109" s="30"/>
      <c r="I109" s="30"/>
      <c r="J109" s="36"/>
      <c r="K109" s="30"/>
      <c r="L109" s="30"/>
      <c r="M109" s="1">
        <v>-15</v>
      </c>
      <c r="N109" s="1"/>
      <c r="O109" s="36">
        <v>0.7</v>
      </c>
      <c r="V109" s="1">
        <v>3</v>
      </c>
      <c r="W109" s="1" t="s">
        <v>533</v>
      </c>
      <c r="X109" t="s">
        <v>538</v>
      </c>
      <c r="Y109" s="30"/>
      <c r="Z109" s="30"/>
      <c r="AB109" s="38"/>
      <c r="AC109" s="38"/>
      <c r="AD109" s="37"/>
      <c r="AE109" s="29"/>
      <c r="AF109" s="29"/>
      <c r="AG109" s="25"/>
      <c r="AH109" s="25"/>
    </row>
    <row r="110" spans="1:34" ht="19.5" thickBot="1" x14ac:dyDescent="0.25">
      <c r="A110" s="1" t="s">
        <v>207</v>
      </c>
      <c r="B110" s="1" t="s">
        <v>537</v>
      </c>
      <c r="C110" s="1" t="s">
        <v>521</v>
      </c>
      <c r="D110" s="36"/>
      <c r="E110" s="36"/>
      <c r="F110" s="36"/>
      <c r="G110" s="36"/>
      <c r="H110" s="30"/>
      <c r="I110" s="30"/>
      <c r="J110" s="36"/>
      <c r="K110" s="30"/>
      <c r="L110" s="30"/>
      <c r="M110" s="1">
        <v>-7.5</v>
      </c>
      <c r="N110" s="1"/>
      <c r="O110" s="36">
        <v>0.5</v>
      </c>
      <c r="V110" s="1">
        <v>2.5</v>
      </c>
      <c r="W110" s="1" t="s">
        <v>533</v>
      </c>
      <c r="X110" t="s">
        <v>536</v>
      </c>
      <c r="Y110" s="30"/>
      <c r="Z110" s="30"/>
      <c r="AB110" s="38"/>
      <c r="AC110" s="38"/>
      <c r="AD110" s="37"/>
      <c r="AE110" s="29"/>
      <c r="AF110" s="29"/>
      <c r="AG110" s="25"/>
      <c r="AH110" s="25"/>
    </row>
    <row r="111" spans="1:34" ht="19.5" thickBot="1" x14ac:dyDescent="0.25">
      <c r="A111" s="1" t="s">
        <v>247</v>
      </c>
      <c r="B111" s="1" t="s">
        <v>535</v>
      </c>
      <c r="C111" s="1" t="s">
        <v>521</v>
      </c>
      <c r="D111" s="36"/>
      <c r="E111" s="36"/>
      <c r="F111" s="36"/>
      <c r="G111" s="36"/>
      <c r="H111" s="30"/>
      <c r="I111" s="30"/>
      <c r="J111" s="36"/>
      <c r="K111" s="30"/>
      <c r="L111" s="30"/>
      <c r="M111" s="1"/>
      <c r="N111" s="1"/>
      <c r="O111" s="36">
        <v>0.3</v>
      </c>
      <c r="V111" s="1">
        <v>2</v>
      </c>
      <c r="W111" s="1" t="s">
        <v>533</v>
      </c>
      <c r="X111" t="s">
        <v>511</v>
      </c>
      <c r="Y111" s="30"/>
      <c r="Z111" s="30"/>
      <c r="AB111" s="38"/>
      <c r="AC111" s="38"/>
      <c r="AD111" s="37"/>
      <c r="AE111" s="29"/>
      <c r="AF111" s="29"/>
      <c r="AG111" s="25"/>
      <c r="AH111" s="25"/>
    </row>
    <row r="112" spans="1:34" ht="19.5" thickBot="1" x14ac:dyDescent="0.25">
      <c r="A112" s="1" t="s">
        <v>246</v>
      </c>
      <c r="B112" s="1" t="s">
        <v>534</v>
      </c>
      <c r="C112" s="1" t="s">
        <v>521</v>
      </c>
      <c r="D112" s="36"/>
      <c r="E112" s="36"/>
      <c r="F112" s="36"/>
      <c r="G112" s="36"/>
      <c r="H112" s="30"/>
      <c r="I112" s="30"/>
      <c r="J112" s="36"/>
      <c r="K112" s="30"/>
      <c r="L112" s="30"/>
      <c r="M112" s="1"/>
      <c r="N112" s="1"/>
      <c r="O112" s="36">
        <v>0.2</v>
      </c>
      <c r="V112" s="1">
        <v>2</v>
      </c>
      <c r="W112" s="1" t="s">
        <v>533</v>
      </c>
      <c r="X112" t="s">
        <v>532</v>
      </c>
      <c r="Y112" s="30"/>
      <c r="Z112" s="30"/>
      <c r="AB112" s="38"/>
      <c r="AC112" s="38"/>
      <c r="AD112" s="37"/>
      <c r="AE112" s="29"/>
      <c r="AF112" s="29"/>
      <c r="AG112" s="25"/>
      <c r="AH112" s="25"/>
    </row>
    <row r="113" spans="1:34" ht="19.5" thickBot="1" x14ac:dyDescent="0.25">
      <c r="A113" t="s">
        <v>206</v>
      </c>
      <c r="B113" t="s">
        <v>531</v>
      </c>
      <c r="C113" s="1" t="s">
        <v>530</v>
      </c>
      <c r="D113" s="36"/>
      <c r="G113" s="36">
        <v>1</v>
      </c>
      <c r="K113" s="30">
        <v>0.1</v>
      </c>
      <c r="L113" s="30">
        <v>1.5</v>
      </c>
      <c r="O113" s="36">
        <v>0.15</v>
      </c>
      <c r="U113" t="s">
        <v>530</v>
      </c>
      <c r="V113" s="1">
        <v>1</v>
      </c>
      <c r="W113" s="1" t="s">
        <v>529</v>
      </c>
      <c r="X113" t="s">
        <v>528</v>
      </c>
      <c r="Y113" s="30"/>
      <c r="Z113" s="30"/>
      <c r="AB113" s="35"/>
      <c r="AC113" s="35"/>
      <c r="AD113" s="37"/>
      <c r="AE113" s="29"/>
      <c r="AF113" s="29"/>
      <c r="AG113" s="25"/>
      <c r="AH113" s="25"/>
    </row>
    <row r="114" spans="1:34" ht="19.5" thickBot="1" x14ac:dyDescent="0.25">
      <c r="A114" t="s">
        <v>527</v>
      </c>
      <c r="B114" t="s">
        <v>526</v>
      </c>
      <c r="C114" s="1" t="s">
        <v>525</v>
      </c>
      <c r="D114" s="36"/>
      <c r="V114" s="1">
        <v>2</v>
      </c>
      <c r="W114" s="1" t="s">
        <v>500</v>
      </c>
      <c r="X114" t="s">
        <v>524</v>
      </c>
      <c r="Y114" s="30"/>
      <c r="Z114" s="30"/>
      <c r="AB114" s="35"/>
      <c r="AC114" s="35"/>
      <c r="AD114" s="34"/>
      <c r="AE114" s="29"/>
      <c r="AF114" s="29"/>
      <c r="AG114" s="25"/>
      <c r="AH114" s="25"/>
    </row>
    <row r="115" spans="1:34" ht="19.5" thickBot="1" x14ac:dyDescent="0.25">
      <c r="A115" t="s">
        <v>523</v>
      </c>
      <c r="B115" t="s">
        <v>522</v>
      </c>
      <c r="C115" s="1" t="s">
        <v>521</v>
      </c>
      <c r="D115" s="36"/>
      <c r="V115" s="1">
        <v>3</v>
      </c>
      <c r="W115" s="1" t="s">
        <v>500</v>
      </c>
      <c r="X115" t="s">
        <v>520</v>
      </c>
      <c r="Y115" s="30"/>
      <c r="Z115" s="30"/>
      <c r="AB115" s="35"/>
      <c r="AC115" s="35"/>
      <c r="AD115" s="34"/>
      <c r="AE115" s="29"/>
      <c r="AF115" s="29"/>
      <c r="AG115" s="25"/>
      <c r="AH115" s="25"/>
    </row>
    <row r="116" spans="1:34" ht="19.5" thickBot="1" x14ac:dyDescent="0.25">
      <c r="A116" t="s">
        <v>519</v>
      </c>
      <c r="B116" t="s">
        <v>518</v>
      </c>
      <c r="C116" s="1" t="s">
        <v>517</v>
      </c>
      <c r="D116" s="36"/>
      <c r="E116" s="29">
        <v>0.25</v>
      </c>
      <c r="F116" s="29">
        <v>0.1</v>
      </c>
      <c r="G116" s="29">
        <v>0.05</v>
      </c>
      <c r="H116" s="29">
        <v>0.1</v>
      </c>
      <c r="K116" s="29">
        <v>0.05</v>
      </c>
      <c r="U116" t="s">
        <v>516</v>
      </c>
      <c r="V116" s="1">
        <v>2</v>
      </c>
      <c r="W116" s="1" t="s">
        <v>500</v>
      </c>
      <c r="X116" t="s">
        <v>515</v>
      </c>
      <c r="Y116" s="30"/>
      <c r="Z116" s="30"/>
      <c r="AB116" s="35"/>
      <c r="AC116" s="35"/>
      <c r="AD116" s="34"/>
      <c r="AE116" s="29"/>
      <c r="AF116" s="29"/>
      <c r="AG116" s="25"/>
      <c r="AH116" s="25"/>
    </row>
    <row r="117" spans="1:34" ht="19.5" thickBot="1" x14ac:dyDescent="0.25">
      <c r="C117" s="1"/>
      <c r="D117" s="36"/>
      <c r="E117" s="29"/>
      <c r="F117" s="29"/>
      <c r="G117" s="29"/>
      <c r="V117" s="1"/>
      <c r="W117" s="1"/>
      <c r="Y117" s="30"/>
      <c r="Z117" s="30"/>
      <c r="AB117" s="35"/>
      <c r="AC117" s="35"/>
      <c r="AD117" s="34"/>
      <c r="AE117" s="29"/>
      <c r="AF117" s="29"/>
      <c r="AG117" s="25"/>
      <c r="AH117" s="25"/>
    </row>
    <row r="118" spans="1:34" ht="19.5" thickBot="1" x14ac:dyDescent="0.25">
      <c r="A118" s="1" t="s">
        <v>101</v>
      </c>
      <c r="B118" s="1" t="s">
        <v>100</v>
      </c>
      <c r="C118" s="1" t="s">
        <v>502</v>
      </c>
      <c r="D118" s="36"/>
      <c r="E118" s="36"/>
      <c r="F118" s="36"/>
      <c r="G118" s="36"/>
      <c r="H118" s="30"/>
      <c r="I118" s="30"/>
      <c r="J118" s="36"/>
      <c r="K118" s="30"/>
      <c r="L118" s="30"/>
      <c r="M118" s="1"/>
      <c r="N118" s="1"/>
      <c r="O118" s="36"/>
      <c r="V118" s="1">
        <v>1</v>
      </c>
      <c r="W118" s="1" t="s">
        <v>514</v>
      </c>
      <c r="X118" t="s">
        <v>513</v>
      </c>
      <c r="Y118" s="30"/>
      <c r="Z118" s="30"/>
      <c r="AB118" s="38"/>
      <c r="AC118" s="38"/>
      <c r="AD118" s="37"/>
      <c r="AE118" s="29"/>
      <c r="AF118" s="29"/>
      <c r="AG118" s="25"/>
      <c r="AH118" s="25"/>
    </row>
    <row r="119" spans="1:34" ht="19.5" thickBot="1" x14ac:dyDescent="0.25">
      <c r="A119" s="1" t="s">
        <v>0</v>
      </c>
      <c r="B119" s="1" t="s">
        <v>99</v>
      </c>
      <c r="C119" s="1" t="s">
        <v>502</v>
      </c>
      <c r="D119" s="36"/>
      <c r="E119" s="36"/>
      <c r="F119" s="36"/>
      <c r="G119" s="36"/>
      <c r="H119" s="30"/>
      <c r="I119" s="30"/>
      <c r="J119" s="36"/>
      <c r="K119" s="30"/>
      <c r="L119" s="30"/>
      <c r="M119" s="1"/>
      <c r="N119" s="1"/>
      <c r="O119" s="36"/>
      <c r="V119" s="1">
        <v>1</v>
      </c>
      <c r="W119" s="1" t="s">
        <v>512</v>
      </c>
      <c r="X119" t="s">
        <v>511</v>
      </c>
      <c r="Y119" s="30"/>
      <c r="Z119" s="30"/>
      <c r="AB119" s="38"/>
      <c r="AC119" s="38"/>
      <c r="AD119" s="37"/>
      <c r="AE119" s="29"/>
      <c r="AF119" s="29"/>
      <c r="AG119" s="25"/>
      <c r="AH119" s="25"/>
    </row>
    <row r="120" spans="1:34" ht="19.5" thickBot="1" x14ac:dyDescent="0.25">
      <c r="A120" s="1" t="s">
        <v>96</v>
      </c>
      <c r="B120" s="1" t="s">
        <v>95</v>
      </c>
      <c r="C120" s="1" t="s">
        <v>502</v>
      </c>
      <c r="D120" s="36"/>
      <c r="E120" s="36"/>
      <c r="F120" s="36"/>
      <c r="G120" s="36"/>
      <c r="H120" s="30"/>
      <c r="I120" s="30"/>
      <c r="J120" s="36"/>
      <c r="K120" s="36"/>
      <c r="L120" s="36"/>
      <c r="M120" s="1"/>
      <c r="O120" s="36"/>
      <c r="V120" s="1">
        <v>1</v>
      </c>
      <c r="W120" s="1" t="s">
        <v>508</v>
      </c>
      <c r="X120" t="s">
        <v>507</v>
      </c>
      <c r="Y120" s="30"/>
      <c r="Z120" s="30"/>
      <c r="AB120" s="35"/>
      <c r="AC120" s="35"/>
      <c r="AD120" s="37"/>
      <c r="AE120" s="29"/>
      <c r="AF120" s="29"/>
      <c r="AG120" s="25"/>
      <c r="AH120" s="25"/>
    </row>
    <row r="121" spans="1:34" ht="19.5" thickBot="1" x14ac:dyDescent="0.25">
      <c r="A121" s="1" t="s">
        <v>94</v>
      </c>
      <c r="B121" s="1" t="s">
        <v>1263</v>
      </c>
      <c r="C121" s="1" t="s">
        <v>502</v>
      </c>
      <c r="D121" s="36"/>
      <c r="E121" s="36"/>
      <c r="F121" s="36"/>
      <c r="G121" s="36"/>
      <c r="H121" s="30"/>
      <c r="I121" s="30"/>
      <c r="J121" s="36"/>
      <c r="K121" s="30">
        <v>0</v>
      </c>
      <c r="L121" s="30">
        <v>0</v>
      </c>
      <c r="M121" s="1"/>
      <c r="O121" s="36">
        <v>0.05</v>
      </c>
      <c r="V121" s="1">
        <v>1</v>
      </c>
      <c r="W121" s="1" t="s">
        <v>506</v>
      </c>
      <c r="X121" t="s">
        <v>505</v>
      </c>
      <c r="Y121" s="30"/>
      <c r="Z121" s="30"/>
      <c r="AB121" s="35"/>
      <c r="AC121" s="35"/>
      <c r="AD121" s="37"/>
      <c r="AE121" s="29"/>
      <c r="AF121" s="29"/>
      <c r="AG121" s="25"/>
      <c r="AH121" s="25"/>
    </row>
    <row r="122" spans="1:34" ht="19.5" thickBot="1" x14ac:dyDescent="0.25">
      <c r="A122" s="1" t="s">
        <v>92</v>
      </c>
      <c r="B122" s="1" t="s">
        <v>91</v>
      </c>
      <c r="C122" s="1" t="s">
        <v>502</v>
      </c>
      <c r="D122" s="36"/>
      <c r="E122" s="36"/>
      <c r="F122" s="36"/>
      <c r="G122" s="36"/>
      <c r="H122" s="30"/>
      <c r="I122" s="30"/>
      <c r="J122" s="36"/>
      <c r="K122" s="30"/>
      <c r="L122" s="30"/>
      <c r="M122" s="1"/>
      <c r="N122" s="1"/>
      <c r="O122" s="1"/>
      <c r="V122" s="1">
        <v>1</v>
      </c>
      <c r="W122" s="1" t="s">
        <v>504</v>
      </c>
      <c r="X122" t="s">
        <v>503</v>
      </c>
      <c r="Y122" s="30"/>
      <c r="Z122" s="30"/>
      <c r="AB122" s="35"/>
      <c r="AC122" s="35"/>
      <c r="AD122" s="37"/>
      <c r="AE122" s="29"/>
      <c r="AF122" s="29"/>
      <c r="AG122" s="25"/>
      <c r="AH122" s="25"/>
    </row>
    <row r="123" spans="1:34" ht="19.5" thickBot="1" x14ac:dyDescent="0.25">
      <c r="A123" s="1" t="s">
        <v>90</v>
      </c>
      <c r="B123" s="1" t="s">
        <v>89</v>
      </c>
      <c r="C123" s="1" t="s">
        <v>502</v>
      </c>
      <c r="D123" s="36"/>
      <c r="E123" s="36"/>
      <c r="F123" s="36"/>
      <c r="G123" s="36"/>
      <c r="H123" s="30"/>
      <c r="I123" s="30"/>
      <c r="J123" s="36"/>
      <c r="K123" s="36"/>
      <c r="L123" s="36"/>
      <c r="M123" s="1"/>
      <c r="V123" s="1">
        <v>1</v>
      </c>
      <c r="W123" s="1" t="s">
        <v>500</v>
      </c>
      <c r="X123" t="s">
        <v>501</v>
      </c>
      <c r="Y123" s="30"/>
      <c r="Z123" s="30"/>
      <c r="AB123" s="35"/>
      <c r="AC123" s="35"/>
      <c r="AD123" s="34"/>
      <c r="AE123" s="29"/>
      <c r="AF123" s="29"/>
      <c r="AG123" s="25"/>
      <c r="AH123" s="25"/>
    </row>
    <row r="124" spans="1:34" ht="19.5" thickBot="1" x14ac:dyDescent="0.25">
      <c r="X124" t="s">
        <v>500</v>
      </c>
      <c r="Y124" s="30"/>
      <c r="Z124" s="30"/>
      <c r="AB124" s="35"/>
      <c r="AC124" s="35"/>
      <c r="AD124" s="34"/>
      <c r="AE124" s="29"/>
      <c r="AF124" s="29"/>
      <c r="AG124" s="25"/>
      <c r="AH124" s="25"/>
    </row>
    <row r="125" spans="1:34" ht="19.5" thickBot="1" x14ac:dyDescent="0.25">
      <c r="X125" t="s">
        <v>500</v>
      </c>
      <c r="Y125" s="30"/>
      <c r="Z125" s="30"/>
      <c r="AB125" s="35"/>
      <c r="AC125" s="35"/>
      <c r="AD125" s="34"/>
      <c r="AE125" s="29"/>
      <c r="AF125" s="29"/>
      <c r="AG125" s="25"/>
      <c r="AH125" s="25"/>
    </row>
    <row r="126" spans="1:34" ht="36.75" thickBot="1" x14ac:dyDescent="0.25">
      <c r="A126" s="18" t="s">
        <v>193</v>
      </c>
      <c r="B126" s="18" t="s">
        <v>192</v>
      </c>
      <c r="C126" s="21" t="s">
        <v>189</v>
      </c>
      <c r="D126" s="20" t="s">
        <v>188</v>
      </c>
      <c r="E126" s="20" t="s">
        <v>187</v>
      </c>
      <c r="F126" s="20" t="s">
        <v>186</v>
      </c>
      <c r="G126" s="20" t="s">
        <v>185</v>
      </c>
      <c r="H126" s="31" t="s">
        <v>184</v>
      </c>
      <c r="I126" s="31" t="s">
        <v>183</v>
      </c>
      <c r="J126" s="20" t="s">
        <v>878</v>
      </c>
      <c r="K126" s="31" t="s">
        <v>179</v>
      </c>
      <c r="L126" s="31" t="s">
        <v>178</v>
      </c>
      <c r="M126" s="18" t="s">
        <v>177</v>
      </c>
      <c r="N126" s="18" t="s">
        <v>176</v>
      </c>
      <c r="O126" s="17" t="s">
        <v>168</v>
      </c>
      <c r="P126" s="16" t="s">
        <v>175</v>
      </c>
      <c r="Q126" s="16" t="s">
        <v>174</v>
      </c>
      <c r="R126" s="16" t="s">
        <v>173</v>
      </c>
      <c r="S126" s="17" t="s">
        <v>172</v>
      </c>
      <c r="T126" s="16" t="s">
        <v>171</v>
      </c>
      <c r="AB126" s="35"/>
      <c r="AC126" s="35"/>
      <c r="AD126" s="34"/>
      <c r="AE126" s="29"/>
      <c r="AF126" s="29"/>
      <c r="AG126" s="25"/>
      <c r="AH126" s="25"/>
    </row>
    <row r="127" spans="1:34" ht="19.5" thickBot="1" x14ac:dyDescent="0.25">
      <c r="A127" t="s">
        <v>1245</v>
      </c>
      <c r="B127" t="s">
        <v>1254</v>
      </c>
      <c r="C127" t="s">
        <v>1245</v>
      </c>
      <c r="D127" s="29">
        <v>0.95</v>
      </c>
      <c r="E127" s="29">
        <v>0</v>
      </c>
      <c r="F127" s="29">
        <v>0</v>
      </c>
      <c r="G127" s="29">
        <v>1</v>
      </c>
      <c r="H127" s="29">
        <v>0.7</v>
      </c>
      <c r="I127" s="29" t="s">
        <v>1260</v>
      </c>
      <c r="J127">
        <v>0.1</v>
      </c>
      <c r="K127" s="29">
        <v>0.1</v>
      </c>
      <c r="L127" s="29">
        <v>1.25</v>
      </c>
      <c r="M127" s="29">
        <v>0</v>
      </c>
      <c r="N127" s="29">
        <v>-0.05</v>
      </c>
      <c r="O127" s="29" t="s">
        <v>1260</v>
      </c>
      <c r="P127" s="29" t="s">
        <v>1260</v>
      </c>
      <c r="Q127" s="29" t="s">
        <v>1260</v>
      </c>
      <c r="R127" s="29" t="s">
        <v>1260</v>
      </c>
      <c r="S127" s="33">
        <v>2</v>
      </c>
      <c r="T127" t="s">
        <v>1246</v>
      </c>
      <c r="AB127" s="35"/>
      <c r="AC127" s="35"/>
      <c r="AD127" s="34"/>
      <c r="AE127" s="29"/>
      <c r="AF127" s="29"/>
      <c r="AG127" s="25"/>
      <c r="AH127" s="25"/>
    </row>
    <row r="128" spans="1:34" ht="19.5" thickBot="1" x14ac:dyDescent="0.25">
      <c r="A128" t="s">
        <v>1247</v>
      </c>
      <c r="B128" t="s">
        <v>1255</v>
      </c>
      <c r="C128" t="s">
        <v>1247</v>
      </c>
      <c r="D128" s="29">
        <v>1.05</v>
      </c>
      <c r="E128" s="29">
        <v>0</v>
      </c>
      <c r="F128" s="29">
        <v>0.8</v>
      </c>
      <c r="G128" s="29">
        <v>0.2</v>
      </c>
      <c r="H128" s="29">
        <v>0.5</v>
      </c>
      <c r="I128" s="29" t="s">
        <v>1260</v>
      </c>
      <c r="J128">
        <v>7.0000000000000007E-2</v>
      </c>
      <c r="K128" s="29">
        <v>0.1</v>
      </c>
      <c r="L128" s="29">
        <v>1.5</v>
      </c>
      <c r="M128" s="29">
        <v>-0.03</v>
      </c>
      <c r="N128" s="29">
        <v>-0.03</v>
      </c>
      <c r="O128" s="29" t="s">
        <v>1260</v>
      </c>
      <c r="P128" s="29" t="s">
        <v>1260</v>
      </c>
      <c r="Q128" s="29" t="s">
        <v>1260</v>
      </c>
      <c r="R128" s="29" t="s">
        <v>1260</v>
      </c>
      <c r="S128" s="33">
        <v>1</v>
      </c>
      <c r="T128" t="s">
        <v>1248</v>
      </c>
      <c r="AB128" s="35"/>
      <c r="AC128" s="35"/>
      <c r="AD128" s="34"/>
      <c r="AE128" s="29"/>
      <c r="AF128" s="29"/>
      <c r="AG128" s="25"/>
      <c r="AH128" s="25"/>
    </row>
    <row r="129" spans="1:34" ht="19.5" thickBot="1" x14ac:dyDescent="0.25">
      <c r="A129" t="s">
        <v>1249</v>
      </c>
      <c r="B129" t="s">
        <v>1256</v>
      </c>
      <c r="C129" t="s">
        <v>1249</v>
      </c>
      <c r="D129" s="29">
        <v>1</v>
      </c>
      <c r="E129" s="29">
        <v>0.4</v>
      </c>
      <c r="F129" s="29">
        <v>0.4</v>
      </c>
      <c r="G129" s="29">
        <v>0.1</v>
      </c>
      <c r="H129" s="29">
        <v>0.4</v>
      </c>
      <c r="I129" s="29" t="s">
        <v>1260</v>
      </c>
      <c r="J129">
        <v>7.0000000000000007E-2</v>
      </c>
      <c r="K129" s="29">
        <v>0.2</v>
      </c>
      <c r="L129" s="29">
        <v>1.4</v>
      </c>
      <c r="M129" s="29">
        <v>-0.03</v>
      </c>
      <c r="N129" s="29">
        <v>-0.03</v>
      </c>
      <c r="O129" s="29" t="s">
        <v>1260</v>
      </c>
      <c r="P129" s="29" t="s">
        <v>1260</v>
      </c>
      <c r="Q129" s="29" t="s">
        <v>1260</v>
      </c>
      <c r="R129" s="29" t="s">
        <v>1260</v>
      </c>
      <c r="S129" s="33">
        <v>1</v>
      </c>
      <c r="T129" t="s">
        <v>1248</v>
      </c>
      <c r="AB129" s="35"/>
      <c r="AC129" s="35"/>
      <c r="AD129" s="34"/>
      <c r="AE129" s="29"/>
      <c r="AF129" s="29"/>
      <c r="AG129" s="25"/>
      <c r="AH129" s="25"/>
    </row>
    <row r="130" spans="1:34" ht="19.5" thickBot="1" x14ac:dyDescent="0.25">
      <c r="A130" t="s">
        <v>1250</v>
      </c>
      <c r="B130" t="s">
        <v>1257</v>
      </c>
      <c r="C130" t="s">
        <v>1250</v>
      </c>
      <c r="D130" s="29">
        <v>1</v>
      </c>
      <c r="E130" s="29">
        <v>0.5</v>
      </c>
      <c r="F130" s="29">
        <v>0.3</v>
      </c>
      <c r="G130" s="29">
        <v>0.2</v>
      </c>
      <c r="H130" s="29">
        <v>0.65</v>
      </c>
      <c r="I130" s="29" t="s">
        <v>1260</v>
      </c>
      <c r="J130">
        <v>0.1</v>
      </c>
      <c r="K130" s="29">
        <v>0.15</v>
      </c>
      <c r="L130" s="29">
        <v>1.4</v>
      </c>
      <c r="M130" s="29">
        <v>0</v>
      </c>
      <c r="N130" s="29">
        <v>-0.05</v>
      </c>
      <c r="O130" s="29" t="s">
        <v>1260</v>
      </c>
      <c r="P130" s="29" t="s">
        <v>1260</v>
      </c>
      <c r="Q130" s="29" t="s">
        <v>1260</v>
      </c>
      <c r="R130" s="29" t="s">
        <v>1260</v>
      </c>
      <c r="S130" s="33">
        <v>2</v>
      </c>
      <c r="T130" t="s">
        <v>1246</v>
      </c>
      <c r="AG130" s="25"/>
      <c r="AH130" s="25"/>
    </row>
    <row r="131" spans="1:34" ht="19.5" thickBot="1" x14ac:dyDescent="0.25">
      <c r="A131" t="s">
        <v>1251</v>
      </c>
      <c r="B131" t="s">
        <v>1258</v>
      </c>
      <c r="C131" t="s">
        <v>1251</v>
      </c>
      <c r="D131" s="29">
        <v>0.85</v>
      </c>
      <c r="E131" s="29">
        <v>0</v>
      </c>
      <c r="F131" s="29">
        <v>0</v>
      </c>
      <c r="G131" s="29">
        <v>0.7</v>
      </c>
      <c r="H131" s="29">
        <v>0.3</v>
      </c>
      <c r="I131" s="29" t="s">
        <v>1260</v>
      </c>
      <c r="J131">
        <v>0.05</v>
      </c>
      <c r="K131" s="29">
        <v>0.05</v>
      </c>
      <c r="L131" s="29">
        <v>1.2</v>
      </c>
      <c r="M131" s="29">
        <v>-0.01</v>
      </c>
      <c r="N131" s="29">
        <v>0</v>
      </c>
      <c r="O131" s="29" t="s">
        <v>1260</v>
      </c>
      <c r="P131" s="29" t="s">
        <v>1260</v>
      </c>
      <c r="Q131" s="29" t="s">
        <v>1260</v>
      </c>
      <c r="R131" s="29" t="s">
        <v>1260</v>
      </c>
      <c r="S131" s="33">
        <v>1</v>
      </c>
      <c r="T131" t="s">
        <v>1252</v>
      </c>
      <c r="AG131" s="25"/>
      <c r="AH131" s="25"/>
    </row>
    <row r="132" spans="1:34" ht="19.5" thickBot="1" x14ac:dyDescent="0.25">
      <c r="A132" t="s">
        <v>1253</v>
      </c>
      <c r="B132" t="s">
        <v>1259</v>
      </c>
      <c r="C132" t="s">
        <v>1253</v>
      </c>
      <c r="D132" s="29">
        <v>0.95</v>
      </c>
      <c r="E132" s="29">
        <v>0</v>
      </c>
      <c r="F132" s="29">
        <v>0</v>
      </c>
      <c r="G132" s="29">
        <v>0.9</v>
      </c>
      <c r="H132" s="29">
        <v>0.35</v>
      </c>
      <c r="I132" s="29" t="s">
        <v>1260</v>
      </c>
      <c r="J132">
        <v>0.05</v>
      </c>
      <c r="K132" s="29">
        <v>0.1</v>
      </c>
      <c r="L132" s="29">
        <v>1.3</v>
      </c>
      <c r="M132" s="29">
        <v>-0.05</v>
      </c>
      <c r="N132" s="29">
        <v>-0.05</v>
      </c>
      <c r="O132" s="29" t="s">
        <v>1260</v>
      </c>
      <c r="P132" s="29" t="s">
        <v>1260</v>
      </c>
      <c r="Q132" s="29" t="s">
        <v>1260</v>
      </c>
      <c r="R132" s="29" t="s">
        <v>1260</v>
      </c>
      <c r="S132" s="33">
        <v>1</v>
      </c>
      <c r="T132" t="s">
        <v>1252</v>
      </c>
      <c r="AG132" s="25"/>
      <c r="AH132" s="25"/>
    </row>
    <row r="133" spans="1:34" ht="19.5" thickBot="1" x14ac:dyDescent="0.25">
      <c r="AG133" s="25"/>
      <c r="AH133" s="25"/>
    </row>
    <row r="134" spans="1:34" ht="19.5" thickBot="1" x14ac:dyDescent="0.25">
      <c r="AG134" s="25"/>
      <c r="AH134" s="25"/>
    </row>
    <row r="135" spans="1:34" ht="19.5" thickBot="1" x14ac:dyDescent="0.25">
      <c r="AG135" s="25"/>
      <c r="AH135" s="25"/>
    </row>
    <row r="136" spans="1:34" ht="19.5" thickBot="1" x14ac:dyDescent="0.25">
      <c r="AG136" s="25"/>
      <c r="AH136" s="25"/>
    </row>
    <row r="137" spans="1:34" ht="19.5" thickBot="1" x14ac:dyDescent="0.25">
      <c r="AG137" s="25"/>
      <c r="AH137" s="25"/>
    </row>
    <row r="138" spans="1:34" ht="19.5" thickBot="1" x14ac:dyDescent="0.25">
      <c r="AG138" s="25"/>
      <c r="AH138" s="25"/>
    </row>
    <row r="139" spans="1:34" ht="19.5" thickBot="1" x14ac:dyDescent="0.25">
      <c r="AG139" s="25"/>
      <c r="AH139" s="25"/>
    </row>
    <row r="140" spans="1:34" ht="19.5" thickBot="1" x14ac:dyDescent="0.25">
      <c r="AG140" s="25"/>
      <c r="AH140" s="25"/>
    </row>
    <row r="141" spans="1:34" ht="19.5" thickBot="1" x14ac:dyDescent="0.25">
      <c r="AG141" s="25"/>
      <c r="AH141" s="25"/>
    </row>
    <row r="142" spans="1:34" ht="19.5" thickBot="1" x14ac:dyDescent="0.25">
      <c r="AG142" s="25"/>
      <c r="AH142" s="25"/>
    </row>
    <row r="143" spans="1:34" ht="19.5" thickBot="1" x14ac:dyDescent="0.25">
      <c r="AG143" s="25"/>
      <c r="AH143" s="25"/>
    </row>
    <row r="144" spans="1:34" ht="19.5" thickBot="1" x14ac:dyDescent="0.25">
      <c r="AG144" s="25"/>
      <c r="AH144" s="25"/>
    </row>
    <row r="145" spans="33:34" ht="19.5" thickBot="1" x14ac:dyDescent="0.25">
      <c r="AG145" s="25"/>
      <c r="AH145" s="25"/>
    </row>
    <row r="146" spans="33:34" ht="19.5" thickBot="1" x14ac:dyDescent="0.25">
      <c r="AG146" s="25"/>
      <c r="AH146" s="25"/>
    </row>
    <row r="147" spans="33:34" ht="19.5" thickBot="1" x14ac:dyDescent="0.25">
      <c r="AG147" s="25"/>
      <c r="AH147" s="25"/>
    </row>
    <row r="148" spans="33:34" ht="19.5" thickBot="1" x14ac:dyDescent="0.25">
      <c r="AG148" s="25"/>
      <c r="AH148" s="25"/>
    </row>
    <row r="149" spans="33:34" ht="19.5" thickBot="1" x14ac:dyDescent="0.25">
      <c r="AG149" s="25"/>
      <c r="AH149" s="25"/>
    </row>
    <row r="150" spans="33:34" ht="19.5" thickBot="1" x14ac:dyDescent="0.25">
      <c r="AG150" s="25"/>
      <c r="AH150" s="25"/>
    </row>
    <row r="151" spans="33:34" ht="19.5" thickBot="1" x14ac:dyDescent="0.25">
      <c r="AG151" s="25"/>
      <c r="AH151" s="25"/>
    </row>
    <row r="152" spans="33:34" ht="19.5" thickBot="1" x14ac:dyDescent="0.25">
      <c r="AG152" s="25"/>
      <c r="AH152" s="25"/>
    </row>
    <row r="153" spans="33:34" ht="19.5" thickBot="1" x14ac:dyDescent="0.25">
      <c r="AG153" s="25"/>
      <c r="AH153" s="25"/>
    </row>
    <row r="154" spans="33:34" ht="19.5" thickBot="1" x14ac:dyDescent="0.25">
      <c r="AG154" s="25"/>
      <c r="AH154" s="25"/>
    </row>
    <row r="155" spans="33:34" ht="19.5" thickBot="1" x14ac:dyDescent="0.25">
      <c r="AG155" s="25"/>
      <c r="AH155" s="25"/>
    </row>
    <row r="156" spans="33:34" ht="19.5" thickBot="1" x14ac:dyDescent="0.25">
      <c r="AG156" s="25"/>
      <c r="AH156" s="25"/>
    </row>
    <row r="157" spans="33:34" ht="19.5" thickBot="1" x14ac:dyDescent="0.25">
      <c r="AG157" s="25"/>
      <c r="AH157" s="25"/>
    </row>
    <row r="158" spans="33:34" ht="19.5" thickBot="1" x14ac:dyDescent="0.25">
      <c r="AG158" s="25"/>
      <c r="AH158" s="25"/>
    </row>
    <row r="159" spans="33:34" ht="19.5" thickBot="1" x14ac:dyDescent="0.25">
      <c r="AG159" s="25"/>
      <c r="AH159" s="25"/>
    </row>
    <row r="160" spans="33:34" ht="19.5" thickBot="1" x14ac:dyDescent="0.25">
      <c r="AG160" s="25"/>
      <c r="AH160" s="25"/>
    </row>
    <row r="161" spans="33:34" ht="19.5" thickBot="1" x14ac:dyDescent="0.25">
      <c r="AG161" s="25"/>
      <c r="AH161" s="25"/>
    </row>
    <row r="162" spans="33:34" ht="19.5" thickBot="1" x14ac:dyDescent="0.25">
      <c r="AG162" s="25"/>
      <c r="AH162" s="25"/>
    </row>
    <row r="163" spans="33:34" ht="19.5" thickBot="1" x14ac:dyDescent="0.25">
      <c r="AG163" s="25"/>
      <c r="AH163" s="25"/>
    </row>
    <row r="164" spans="33:34" ht="19.5" thickBot="1" x14ac:dyDescent="0.25">
      <c r="AG164" s="25"/>
      <c r="AH164" s="25"/>
    </row>
    <row r="165" spans="33:34" ht="19.5" thickBot="1" x14ac:dyDescent="0.25">
      <c r="AG165" s="25"/>
      <c r="AH165" s="25"/>
    </row>
    <row r="166" spans="33:34" ht="19.5" thickBot="1" x14ac:dyDescent="0.25">
      <c r="AG166" s="25"/>
      <c r="AH166" s="25"/>
    </row>
    <row r="167" spans="33:34" ht="19.5" thickBot="1" x14ac:dyDescent="0.25">
      <c r="AG167" s="25"/>
      <c r="AH167" s="25"/>
    </row>
    <row r="168" spans="33:34" ht="19.5" thickBot="1" x14ac:dyDescent="0.25">
      <c r="AG168" s="25"/>
      <c r="AH168" s="25"/>
    </row>
    <row r="169" spans="33:34" ht="19.5" thickBot="1" x14ac:dyDescent="0.25">
      <c r="AG169" s="25"/>
      <c r="AH169" s="25"/>
    </row>
    <row r="170" spans="33:34" ht="19.5" thickBot="1" x14ac:dyDescent="0.25">
      <c r="AG170" s="25"/>
      <c r="AH170" s="25"/>
    </row>
    <row r="171" spans="33:34" ht="19.5" thickBot="1" x14ac:dyDescent="0.25">
      <c r="AG171" s="25"/>
      <c r="AH171" s="25"/>
    </row>
    <row r="172" spans="33:34" ht="19.5" thickBot="1" x14ac:dyDescent="0.25">
      <c r="AG172" s="25"/>
      <c r="AH172" s="25"/>
    </row>
    <row r="173" spans="33:34" ht="19.5" thickBot="1" x14ac:dyDescent="0.25">
      <c r="AG173" s="25"/>
      <c r="AH173" s="25"/>
    </row>
    <row r="174" spans="33:34" ht="19.5" thickBot="1" x14ac:dyDescent="0.25">
      <c r="AG174" s="25"/>
      <c r="AH174" s="25"/>
    </row>
    <row r="175" spans="33:34" ht="19.5" thickBot="1" x14ac:dyDescent="0.25">
      <c r="AG175" s="25"/>
      <c r="AH175" s="25"/>
    </row>
    <row r="176" spans="33:34" ht="19.5" thickBot="1" x14ac:dyDescent="0.25">
      <c r="AG176" s="25"/>
      <c r="AH176" s="25"/>
    </row>
    <row r="177" spans="33:34" ht="19.5" thickBot="1" x14ac:dyDescent="0.25">
      <c r="AG177" s="25"/>
      <c r="AH177" s="25"/>
    </row>
    <row r="178" spans="33:34" ht="19.5" thickBot="1" x14ac:dyDescent="0.25">
      <c r="AG178" s="25"/>
      <c r="AH178" s="25"/>
    </row>
    <row r="179" spans="33:34" ht="19.5" thickBot="1" x14ac:dyDescent="0.25">
      <c r="AG179" s="25"/>
      <c r="AH179" s="25"/>
    </row>
    <row r="180" spans="33:34" ht="19.5" thickBot="1" x14ac:dyDescent="0.25">
      <c r="AG180" s="25"/>
      <c r="AH180" s="25"/>
    </row>
    <row r="181" spans="33:34" ht="19.5" thickBot="1" x14ac:dyDescent="0.25">
      <c r="AG181" s="25"/>
      <c r="AH181" s="25"/>
    </row>
    <row r="182" spans="33:34" ht="19.5" thickBot="1" x14ac:dyDescent="0.25">
      <c r="AG182" s="25"/>
      <c r="AH182" s="25"/>
    </row>
    <row r="183" spans="33:34" ht="19.5" thickBot="1" x14ac:dyDescent="0.25">
      <c r="AG183" s="25"/>
      <c r="AH183" s="25"/>
    </row>
    <row r="184" spans="33:34" ht="19.5" thickBot="1" x14ac:dyDescent="0.25">
      <c r="AG184" s="25"/>
      <c r="AH184" s="25"/>
    </row>
    <row r="185" spans="33:34" ht="19.5" thickBot="1" x14ac:dyDescent="0.25">
      <c r="AG185" s="25"/>
      <c r="AH185" s="25"/>
    </row>
    <row r="186" spans="33:34" ht="19.5" thickBot="1" x14ac:dyDescent="0.25">
      <c r="AG186" s="25"/>
      <c r="AH186" s="25"/>
    </row>
    <row r="187" spans="33:34" ht="19.5" thickBot="1" x14ac:dyDescent="0.25">
      <c r="AG187" s="25"/>
      <c r="AH187" s="25"/>
    </row>
    <row r="188" spans="33:34" ht="19.5" thickBot="1" x14ac:dyDescent="0.25">
      <c r="AG188" s="25"/>
      <c r="AH188" s="25"/>
    </row>
    <row r="189" spans="33:34" ht="19.5" thickBot="1" x14ac:dyDescent="0.25">
      <c r="AG189" s="25"/>
      <c r="AH189" s="25"/>
    </row>
    <row r="190" spans="33:34" ht="19.5" thickBot="1" x14ac:dyDescent="0.25">
      <c r="AG190" s="25"/>
      <c r="AH190" s="25"/>
    </row>
    <row r="191" spans="33:34" ht="19.5" thickBot="1" x14ac:dyDescent="0.25">
      <c r="AG191" s="25"/>
      <c r="AH191" s="25"/>
    </row>
    <row r="192" spans="33:34" ht="19.5" thickBot="1" x14ac:dyDescent="0.25">
      <c r="AG192" s="25"/>
      <c r="AH192" s="25"/>
    </row>
    <row r="193" spans="33:34" ht="19.5" thickBot="1" x14ac:dyDescent="0.25">
      <c r="AG193" s="25"/>
      <c r="AH193" s="25"/>
    </row>
    <row r="194" spans="33:34" ht="19.5" thickBot="1" x14ac:dyDescent="0.25">
      <c r="AG194" s="25"/>
      <c r="AH194" s="25"/>
    </row>
    <row r="195" spans="33:34" ht="19.5" thickBot="1" x14ac:dyDescent="0.25">
      <c r="AG195" s="25"/>
      <c r="AH195" s="25"/>
    </row>
    <row r="196" spans="33:34" ht="19.5" thickBot="1" x14ac:dyDescent="0.25">
      <c r="AG196" s="25"/>
      <c r="AH196" s="25"/>
    </row>
    <row r="197" spans="33:34" ht="19.5" thickBot="1" x14ac:dyDescent="0.25">
      <c r="AG197" s="25"/>
      <c r="AH197" s="25"/>
    </row>
    <row r="198" spans="33:34" ht="19.5" thickBot="1" x14ac:dyDescent="0.25">
      <c r="AG198" s="25"/>
      <c r="AH198" s="25"/>
    </row>
    <row r="199" spans="33:34" ht="19.5" thickBot="1" x14ac:dyDescent="0.25">
      <c r="AG199" s="25"/>
      <c r="AH199" s="25"/>
    </row>
    <row r="200" spans="33:34" ht="19.5" thickBot="1" x14ac:dyDescent="0.25">
      <c r="AG200" s="25"/>
      <c r="AH200" s="25"/>
    </row>
    <row r="201" spans="33:34" ht="19.5" thickBot="1" x14ac:dyDescent="0.25">
      <c r="AG201" s="25"/>
      <c r="AH201" s="25"/>
    </row>
    <row r="202" spans="33:34" ht="19.5" thickBot="1" x14ac:dyDescent="0.25">
      <c r="AG202" s="25"/>
      <c r="AH202" s="25"/>
    </row>
    <row r="203" spans="33:34" ht="19.5" thickBot="1" x14ac:dyDescent="0.25">
      <c r="AG203" s="25"/>
      <c r="AH203" s="25"/>
    </row>
    <row r="204" spans="33:34" ht="19.5" thickBot="1" x14ac:dyDescent="0.25">
      <c r="AG204" s="25"/>
      <c r="AH204" s="25"/>
    </row>
    <row r="205" spans="33:34" ht="19.5" thickBot="1" x14ac:dyDescent="0.25">
      <c r="AG205" s="25"/>
      <c r="AH205" s="25"/>
    </row>
    <row r="206" spans="33:34" ht="19.5" thickBot="1" x14ac:dyDescent="0.25">
      <c r="AG206" s="25"/>
      <c r="AH206" s="25"/>
    </row>
    <row r="207" spans="33:34" ht="19.5" thickBot="1" x14ac:dyDescent="0.25">
      <c r="AG207" s="25"/>
      <c r="AH207" s="25"/>
    </row>
    <row r="208" spans="33:34" ht="19.5" thickBot="1" x14ac:dyDescent="0.25">
      <c r="AG208" s="25"/>
      <c r="AH208" s="25"/>
    </row>
    <row r="209" spans="33:34" ht="19.5" thickBot="1" x14ac:dyDescent="0.25">
      <c r="AG209" s="25"/>
      <c r="AH209" s="25"/>
    </row>
    <row r="210" spans="33:34" ht="19.5" thickBot="1" x14ac:dyDescent="0.25">
      <c r="AG210" s="25"/>
      <c r="AH210" s="25"/>
    </row>
    <row r="211" spans="33:34" ht="19.5" thickBot="1" x14ac:dyDescent="0.25">
      <c r="AG211" s="25"/>
      <c r="AH211" s="25"/>
    </row>
    <row r="212" spans="33:34" ht="19.5" thickBot="1" x14ac:dyDescent="0.25">
      <c r="AG212" s="25"/>
      <c r="AH212" s="25"/>
    </row>
    <row r="213" spans="33:34" ht="19.5" thickBot="1" x14ac:dyDescent="0.25">
      <c r="AG213" s="25"/>
      <c r="AH213" s="25"/>
    </row>
    <row r="214" spans="33:34" ht="19.5" thickBot="1" x14ac:dyDescent="0.25">
      <c r="AG214" s="25"/>
      <c r="AH214" s="25"/>
    </row>
    <row r="215" spans="33:34" ht="19.5" thickBot="1" x14ac:dyDescent="0.25">
      <c r="AG215" s="25"/>
      <c r="AH215" s="25"/>
    </row>
    <row r="216" spans="33:34" ht="19.5" thickBot="1" x14ac:dyDescent="0.25">
      <c r="AG216" s="25"/>
      <c r="AH216" s="25"/>
    </row>
    <row r="217" spans="33:34" ht="19.5" thickBot="1" x14ac:dyDescent="0.25">
      <c r="AG217" s="25"/>
      <c r="AH217" s="25"/>
    </row>
    <row r="218" spans="33:34" ht="19.5" thickBot="1" x14ac:dyDescent="0.25">
      <c r="AG218" s="25"/>
      <c r="AH218" s="25"/>
    </row>
    <row r="219" spans="33:34" ht="19.5" thickBot="1" x14ac:dyDescent="0.25">
      <c r="AG219" s="25"/>
      <c r="AH219" s="25"/>
    </row>
    <row r="220" spans="33:34" ht="19.5" thickBot="1" x14ac:dyDescent="0.25">
      <c r="AG220" s="25"/>
      <c r="AH220" s="25"/>
    </row>
    <row r="221" spans="33:34" ht="19.5" thickBot="1" x14ac:dyDescent="0.25">
      <c r="AG221" s="25"/>
      <c r="AH221" s="25"/>
    </row>
    <row r="222" spans="33:34" ht="19.5" thickBot="1" x14ac:dyDescent="0.25">
      <c r="AG222" s="25"/>
      <c r="AH222" s="25"/>
    </row>
    <row r="223" spans="33:34" ht="19.5" thickBot="1" x14ac:dyDescent="0.25">
      <c r="AG223" s="25"/>
      <c r="AH223" s="25"/>
    </row>
    <row r="224" spans="33:34" ht="19.5" thickBot="1" x14ac:dyDescent="0.25">
      <c r="AG224" s="25"/>
      <c r="AH224" s="25"/>
    </row>
    <row r="225" spans="33:34" ht="19.5" thickBot="1" x14ac:dyDescent="0.25">
      <c r="AG225" s="25"/>
      <c r="AH225" s="25"/>
    </row>
    <row r="226" spans="33:34" ht="19.5" thickBot="1" x14ac:dyDescent="0.25">
      <c r="AG226" s="25"/>
      <c r="AH226" s="25"/>
    </row>
    <row r="227" spans="33:34" ht="19.5" thickBot="1" x14ac:dyDescent="0.25">
      <c r="AG227" s="25"/>
      <c r="AH227" s="25"/>
    </row>
    <row r="228" spans="33:34" ht="19.5" thickBot="1" x14ac:dyDescent="0.25">
      <c r="AG228" s="25"/>
      <c r="AH228" s="25"/>
    </row>
    <row r="229" spans="33:34" ht="19.5" thickBot="1" x14ac:dyDescent="0.25">
      <c r="AG229" s="25"/>
      <c r="AH229" s="25"/>
    </row>
    <row r="230" spans="33:34" ht="19.5" thickBot="1" x14ac:dyDescent="0.25">
      <c r="AG230" s="25"/>
      <c r="AH230" s="25"/>
    </row>
    <row r="231" spans="33:34" ht="19.5" thickBot="1" x14ac:dyDescent="0.25">
      <c r="AG231" s="25"/>
      <c r="AH231" s="25"/>
    </row>
    <row r="232" spans="33:34" ht="19.5" thickBot="1" x14ac:dyDescent="0.25">
      <c r="AG232" s="25"/>
      <c r="AH232" s="25"/>
    </row>
    <row r="233" spans="33:34" ht="19.5" thickBot="1" x14ac:dyDescent="0.25">
      <c r="AG233" s="25"/>
      <c r="AH233" s="25"/>
    </row>
    <row r="234" spans="33:34" ht="19.5" thickBot="1" x14ac:dyDescent="0.25">
      <c r="AG234" s="25"/>
      <c r="AH234" s="25"/>
    </row>
    <row r="235" spans="33:34" ht="19.5" thickBot="1" x14ac:dyDescent="0.25">
      <c r="AG235" s="25"/>
      <c r="AH235" s="25"/>
    </row>
    <row r="236" spans="33:34" ht="19.5" thickBot="1" x14ac:dyDescent="0.25">
      <c r="AG236" s="25"/>
      <c r="AH236" s="25"/>
    </row>
    <row r="237" spans="33:34" ht="19.5" thickBot="1" x14ac:dyDescent="0.25">
      <c r="AG237" s="25"/>
      <c r="AH237" s="25"/>
    </row>
    <row r="238" spans="33:34" ht="19.5" thickBot="1" x14ac:dyDescent="0.25">
      <c r="AG238" s="25"/>
      <c r="AH238" s="25"/>
    </row>
    <row r="239" spans="33:34" ht="19.5" thickBot="1" x14ac:dyDescent="0.25">
      <c r="AG239" s="25"/>
      <c r="AH239" s="25"/>
    </row>
    <row r="240" spans="33:34" ht="19.5" thickBot="1" x14ac:dyDescent="0.25">
      <c r="AG240" s="25"/>
      <c r="AH240" s="25"/>
    </row>
    <row r="241" spans="6:34" ht="19.5" thickBot="1" x14ac:dyDescent="0.25">
      <c r="AG241" s="25"/>
      <c r="AH241" s="25"/>
    </row>
    <row r="242" spans="6:34" ht="19.5" thickBot="1" x14ac:dyDescent="0.25">
      <c r="AG242" s="25"/>
      <c r="AH242" s="25"/>
    </row>
    <row r="243" spans="6:34" ht="19.5" thickBot="1" x14ac:dyDescent="0.25">
      <c r="AG243" s="25"/>
      <c r="AH243" s="25"/>
    </row>
    <row r="244" spans="6:34" ht="19.5" thickBot="1" x14ac:dyDescent="0.25">
      <c r="F244">
        <v>0.2</v>
      </c>
      <c r="AG244" s="25"/>
      <c r="AH244" s="25"/>
    </row>
    <row r="245" spans="6:34" ht="19.5" thickBot="1" x14ac:dyDescent="0.25">
      <c r="F245">
        <v>0.5</v>
      </c>
      <c r="AG245" s="25"/>
      <c r="AH245" s="25"/>
    </row>
    <row r="246" spans="6:34" ht="19.5" thickBot="1" x14ac:dyDescent="0.25">
      <c r="F246">
        <v>0.8</v>
      </c>
      <c r="AG246" s="25"/>
      <c r="AH246" s="25"/>
    </row>
    <row r="247" spans="6:34" ht="19.5" thickBot="1" x14ac:dyDescent="0.25">
      <c r="AG247" s="25"/>
      <c r="AH247" s="25"/>
    </row>
    <row r="248" spans="6:34" ht="19.5" thickBot="1" x14ac:dyDescent="0.25">
      <c r="AG248" s="25"/>
      <c r="AH248" s="25"/>
    </row>
    <row r="249" spans="6:34" ht="19.5" thickBot="1" x14ac:dyDescent="0.25">
      <c r="F249">
        <v>0.25</v>
      </c>
      <c r="AG249" s="25"/>
      <c r="AH249" s="25"/>
    </row>
    <row r="250" spans="6:34" ht="19.5" thickBot="1" x14ac:dyDescent="0.25">
      <c r="F250">
        <v>0.55000000000000004</v>
      </c>
      <c r="AG250" s="25"/>
      <c r="AH250" s="25"/>
    </row>
    <row r="251" spans="6:34" ht="19.5" thickBot="1" x14ac:dyDescent="0.25">
      <c r="F251">
        <v>0.85</v>
      </c>
      <c r="AG251" s="25"/>
      <c r="AH251" s="25"/>
    </row>
    <row r="252" spans="6:34" ht="19.5" thickBot="1" x14ac:dyDescent="0.25">
      <c r="AG252" s="25"/>
      <c r="AH252" s="25"/>
    </row>
    <row r="253" spans="6:34" ht="19.5" thickBot="1" x14ac:dyDescent="0.25">
      <c r="AG253" s="25"/>
      <c r="AH253" s="25"/>
    </row>
    <row r="254" spans="6:34" ht="19.5" thickBot="1" x14ac:dyDescent="0.25">
      <c r="F254">
        <v>0.2</v>
      </c>
      <c r="AG254" s="25"/>
      <c r="AH254" s="25"/>
    </row>
    <row r="255" spans="6:34" ht="19.5" thickBot="1" x14ac:dyDescent="0.25">
      <c r="F255">
        <v>0.5</v>
      </c>
      <c r="AG255" s="25"/>
      <c r="AH255" s="25"/>
    </row>
    <row r="256" spans="6:34" ht="19.5" thickBot="1" x14ac:dyDescent="0.25">
      <c r="F256">
        <v>0.8</v>
      </c>
      <c r="AG256" s="25"/>
      <c r="AH256" s="25"/>
    </row>
    <row r="257" spans="5:34" ht="19.5" thickBot="1" x14ac:dyDescent="0.25">
      <c r="AG257" s="25"/>
      <c r="AH257" s="25"/>
    </row>
    <row r="258" spans="5:34" ht="19.5" thickBot="1" x14ac:dyDescent="0.25">
      <c r="AG258" s="25"/>
      <c r="AH258" s="25"/>
    </row>
    <row r="259" spans="5:34" ht="19.5" thickBot="1" x14ac:dyDescent="0.25">
      <c r="AG259" s="25"/>
      <c r="AH259" s="25"/>
    </row>
    <row r="260" spans="5:34" ht="19.5" thickBot="1" x14ac:dyDescent="0.25">
      <c r="AG260" s="25"/>
      <c r="AH260" s="25"/>
    </row>
    <row r="261" spans="5:34" ht="19.5" thickBot="1" x14ac:dyDescent="0.25">
      <c r="AG261" s="25"/>
      <c r="AH261" s="25"/>
    </row>
    <row r="262" spans="5:34" ht="19.5" thickBot="1" x14ac:dyDescent="0.25">
      <c r="AG262" s="25"/>
      <c r="AH262" s="25"/>
    </row>
    <row r="263" spans="5:34" ht="19.5" thickBot="1" x14ac:dyDescent="0.25">
      <c r="AG263" s="25"/>
      <c r="AH263" s="25"/>
    </row>
    <row r="264" spans="5:34" ht="19.5" thickBot="1" x14ac:dyDescent="0.25">
      <c r="AG264" s="25"/>
      <c r="AH264" s="25"/>
    </row>
    <row r="265" spans="5:34" ht="19.5" thickBot="1" x14ac:dyDescent="0.25">
      <c r="AG265" s="25"/>
      <c r="AH265" s="25"/>
    </row>
    <row r="266" spans="5:34" ht="19.5" thickBot="1" x14ac:dyDescent="0.25">
      <c r="AG266" s="25"/>
      <c r="AH266" s="25"/>
    </row>
    <row r="267" spans="5:34" ht="19.5" thickBot="1" x14ac:dyDescent="0.25">
      <c r="AG267" s="25"/>
      <c r="AH267" s="25"/>
    </row>
    <row r="268" spans="5:34" ht="19.5" thickBot="1" x14ac:dyDescent="0.25">
      <c r="AG268" s="25"/>
      <c r="AH268" s="25"/>
    </row>
    <row r="269" spans="5:34" ht="19.5" thickBot="1" x14ac:dyDescent="0.25">
      <c r="E269" t="s">
        <v>499</v>
      </c>
      <c r="F269" t="s">
        <v>497</v>
      </c>
      <c r="G269" t="s">
        <v>496</v>
      </c>
      <c r="AG269" s="25"/>
      <c r="AH269" s="25"/>
    </row>
    <row r="270" spans="5:34" ht="19.5" thickBot="1" x14ac:dyDescent="0.25">
      <c r="AG270" s="25"/>
      <c r="AH270" s="25"/>
    </row>
    <row r="271" spans="5:34" ht="19.5" thickBot="1" x14ac:dyDescent="0.25">
      <c r="AG271" s="25"/>
      <c r="AH271" s="25"/>
    </row>
    <row r="272" spans="5:34" ht="19.5" thickBot="1" x14ac:dyDescent="0.25">
      <c r="AG272" s="25"/>
      <c r="AH272" s="25"/>
    </row>
    <row r="273" spans="4:34" ht="19.5" thickBot="1" x14ac:dyDescent="0.25">
      <c r="AG273" s="25"/>
      <c r="AH273" s="25"/>
    </row>
    <row r="274" spans="4:34" ht="19.5" thickBot="1" x14ac:dyDescent="0.25">
      <c r="AG274" s="25"/>
      <c r="AH274" s="25"/>
    </row>
    <row r="275" spans="4:34" ht="19.5" thickBot="1" x14ac:dyDescent="0.25">
      <c r="D275" t="s">
        <v>499</v>
      </c>
      <c r="E275" t="s">
        <v>497</v>
      </c>
      <c r="F275" t="s">
        <v>496</v>
      </c>
      <c r="G275" t="s">
        <v>495</v>
      </c>
      <c r="AG275" s="25"/>
      <c r="AH275" s="25"/>
    </row>
    <row r="276" spans="4:34" ht="19.5" thickBot="1" x14ac:dyDescent="0.25">
      <c r="AG276" s="25"/>
      <c r="AH276" s="25"/>
    </row>
    <row r="277" spans="4:34" ht="19.5" thickBot="1" x14ac:dyDescent="0.25">
      <c r="AG277" s="25"/>
      <c r="AH277" s="25"/>
    </row>
    <row r="278" spans="4:34" ht="19.5" thickBot="1" x14ac:dyDescent="0.25">
      <c r="AG278" s="25"/>
      <c r="AH278" s="25"/>
    </row>
    <row r="279" spans="4:34" ht="19.5" thickBot="1" x14ac:dyDescent="0.25">
      <c r="AG279" s="25"/>
      <c r="AH279" s="25"/>
    </row>
    <row r="280" spans="4:34" ht="19.5" thickBot="1" x14ac:dyDescent="0.25">
      <c r="AG280" s="25"/>
      <c r="AH280" s="25"/>
    </row>
    <row r="281" spans="4:34" ht="19.5" thickBot="1" x14ac:dyDescent="0.25">
      <c r="AG281" s="25"/>
      <c r="AH281" s="25"/>
    </row>
    <row r="282" spans="4:34" ht="19.5" thickBot="1" x14ac:dyDescent="0.25">
      <c r="D282" t="s">
        <v>498</v>
      </c>
      <c r="E282" t="s">
        <v>497</v>
      </c>
      <c r="F282" t="s">
        <v>496</v>
      </c>
      <c r="G282" t="s">
        <v>495</v>
      </c>
      <c r="AG282" s="25"/>
      <c r="AH282" s="25"/>
    </row>
    <row r="283" spans="4:34" ht="19.5" thickBot="1" x14ac:dyDescent="0.25">
      <c r="D283">
        <v>0.15</v>
      </c>
      <c r="E283">
        <v>0.15</v>
      </c>
      <c r="F283">
        <v>0.15</v>
      </c>
      <c r="G283">
        <v>0.15</v>
      </c>
      <c r="AG283" s="25"/>
      <c r="AH283" s="25"/>
    </row>
    <row r="284" spans="4:34" ht="19.5" thickBot="1" x14ac:dyDescent="0.25">
      <c r="D284">
        <v>0.5</v>
      </c>
      <c r="E284">
        <v>0.25</v>
      </c>
      <c r="F284">
        <v>0.15</v>
      </c>
      <c r="G284">
        <v>0.15</v>
      </c>
      <c r="AG284" s="25"/>
      <c r="AH284" s="25"/>
    </row>
    <row r="285" spans="4:34" ht="19.5" thickBot="1" x14ac:dyDescent="0.25">
      <c r="D285">
        <v>0.25</v>
      </c>
      <c r="E285">
        <v>0.5</v>
      </c>
      <c r="F285">
        <v>0</v>
      </c>
      <c r="G285">
        <v>0</v>
      </c>
      <c r="AG285" s="25"/>
      <c r="AH285" s="25"/>
    </row>
    <row r="286" spans="4:34" ht="19.5" thickBot="1" x14ac:dyDescent="0.25">
      <c r="D286">
        <v>0.25</v>
      </c>
      <c r="E286">
        <v>0.4</v>
      </c>
      <c r="F286">
        <v>0</v>
      </c>
      <c r="G286">
        <v>0</v>
      </c>
      <c r="AG286" s="25"/>
      <c r="AH286" s="25"/>
    </row>
    <row r="287" spans="4:34" ht="19.5" thickBot="1" x14ac:dyDescent="0.25">
      <c r="D287">
        <v>1</v>
      </c>
      <c r="E287">
        <v>1</v>
      </c>
      <c r="F287">
        <v>1</v>
      </c>
      <c r="G287">
        <v>1</v>
      </c>
      <c r="AG287" s="25"/>
      <c r="AH287" s="25"/>
    </row>
    <row r="288" spans="4:34" ht="19.5" thickBot="1" x14ac:dyDescent="0.25">
      <c r="D288">
        <v>0.15</v>
      </c>
      <c r="E288">
        <v>0.05</v>
      </c>
      <c r="F288">
        <v>0.1</v>
      </c>
      <c r="G288">
        <v>1</v>
      </c>
      <c r="AG288" s="25"/>
      <c r="AH288" s="25"/>
    </row>
    <row r="289" spans="4:34" ht="19.5" thickBot="1" x14ac:dyDescent="0.25">
      <c r="D289">
        <v>0.4</v>
      </c>
      <c r="E289">
        <v>0.1</v>
      </c>
      <c r="F289">
        <v>0.4</v>
      </c>
      <c r="G289">
        <v>0.4</v>
      </c>
      <c r="AG289" s="25"/>
      <c r="AH289" s="25"/>
    </row>
    <row r="290" spans="4:34" ht="19.5" thickBot="1" x14ac:dyDescent="0.25">
      <c r="D290">
        <v>0.4</v>
      </c>
      <c r="E290">
        <v>0.1</v>
      </c>
      <c r="F290">
        <v>0.4</v>
      </c>
      <c r="G290">
        <v>0.4</v>
      </c>
      <c r="AG290" s="25"/>
      <c r="AH290" s="25"/>
    </row>
    <row r="291" spans="4:34" ht="19.5" thickBot="1" x14ac:dyDescent="0.25">
      <c r="D291">
        <v>0.5</v>
      </c>
      <c r="E291">
        <v>0.1</v>
      </c>
      <c r="F291">
        <v>0.25</v>
      </c>
      <c r="G291">
        <v>0.5</v>
      </c>
      <c r="AG291" s="25"/>
      <c r="AH291" s="25"/>
    </row>
    <row r="292" spans="4:34" ht="19.5" thickBot="1" x14ac:dyDescent="0.25">
      <c r="D292">
        <v>0.4</v>
      </c>
      <c r="E292">
        <v>0.1</v>
      </c>
      <c r="F292">
        <v>0.4</v>
      </c>
      <c r="G292">
        <v>0.25</v>
      </c>
      <c r="AG292" s="25"/>
      <c r="AH292" s="25"/>
    </row>
    <row r="293" spans="4:34" ht="19.5" thickBot="1" x14ac:dyDescent="0.25">
      <c r="D293">
        <v>0.15</v>
      </c>
      <c r="E293">
        <v>0</v>
      </c>
      <c r="F293">
        <v>0.1</v>
      </c>
      <c r="G293">
        <v>0.05</v>
      </c>
      <c r="AG293" s="25"/>
      <c r="AH293" s="25"/>
    </row>
    <row r="294" spans="4:34" ht="19.5" thickBot="1" x14ac:dyDescent="0.25">
      <c r="D294">
        <v>0.05</v>
      </c>
      <c r="E294">
        <v>0</v>
      </c>
      <c r="F294">
        <v>0.02</v>
      </c>
      <c r="G294">
        <v>0.05</v>
      </c>
      <c r="AG294" s="25"/>
      <c r="AH294" s="25"/>
    </row>
    <row r="295" spans="4:34" ht="19.5" thickBot="1" x14ac:dyDescent="0.25">
      <c r="D295">
        <v>0.15</v>
      </c>
      <c r="E295">
        <v>0</v>
      </c>
      <c r="F295">
        <v>0.1</v>
      </c>
      <c r="G295">
        <v>0.1</v>
      </c>
      <c r="AG295" s="25"/>
      <c r="AH295" s="25"/>
    </row>
    <row r="296" spans="4:34" ht="19.5" thickBot="1" x14ac:dyDescent="0.25">
      <c r="D296">
        <v>0.35</v>
      </c>
      <c r="E296">
        <v>0.35</v>
      </c>
      <c r="F296">
        <v>0.35</v>
      </c>
      <c r="G296">
        <v>0.35</v>
      </c>
      <c r="AG296" s="25"/>
      <c r="AH296" s="25"/>
    </row>
    <row r="297" spans="4:34" ht="19.5" thickBot="1" x14ac:dyDescent="0.25">
      <c r="D297">
        <v>0.5</v>
      </c>
      <c r="E297">
        <v>0.5</v>
      </c>
      <c r="F297">
        <v>0.5</v>
      </c>
      <c r="G297">
        <v>0.5</v>
      </c>
      <c r="AG297" s="25"/>
      <c r="AH297" s="25"/>
    </row>
    <row r="298" spans="4:34" ht="19.5" thickBot="1" x14ac:dyDescent="0.25">
      <c r="D298">
        <v>0.15</v>
      </c>
      <c r="E298">
        <v>0</v>
      </c>
      <c r="F298">
        <v>0.05</v>
      </c>
      <c r="G298">
        <v>0.35</v>
      </c>
      <c r="AG298" s="25"/>
      <c r="AH298" s="25"/>
    </row>
    <row r="299" spans="4:34" ht="19.5" thickBot="1" x14ac:dyDescent="0.25">
      <c r="D299">
        <v>0.4</v>
      </c>
      <c r="E299">
        <v>0.1</v>
      </c>
      <c r="F299">
        <v>0.4</v>
      </c>
      <c r="G299">
        <v>0.25</v>
      </c>
      <c r="AG299" s="25"/>
      <c r="AH299" s="25"/>
    </row>
    <row r="300" spans="4:34" ht="19.5" thickBot="1" x14ac:dyDescent="0.25">
      <c r="D300">
        <v>0.1</v>
      </c>
      <c r="E300">
        <v>0</v>
      </c>
      <c r="F300">
        <v>0</v>
      </c>
      <c r="G300">
        <v>0.1</v>
      </c>
      <c r="AG300" s="25"/>
      <c r="AH300" s="25"/>
    </row>
    <row r="301" spans="4:34" ht="19.5" thickBot="1" x14ac:dyDescent="0.25">
      <c r="D301">
        <v>0.05</v>
      </c>
      <c r="E301">
        <v>0</v>
      </c>
      <c r="F301">
        <v>0</v>
      </c>
      <c r="G301">
        <v>0.05</v>
      </c>
      <c r="AG301" s="25"/>
      <c r="AH301" s="25"/>
    </row>
    <row r="302" spans="4:34" ht="19.5" thickBot="1" x14ac:dyDescent="0.25">
      <c r="D302">
        <v>0.1</v>
      </c>
      <c r="E302">
        <v>0</v>
      </c>
      <c r="F302">
        <v>0</v>
      </c>
      <c r="G302">
        <v>0.25</v>
      </c>
      <c r="AG302" s="25"/>
      <c r="AH302" s="25"/>
    </row>
    <row r="303" spans="4:34" ht="19.5" thickBot="1" x14ac:dyDescent="0.25">
      <c r="D303">
        <v>0.85</v>
      </c>
      <c r="E303">
        <v>0.25</v>
      </c>
      <c r="F303">
        <v>0.7</v>
      </c>
      <c r="G303">
        <v>0.65</v>
      </c>
      <c r="AG303" s="25"/>
      <c r="AH303" s="25"/>
    </row>
    <row r="304" spans="4:34" ht="19.5" thickBot="1" x14ac:dyDescent="0.25">
      <c r="D304">
        <v>0.15</v>
      </c>
      <c r="E304">
        <v>0</v>
      </c>
      <c r="F304">
        <v>0.1</v>
      </c>
      <c r="G304">
        <v>0.1</v>
      </c>
      <c r="AG304" s="25"/>
      <c r="AH304" s="25"/>
    </row>
    <row r="305" spans="4:34" ht="19.5" thickBot="1" x14ac:dyDescent="0.25">
      <c r="D305">
        <v>0.1</v>
      </c>
      <c r="E305">
        <v>0</v>
      </c>
      <c r="F305">
        <v>0</v>
      </c>
      <c r="G305">
        <v>0.1</v>
      </c>
      <c r="AG305" s="25"/>
      <c r="AH305" s="25"/>
    </row>
    <row r="306" spans="4:34" ht="19.5" thickBot="1" x14ac:dyDescent="0.25">
      <c r="E306" t="s">
        <v>497</v>
      </c>
      <c r="F306" t="s">
        <v>496</v>
      </c>
      <c r="G306" t="s">
        <v>495</v>
      </c>
      <c r="AG306" s="25"/>
      <c r="AH306" s="25"/>
    </row>
    <row r="307" spans="4:34" ht="19.5" thickBot="1" x14ac:dyDescent="0.25">
      <c r="E307">
        <v>0.25</v>
      </c>
      <c r="F307">
        <v>0.25</v>
      </c>
      <c r="G307">
        <v>0.25</v>
      </c>
      <c r="AG307" s="25"/>
      <c r="AH307" s="25"/>
    </row>
    <row r="308" spans="4:34" ht="19.5" thickBot="1" x14ac:dyDescent="0.25">
      <c r="E308">
        <v>0.25</v>
      </c>
      <c r="F308">
        <v>0.25</v>
      </c>
      <c r="G308">
        <v>0.25</v>
      </c>
      <c r="AG308" s="25"/>
      <c r="AH308" s="25"/>
    </row>
    <row r="309" spans="4:34" ht="19.5" thickBot="1" x14ac:dyDescent="0.25">
      <c r="E309">
        <v>0.25</v>
      </c>
      <c r="F309">
        <v>0.25</v>
      </c>
      <c r="G309">
        <v>0.25</v>
      </c>
      <c r="AG309" s="25"/>
      <c r="AH309" s="25"/>
    </row>
    <row r="310" spans="4:34" ht="19.5" thickBot="1" x14ac:dyDescent="0.25">
      <c r="E310">
        <v>0.25</v>
      </c>
      <c r="F310">
        <v>0.25</v>
      </c>
      <c r="G310">
        <v>0.25</v>
      </c>
      <c r="AG310" s="25"/>
      <c r="AH310" s="25"/>
    </row>
    <row r="311" spans="4:34" ht="19.5" thickBot="1" x14ac:dyDescent="0.25">
      <c r="E311">
        <v>0.25</v>
      </c>
      <c r="F311">
        <v>0.25</v>
      </c>
      <c r="G311">
        <v>0.25</v>
      </c>
      <c r="AG311" s="25"/>
      <c r="AH311" s="25"/>
    </row>
    <row r="312" spans="4:34" ht="19.5" thickBot="1" x14ac:dyDescent="0.25">
      <c r="E312">
        <v>0.25</v>
      </c>
      <c r="F312">
        <v>0.25</v>
      </c>
      <c r="G312">
        <v>0.25</v>
      </c>
      <c r="AG312" s="25"/>
      <c r="AH312" s="25"/>
    </row>
    <row r="313" spans="4:34" ht="19.5" thickBot="1" x14ac:dyDescent="0.25">
      <c r="E313">
        <v>0.25</v>
      </c>
      <c r="F313">
        <v>0.25</v>
      </c>
      <c r="G313">
        <v>0.25</v>
      </c>
      <c r="AG313" s="25"/>
      <c r="AH313" s="25"/>
    </row>
    <row r="314" spans="4:34" ht="19.5" thickBot="1" x14ac:dyDescent="0.25">
      <c r="E314">
        <v>0.25</v>
      </c>
      <c r="F314">
        <v>0.25</v>
      </c>
      <c r="G314">
        <v>0.25</v>
      </c>
      <c r="AG314" s="25"/>
      <c r="AH314" s="25"/>
    </row>
    <row r="315" spans="4:34" ht="19.5" thickBot="1" x14ac:dyDescent="0.25">
      <c r="E315">
        <v>0.25</v>
      </c>
      <c r="F315">
        <v>0.25</v>
      </c>
      <c r="G315">
        <v>0.25</v>
      </c>
      <c r="AG315" s="25"/>
      <c r="AH315" s="25"/>
    </row>
    <row r="316" spans="4:34" ht="19.5" thickBot="1" x14ac:dyDescent="0.25">
      <c r="E316">
        <v>0.25</v>
      </c>
      <c r="F316">
        <v>0.25</v>
      </c>
      <c r="G316">
        <v>0.25</v>
      </c>
      <c r="AG316" s="25"/>
      <c r="AH316" s="25"/>
    </row>
    <row r="317" spans="4:34" ht="19.5" thickBot="1" x14ac:dyDescent="0.25">
      <c r="E317">
        <v>0.25</v>
      </c>
      <c r="F317">
        <v>0.25</v>
      </c>
      <c r="G317">
        <v>0.25</v>
      </c>
      <c r="AG317" s="25"/>
      <c r="AH317" s="25"/>
    </row>
    <row r="318" spans="4:34" ht="19.5" thickBot="1" x14ac:dyDescent="0.25">
      <c r="E318">
        <v>0.25</v>
      </c>
      <c r="F318">
        <v>0.25</v>
      </c>
      <c r="G318">
        <v>0.25</v>
      </c>
      <c r="AG318" s="25"/>
      <c r="AH318" s="25"/>
    </row>
    <row r="319" spans="4:34" ht="19.5" thickBot="1" x14ac:dyDescent="0.25">
      <c r="E319">
        <v>0.25</v>
      </c>
      <c r="F319">
        <v>0.25</v>
      </c>
      <c r="G319">
        <v>0.25</v>
      </c>
      <c r="AG319" s="25"/>
      <c r="AH319" s="25"/>
    </row>
    <row r="320" spans="4:34" ht="19.5" thickBot="1" x14ac:dyDescent="0.25">
      <c r="E320">
        <v>0.25</v>
      </c>
      <c r="F320">
        <v>0.25</v>
      </c>
      <c r="G320">
        <v>0.25</v>
      </c>
      <c r="AG320" s="25"/>
      <c r="AH320" s="25"/>
    </row>
    <row r="321" spans="5:34" ht="19.5" thickBot="1" x14ac:dyDescent="0.25">
      <c r="E321">
        <v>0.25</v>
      </c>
      <c r="F321">
        <v>0.25</v>
      </c>
      <c r="G321">
        <v>0.25</v>
      </c>
      <c r="AG321" s="25"/>
      <c r="AH321" s="25"/>
    </row>
    <row r="322" spans="5:34" ht="19.5" thickBot="1" x14ac:dyDescent="0.25">
      <c r="E322">
        <v>0.25</v>
      </c>
      <c r="F322">
        <v>0.25</v>
      </c>
      <c r="G322">
        <v>0.25</v>
      </c>
      <c r="AG322" s="25"/>
      <c r="AH322" s="25"/>
    </row>
    <row r="323" spans="5:34" ht="19.5" thickBot="1" x14ac:dyDescent="0.25">
      <c r="E323">
        <v>0.25</v>
      </c>
      <c r="F323">
        <v>0.25</v>
      </c>
      <c r="G323">
        <v>0.25</v>
      </c>
      <c r="AG323" s="25"/>
      <c r="AH323" s="25"/>
    </row>
    <row r="324" spans="5:34" ht="19.5" thickBot="1" x14ac:dyDescent="0.25">
      <c r="E324">
        <v>0.25</v>
      </c>
      <c r="F324">
        <v>0.25</v>
      </c>
      <c r="G324">
        <v>0.25</v>
      </c>
      <c r="AG324" s="25"/>
      <c r="AH324" s="25"/>
    </row>
    <row r="325" spans="5:34" ht="19.5" thickBot="1" x14ac:dyDescent="0.25">
      <c r="E325">
        <v>0.25</v>
      </c>
      <c r="F325">
        <v>0.25</v>
      </c>
      <c r="G325">
        <v>0.25</v>
      </c>
      <c r="AG325" s="25"/>
      <c r="AH325" s="25"/>
    </row>
    <row r="326" spans="5:34" ht="19.5" thickBot="1" x14ac:dyDescent="0.25">
      <c r="E326">
        <v>0.25</v>
      </c>
      <c r="F326">
        <v>0.25</v>
      </c>
      <c r="G326">
        <v>0.25</v>
      </c>
      <c r="AG326" s="25"/>
      <c r="AH326" s="25"/>
    </row>
    <row r="327" spans="5:34" ht="19.5" thickBot="1" x14ac:dyDescent="0.25">
      <c r="E327">
        <v>0.25</v>
      </c>
      <c r="F327">
        <v>0.25</v>
      </c>
      <c r="G327">
        <v>0.25</v>
      </c>
      <c r="AG327" s="25"/>
      <c r="AH327" s="25"/>
    </row>
    <row r="328" spans="5:34" ht="19.5" thickBot="1" x14ac:dyDescent="0.25">
      <c r="E328">
        <v>0.25</v>
      </c>
      <c r="F328">
        <v>0.25</v>
      </c>
      <c r="G328">
        <v>0.25</v>
      </c>
      <c r="AG328" s="25"/>
      <c r="AH328" s="25"/>
    </row>
    <row r="329" spans="5:34" ht="19.5" thickBot="1" x14ac:dyDescent="0.25">
      <c r="E329">
        <v>0.25</v>
      </c>
      <c r="F329">
        <v>0.25</v>
      </c>
      <c r="G329">
        <v>0.25</v>
      </c>
      <c r="AG329" s="25"/>
      <c r="AH329" s="25"/>
    </row>
    <row r="330" spans="5:34" ht="19.5" thickBot="1" x14ac:dyDescent="0.25">
      <c r="E330">
        <v>0.25</v>
      </c>
      <c r="F330">
        <v>0.25</v>
      </c>
      <c r="G330">
        <v>0.25</v>
      </c>
      <c r="AG330" s="25"/>
      <c r="AH330" s="25"/>
    </row>
    <row r="331" spans="5:34" ht="19.5" thickBot="1" x14ac:dyDescent="0.25">
      <c r="E331">
        <v>0.25</v>
      </c>
      <c r="F331">
        <v>0.25</v>
      </c>
      <c r="G331">
        <v>0.25</v>
      </c>
      <c r="AG331" s="25"/>
      <c r="AH331" s="25"/>
    </row>
    <row r="332" spans="5:34" ht="19.5" thickBot="1" x14ac:dyDescent="0.25">
      <c r="E332">
        <v>0.25</v>
      </c>
      <c r="F332">
        <v>0.25</v>
      </c>
      <c r="G332">
        <v>0.25</v>
      </c>
      <c r="AG332" s="25"/>
      <c r="AH332" s="25"/>
    </row>
    <row r="333" spans="5:34" ht="19.5" thickBot="1" x14ac:dyDescent="0.25">
      <c r="E333">
        <v>0.25</v>
      </c>
      <c r="F333">
        <v>0.25</v>
      </c>
      <c r="G333">
        <v>0.25</v>
      </c>
      <c r="AG333" s="25"/>
      <c r="AH333" s="25"/>
    </row>
    <row r="334" spans="5:34" ht="19.5" thickBot="1" x14ac:dyDescent="0.25">
      <c r="E334">
        <v>0.25</v>
      </c>
      <c r="F334">
        <v>0.25</v>
      </c>
      <c r="G334">
        <v>0.25</v>
      </c>
      <c r="AG334" s="25"/>
      <c r="AH334" s="25"/>
    </row>
    <row r="335" spans="5:34" ht="19.5" thickBot="1" x14ac:dyDescent="0.25">
      <c r="E335">
        <v>0.25</v>
      </c>
      <c r="F335">
        <v>0.25</v>
      </c>
      <c r="G335">
        <v>0.25</v>
      </c>
      <c r="AG335" s="25"/>
      <c r="AH335" s="25"/>
    </row>
    <row r="336" spans="5:34" ht="19.5" thickBot="1" x14ac:dyDescent="0.25">
      <c r="E336">
        <v>0.25</v>
      </c>
      <c r="F336">
        <v>0.25</v>
      </c>
      <c r="G336">
        <v>0.25</v>
      </c>
      <c r="AG336" s="25"/>
      <c r="AH336" s="25"/>
    </row>
    <row r="337" spans="5:34" ht="19.5" thickBot="1" x14ac:dyDescent="0.25">
      <c r="E337">
        <v>0.25</v>
      </c>
      <c r="F337">
        <v>0.25</v>
      </c>
      <c r="G337">
        <v>0.25</v>
      </c>
      <c r="AG337" s="25"/>
      <c r="AH337" s="25"/>
    </row>
    <row r="338" spans="5:34" ht="19.5" thickBot="1" x14ac:dyDescent="0.25">
      <c r="E338">
        <v>0.25</v>
      </c>
      <c r="F338">
        <v>0.25</v>
      </c>
      <c r="G338">
        <v>0.25</v>
      </c>
      <c r="AG338" s="25"/>
      <c r="AH338" s="25"/>
    </row>
    <row r="339" spans="5:34" ht="19.5" thickBot="1" x14ac:dyDescent="0.25">
      <c r="E339">
        <v>0.25</v>
      </c>
      <c r="F339">
        <v>0.25</v>
      </c>
      <c r="G339">
        <v>0.25</v>
      </c>
      <c r="AG339" s="25"/>
      <c r="AH339" s="25"/>
    </row>
    <row r="340" spans="5:34" ht="19.5" thickBot="1" x14ac:dyDescent="0.25">
      <c r="E340">
        <v>0.25</v>
      </c>
      <c r="F340">
        <v>0.25</v>
      </c>
      <c r="G340">
        <v>0.25</v>
      </c>
      <c r="AG340" s="25"/>
      <c r="AH340" s="25"/>
    </row>
    <row r="341" spans="5:34" ht="19.5" thickBot="1" x14ac:dyDescent="0.25">
      <c r="E341">
        <v>0.25</v>
      </c>
      <c r="F341">
        <v>0.25</v>
      </c>
      <c r="G341">
        <v>0.25</v>
      </c>
      <c r="AG341" s="25"/>
      <c r="AH341" s="25"/>
    </row>
    <row r="342" spans="5:34" ht="19.5" thickBot="1" x14ac:dyDescent="0.25">
      <c r="E342">
        <v>0.25</v>
      </c>
      <c r="F342">
        <v>0.25</v>
      </c>
      <c r="G342">
        <v>0.25</v>
      </c>
      <c r="AG342" s="25"/>
      <c r="AH342" s="25"/>
    </row>
    <row r="343" spans="5:34" ht="19.5" thickBot="1" x14ac:dyDescent="0.25">
      <c r="E343">
        <v>0.25</v>
      </c>
      <c r="F343">
        <v>0.25</v>
      </c>
      <c r="G343">
        <v>0.25</v>
      </c>
      <c r="AG343" s="25"/>
      <c r="AH343" s="25"/>
    </row>
    <row r="344" spans="5:34" ht="19.5" thickBot="1" x14ac:dyDescent="0.25">
      <c r="E344">
        <v>0.25</v>
      </c>
      <c r="F344">
        <v>0.25</v>
      </c>
      <c r="G344">
        <v>0.25</v>
      </c>
      <c r="AG344" s="25"/>
      <c r="AH344" s="25"/>
    </row>
    <row r="345" spans="5:34" ht="19.5" thickBot="1" x14ac:dyDescent="0.25">
      <c r="E345">
        <v>0.25</v>
      </c>
      <c r="F345">
        <v>0.25</v>
      </c>
      <c r="G345">
        <v>0.25</v>
      </c>
      <c r="AG345" s="25"/>
      <c r="AH345" s="25"/>
    </row>
    <row r="346" spans="5:34" ht="19.5" thickBot="1" x14ac:dyDescent="0.25">
      <c r="E346">
        <v>0.25</v>
      </c>
      <c r="F346">
        <v>0.25</v>
      </c>
      <c r="G346">
        <v>0.25</v>
      </c>
      <c r="AG346" s="25"/>
      <c r="AH346" s="25"/>
    </row>
    <row r="347" spans="5:34" ht="19.5" thickBot="1" x14ac:dyDescent="0.25">
      <c r="E347">
        <v>0.25</v>
      </c>
      <c r="F347">
        <v>0.25</v>
      </c>
      <c r="G347">
        <v>0.25</v>
      </c>
      <c r="AG347" s="25"/>
      <c r="AH347" s="25"/>
    </row>
    <row r="348" spans="5:34" ht="19.5" thickBot="1" x14ac:dyDescent="0.25">
      <c r="E348">
        <v>0.25</v>
      </c>
      <c r="F348">
        <v>0.25</v>
      </c>
      <c r="G348">
        <v>0.25</v>
      </c>
      <c r="AG348" s="25"/>
      <c r="AH348" s="25"/>
    </row>
    <row r="349" spans="5:34" ht="19.5" thickBot="1" x14ac:dyDescent="0.25">
      <c r="E349">
        <v>0.25</v>
      </c>
      <c r="F349">
        <v>0.25</v>
      </c>
      <c r="G349">
        <v>0.25</v>
      </c>
      <c r="AG349" s="25"/>
      <c r="AH349" s="25"/>
    </row>
    <row r="350" spans="5:34" ht="19.5" thickBot="1" x14ac:dyDescent="0.25">
      <c r="E350">
        <v>0.25</v>
      </c>
      <c r="F350">
        <v>0.25</v>
      </c>
      <c r="G350">
        <v>0.25</v>
      </c>
      <c r="AG350" s="25"/>
      <c r="AH350" s="25"/>
    </row>
    <row r="351" spans="5:34" ht="19.5" thickBot="1" x14ac:dyDescent="0.25">
      <c r="E351">
        <v>0.25</v>
      </c>
      <c r="F351">
        <v>0.25</v>
      </c>
      <c r="G351">
        <v>0.25</v>
      </c>
      <c r="AG351" s="25"/>
      <c r="AH351" s="25"/>
    </row>
    <row r="352" spans="5:34" ht="19.5" thickBot="1" x14ac:dyDescent="0.25">
      <c r="E352">
        <v>0.25</v>
      </c>
      <c r="F352">
        <v>0.25</v>
      </c>
      <c r="G352">
        <v>0.25</v>
      </c>
      <c r="AG352" s="25"/>
      <c r="AH352" s="25"/>
    </row>
    <row r="353" spans="5:34" ht="19.5" thickBot="1" x14ac:dyDescent="0.25">
      <c r="E353">
        <v>0.25</v>
      </c>
      <c r="F353">
        <v>0.25</v>
      </c>
      <c r="G353">
        <v>0.25</v>
      </c>
      <c r="AG353" s="25"/>
      <c r="AH353" s="25"/>
    </row>
    <row r="354" spans="5:34" ht="19.5" thickBot="1" x14ac:dyDescent="0.25">
      <c r="E354">
        <v>0.25</v>
      </c>
      <c r="F354">
        <v>0.25</v>
      </c>
      <c r="G354">
        <v>0.25</v>
      </c>
      <c r="AG354" s="25"/>
      <c r="AH354" s="25"/>
    </row>
    <row r="355" spans="5:34" ht="19.5" thickBot="1" x14ac:dyDescent="0.25">
      <c r="E355">
        <v>0.25</v>
      </c>
      <c r="F355">
        <v>0.25</v>
      </c>
      <c r="G355">
        <v>0.25</v>
      </c>
      <c r="AG355" s="25"/>
      <c r="AH355" s="25"/>
    </row>
    <row r="356" spans="5:34" ht="19.5" thickBot="1" x14ac:dyDescent="0.25">
      <c r="E356">
        <v>0.25</v>
      </c>
      <c r="F356">
        <v>0.25</v>
      </c>
      <c r="G356">
        <v>0.25</v>
      </c>
      <c r="AG356" s="25"/>
      <c r="AH356" s="25"/>
    </row>
    <row r="357" spans="5:34" ht="19.5" thickBot="1" x14ac:dyDescent="0.25">
      <c r="E357">
        <v>0.25</v>
      </c>
      <c r="F357">
        <v>0.25</v>
      </c>
      <c r="G357">
        <v>0.25</v>
      </c>
      <c r="AG357" s="25"/>
      <c r="AH357" s="25"/>
    </row>
    <row r="358" spans="5:34" ht="19.5" thickBot="1" x14ac:dyDescent="0.25">
      <c r="E358">
        <v>0.25</v>
      </c>
      <c r="F358">
        <v>0.25</v>
      </c>
      <c r="G358">
        <v>0.25</v>
      </c>
      <c r="AG358" s="25"/>
      <c r="AH358" s="25"/>
    </row>
    <row r="359" spans="5:34" ht="19.5" thickBot="1" x14ac:dyDescent="0.25">
      <c r="E359">
        <v>0.25</v>
      </c>
      <c r="F359">
        <v>0.25</v>
      </c>
      <c r="G359">
        <v>0.25</v>
      </c>
      <c r="AG359" s="25"/>
      <c r="AH359" s="25"/>
    </row>
    <row r="360" spans="5:34" ht="19.5" thickBot="1" x14ac:dyDescent="0.25">
      <c r="E360">
        <v>0.25</v>
      </c>
      <c r="F360">
        <v>0.25</v>
      </c>
      <c r="G360">
        <v>0.25</v>
      </c>
      <c r="AG360" s="25"/>
      <c r="AH360" s="25"/>
    </row>
    <row r="361" spans="5:34" ht="19.5" thickBot="1" x14ac:dyDescent="0.25">
      <c r="E361">
        <v>0.25</v>
      </c>
      <c r="F361">
        <v>0.25</v>
      </c>
      <c r="G361">
        <v>0.25</v>
      </c>
      <c r="AG361" s="25"/>
      <c r="AH361" s="25"/>
    </row>
    <row r="362" spans="5:34" ht="19.5" thickBot="1" x14ac:dyDescent="0.25">
      <c r="E362">
        <v>0.25</v>
      </c>
      <c r="F362">
        <v>0.25</v>
      </c>
      <c r="G362">
        <v>0.25</v>
      </c>
      <c r="AG362" s="25"/>
      <c r="AH362" s="25"/>
    </row>
    <row r="363" spans="5:34" ht="19.5" thickBot="1" x14ac:dyDescent="0.25">
      <c r="E363">
        <v>0.25</v>
      </c>
      <c r="F363">
        <v>0.25</v>
      </c>
      <c r="G363">
        <v>0.25</v>
      </c>
      <c r="AG363" s="25"/>
      <c r="AH363" s="25"/>
    </row>
    <row r="364" spans="5:34" ht="19.5" thickBot="1" x14ac:dyDescent="0.25">
      <c r="E364">
        <v>0.25</v>
      </c>
      <c r="F364">
        <v>0.25</v>
      </c>
      <c r="G364">
        <v>0.25</v>
      </c>
      <c r="AG364" s="25"/>
      <c r="AH364" s="25"/>
    </row>
    <row r="365" spans="5:34" ht="19.5" thickBot="1" x14ac:dyDescent="0.25">
      <c r="E365">
        <v>0.25</v>
      </c>
      <c r="F365">
        <v>0.25</v>
      </c>
      <c r="G365">
        <v>0.25</v>
      </c>
      <c r="AG365" s="25"/>
      <c r="AH365" s="25"/>
    </row>
    <row r="366" spans="5:34" ht="19.5" thickBot="1" x14ac:dyDescent="0.25">
      <c r="E366">
        <v>0.25</v>
      </c>
      <c r="F366">
        <v>0.25</v>
      </c>
      <c r="G366">
        <v>0.25</v>
      </c>
      <c r="AG366" s="25"/>
      <c r="AH366" s="25"/>
    </row>
    <row r="367" spans="5:34" ht="19.5" thickBot="1" x14ac:dyDescent="0.25">
      <c r="E367">
        <v>0.25</v>
      </c>
      <c r="F367">
        <v>0.25</v>
      </c>
      <c r="G367">
        <v>0.25</v>
      </c>
      <c r="AG367" s="25"/>
      <c r="AH367" s="25"/>
    </row>
    <row r="368" spans="5:34" ht="19.5" thickBot="1" x14ac:dyDescent="0.25">
      <c r="E368">
        <v>0.25</v>
      </c>
      <c r="F368">
        <v>0.25</v>
      </c>
      <c r="G368">
        <v>0.25</v>
      </c>
      <c r="AG368" s="25"/>
      <c r="AH368" s="25"/>
    </row>
    <row r="369" spans="4:34" ht="19.5" thickBot="1" x14ac:dyDescent="0.25">
      <c r="E369">
        <v>0.25</v>
      </c>
      <c r="F369">
        <v>0.25</v>
      </c>
      <c r="G369">
        <v>0.25</v>
      </c>
      <c r="AG369" s="25"/>
      <c r="AH369" s="25"/>
    </row>
    <row r="370" spans="4:34" ht="19.5" thickBot="1" x14ac:dyDescent="0.25">
      <c r="E370">
        <v>0.25</v>
      </c>
      <c r="F370">
        <v>0.25</v>
      </c>
      <c r="G370">
        <v>0.25</v>
      </c>
      <c r="AG370" s="25"/>
      <c r="AH370" s="25"/>
    </row>
    <row r="371" spans="4:34" ht="19.5" thickBot="1" x14ac:dyDescent="0.25">
      <c r="E371">
        <v>0.25</v>
      </c>
      <c r="F371">
        <v>0.25</v>
      </c>
      <c r="G371">
        <v>0.25</v>
      </c>
      <c r="AG371" s="25"/>
      <c r="AH371" s="25"/>
    </row>
    <row r="372" spans="4:34" ht="19.5" thickBot="1" x14ac:dyDescent="0.25">
      <c r="D372">
        <v>0.35</v>
      </c>
      <c r="E372">
        <v>0.25</v>
      </c>
      <c r="F372">
        <v>0.25</v>
      </c>
      <c r="G372">
        <v>0.25</v>
      </c>
      <c r="AG372" s="25"/>
      <c r="AH372" s="25"/>
    </row>
    <row r="373" spans="4:34" ht="19.5" thickBot="1" x14ac:dyDescent="0.25">
      <c r="AG373" s="25"/>
      <c r="AH373" s="25"/>
    </row>
    <row r="374" spans="4:34" ht="19.5" thickBot="1" x14ac:dyDescent="0.25">
      <c r="AG374" s="25"/>
      <c r="AH374" s="25"/>
    </row>
    <row r="375" spans="4:34" ht="19.5" thickBot="1" x14ac:dyDescent="0.25">
      <c r="AG375" s="25"/>
      <c r="AH375" s="25"/>
    </row>
    <row r="376" spans="4:34" ht="19.5" thickBot="1" x14ac:dyDescent="0.25">
      <c r="AG376" s="25"/>
      <c r="AH376" s="25"/>
    </row>
    <row r="377" spans="4:34" ht="19.5" thickBot="1" x14ac:dyDescent="0.25">
      <c r="AG377" s="25"/>
      <c r="AH377" s="25"/>
    </row>
    <row r="378" spans="4:34" ht="19.5" thickBot="1" x14ac:dyDescent="0.25">
      <c r="AG378" s="25"/>
      <c r="AH378" s="25"/>
    </row>
    <row r="379" spans="4:34" ht="19.5" thickBot="1" x14ac:dyDescent="0.25">
      <c r="AG379" s="25"/>
      <c r="AH379" s="25"/>
    </row>
    <row r="380" spans="4:34" ht="19.5" thickBot="1" x14ac:dyDescent="0.25">
      <c r="AG380" s="25"/>
      <c r="AH380" s="25"/>
    </row>
    <row r="381" spans="4:34" ht="19.5" thickBot="1" x14ac:dyDescent="0.25">
      <c r="AG381" s="25"/>
      <c r="AH381" s="25"/>
    </row>
    <row r="382" spans="4:34" ht="19.5" thickBot="1" x14ac:dyDescent="0.25">
      <c r="AG382" s="25"/>
      <c r="AH382" s="25"/>
    </row>
    <row r="383" spans="4:34" ht="19.5" thickBot="1" x14ac:dyDescent="0.25">
      <c r="AG383" s="25"/>
      <c r="AH383" s="25"/>
    </row>
    <row r="384" spans="4:34" ht="19.5" thickBot="1" x14ac:dyDescent="0.25">
      <c r="AG384" s="25"/>
      <c r="AH384" s="25"/>
    </row>
    <row r="385" spans="33:34" ht="19.5" thickBot="1" x14ac:dyDescent="0.25">
      <c r="AG385" s="25"/>
      <c r="AH385" s="25"/>
    </row>
    <row r="386" spans="33:34" ht="19.5" thickBot="1" x14ac:dyDescent="0.25">
      <c r="AG386" s="25"/>
      <c r="AH386" s="25"/>
    </row>
    <row r="387" spans="33:34" ht="19.5" thickBot="1" x14ac:dyDescent="0.25">
      <c r="AG387" s="25"/>
      <c r="AH387" s="25"/>
    </row>
    <row r="388" spans="33:34" ht="19.5" thickBot="1" x14ac:dyDescent="0.25">
      <c r="AG388" s="25"/>
      <c r="AH388" s="25"/>
    </row>
    <row r="389" spans="33:34" ht="19.5" thickBot="1" x14ac:dyDescent="0.25">
      <c r="AG389" s="25"/>
      <c r="AH389" s="25"/>
    </row>
    <row r="390" spans="33:34" ht="19.5" thickBot="1" x14ac:dyDescent="0.25">
      <c r="AG390" s="25"/>
      <c r="AH390" s="25"/>
    </row>
    <row r="391" spans="33:34" ht="19.5" thickBot="1" x14ac:dyDescent="0.25">
      <c r="AG391" s="25"/>
      <c r="AH391" s="25"/>
    </row>
    <row r="392" spans="33:34" ht="19.5" thickBot="1" x14ac:dyDescent="0.25">
      <c r="AG392" s="25"/>
      <c r="AH392" s="25"/>
    </row>
    <row r="393" spans="33:34" ht="19.5" thickBot="1" x14ac:dyDescent="0.25">
      <c r="AG393" s="25"/>
      <c r="AH393" s="25"/>
    </row>
    <row r="394" spans="33:34" ht="19.5" thickBot="1" x14ac:dyDescent="0.25">
      <c r="AG394" s="25"/>
      <c r="AH394" s="25"/>
    </row>
    <row r="395" spans="33:34" ht="19.5" thickBot="1" x14ac:dyDescent="0.25">
      <c r="AG395" s="25"/>
      <c r="AH395" s="25"/>
    </row>
    <row r="396" spans="33:34" ht="19.5" thickBot="1" x14ac:dyDescent="0.25">
      <c r="AG396" s="25"/>
      <c r="AH396" s="25"/>
    </row>
    <row r="397" spans="33:34" ht="19.5" thickBot="1" x14ac:dyDescent="0.25">
      <c r="AG397" s="25"/>
      <c r="AH397" s="25"/>
    </row>
    <row r="398" spans="33:34" ht="19.5" thickBot="1" x14ac:dyDescent="0.25">
      <c r="AG398" s="25"/>
      <c r="AH398" s="25"/>
    </row>
    <row r="399" spans="33:34" ht="19.5" thickBot="1" x14ac:dyDescent="0.25">
      <c r="AG399" s="25"/>
      <c r="AH399" s="25"/>
    </row>
    <row r="400" spans="33:34" ht="19.5" thickBot="1" x14ac:dyDescent="0.25">
      <c r="AG400" s="25"/>
      <c r="AH400" s="25"/>
    </row>
    <row r="401" spans="33:34" ht="19.5" thickBot="1" x14ac:dyDescent="0.25">
      <c r="AG401" s="25"/>
      <c r="AH401" s="25"/>
    </row>
    <row r="402" spans="33:34" ht="19.5" thickBot="1" x14ac:dyDescent="0.25">
      <c r="AG402" s="25"/>
      <c r="AH402" s="25"/>
    </row>
    <row r="403" spans="33:34" ht="19.5" thickBot="1" x14ac:dyDescent="0.25">
      <c r="AG403" s="25"/>
      <c r="AH403" s="25"/>
    </row>
    <row r="404" spans="33:34" ht="19.5" thickBot="1" x14ac:dyDescent="0.25">
      <c r="AG404" s="25"/>
      <c r="AH404" s="25"/>
    </row>
    <row r="405" spans="33:34" ht="19.5" thickBot="1" x14ac:dyDescent="0.25">
      <c r="AG405" s="25"/>
      <c r="AH405" s="25"/>
    </row>
    <row r="406" spans="33:34" ht="19.5" thickBot="1" x14ac:dyDescent="0.25">
      <c r="AG406" s="25"/>
      <c r="AH406" s="25"/>
    </row>
    <row r="407" spans="33:34" ht="19.5" thickBot="1" x14ac:dyDescent="0.25">
      <c r="AG407" s="25"/>
      <c r="AH407" s="25"/>
    </row>
    <row r="408" spans="33:34" ht="19.5" thickBot="1" x14ac:dyDescent="0.25">
      <c r="AG408" s="25"/>
      <c r="AH408" s="25"/>
    </row>
    <row r="409" spans="33:34" ht="19.5" thickBot="1" x14ac:dyDescent="0.25">
      <c r="AG409" s="25"/>
      <c r="AH409" s="25"/>
    </row>
    <row r="410" spans="33:34" ht="19.5" thickBot="1" x14ac:dyDescent="0.25">
      <c r="AG410" s="25"/>
      <c r="AH410" s="25"/>
    </row>
    <row r="411" spans="33:34" ht="19.5" thickBot="1" x14ac:dyDescent="0.25">
      <c r="AG411" s="25"/>
      <c r="AH411" s="25"/>
    </row>
    <row r="412" spans="33:34" ht="19.5" thickBot="1" x14ac:dyDescent="0.25">
      <c r="AG412" s="25"/>
      <c r="AH412" s="25"/>
    </row>
    <row r="413" spans="33:34" ht="19.5" thickBot="1" x14ac:dyDescent="0.25">
      <c r="AG413" s="25"/>
      <c r="AH413" s="25"/>
    </row>
    <row r="414" spans="33:34" ht="19.5" thickBot="1" x14ac:dyDescent="0.25">
      <c r="AG414" s="25"/>
      <c r="AH414" s="25"/>
    </row>
    <row r="415" spans="33:34" ht="19.5" thickBot="1" x14ac:dyDescent="0.25">
      <c r="AG415" s="25"/>
      <c r="AH415" s="25"/>
    </row>
    <row r="416" spans="33:34" ht="19.5" thickBot="1" x14ac:dyDescent="0.25">
      <c r="AG416" s="25"/>
      <c r="AH416" s="25"/>
    </row>
    <row r="417" spans="4:34" ht="19.5" thickBot="1" x14ac:dyDescent="0.25">
      <c r="AG417" s="25"/>
      <c r="AH417" s="25"/>
    </row>
    <row r="418" spans="4:34" ht="19.5" thickBot="1" x14ac:dyDescent="0.25">
      <c r="AG418" s="25"/>
      <c r="AH418" s="25"/>
    </row>
    <row r="419" spans="4:34" ht="19.5" thickBot="1" x14ac:dyDescent="0.25">
      <c r="D419" t="s">
        <v>124</v>
      </c>
      <c r="E419" t="s">
        <v>494</v>
      </c>
      <c r="F419" t="s">
        <v>493</v>
      </c>
      <c r="G419" t="s">
        <v>492</v>
      </c>
      <c r="AG419" s="25"/>
      <c r="AH419" s="25"/>
    </row>
    <row r="420" spans="4:34" ht="19.5" thickBot="1" x14ac:dyDescent="0.25">
      <c r="E420">
        <v>-25</v>
      </c>
      <c r="AG420" s="25"/>
      <c r="AH420" s="25"/>
    </row>
    <row r="421" spans="4:34" ht="19.5" thickBot="1" x14ac:dyDescent="0.25">
      <c r="AG421" s="25"/>
      <c r="AH421" s="25"/>
    </row>
    <row r="422" spans="4:34" ht="19.5" thickBot="1" x14ac:dyDescent="0.25">
      <c r="AG422" s="25"/>
      <c r="AH422" s="25"/>
    </row>
    <row r="423" spans="4:34" ht="19.5" thickBot="1" x14ac:dyDescent="0.25">
      <c r="AG423" s="25"/>
      <c r="AH423" s="25"/>
    </row>
    <row r="424" spans="4:34" ht="19.5" thickBot="1" x14ac:dyDescent="0.25">
      <c r="AG424" s="25"/>
      <c r="AH424" s="25"/>
    </row>
    <row r="425" spans="4:34" ht="19.5" thickBot="1" x14ac:dyDescent="0.25">
      <c r="AG425" s="25"/>
      <c r="AH425" s="25"/>
    </row>
    <row r="426" spans="4:34" ht="19.5" thickBot="1" x14ac:dyDescent="0.25">
      <c r="AG426" s="25"/>
      <c r="AH426" s="25"/>
    </row>
    <row r="427" spans="4:34" ht="19.5" thickBot="1" x14ac:dyDescent="0.25">
      <c r="AG427" s="25"/>
      <c r="AH427" s="25"/>
    </row>
    <row r="428" spans="4:34" ht="19.5" thickBot="1" x14ac:dyDescent="0.25">
      <c r="AG428" s="25"/>
      <c r="AH428" s="25"/>
    </row>
    <row r="429" spans="4:34" ht="19.5" thickBot="1" x14ac:dyDescent="0.25">
      <c r="AG429" s="25"/>
      <c r="AH429" s="25"/>
    </row>
    <row r="430" spans="4:34" ht="19.5" thickBot="1" x14ac:dyDescent="0.25">
      <c r="AG430" s="25"/>
      <c r="AH430" s="25"/>
    </row>
    <row r="431" spans="4:34" ht="19.5" thickBot="1" x14ac:dyDescent="0.25">
      <c r="AG431" s="25"/>
      <c r="AH431" s="25"/>
    </row>
    <row r="432" spans="4:34" ht="19.5" thickBot="1" x14ac:dyDescent="0.25">
      <c r="AG432" s="25"/>
      <c r="AH432" s="25"/>
    </row>
    <row r="433" spans="33:34" ht="19.5" thickBot="1" x14ac:dyDescent="0.25">
      <c r="AG433" s="25"/>
      <c r="AH433" s="25"/>
    </row>
    <row r="434" spans="33:34" ht="19.5" thickBot="1" x14ac:dyDescent="0.25">
      <c r="AG434" s="25"/>
      <c r="AH434" s="25"/>
    </row>
    <row r="435" spans="33:34" ht="19.5" thickBot="1" x14ac:dyDescent="0.25">
      <c r="AG435" s="25"/>
      <c r="AH435" s="25"/>
    </row>
    <row r="436" spans="33:34" ht="19.5" thickBot="1" x14ac:dyDescent="0.25">
      <c r="AG436" s="25"/>
      <c r="AH436" s="25"/>
    </row>
    <row r="437" spans="33:34" ht="19.5" thickBot="1" x14ac:dyDescent="0.25">
      <c r="AG437" s="25"/>
      <c r="AH437" s="25"/>
    </row>
    <row r="438" spans="33:34" ht="19.5" thickBot="1" x14ac:dyDescent="0.25">
      <c r="AG438" s="25"/>
      <c r="AH438" s="25"/>
    </row>
    <row r="439" spans="33:34" ht="19.5" thickBot="1" x14ac:dyDescent="0.25">
      <c r="AG439" s="25"/>
      <c r="AH439" s="25"/>
    </row>
    <row r="440" spans="33:34" ht="19.5" thickBot="1" x14ac:dyDescent="0.25">
      <c r="AG440" s="25"/>
      <c r="AH440" s="25"/>
    </row>
    <row r="441" spans="33:34" ht="19.5" thickBot="1" x14ac:dyDescent="0.25">
      <c r="AG441" s="25"/>
      <c r="AH441" s="25"/>
    </row>
    <row r="442" spans="33:34" ht="19.5" thickBot="1" x14ac:dyDescent="0.25">
      <c r="AG442" s="25"/>
      <c r="AH442" s="25"/>
    </row>
    <row r="443" spans="33:34" ht="19.5" thickBot="1" x14ac:dyDescent="0.25">
      <c r="AG443" s="25"/>
      <c r="AH443" s="25"/>
    </row>
    <row r="444" spans="33:34" ht="19.5" thickBot="1" x14ac:dyDescent="0.25">
      <c r="AG444" s="25"/>
      <c r="AH444" s="25"/>
    </row>
    <row r="445" spans="33:34" ht="19.5" thickBot="1" x14ac:dyDescent="0.25">
      <c r="AG445" s="25"/>
      <c r="AH445" s="25"/>
    </row>
    <row r="446" spans="33:34" ht="19.5" thickBot="1" x14ac:dyDescent="0.25">
      <c r="AG446" s="25"/>
      <c r="AH446" s="25"/>
    </row>
    <row r="447" spans="33:34" ht="19.5" thickBot="1" x14ac:dyDescent="0.25">
      <c r="AG447" s="25"/>
      <c r="AH447" s="25"/>
    </row>
    <row r="448" spans="33:34" ht="19.5" thickBot="1" x14ac:dyDescent="0.25">
      <c r="AG448" s="25"/>
      <c r="AH448" s="25"/>
    </row>
    <row r="449" spans="4:34" ht="19.5" thickBot="1" x14ac:dyDescent="0.25">
      <c r="AG449" s="25"/>
      <c r="AH449" s="25"/>
    </row>
    <row r="450" spans="4:34" ht="19.5" thickBot="1" x14ac:dyDescent="0.25">
      <c r="AG450" s="25"/>
      <c r="AH450" s="25"/>
    </row>
    <row r="451" spans="4:34" ht="19.5" thickBot="1" x14ac:dyDescent="0.25">
      <c r="AG451" s="25"/>
      <c r="AH451" s="25"/>
    </row>
    <row r="452" spans="4:34" ht="19.5" thickBot="1" x14ac:dyDescent="0.25">
      <c r="AG452" s="25"/>
      <c r="AH452" s="25"/>
    </row>
    <row r="453" spans="4:34" ht="19.5" thickBot="1" x14ac:dyDescent="0.25">
      <c r="AG453" s="25"/>
      <c r="AH453" s="25"/>
    </row>
    <row r="454" spans="4:34" ht="19.5" thickBot="1" x14ac:dyDescent="0.25">
      <c r="AG454" s="25"/>
      <c r="AH454" s="25"/>
    </row>
    <row r="455" spans="4:34" ht="19.5" thickBot="1" x14ac:dyDescent="0.25">
      <c r="AG455" s="25"/>
      <c r="AH455" s="25"/>
    </row>
    <row r="456" spans="4:34" ht="19.5" thickBot="1" x14ac:dyDescent="0.25">
      <c r="AG456" s="25"/>
      <c r="AH456" s="25"/>
    </row>
    <row r="457" spans="4:34" ht="19.5" thickBot="1" x14ac:dyDescent="0.25">
      <c r="D457">
        <v>1</v>
      </c>
      <c r="AG457" s="25"/>
      <c r="AH457" s="25"/>
    </row>
    <row r="458" spans="4:34" ht="19.5" thickBot="1" x14ac:dyDescent="0.25">
      <c r="D458">
        <v>1</v>
      </c>
      <c r="AG458" s="25"/>
      <c r="AH458" s="25"/>
    </row>
    <row r="459" spans="4:34" ht="19.5" thickBot="1" x14ac:dyDescent="0.25">
      <c r="D459">
        <v>1</v>
      </c>
      <c r="AG459" s="25"/>
      <c r="AH459" s="25"/>
    </row>
    <row r="460" spans="4:34" ht="19.5" thickBot="1" x14ac:dyDescent="0.25">
      <c r="AG460" s="25"/>
      <c r="AH460" s="25"/>
    </row>
    <row r="461" spans="4:34" ht="19.5" thickBot="1" x14ac:dyDescent="0.25">
      <c r="AG461" s="25"/>
      <c r="AH461" s="25"/>
    </row>
    <row r="462" spans="4:34" ht="19.5" thickBot="1" x14ac:dyDescent="0.25">
      <c r="AG462" s="25"/>
      <c r="AH462" s="25"/>
    </row>
    <row r="463" spans="4:34" ht="19.5" thickBot="1" x14ac:dyDescent="0.25">
      <c r="D463">
        <v>1</v>
      </c>
      <c r="AG463" s="25"/>
      <c r="AH463" s="25"/>
    </row>
    <row r="464" spans="4:34" ht="19.5" thickBot="1" x14ac:dyDescent="0.25">
      <c r="D464">
        <v>1</v>
      </c>
      <c r="G464">
        <v>0.85</v>
      </c>
      <c r="H464" s="29">
        <v>0.18</v>
      </c>
      <c r="AG464" s="25"/>
      <c r="AH464" s="25"/>
    </row>
    <row r="465" spans="4:34" ht="19.5" thickBot="1" x14ac:dyDescent="0.25">
      <c r="D465">
        <v>1</v>
      </c>
      <c r="G465">
        <v>0.85</v>
      </c>
      <c r="H465" s="29">
        <v>0.18</v>
      </c>
      <c r="K465" s="29">
        <v>5</v>
      </c>
      <c r="L465" s="29">
        <v>125</v>
      </c>
      <c r="AG465" s="25"/>
      <c r="AH465" s="25"/>
    </row>
    <row r="466" spans="4:34" ht="19.5" thickBot="1" x14ac:dyDescent="0.25">
      <c r="D466">
        <v>1</v>
      </c>
      <c r="G466">
        <v>0.85</v>
      </c>
      <c r="H466" s="29">
        <v>0.18</v>
      </c>
      <c r="AG466" s="25"/>
      <c r="AH466" s="25"/>
    </row>
    <row r="467" spans="4:34" ht="19.5" thickBot="1" x14ac:dyDescent="0.25">
      <c r="D467">
        <v>1</v>
      </c>
      <c r="G467">
        <v>0.85</v>
      </c>
      <c r="H467" s="29">
        <v>0.18</v>
      </c>
      <c r="K467" s="29">
        <v>5</v>
      </c>
      <c r="L467" s="29">
        <v>125</v>
      </c>
      <c r="AG467" s="25"/>
      <c r="AH467" s="25"/>
    </row>
    <row r="468" spans="4:34" ht="19.5" thickBot="1" x14ac:dyDescent="0.25">
      <c r="D468">
        <v>1</v>
      </c>
      <c r="AG468" s="25"/>
      <c r="AH468" s="25"/>
    </row>
    <row r="469" spans="4:34" ht="19.5" thickBot="1" x14ac:dyDescent="0.25">
      <c r="AG469" s="25"/>
      <c r="AH469" s="25"/>
    </row>
    <row r="470" spans="4:34" ht="19.5" thickBot="1" x14ac:dyDescent="0.25">
      <c r="D470">
        <v>1</v>
      </c>
      <c r="AG470" s="25"/>
      <c r="AH470" s="25"/>
    </row>
    <row r="471" spans="4:34" ht="19.5" thickBot="1" x14ac:dyDescent="0.25">
      <c r="D471">
        <v>1</v>
      </c>
      <c r="G471">
        <v>1</v>
      </c>
      <c r="H471" s="29">
        <v>0.15</v>
      </c>
      <c r="K471" s="29">
        <v>5</v>
      </c>
      <c r="L471" s="29">
        <v>125</v>
      </c>
      <c r="AG471" s="25"/>
      <c r="AH471" s="25"/>
    </row>
    <row r="472" spans="4:34" ht="19.5" thickBot="1" x14ac:dyDescent="0.25">
      <c r="D472">
        <v>1</v>
      </c>
      <c r="G472">
        <v>1</v>
      </c>
      <c r="H472" s="29">
        <v>0.15</v>
      </c>
      <c r="K472" s="29">
        <v>5</v>
      </c>
      <c r="L472" s="29">
        <v>125</v>
      </c>
      <c r="AG472" s="25"/>
      <c r="AH472" s="25"/>
    </row>
    <row r="473" spans="4:34" ht="19.5" thickBot="1" x14ac:dyDescent="0.25">
      <c r="AG473" s="25"/>
      <c r="AH473" s="25"/>
    </row>
    <row r="474" spans="4:34" ht="19.5" thickBot="1" x14ac:dyDescent="0.25">
      <c r="AG474" s="25"/>
      <c r="AH474" s="25"/>
    </row>
    <row r="475" spans="4:34" ht="19.5" thickBot="1" x14ac:dyDescent="0.25">
      <c r="AG475" s="25"/>
      <c r="AH475" s="25"/>
    </row>
    <row r="476" spans="4:34" ht="19.5" thickBot="1" x14ac:dyDescent="0.25">
      <c r="AG476" s="25"/>
      <c r="AH476" s="25"/>
    </row>
    <row r="477" spans="4:34" ht="19.5" thickBot="1" x14ac:dyDescent="0.25">
      <c r="AG477" s="25"/>
      <c r="AH477" s="25"/>
    </row>
    <row r="478" spans="4:34" ht="19.5" thickBot="1" x14ac:dyDescent="0.25">
      <c r="AG478" s="25"/>
      <c r="AH478" s="25"/>
    </row>
    <row r="479" spans="4:34" ht="19.5" thickBot="1" x14ac:dyDescent="0.25">
      <c r="AG479" s="25"/>
      <c r="AH479" s="25"/>
    </row>
    <row r="480" spans="4:34" ht="19.5" thickBot="1" x14ac:dyDescent="0.25">
      <c r="AG480" s="25"/>
      <c r="AH480" s="25"/>
    </row>
    <row r="481" spans="33:34" ht="19.5" thickBot="1" x14ac:dyDescent="0.25">
      <c r="AG481" s="25"/>
      <c r="AH481" s="25"/>
    </row>
    <row r="482" spans="33:34" ht="19.5" thickBot="1" x14ac:dyDescent="0.25">
      <c r="AG482" s="25"/>
      <c r="AH482" s="25"/>
    </row>
    <row r="483" spans="33:34" ht="19.5" thickBot="1" x14ac:dyDescent="0.25">
      <c r="AG483" s="25"/>
      <c r="AH483" s="25"/>
    </row>
    <row r="484" spans="33:34" ht="19.5" thickBot="1" x14ac:dyDescent="0.25">
      <c r="AG484" s="25"/>
      <c r="AH484" s="25"/>
    </row>
    <row r="485" spans="33:34" ht="19.5" thickBot="1" x14ac:dyDescent="0.25">
      <c r="AG485" s="25"/>
      <c r="AH485" s="25"/>
    </row>
    <row r="486" spans="33:34" ht="19.5" thickBot="1" x14ac:dyDescent="0.25">
      <c r="AG486" s="25"/>
      <c r="AH486" s="25"/>
    </row>
    <row r="487" spans="33:34" ht="19.5" thickBot="1" x14ac:dyDescent="0.25">
      <c r="AG487" s="25"/>
      <c r="AH487" s="25"/>
    </row>
    <row r="488" spans="33:34" ht="19.5" thickBot="1" x14ac:dyDescent="0.25">
      <c r="AG488" s="25"/>
      <c r="AH488" s="25"/>
    </row>
    <row r="489" spans="33:34" ht="19.5" thickBot="1" x14ac:dyDescent="0.25">
      <c r="AG489" s="25"/>
      <c r="AH489" s="25"/>
    </row>
    <row r="490" spans="33:34" ht="19.5" thickBot="1" x14ac:dyDescent="0.25">
      <c r="AG490" s="25"/>
      <c r="AH490" s="25"/>
    </row>
    <row r="491" spans="33:34" ht="19.5" thickBot="1" x14ac:dyDescent="0.25">
      <c r="AG491" s="25"/>
      <c r="AH491" s="25"/>
    </row>
    <row r="492" spans="33:34" ht="19.5" thickBot="1" x14ac:dyDescent="0.25">
      <c r="AG492" s="25"/>
      <c r="AH492" s="25"/>
    </row>
    <row r="493" spans="33:34" ht="19.5" thickBot="1" x14ac:dyDescent="0.25">
      <c r="AG493" s="25"/>
      <c r="AH493" s="25"/>
    </row>
    <row r="494" spans="33:34" ht="19.5" thickBot="1" x14ac:dyDescent="0.25">
      <c r="AG494" s="25"/>
      <c r="AH494" s="25"/>
    </row>
    <row r="495" spans="33:34" ht="19.5" thickBot="1" x14ac:dyDescent="0.25">
      <c r="AG495" s="25"/>
      <c r="AH495" s="25"/>
    </row>
    <row r="496" spans="33:34" ht="19.5" thickBot="1" x14ac:dyDescent="0.25">
      <c r="AG496" s="25"/>
      <c r="AH496" s="25"/>
    </row>
    <row r="497" spans="33:34" ht="19.5" thickBot="1" x14ac:dyDescent="0.25">
      <c r="AG497" s="25"/>
      <c r="AH497" s="25"/>
    </row>
    <row r="498" spans="33:34" ht="19.5" thickBot="1" x14ac:dyDescent="0.25">
      <c r="AG498" s="25"/>
      <c r="AH498" s="25"/>
    </row>
    <row r="499" spans="33:34" ht="19.5" thickBot="1" x14ac:dyDescent="0.25">
      <c r="AG499" s="25"/>
      <c r="AH499" s="25"/>
    </row>
    <row r="500" spans="33:34" ht="19.5" thickBot="1" x14ac:dyDescent="0.25">
      <c r="AG500" s="25"/>
      <c r="AH500" s="25"/>
    </row>
    <row r="501" spans="33:34" ht="19.5" thickBot="1" x14ac:dyDescent="0.25">
      <c r="AG501" s="25"/>
      <c r="AH501" s="25"/>
    </row>
    <row r="502" spans="33:34" ht="19.5" thickBot="1" x14ac:dyDescent="0.25">
      <c r="AG502" s="25"/>
      <c r="AH502" s="25"/>
    </row>
    <row r="503" spans="33:34" ht="19.5" thickBot="1" x14ac:dyDescent="0.25">
      <c r="AG503" s="25"/>
      <c r="AH503" s="25"/>
    </row>
    <row r="504" spans="33:34" ht="19.5" thickBot="1" x14ac:dyDescent="0.25">
      <c r="AG504" s="25"/>
      <c r="AH504" s="25"/>
    </row>
    <row r="505" spans="33:34" ht="19.5" thickBot="1" x14ac:dyDescent="0.25">
      <c r="AG505" s="25"/>
      <c r="AH505" s="25"/>
    </row>
    <row r="506" spans="33:34" ht="19.5" thickBot="1" x14ac:dyDescent="0.25">
      <c r="AG506" s="25"/>
      <c r="AH506" s="25"/>
    </row>
    <row r="507" spans="33:34" ht="19.5" thickBot="1" x14ac:dyDescent="0.25">
      <c r="AG507" s="25"/>
      <c r="AH507" s="25"/>
    </row>
    <row r="508" spans="33:34" ht="19.5" thickBot="1" x14ac:dyDescent="0.25">
      <c r="AG508" s="25"/>
      <c r="AH508" s="25"/>
    </row>
    <row r="509" spans="33:34" ht="19.5" thickBot="1" x14ac:dyDescent="0.25">
      <c r="AG509" s="25"/>
      <c r="AH509" s="25"/>
    </row>
    <row r="510" spans="33:34" ht="19.5" thickBot="1" x14ac:dyDescent="0.25">
      <c r="AG510" s="25"/>
      <c r="AH510" s="25"/>
    </row>
    <row r="511" spans="33:34" ht="19.5" thickBot="1" x14ac:dyDescent="0.25">
      <c r="AG511" s="25"/>
      <c r="AH511" s="25"/>
    </row>
    <row r="512" spans="33:34" ht="19.5" thickBot="1" x14ac:dyDescent="0.25">
      <c r="AG512" s="25"/>
      <c r="AH512" s="25"/>
    </row>
    <row r="513" spans="33:34" ht="19.5" thickBot="1" x14ac:dyDescent="0.25">
      <c r="AG513" s="25"/>
      <c r="AH513" s="25"/>
    </row>
    <row r="514" spans="33:34" ht="19.5" thickBot="1" x14ac:dyDescent="0.25">
      <c r="AG514" s="25"/>
      <c r="AH514" s="25"/>
    </row>
    <row r="515" spans="33:34" ht="19.5" thickBot="1" x14ac:dyDescent="0.25">
      <c r="AG515" s="25"/>
      <c r="AH515" s="25"/>
    </row>
    <row r="516" spans="33:34" ht="19.5" thickBot="1" x14ac:dyDescent="0.25">
      <c r="AG516" s="25"/>
      <c r="AH516" s="25"/>
    </row>
    <row r="517" spans="33:34" ht="19.5" thickBot="1" x14ac:dyDescent="0.25">
      <c r="AG517" s="25"/>
      <c r="AH517" s="25"/>
    </row>
    <row r="518" spans="33:34" ht="19.5" thickBot="1" x14ac:dyDescent="0.25">
      <c r="AG518" s="25"/>
      <c r="AH518" s="25"/>
    </row>
    <row r="519" spans="33:34" ht="19.5" thickBot="1" x14ac:dyDescent="0.25">
      <c r="AG519" s="25"/>
      <c r="AH519" s="25"/>
    </row>
    <row r="520" spans="33:34" ht="19.5" thickBot="1" x14ac:dyDescent="0.25">
      <c r="AG520" s="25"/>
      <c r="AH520" s="25"/>
    </row>
    <row r="521" spans="33:34" ht="19.5" thickBot="1" x14ac:dyDescent="0.25">
      <c r="AG521" s="25"/>
      <c r="AH521" s="25"/>
    </row>
    <row r="522" spans="33:34" ht="19.5" thickBot="1" x14ac:dyDescent="0.25">
      <c r="AG522" s="25"/>
      <c r="AH522" s="25"/>
    </row>
    <row r="523" spans="33:34" ht="19.5" thickBot="1" x14ac:dyDescent="0.25">
      <c r="AG523" s="25"/>
      <c r="AH523" s="25"/>
    </row>
    <row r="524" spans="33:34" ht="19.5" thickBot="1" x14ac:dyDescent="0.25">
      <c r="AG524" s="25"/>
      <c r="AH524" s="25"/>
    </row>
    <row r="525" spans="33:34" ht="19.5" thickBot="1" x14ac:dyDescent="0.25">
      <c r="AG525" s="25"/>
      <c r="AH525" s="25"/>
    </row>
    <row r="526" spans="33:34" ht="19.5" thickBot="1" x14ac:dyDescent="0.25">
      <c r="AG526" s="25"/>
      <c r="AH526" s="25"/>
    </row>
    <row r="527" spans="33:34" ht="19.5" thickBot="1" x14ac:dyDescent="0.25">
      <c r="AG527" s="25"/>
      <c r="AH527" s="25"/>
    </row>
    <row r="528" spans="33:34" ht="19.5" thickBot="1" x14ac:dyDescent="0.25">
      <c r="AG528" s="25"/>
      <c r="AH528" s="25"/>
    </row>
    <row r="529" spans="33:34" ht="19.5" thickBot="1" x14ac:dyDescent="0.25">
      <c r="AG529" s="25"/>
      <c r="AH529" s="25"/>
    </row>
    <row r="530" spans="33:34" ht="19.5" thickBot="1" x14ac:dyDescent="0.25">
      <c r="AG530" s="25"/>
      <c r="AH530" s="25"/>
    </row>
    <row r="531" spans="33:34" ht="19.5" thickBot="1" x14ac:dyDescent="0.25">
      <c r="AG531" s="25"/>
      <c r="AH531" s="25"/>
    </row>
    <row r="532" spans="33:34" ht="19.5" thickBot="1" x14ac:dyDescent="0.25">
      <c r="AG532" s="25"/>
      <c r="AH532" s="25"/>
    </row>
    <row r="533" spans="33:34" ht="19.5" thickBot="1" x14ac:dyDescent="0.25">
      <c r="AG533" s="25"/>
      <c r="AH533" s="25"/>
    </row>
    <row r="534" spans="33:34" ht="19.5" thickBot="1" x14ac:dyDescent="0.25">
      <c r="AG534" s="25"/>
      <c r="AH534" s="25"/>
    </row>
    <row r="535" spans="33:34" ht="19.5" thickBot="1" x14ac:dyDescent="0.25">
      <c r="AG535" s="25"/>
      <c r="AH535" s="25"/>
    </row>
    <row r="536" spans="33:34" ht="19.5" thickBot="1" x14ac:dyDescent="0.25">
      <c r="AG536" s="25"/>
      <c r="AH536" s="25"/>
    </row>
    <row r="537" spans="33:34" ht="19.5" thickBot="1" x14ac:dyDescent="0.25">
      <c r="AG537" s="25"/>
      <c r="AH537" s="25"/>
    </row>
    <row r="538" spans="33:34" ht="19.5" thickBot="1" x14ac:dyDescent="0.25">
      <c r="AG538" s="25"/>
      <c r="AH538" s="25"/>
    </row>
    <row r="539" spans="33:34" ht="19.5" thickBot="1" x14ac:dyDescent="0.25">
      <c r="AG539" s="25"/>
      <c r="AH539" s="25"/>
    </row>
    <row r="540" spans="33:34" ht="19.5" thickBot="1" x14ac:dyDescent="0.25">
      <c r="AG540" s="25"/>
      <c r="AH540" s="25"/>
    </row>
    <row r="541" spans="33:34" ht="19.5" thickBot="1" x14ac:dyDescent="0.25">
      <c r="AG541" s="25"/>
      <c r="AH541" s="25"/>
    </row>
    <row r="542" spans="33:34" ht="19.5" thickBot="1" x14ac:dyDescent="0.25">
      <c r="AG542" s="25"/>
      <c r="AH542" s="25"/>
    </row>
    <row r="543" spans="33:34" ht="19.5" thickBot="1" x14ac:dyDescent="0.25">
      <c r="AG543" s="25"/>
      <c r="AH543" s="25"/>
    </row>
    <row r="544" spans="33:34" ht="19.5" thickBot="1" x14ac:dyDescent="0.25">
      <c r="AG544" s="25"/>
      <c r="AH544" s="25"/>
    </row>
    <row r="545" spans="33:34" ht="19.5" thickBot="1" x14ac:dyDescent="0.25">
      <c r="AG545" s="25"/>
      <c r="AH545" s="25"/>
    </row>
    <row r="546" spans="33:34" ht="19.5" thickBot="1" x14ac:dyDescent="0.25">
      <c r="AG546" s="25"/>
      <c r="AH546" s="25"/>
    </row>
    <row r="547" spans="33:34" ht="19.5" thickBot="1" x14ac:dyDescent="0.25">
      <c r="AG547" s="25"/>
      <c r="AH547" s="25"/>
    </row>
    <row r="548" spans="33:34" ht="19.5" thickBot="1" x14ac:dyDescent="0.25">
      <c r="AG548" s="25"/>
      <c r="AH548" s="25"/>
    </row>
    <row r="549" spans="33:34" ht="19.5" thickBot="1" x14ac:dyDescent="0.25">
      <c r="AG549" s="25"/>
      <c r="AH549" s="25"/>
    </row>
    <row r="550" spans="33:34" ht="19.5" thickBot="1" x14ac:dyDescent="0.25">
      <c r="AG550" s="25"/>
      <c r="AH550" s="25"/>
    </row>
    <row r="551" spans="33:34" ht="19.5" thickBot="1" x14ac:dyDescent="0.25">
      <c r="AG551" s="25"/>
      <c r="AH551" s="25"/>
    </row>
    <row r="552" spans="33:34" ht="19.5" thickBot="1" x14ac:dyDescent="0.25">
      <c r="AG552" s="25"/>
      <c r="AH552" s="25"/>
    </row>
    <row r="553" spans="33:34" ht="19.5" thickBot="1" x14ac:dyDescent="0.25">
      <c r="AG553" s="25"/>
      <c r="AH553" s="25"/>
    </row>
    <row r="554" spans="33:34" ht="19.5" thickBot="1" x14ac:dyDescent="0.25">
      <c r="AG554" s="25"/>
      <c r="AH554" s="25"/>
    </row>
    <row r="555" spans="33:34" ht="19.5" thickBot="1" x14ac:dyDescent="0.25">
      <c r="AG555" s="25"/>
      <c r="AH555" s="25"/>
    </row>
    <row r="556" spans="33:34" ht="19.5" thickBot="1" x14ac:dyDescent="0.25">
      <c r="AG556" s="25"/>
      <c r="AH556" s="25"/>
    </row>
    <row r="557" spans="33:34" ht="19.5" thickBot="1" x14ac:dyDescent="0.25">
      <c r="AG557" s="25"/>
      <c r="AH557" s="25"/>
    </row>
    <row r="558" spans="33:34" ht="19.5" thickBot="1" x14ac:dyDescent="0.25">
      <c r="AG558" s="25"/>
      <c r="AH558" s="25"/>
    </row>
    <row r="559" spans="33:34" ht="19.5" thickBot="1" x14ac:dyDescent="0.25">
      <c r="AG559" s="25"/>
      <c r="AH559" s="25"/>
    </row>
    <row r="560" spans="33:34" ht="19.5" thickBot="1" x14ac:dyDescent="0.25">
      <c r="AG560" s="25"/>
      <c r="AH560" s="25"/>
    </row>
    <row r="561" spans="33:34" ht="19.5" thickBot="1" x14ac:dyDescent="0.25">
      <c r="AG561" s="25"/>
      <c r="AH561" s="25"/>
    </row>
    <row r="562" spans="33:34" ht="19.5" thickBot="1" x14ac:dyDescent="0.25">
      <c r="AG562" s="25"/>
      <c r="AH562" s="25"/>
    </row>
    <row r="563" spans="33:34" ht="19.5" thickBot="1" x14ac:dyDescent="0.25">
      <c r="AG563" s="25"/>
      <c r="AH563" s="25"/>
    </row>
    <row r="564" spans="33:34" ht="19.5" thickBot="1" x14ac:dyDescent="0.25">
      <c r="AG564" s="25"/>
      <c r="AH564" s="25"/>
    </row>
    <row r="565" spans="33:34" ht="19.5" thickBot="1" x14ac:dyDescent="0.25">
      <c r="AG565" s="25"/>
      <c r="AH565" s="25"/>
    </row>
    <row r="566" spans="33:34" ht="19.5" thickBot="1" x14ac:dyDescent="0.25">
      <c r="AG566" s="25"/>
      <c r="AH566" s="25"/>
    </row>
    <row r="567" spans="33:34" ht="19.5" thickBot="1" x14ac:dyDescent="0.25">
      <c r="AG567" s="25"/>
      <c r="AH567" s="25"/>
    </row>
    <row r="568" spans="33:34" ht="19.5" thickBot="1" x14ac:dyDescent="0.25">
      <c r="AG568" s="25"/>
      <c r="AH568" s="25"/>
    </row>
    <row r="569" spans="33:34" ht="19.5" thickBot="1" x14ac:dyDescent="0.25">
      <c r="AG569" s="25"/>
      <c r="AH569" s="25"/>
    </row>
    <row r="570" spans="33:34" ht="19.5" thickBot="1" x14ac:dyDescent="0.25">
      <c r="AG570" s="25"/>
      <c r="AH570" s="25"/>
    </row>
    <row r="571" spans="33:34" ht="19.5" thickBot="1" x14ac:dyDescent="0.25">
      <c r="AG571" s="25"/>
      <c r="AH571" s="25"/>
    </row>
    <row r="572" spans="33:34" ht="19.5" thickBot="1" x14ac:dyDescent="0.25">
      <c r="AG572" s="25"/>
      <c r="AH572" s="25"/>
    </row>
    <row r="573" spans="33:34" ht="19.5" thickBot="1" x14ac:dyDescent="0.25">
      <c r="AG573" s="25"/>
      <c r="AH573" s="25"/>
    </row>
    <row r="574" spans="33:34" ht="19.5" thickBot="1" x14ac:dyDescent="0.25">
      <c r="AG574" s="25"/>
      <c r="AH574" s="25"/>
    </row>
    <row r="575" spans="33:34" ht="19.5" thickBot="1" x14ac:dyDescent="0.25">
      <c r="AG575" s="25"/>
      <c r="AH575" s="25"/>
    </row>
    <row r="576" spans="33:34" ht="19.5" thickBot="1" x14ac:dyDescent="0.25">
      <c r="AG576" s="25"/>
      <c r="AH576" s="25"/>
    </row>
    <row r="577" spans="33:34" ht="19.5" thickBot="1" x14ac:dyDescent="0.25">
      <c r="AG577" s="25"/>
      <c r="AH577" s="25"/>
    </row>
    <row r="578" spans="33:34" ht="19.5" thickBot="1" x14ac:dyDescent="0.25">
      <c r="AG578" s="25"/>
      <c r="AH578" s="25"/>
    </row>
    <row r="579" spans="33:34" ht="19.5" thickBot="1" x14ac:dyDescent="0.25">
      <c r="AG579" s="25"/>
      <c r="AH579" s="25"/>
    </row>
    <row r="580" spans="33:34" ht="19.5" thickBot="1" x14ac:dyDescent="0.25">
      <c r="AG580" s="25"/>
      <c r="AH580" s="25"/>
    </row>
    <row r="581" spans="33:34" ht="19.5" thickBot="1" x14ac:dyDescent="0.25">
      <c r="AG581" s="25"/>
      <c r="AH581" s="25"/>
    </row>
    <row r="582" spans="33:34" ht="19.5" thickBot="1" x14ac:dyDescent="0.25">
      <c r="AG582" s="25"/>
      <c r="AH582" s="25"/>
    </row>
    <row r="583" spans="33:34" ht="19.5" thickBot="1" x14ac:dyDescent="0.25">
      <c r="AG583" s="25"/>
      <c r="AH583" s="25"/>
    </row>
    <row r="584" spans="33:34" ht="19.5" thickBot="1" x14ac:dyDescent="0.25">
      <c r="AG584" s="25"/>
      <c r="AH584" s="25"/>
    </row>
    <row r="585" spans="33:34" ht="19.5" thickBot="1" x14ac:dyDescent="0.25">
      <c r="AG585" s="25"/>
      <c r="AH585" s="25"/>
    </row>
    <row r="586" spans="33:34" ht="19.5" thickBot="1" x14ac:dyDescent="0.25">
      <c r="AG586" s="25"/>
      <c r="AH586" s="25"/>
    </row>
    <row r="587" spans="33:34" ht="19.5" thickBot="1" x14ac:dyDescent="0.25">
      <c r="AG587" s="25"/>
      <c r="AH587" s="25"/>
    </row>
    <row r="588" spans="33:34" ht="19.5" thickBot="1" x14ac:dyDescent="0.25">
      <c r="AG588" s="25"/>
      <c r="AH588" s="25"/>
    </row>
    <row r="589" spans="33:34" ht="19.5" thickBot="1" x14ac:dyDescent="0.25">
      <c r="AG589" s="25"/>
      <c r="AH589" s="25"/>
    </row>
    <row r="590" spans="33:34" ht="19.5" thickBot="1" x14ac:dyDescent="0.25">
      <c r="AG590" s="25"/>
      <c r="AH590" s="25"/>
    </row>
    <row r="591" spans="33:34" ht="19.5" thickBot="1" x14ac:dyDescent="0.25">
      <c r="AG591" s="25"/>
      <c r="AH591" s="25"/>
    </row>
    <row r="592" spans="33:34" ht="19.5" thickBot="1" x14ac:dyDescent="0.25">
      <c r="AG592" s="25"/>
      <c r="AH592" s="25"/>
    </row>
    <row r="593" spans="33:34" ht="19.5" thickBot="1" x14ac:dyDescent="0.25">
      <c r="AG593" s="25"/>
      <c r="AH593" s="25"/>
    </row>
    <row r="594" spans="33:34" ht="19.5" thickBot="1" x14ac:dyDescent="0.25">
      <c r="AG594" s="25"/>
      <c r="AH594" s="25"/>
    </row>
    <row r="595" spans="33:34" ht="19.5" thickBot="1" x14ac:dyDescent="0.25">
      <c r="AG595" s="25"/>
      <c r="AH595" s="25"/>
    </row>
    <row r="596" spans="33:34" ht="19.5" thickBot="1" x14ac:dyDescent="0.25">
      <c r="AG596" s="25"/>
      <c r="AH596" s="25"/>
    </row>
    <row r="597" spans="33:34" ht="19.5" thickBot="1" x14ac:dyDescent="0.25">
      <c r="AG597" s="25"/>
      <c r="AH597" s="25"/>
    </row>
    <row r="598" spans="33:34" ht="19.5" thickBot="1" x14ac:dyDescent="0.25">
      <c r="AG598" s="25"/>
      <c r="AH598" s="25"/>
    </row>
    <row r="599" spans="33:34" ht="19.5" thickBot="1" x14ac:dyDescent="0.25">
      <c r="AG599" s="25"/>
      <c r="AH599" s="25"/>
    </row>
    <row r="600" spans="33:34" ht="19.5" thickBot="1" x14ac:dyDescent="0.25">
      <c r="AG600" s="25"/>
      <c r="AH600" s="25"/>
    </row>
    <row r="601" spans="33:34" ht="19.5" thickBot="1" x14ac:dyDescent="0.25">
      <c r="AG601" s="25"/>
      <c r="AH601" s="25"/>
    </row>
    <row r="602" spans="33:34" ht="19.5" thickBot="1" x14ac:dyDescent="0.25">
      <c r="AG602" s="25"/>
      <c r="AH602" s="25"/>
    </row>
    <row r="603" spans="33:34" ht="19.5" thickBot="1" x14ac:dyDescent="0.25">
      <c r="AG603" s="25"/>
      <c r="AH603" s="25"/>
    </row>
    <row r="604" spans="33:34" ht="19.5" thickBot="1" x14ac:dyDescent="0.25">
      <c r="AG604" s="25"/>
      <c r="AH604" s="25"/>
    </row>
    <row r="605" spans="33:34" ht="19.5" thickBot="1" x14ac:dyDescent="0.25">
      <c r="AG605" s="25"/>
      <c r="AH605" s="25"/>
    </row>
    <row r="606" spans="33:34" ht="19.5" thickBot="1" x14ac:dyDescent="0.25">
      <c r="AG606" s="25"/>
      <c r="AH606" s="25"/>
    </row>
    <row r="607" spans="33:34" ht="19.5" thickBot="1" x14ac:dyDescent="0.25">
      <c r="AG607" s="25"/>
      <c r="AH607" s="25"/>
    </row>
    <row r="608" spans="33:34" ht="19.5" thickBot="1" x14ac:dyDescent="0.25">
      <c r="AG608" s="25"/>
      <c r="AH608" s="25"/>
    </row>
    <row r="609" spans="33:34" ht="19.5" thickBot="1" x14ac:dyDescent="0.25">
      <c r="AG609" s="25"/>
      <c r="AH609" s="25"/>
    </row>
    <row r="610" spans="33:34" ht="19.5" thickBot="1" x14ac:dyDescent="0.25">
      <c r="AG610" s="25"/>
      <c r="AH610" s="25"/>
    </row>
    <row r="611" spans="33:34" ht="19.5" thickBot="1" x14ac:dyDescent="0.25">
      <c r="AG611" s="25"/>
      <c r="AH611" s="25"/>
    </row>
    <row r="612" spans="33:34" ht="19.5" thickBot="1" x14ac:dyDescent="0.25">
      <c r="AG612" s="25"/>
      <c r="AH612" s="25"/>
    </row>
    <row r="613" spans="33:34" ht="19.5" thickBot="1" x14ac:dyDescent="0.25">
      <c r="AG613" s="25"/>
      <c r="AH613" s="25"/>
    </row>
    <row r="614" spans="33:34" ht="19.5" thickBot="1" x14ac:dyDescent="0.25">
      <c r="AG614" s="25"/>
      <c r="AH614" s="25"/>
    </row>
    <row r="615" spans="33:34" ht="19.5" thickBot="1" x14ac:dyDescent="0.25">
      <c r="AG615" s="25"/>
      <c r="AH615" s="25"/>
    </row>
    <row r="616" spans="33:34" ht="19.5" thickBot="1" x14ac:dyDescent="0.25">
      <c r="AG616" s="25"/>
      <c r="AH616" s="25"/>
    </row>
    <row r="617" spans="33:34" ht="19.5" thickBot="1" x14ac:dyDescent="0.25">
      <c r="AG617" s="25"/>
      <c r="AH617" s="25"/>
    </row>
    <row r="618" spans="33:34" ht="19.5" thickBot="1" x14ac:dyDescent="0.25">
      <c r="AG618" s="25"/>
      <c r="AH618" s="25"/>
    </row>
    <row r="619" spans="33:34" ht="19.5" thickBot="1" x14ac:dyDescent="0.25">
      <c r="AG619" s="25"/>
      <c r="AH619" s="25"/>
    </row>
    <row r="620" spans="33:34" ht="19.5" thickBot="1" x14ac:dyDescent="0.25">
      <c r="AG620" s="25"/>
      <c r="AH620" s="25"/>
    </row>
    <row r="621" spans="33:34" ht="19.5" thickBot="1" x14ac:dyDescent="0.25">
      <c r="AG621" s="25"/>
      <c r="AH621" s="25"/>
    </row>
    <row r="622" spans="33:34" ht="19.5" thickBot="1" x14ac:dyDescent="0.25">
      <c r="AG622" s="25"/>
      <c r="AH622" s="25"/>
    </row>
    <row r="623" spans="33:34" ht="19.5" thickBot="1" x14ac:dyDescent="0.25">
      <c r="AG623" s="25"/>
      <c r="AH623" s="25"/>
    </row>
    <row r="624" spans="33:34" ht="19.5" thickBot="1" x14ac:dyDescent="0.25">
      <c r="AG624" s="25"/>
      <c r="AH624" s="25"/>
    </row>
    <row r="625" spans="33:34" ht="19.5" thickBot="1" x14ac:dyDescent="0.25">
      <c r="AG625" s="25"/>
      <c r="AH625" s="25"/>
    </row>
    <row r="626" spans="33:34" ht="19.5" thickBot="1" x14ac:dyDescent="0.25">
      <c r="AG626" s="25"/>
      <c r="AH626" s="25"/>
    </row>
    <row r="627" spans="33:34" ht="19.5" thickBot="1" x14ac:dyDescent="0.25">
      <c r="AG627" s="25"/>
      <c r="AH627" s="25"/>
    </row>
    <row r="628" spans="33:34" ht="19.5" thickBot="1" x14ac:dyDescent="0.25">
      <c r="AG628" s="25"/>
      <c r="AH628" s="25"/>
    </row>
    <row r="629" spans="33:34" ht="19.5" thickBot="1" x14ac:dyDescent="0.25">
      <c r="AG629" s="25"/>
      <c r="AH629" s="25"/>
    </row>
    <row r="630" spans="33:34" ht="19.5" thickBot="1" x14ac:dyDescent="0.25">
      <c r="AG630" s="25"/>
      <c r="AH630" s="25"/>
    </row>
    <row r="631" spans="33:34" ht="19.5" thickBot="1" x14ac:dyDescent="0.25">
      <c r="AG631" s="25"/>
      <c r="AH631" s="25"/>
    </row>
    <row r="632" spans="33:34" ht="19.5" thickBot="1" x14ac:dyDescent="0.25">
      <c r="AG632" s="25"/>
      <c r="AH632" s="25"/>
    </row>
    <row r="633" spans="33:34" ht="19.5" thickBot="1" x14ac:dyDescent="0.25">
      <c r="AG633" s="25"/>
      <c r="AH633" s="25"/>
    </row>
    <row r="634" spans="33:34" ht="19.5" thickBot="1" x14ac:dyDescent="0.25">
      <c r="AG634" s="25"/>
      <c r="AH634" s="25"/>
    </row>
    <row r="635" spans="33:34" ht="19.5" thickBot="1" x14ac:dyDescent="0.25">
      <c r="AG635" s="25"/>
      <c r="AH635" s="25"/>
    </row>
    <row r="636" spans="33:34" ht="19.5" thickBot="1" x14ac:dyDescent="0.25">
      <c r="AG636" s="25"/>
      <c r="AH636" s="25"/>
    </row>
    <row r="637" spans="33:34" ht="19.5" thickBot="1" x14ac:dyDescent="0.25">
      <c r="AG637" s="25"/>
      <c r="AH637" s="25"/>
    </row>
    <row r="638" spans="33:34" ht="19.5" thickBot="1" x14ac:dyDescent="0.25">
      <c r="AG638" s="25"/>
      <c r="AH638" s="25"/>
    </row>
    <row r="639" spans="33:34" ht="19.5" thickBot="1" x14ac:dyDescent="0.25">
      <c r="AG639" s="25"/>
      <c r="AH639" s="25"/>
    </row>
    <row r="640" spans="33:34" ht="19.5" thickBot="1" x14ac:dyDescent="0.25">
      <c r="AG640" s="25"/>
      <c r="AH640" s="25"/>
    </row>
    <row r="641" spans="33:34" ht="19.5" thickBot="1" x14ac:dyDescent="0.25">
      <c r="AG641" s="25"/>
      <c r="AH641" s="25"/>
    </row>
    <row r="642" spans="33:34" ht="19.5" thickBot="1" x14ac:dyDescent="0.25">
      <c r="AG642" s="25"/>
      <c r="AH642" s="25"/>
    </row>
    <row r="643" spans="33:34" ht="19.5" thickBot="1" x14ac:dyDescent="0.25">
      <c r="AG643" s="25"/>
      <c r="AH643" s="25"/>
    </row>
    <row r="644" spans="33:34" ht="19.5" thickBot="1" x14ac:dyDescent="0.25">
      <c r="AG644" s="25"/>
      <c r="AH644" s="25"/>
    </row>
    <row r="645" spans="33:34" ht="19.5" thickBot="1" x14ac:dyDescent="0.25">
      <c r="AG645" s="25"/>
      <c r="AH645" s="25"/>
    </row>
    <row r="646" spans="33:34" ht="19.5" thickBot="1" x14ac:dyDescent="0.25">
      <c r="AG646" s="25"/>
      <c r="AH646" s="25"/>
    </row>
    <row r="647" spans="33:34" ht="19.5" thickBot="1" x14ac:dyDescent="0.25">
      <c r="AG647" s="25"/>
      <c r="AH647" s="25"/>
    </row>
    <row r="648" spans="33:34" ht="19.5" thickBot="1" x14ac:dyDescent="0.25">
      <c r="AG648" s="25"/>
      <c r="AH648" s="25"/>
    </row>
    <row r="649" spans="33:34" ht="19.5" thickBot="1" x14ac:dyDescent="0.25">
      <c r="AG649" s="25"/>
      <c r="AH649" s="25"/>
    </row>
    <row r="650" spans="33:34" ht="19.5" thickBot="1" x14ac:dyDescent="0.25">
      <c r="AG650" s="25"/>
      <c r="AH650" s="25"/>
    </row>
    <row r="651" spans="33:34" ht="19.5" thickBot="1" x14ac:dyDescent="0.25">
      <c r="AG651" s="25"/>
      <c r="AH651" s="25"/>
    </row>
    <row r="652" spans="33:34" ht="19.5" thickBot="1" x14ac:dyDescent="0.25">
      <c r="AG652" s="25"/>
      <c r="AH652" s="25"/>
    </row>
    <row r="653" spans="33:34" ht="19.5" thickBot="1" x14ac:dyDescent="0.25">
      <c r="AG653" s="25"/>
      <c r="AH653" s="25"/>
    </row>
    <row r="654" spans="33:34" ht="19.5" thickBot="1" x14ac:dyDescent="0.25">
      <c r="AG654" s="25"/>
      <c r="AH654" s="25"/>
    </row>
    <row r="655" spans="33:34" ht="19.5" thickBot="1" x14ac:dyDescent="0.25">
      <c r="AG655" s="25"/>
      <c r="AH655" s="25"/>
    </row>
    <row r="656" spans="33:34" ht="19.5" thickBot="1" x14ac:dyDescent="0.25">
      <c r="AG656" s="25"/>
      <c r="AH656" s="25"/>
    </row>
    <row r="657" spans="33:34" ht="19.5" thickBot="1" x14ac:dyDescent="0.25">
      <c r="AG657" s="25"/>
      <c r="AH657" s="25"/>
    </row>
    <row r="658" spans="33:34" ht="19.5" thickBot="1" x14ac:dyDescent="0.25">
      <c r="AG658" s="25"/>
      <c r="AH658" s="25"/>
    </row>
    <row r="659" spans="33:34" ht="19.5" thickBot="1" x14ac:dyDescent="0.25">
      <c r="AG659" s="25"/>
      <c r="AH659" s="25"/>
    </row>
    <row r="660" spans="33:34" ht="19.5" thickBot="1" x14ac:dyDescent="0.25">
      <c r="AG660" s="25"/>
      <c r="AH660" s="25"/>
    </row>
    <row r="661" spans="33:34" ht="19.5" thickBot="1" x14ac:dyDescent="0.25">
      <c r="AG661" s="25"/>
      <c r="AH661" s="25"/>
    </row>
    <row r="662" spans="33:34" ht="19.5" thickBot="1" x14ac:dyDescent="0.25">
      <c r="AG662" s="25"/>
      <c r="AH662" s="25"/>
    </row>
    <row r="663" spans="33:34" ht="19.5" thickBot="1" x14ac:dyDescent="0.25">
      <c r="AG663" s="25"/>
      <c r="AH663" s="25"/>
    </row>
    <row r="664" spans="33:34" ht="19.5" thickBot="1" x14ac:dyDescent="0.25">
      <c r="AG664" s="25"/>
      <c r="AH664" s="25"/>
    </row>
    <row r="665" spans="33:34" ht="19.5" thickBot="1" x14ac:dyDescent="0.25">
      <c r="AG665" s="25"/>
      <c r="AH665" s="25"/>
    </row>
    <row r="666" spans="33:34" ht="19.5" thickBot="1" x14ac:dyDescent="0.25">
      <c r="AG666" s="25"/>
      <c r="AH666" s="25"/>
    </row>
    <row r="667" spans="33:34" ht="19.5" thickBot="1" x14ac:dyDescent="0.25">
      <c r="AG667" s="25"/>
      <c r="AH667" s="25"/>
    </row>
    <row r="668" spans="33:34" ht="19.5" thickBot="1" x14ac:dyDescent="0.25">
      <c r="AG668" s="25"/>
      <c r="AH668" s="25"/>
    </row>
    <row r="669" spans="33:34" ht="19.5" thickBot="1" x14ac:dyDescent="0.25">
      <c r="AG669" s="25"/>
      <c r="AH669" s="25"/>
    </row>
    <row r="670" spans="33:34" ht="19.5" thickBot="1" x14ac:dyDescent="0.25">
      <c r="AG670" s="25"/>
      <c r="AH670" s="25"/>
    </row>
    <row r="671" spans="33:34" ht="19.5" thickBot="1" x14ac:dyDescent="0.25">
      <c r="AG671" s="25"/>
      <c r="AH671" s="25"/>
    </row>
    <row r="672" spans="33:34" ht="19.5" thickBot="1" x14ac:dyDescent="0.25">
      <c r="AG672" s="25"/>
      <c r="AH672" s="25"/>
    </row>
    <row r="673" spans="33:34" ht="19.5" thickBot="1" x14ac:dyDescent="0.25">
      <c r="AG673" s="25"/>
      <c r="AH673" s="25"/>
    </row>
    <row r="674" spans="33:34" ht="19.5" thickBot="1" x14ac:dyDescent="0.25">
      <c r="AG674" s="25"/>
      <c r="AH674" s="25"/>
    </row>
    <row r="675" spans="33:34" ht="19.5" thickBot="1" x14ac:dyDescent="0.25">
      <c r="AG675" s="25"/>
      <c r="AH675" s="25"/>
    </row>
    <row r="676" spans="33:34" ht="19.5" thickBot="1" x14ac:dyDescent="0.25">
      <c r="AG676" s="25"/>
      <c r="AH676" s="25"/>
    </row>
    <row r="677" spans="33:34" ht="19.5" thickBot="1" x14ac:dyDescent="0.25">
      <c r="AG677" s="25"/>
      <c r="AH677" s="25"/>
    </row>
    <row r="678" spans="33:34" ht="19.5" thickBot="1" x14ac:dyDescent="0.25">
      <c r="AG678" s="25"/>
      <c r="AH678" s="25"/>
    </row>
    <row r="679" spans="33:34" ht="19.5" thickBot="1" x14ac:dyDescent="0.25">
      <c r="AG679" s="25"/>
      <c r="AH679" s="25"/>
    </row>
    <row r="680" spans="33:34" ht="19.5" thickBot="1" x14ac:dyDescent="0.25">
      <c r="AG680" s="25"/>
      <c r="AH680" s="25"/>
    </row>
    <row r="681" spans="33:34" ht="19.5" thickBot="1" x14ac:dyDescent="0.25">
      <c r="AG681" s="25"/>
      <c r="AH681" s="25"/>
    </row>
    <row r="682" spans="33:34" ht="19.5" thickBot="1" x14ac:dyDescent="0.25">
      <c r="AG682" s="25"/>
      <c r="AH682" s="25"/>
    </row>
    <row r="683" spans="33:34" ht="19.5" thickBot="1" x14ac:dyDescent="0.25">
      <c r="AG683" s="25"/>
      <c r="AH683" s="25"/>
    </row>
    <row r="684" spans="33:34" ht="19.5" thickBot="1" x14ac:dyDescent="0.25">
      <c r="AG684" s="25"/>
      <c r="AH684" s="25"/>
    </row>
    <row r="685" spans="33:34" ht="19.5" thickBot="1" x14ac:dyDescent="0.25">
      <c r="AG685" s="25"/>
      <c r="AH685" s="25"/>
    </row>
    <row r="686" spans="33:34" ht="19.5" thickBot="1" x14ac:dyDescent="0.25">
      <c r="AG686" s="25"/>
      <c r="AH686" s="25"/>
    </row>
    <row r="687" spans="33:34" ht="19.5" thickBot="1" x14ac:dyDescent="0.25">
      <c r="AG687" s="25"/>
      <c r="AH687" s="25"/>
    </row>
    <row r="688" spans="33:34" ht="19.5" thickBot="1" x14ac:dyDescent="0.25">
      <c r="AG688" s="25"/>
      <c r="AH688" s="25"/>
    </row>
    <row r="689" spans="33:34" ht="19.5" thickBot="1" x14ac:dyDescent="0.25">
      <c r="AG689" s="25"/>
      <c r="AH689" s="25"/>
    </row>
    <row r="690" spans="33:34" ht="19.5" thickBot="1" x14ac:dyDescent="0.25">
      <c r="AG690" s="25"/>
      <c r="AH690" s="25"/>
    </row>
    <row r="691" spans="33:34" ht="19.5" thickBot="1" x14ac:dyDescent="0.25">
      <c r="AG691" s="25"/>
      <c r="AH691" s="25"/>
    </row>
    <row r="692" spans="33:34" ht="19.5" thickBot="1" x14ac:dyDescent="0.25">
      <c r="AG692" s="25"/>
      <c r="AH692" s="25"/>
    </row>
    <row r="693" spans="33:34" ht="19.5" thickBot="1" x14ac:dyDescent="0.25">
      <c r="AG693" s="25"/>
      <c r="AH693" s="25"/>
    </row>
    <row r="694" spans="33:34" ht="19.5" thickBot="1" x14ac:dyDescent="0.25">
      <c r="AG694" s="25"/>
      <c r="AH694" s="25"/>
    </row>
    <row r="695" spans="33:34" ht="19.5" thickBot="1" x14ac:dyDescent="0.25">
      <c r="AG695" s="25"/>
      <c r="AH695" s="25"/>
    </row>
    <row r="696" spans="33:34" ht="19.5" thickBot="1" x14ac:dyDescent="0.25">
      <c r="AG696" s="25"/>
      <c r="AH696" s="25"/>
    </row>
    <row r="697" spans="33:34" ht="19.5" thickBot="1" x14ac:dyDescent="0.25">
      <c r="AG697" s="25"/>
      <c r="AH697" s="25"/>
    </row>
    <row r="698" spans="33:34" ht="19.5" thickBot="1" x14ac:dyDescent="0.25">
      <c r="AG698" s="25"/>
      <c r="AH698" s="25"/>
    </row>
    <row r="699" spans="33:34" ht="19.5" thickBot="1" x14ac:dyDescent="0.25">
      <c r="AG699" s="25"/>
      <c r="AH699" s="25"/>
    </row>
    <row r="700" spans="33:34" ht="19.5" thickBot="1" x14ac:dyDescent="0.25">
      <c r="AG700" s="25"/>
      <c r="AH700" s="25"/>
    </row>
    <row r="701" spans="33:34" ht="19.5" thickBot="1" x14ac:dyDescent="0.25">
      <c r="AG701" s="25"/>
      <c r="AH701" s="25"/>
    </row>
    <row r="702" spans="33:34" ht="19.5" thickBot="1" x14ac:dyDescent="0.25">
      <c r="AG702" s="25"/>
      <c r="AH702" s="25"/>
    </row>
    <row r="703" spans="33:34" ht="19.5" thickBot="1" x14ac:dyDescent="0.25">
      <c r="AG703" s="25"/>
      <c r="AH703" s="25"/>
    </row>
    <row r="704" spans="33:34" ht="19.5" thickBot="1" x14ac:dyDescent="0.25">
      <c r="AG704" s="25"/>
      <c r="AH704" s="25"/>
    </row>
    <row r="705" spans="33:34" ht="19.5" thickBot="1" x14ac:dyDescent="0.25">
      <c r="AG705" s="25"/>
      <c r="AH705" s="25"/>
    </row>
    <row r="706" spans="33:34" ht="19.5" thickBot="1" x14ac:dyDescent="0.25">
      <c r="AG706" s="25"/>
      <c r="AH706" s="25"/>
    </row>
    <row r="707" spans="33:34" ht="19.5" thickBot="1" x14ac:dyDescent="0.25">
      <c r="AG707" s="25"/>
      <c r="AH707" s="25"/>
    </row>
    <row r="708" spans="33:34" ht="19.5" thickBot="1" x14ac:dyDescent="0.25">
      <c r="AG708" s="25"/>
      <c r="AH708" s="25"/>
    </row>
    <row r="709" spans="33:34" ht="19.5" thickBot="1" x14ac:dyDescent="0.25">
      <c r="AG709" s="25"/>
      <c r="AH709" s="25"/>
    </row>
    <row r="710" spans="33:34" ht="19.5" thickBot="1" x14ac:dyDescent="0.25">
      <c r="AG710" s="25"/>
      <c r="AH710" s="25"/>
    </row>
    <row r="711" spans="33:34" ht="19.5" thickBot="1" x14ac:dyDescent="0.25">
      <c r="AG711" s="25"/>
      <c r="AH711" s="25"/>
    </row>
    <row r="712" spans="33:34" ht="19.5" thickBot="1" x14ac:dyDescent="0.25">
      <c r="AG712" s="25"/>
      <c r="AH712" s="25"/>
    </row>
    <row r="713" spans="33:34" ht="19.5" thickBot="1" x14ac:dyDescent="0.25">
      <c r="AG713" s="25"/>
      <c r="AH713" s="25"/>
    </row>
    <row r="714" spans="33:34" ht="19.5" thickBot="1" x14ac:dyDescent="0.25">
      <c r="AG714" s="25"/>
      <c r="AH714" s="25"/>
    </row>
    <row r="715" spans="33:34" ht="19.5" thickBot="1" x14ac:dyDescent="0.25">
      <c r="AG715" s="25"/>
      <c r="AH715" s="25"/>
    </row>
    <row r="716" spans="33:34" ht="19.5" thickBot="1" x14ac:dyDescent="0.25">
      <c r="AG716" s="25"/>
      <c r="AH716" s="25"/>
    </row>
    <row r="717" spans="33:34" ht="19.5" thickBot="1" x14ac:dyDescent="0.25">
      <c r="AG717" s="25"/>
      <c r="AH717" s="25"/>
    </row>
    <row r="718" spans="33:34" ht="19.5" thickBot="1" x14ac:dyDescent="0.25">
      <c r="AG718" s="25"/>
      <c r="AH718" s="25"/>
    </row>
    <row r="719" spans="33:34" ht="19.5" thickBot="1" x14ac:dyDescent="0.25">
      <c r="AG719" s="25"/>
      <c r="AH719" s="25"/>
    </row>
    <row r="720" spans="33:34" ht="19.5" thickBot="1" x14ac:dyDescent="0.25">
      <c r="AG720" s="25"/>
      <c r="AH720" s="25"/>
    </row>
    <row r="721" spans="33:34" ht="19.5" thickBot="1" x14ac:dyDescent="0.25">
      <c r="AG721" s="25"/>
      <c r="AH721" s="25"/>
    </row>
    <row r="722" spans="33:34" ht="19.5" thickBot="1" x14ac:dyDescent="0.25">
      <c r="AG722" s="25"/>
      <c r="AH722" s="25"/>
    </row>
    <row r="723" spans="33:34" ht="19.5" thickBot="1" x14ac:dyDescent="0.25">
      <c r="AG723" s="25"/>
      <c r="AH723" s="25"/>
    </row>
    <row r="724" spans="33:34" ht="19.5" thickBot="1" x14ac:dyDescent="0.25">
      <c r="AG724" s="25"/>
      <c r="AH724" s="25"/>
    </row>
    <row r="725" spans="33:34" ht="19.5" thickBot="1" x14ac:dyDescent="0.25">
      <c r="AG725" s="25"/>
      <c r="AH725" s="25"/>
    </row>
    <row r="726" spans="33:34" ht="19.5" thickBot="1" x14ac:dyDescent="0.25">
      <c r="AG726" s="25"/>
      <c r="AH726" s="25"/>
    </row>
    <row r="727" spans="33:34" ht="19.5" thickBot="1" x14ac:dyDescent="0.25">
      <c r="AG727" s="25"/>
      <c r="AH727" s="25"/>
    </row>
    <row r="728" spans="33:34" ht="19.5" thickBot="1" x14ac:dyDescent="0.25">
      <c r="AG728" s="25"/>
      <c r="AH728" s="25"/>
    </row>
    <row r="729" spans="33:34" ht="19.5" thickBot="1" x14ac:dyDescent="0.25">
      <c r="AG729" s="25"/>
      <c r="AH729" s="25"/>
    </row>
    <row r="730" spans="33:34" ht="19.5" thickBot="1" x14ac:dyDescent="0.25">
      <c r="AG730" s="25"/>
      <c r="AH730" s="25"/>
    </row>
    <row r="731" spans="33:34" ht="19.5" thickBot="1" x14ac:dyDescent="0.25">
      <c r="AG731" s="25"/>
      <c r="AH731" s="25"/>
    </row>
    <row r="732" spans="33:34" ht="19.5" thickBot="1" x14ac:dyDescent="0.25">
      <c r="AG732" s="25"/>
      <c r="AH732" s="25"/>
    </row>
    <row r="733" spans="33:34" ht="19.5" thickBot="1" x14ac:dyDescent="0.25">
      <c r="AG733" s="25"/>
      <c r="AH733" s="25"/>
    </row>
    <row r="734" spans="33:34" ht="19.5" thickBot="1" x14ac:dyDescent="0.25">
      <c r="AG734" s="25"/>
      <c r="AH734" s="25"/>
    </row>
    <row r="735" spans="33:34" ht="19.5" thickBot="1" x14ac:dyDescent="0.25">
      <c r="AG735" s="25"/>
      <c r="AH735" s="25"/>
    </row>
    <row r="736" spans="33:34" ht="19.5" thickBot="1" x14ac:dyDescent="0.25">
      <c r="AG736" s="25"/>
      <c r="AH736" s="25"/>
    </row>
    <row r="737" spans="33:34" ht="19.5" thickBot="1" x14ac:dyDescent="0.25">
      <c r="AG737" s="25"/>
      <c r="AH737" s="25"/>
    </row>
    <row r="738" spans="33:34" ht="19.5" thickBot="1" x14ac:dyDescent="0.25">
      <c r="AG738" s="25"/>
      <c r="AH738" s="25"/>
    </row>
    <row r="739" spans="33:34" ht="19.5" thickBot="1" x14ac:dyDescent="0.25">
      <c r="AG739" s="25"/>
      <c r="AH739" s="25"/>
    </row>
    <row r="740" spans="33:34" ht="19.5" thickBot="1" x14ac:dyDescent="0.25">
      <c r="AG740" s="25"/>
      <c r="AH740" s="25"/>
    </row>
    <row r="741" spans="33:34" ht="19.5" thickBot="1" x14ac:dyDescent="0.25">
      <c r="AG741" s="25"/>
      <c r="AH741" s="25"/>
    </row>
    <row r="742" spans="33:34" ht="19.5" thickBot="1" x14ac:dyDescent="0.25">
      <c r="AG742" s="25"/>
      <c r="AH742" s="25"/>
    </row>
    <row r="743" spans="33:34" ht="19.5" thickBot="1" x14ac:dyDescent="0.25">
      <c r="AG743" s="25"/>
      <c r="AH743" s="25"/>
    </row>
    <row r="744" spans="33:34" ht="19.5" thickBot="1" x14ac:dyDescent="0.25">
      <c r="AG744" s="25"/>
      <c r="AH744" s="25"/>
    </row>
    <row r="745" spans="33:34" ht="19.5" thickBot="1" x14ac:dyDescent="0.25">
      <c r="AG745" s="25"/>
      <c r="AH745" s="25"/>
    </row>
    <row r="746" spans="33:34" ht="19.5" thickBot="1" x14ac:dyDescent="0.25">
      <c r="AG746" s="25"/>
      <c r="AH746" s="25"/>
    </row>
    <row r="747" spans="33:34" ht="19.5" thickBot="1" x14ac:dyDescent="0.25">
      <c r="AG747" s="25"/>
      <c r="AH747" s="25"/>
    </row>
    <row r="748" spans="33:34" ht="19.5" thickBot="1" x14ac:dyDescent="0.25">
      <c r="AG748" s="25"/>
      <c r="AH748" s="25"/>
    </row>
    <row r="749" spans="33:34" ht="19.5" thickBot="1" x14ac:dyDescent="0.25">
      <c r="AG749" s="25"/>
      <c r="AH749" s="25"/>
    </row>
    <row r="750" spans="33:34" ht="19.5" thickBot="1" x14ac:dyDescent="0.25">
      <c r="AG750" s="25"/>
      <c r="AH750" s="25"/>
    </row>
    <row r="751" spans="33:34" ht="19.5" thickBot="1" x14ac:dyDescent="0.25">
      <c r="AG751" s="25"/>
      <c r="AH751" s="25"/>
    </row>
    <row r="752" spans="33:34" ht="19.5" thickBot="1" x14ac:dyDescent="0.25">
      <c r="AG752" s="25"/>
      <c r="AH752" s="25"/>
    </row>
    <row r="753" spans="33:34" ht="19.5" thickBot="1" x14ac:dyDescent="0.25">
      <c r="AG753" s="25"/>
      <c r="AH753" s="25"/>
    </row>
    <row r="754" spans="33:34" ht="19.5" thickBot="1" x14ac:dyDescent="0.25">
      <c r="AG754" s="25"/>
      <c r="AH754" s="25"/>
    </row>
    <row r="755" spans="33:34" ht="19.5" thickBot="1" x14ac:dyDescent="0.25">
      <c r="AG755" s="25"/>
      <c r="AH755" s="25"/>
    </row>
    <row r="756" spans="33:34" ht="19.5" thickBot="1" x14ac:dyDescent="0.25">
      <c r="AG756" s="25"/>
      <c r="AH756" s="25"/>
    </row>
    <row r="757" spans="33:34" ht="19.5" thickBot="1" x14ac:dyDescent="0.25">
      <c r="AG757" s="25"/>
      <c r="AH757" s="25"/>
    </row>
    <row r="758" spans="33:34" ht="19.5" thickBot="1" x14ac:dyDescent="0.25">
      <c r="AG758" s="25"/>
      <c r="AH758" s="25"/>
    </row>
    <row r="759" spans="33:34" ht="19.5" thickBot="1" x14ac:dyDescent="0.25">
      <c r="AG759" s="25"/>
      <c r="AH759" s="25"/>
    </row>
    <row r="760" spans="33:34" ht="19.5" thickBot="1" x14ac:dyDescent="0.25">
      <c r="AG760" s="25"/>
      <c r="AH760" s="25"/>
    </row>
    <row r="761" spans="33:34" ht="19.5" thickBot="1" x14ac:dyDescent="0.25">
      <c r="AG761" s="25"/>
      <c r="AH761" s="25"/>
    </row>
    <row r="762" spans="33:34" ht="19.5" thickBot="1" x14ac:dyDescent="0.25">
      <c r="AG762" s="25"/>
      <c r="AH762" s="25"/>
    </row>
    <row r="763" spans="33:34" ht="19.5" thickBot="1" x14ac:dyDescent="0.25">
      <c r="AG763" s="25"/>
      <c r="AH763" s="25"/>
    </row>
    <row r="764" spans="33:34" ht="19.5" thickBot="1" x14ac:dyDescent="0.25">
      <c r="AG764" s="25"/>
      <c r="AH764" s="25"/>
    </row>
    <row r="765" spans="33:34" ht="19.5" thickBot="1" x14ac:dyDescent="0.25">
      <c r="AG765" s="25"/>
      <c r="AH765" s="25"/>
    </row>
    <row r="766" spans="33:34" ht="19.5" thickBot="1" x14ac:dyDescent="0.25">
      <c r="AG766" s="25"/>
      <c r="AH766" s="25"/>
    </row>
    <row r="767" spans="33:34" ht="19.5" thickBot="1" x14ac:dyDescent="0.25">
      <c r="AG767" s="25"/>
      <c r="AH767" s="25"/>
    </row>
    <row r="768" spans="33:34" ht="19.5" thickBot="1" x14ac:dyDescent="0.25">
      <c r="AG768" s="25"/>
      <c r="AH768" s="25"/>
    </row>
    <row r="769" spans="33:34" ht="19.5" thickBot="1" x14ac:dyDescent="0.25">
      <c r="AG769" s="25"/>
      <c r="AH769" s="25"/>
    </row>
    <row r="770" spans="33:34" ht="19.5" thickBot="1" x14ac:dyDescent="0.25">
      <c r="AG770" s="25"/>
      <c r="AH770" s="25"/>
    </row>
    <row r="771" spans="33:34" ht="19.5" thickBot="1" x14ac:dyDescent="0.25">
      <c r="AG771" s="25"/>
      <c r="AH771" s="25"/>
    </row>
    <row r="772" spans="33:34" ht="19.5" thickBot="1" x14ac:dyDescent="0.25">
      <c r="AG772" s="25"/>
      <c r="AH772" s="25"/>
    </row>
    <row r="773" spans="33:34" ht="19.5" thickBot="1" x14ac:dyDescent="0.25">
      <c r="AG773" s="25"/>
      <c r="AH773" s="25"/>
    </row>
    <row r="774" spans="33:34" ht="19.5" thickBot="1" x14ac:dyDescent="0.25">
      <c r="AG774" s="25"/>
      <c r="AH774" s="25"/>
    </row>
    <row r="775" spans="33:34" ht="19.5" thickBot="1" x14ac:dyDescent="0.25">
      <c r="AG775" s="25"/>
      <c r="AH775" s="25"/>
    </row>
    <row r="776" spans="33:34" ht="19.5" thickBot="1" x14ac:dyDescent="0.25">
      <c r="AG776" s="25"/>
      <c r="AH776" s="25"/>
    </row>
    <row r="777" spans="33:34" ht="19.5" thickBot="1" x14ac:dyDescent="0.25">
      <c r="AG777" s="25"/>
      <c r="AH777" s="25"/>
    </row>
    <row r="778" spans="33:34" ht="19.5" thickBot="1" x14ac:dyDescent="0.25">
      <c r="AG778" s="25"/>
      <c r="AH778" s="25"/>
    </row>
    <row r="779" spans="33:34" ht="19.5" thickBot="1" x14ac:dyDescent="0.25">
      <c r="AG779" s="25"/>
      <c r="AH779" s="25"/>
    </row>
    <row r="780" spans="33:34" ht="19.5" thickBot="1" x14ac:dyDescent="0.25">
      <c r="AG780" s="25"/>
      <c r="AH780" s="25"/>
    </row>
    <row r="781" spans="33:34" ht="19.5" thickBot="1" x14ac:dyDescent="0.25">
      <c r="AG781" s="25"/>
      <c r="AH781" s="25"/>
    </row>
    <row r="782" spans="33:34" ht="19.5" thickBot="1" x14ac:dyDescent="0.25">
      <c r="AG782" s="25"/>
      <c r="AH782" s="25"/>
    </row>
    <row r="783" spans="33:34" ht="19.5" thickBot="1" x14ac:dyDescent="0.25">
      <c r="AG783" s="25"/>
      <c r="AH783" s="25"/>
    </row>
    <row r="784" spans="33:34" ht="19.5" thickBot="1" x14ac:dyDescent="0.25">
      <c r="AG784" s="25"/>
      <c r="AH784" s="25"/>
    </row>
    <row r="785" spans="33:34" ht="19.5" thickBot="1" x14ac:dyDescent="0.25">
      <c r="AG785" s="25"/>
      <c r="AH785" s="25"/>
    </row>
    <row r="786" spans="33:34" ht="19.5" thickBot="1" x14ac:dyDescent="0.25">
      <c r="AG786" s="25"/>
      <c r="AH786" s="25"/>
    </row>
    <row r="787" spans="33:34" ht="19.5" thickBot="1" x14ac:dyDescent="0.25">
      <c r="AG787" s="25"/>
      <c r="AH787" s="25"/>
    </row>
    <row r="788" spans="33:34" ht="19.5" thickBot="1" x14ac:dyDescent="0.25">
      <c r="AG788" s="25"/>
      <c r="AH788" s="25"/>
    </row>
    <row r="789" spans="33:34" ht="19.5" thickBot="1" x14ac:dyDescent="0.25">
      <c r="AG789" s="25"/>
      <c r="AH789" s="25"/>
    </row>
    <row r="790" spans="33:34" ht="19.5" thickBot="1" x14ac:dyDescent="0.25">
      <c r="AG790" s="25"/>
      <c r="AH790" s="25"/>
    </row>
    <row r="791" spans="33:34" ht="19.5" thickBot="1" x14ac:dyDescent="0.25">
      <c r="AG791" s="25"/>
      <c r="AH791" s="25"/>
    </row>
    <row r="792" spans="33:34" ht="19.5" thickBot="1" x14ac:dyDescent="0.25">
      <c r="AG792" s="25"/>
      <c r="AH792" s="25"/>
    </row>
    <row r="793" spans="33:34" ht="19.5" thickBot="1" x14ac:dyDescent="0.25">
      <c r="AG793" s="25"/>
      <c r="AH793" s="25"/>
    </row>
    <row r="794" spans="33:34" ht="19.5" thickBot="1" x14ac:dyDescent="0.25">
      <c r="AG794" s="25"/>
      <c r="AH794" s="25"/>
    </row>
    <row r="795" spans="33:34" ht="19.5" thickBot="1" x14ac:dyDescent="0.25">
      <c r="AG795" s="25"/>
      <c r="AH795" s="25"/>
    </row>
    <row r="796" spans="33:34" ht="19.5" thickBot="1" x14ac:dyDescent="0.25">
      <c r="AG796" s="25"/>
      <c r="AH796" s="25"/>
    </row>
    <row r="797" spans="33:34" ht="19.5" thickBot="1" x14ac:dyDescent="0.25">
      <c r="AG797" s="25"/>
      <c r="AH797" s="25"/>
    </row>
    <row r="798" spans="33:34" ht="19.5" thickBot="1" x14ac:dyDescent="0.25">
      <c r="AG798" s="25"/>
      <c r="AH798" s="25"/>
    </row>
    <row r="799" spans="33:34" ht="19.5" thickBot="1" x14ac:dyDescent="0.25">
      <c r="AG799" s="25"/>
      <c r="AH799" s="25"/>
    </row>
    <row r="800" spans="33:34" ht="19.5" thickBot="1" x14ac:dyDescent="0.25">
      <c r="AG800" s="25"/>
      <c r="AH800" s="25"/>
    </row>
    <row r="801" spans="33:34" ht="19.5" thickBot="1" x14ac:dyDescent="0.25">
      <c r="AG801" s="25"/>
      <c r="AH801" s="25"/>
    </row>
    <row r="802" spans="33:34" ht="19.5" thickBot="1" x14ac:dyDescent="0.25">
      <c r="AG802" s="25"/>
      <c r="AH802" s="25"/>
    </row>
    <row r="803" spans="33:34" ht="19.5" thickBot="1" x14ac:dyDescent="0.25">
      <c r="AG803" s="25"/>
      <c r="AH803" s="25"/>
    </row>
    <row r="804" spans="33:34" ht="19.5" thickBot="1" x14ac:dyDescent="0.25">
      <c r="AG804" s="25"/>
      <c r="AH804" s="25"/>
    </row>
    <row r="805" spans="33:34" ht="19.5" thickBot="1" x14ac:dyDescent="0.25">
      <c r="AG805" s="25"/>
      <c r="AH805" s="25"/>
    </row>
    <row r="806" spans="33:34" ht="19.5" thickBot="1" x14ac:dyDescent="0.25">
      <c r="AG806" s="25"/>
      <c r="AH806" s="25"/>
    </row>
    <row r="807" spans="33:34" ht="19.5" thickBot="1" x14ac:dyDescent="0.25">
      <c r="AG807" s="25"/>
      <c r="AH807" s="25"/>
    </row>
    <row r="808" spans="33:34" ht="19.5" thickBot="1" x14ac:dyDescent="0.25">
      <c r="AG808" s="25"/>
      <c r="AH808" s="25"/>
    </row>
    <row r="809" spans="33:34" ht="19.5" thickBot="1" x14ac:dyDescent="0.25">
      <c r="AG809" s="25"/>
      <c r="AH809" s="25"/>
    </row>
    <row r="810" spans="33:34" ht="19.5" thickBot="1" x14ac:dyDescent="0.25">
      <c r="AG810" s="25"/>
      <c r="AH810" s="25"/>
    </row>
    <row r="811" spans="33:34" ht="19.5" thickBot="1" x14ac:dyDescent="0.25">
      <c r="AG811" s="25"/>
      <c r="AH811" s="25"/>
    </row>
    <row r="812" spans="33:34" ht="19.5" thickBot="1" x14ac:dyDescent="0.25">
      <c r="AG812" s="25"/>
      <c r="AH812" s="25"/>
    </row>
    <row r="813" spans="33:34" ht="19.5" thickBot="1" x14ac:dyDescent="0.25">
      <c r="AG813" s="25"/>
      <c r="AH813" s="25"/>
    </row>
    <row r="814" spans="33:34" ht="19.5" thickBot="1" x14ac:dyDescent="0.25">
      <c r="AG814" s="25"/>
      <c r="AH814" s="25"/>
    </row>
    <row r="815" spans="33:34" ht="19.5" thickBot="1" x14ac:dyDescent="0.25">
      <c r="AG815" s="25"/>
      <c r="AH815" s="25"/>
    </row>
    <row r="816" spans="33:34" ht="19.5" thickBot="1" x14ac:dyDescent="0.25">
      <c r="AG816" s="25"/>
      <c r="AH816" s="25"/>
    </row>
    <row r="817" spans="33:34" ht="19.5" thickBot="1" x14ac:dyDescent="0.25">
      <c r="AG817" s="25"/>
      <c r="AH817" s="25"/>
    </row>
    <row r="818" spans="33:34" ht="19.5" thickBot="1" x14ac:dyDescent="0.25">
      <c r="AG818" s="25"/>
      <c r="AH818" s="25"/>
    </row>
    <row r="819" spans="33:34" ht="19.5" thickBot="1" x14ac:dyDescent="0.25">
      <c r="AG819" s="25"/>
      <c r="AH819" s="25"/>
    </row>
    <row r="820" spans="33:34" ht="19.5" thickBot="1" x14ac:dyDescent="0.25">
      <c r="AG820" s="25"/>
      <c r="AH820" s="25"/>
    </row>
    <row r="821" spans="33:34" ht="19.5" thickBot="1" x14ac:dyDescent="0.25">
      <c r="AG821" s="25"/>
      <c r="AH821" s="25"/>
    </row>
    <row r="822" spans="33:34" ht="19.5" thickBot="1" x14ac:dyDescent="0.25">
      <c r="AG822" s="25"/>
      <c r="AH822" s="25"/>
    </row>
    <row r="823" spans="33:34" ht="19.5" thickBot="1" x14ac:dyDescent="0.25">
      <c r="AG823" s="25"/>
      <c r="AH823" s="25"/>
    </row>
    <row r="824" spans="33:34" ht="19.5" thickBot="1" x14ac:dyDescent="0.25">
      <c r="AG824" s="25"/>
      <c r="AH824" s="25"/>
    </row>
    <row r="825" spans="33:34" ht="19.5" thickBot="1" x14ac:dyDescent="0.25">
      <c r="AG825" s="25"/>
      <c r="AH825" s="25"/>
    </row>
    <row r="826" spans="33:34" ht="19.5" thickBot="1" x14ac:dyDescent="0.25">
      <c r="AG826" s="25"/>
      <c r="AH826" s="25"/>
    </row>
    <row r="827" spans="33:34" ht="19.5" thickBot="1" x14ac:dyDescent="0.25">
      <c r="AG827" s="25"/>
      <c r="AH827" s="25"/>
    </row>
    <row r="828" spans="33:34" ht="19.5" thickBot="1" x14ac:dyDescent="0.25">
      <c r="AG828" s="25"/>
      <c r="AH828" s="25"/>
    </row>
    <row r="829" spans="33:34" ht="19.5" thickBot="1" x14ac:dyDescent="0.25">
      <c r="AG829" s="25"/>
      <c r="AH829" s="25"/>
    </row>
    <row r="830" spans="33:34" ht="19.5" thickBot="1" x14ac:dyDescent="0.25">
      <c r="AG830" s="25"/>
      <c r="AH830" s="25"/>
    </row>
    <row r="831" spans="33:34" ht="19.5" thickBot="1" x14ac:dyDescent="0.25">
      <c r="AG831" s="25"/>
      <c r="AH831" s="25"/>
    </row>
    <row r="832" spans="33:34" ht="19.5" thickBot="1" x14ac:dyDescent="0.25">
      <c r="AG832" s="25"/>
      <c r="AH832" s="25"/>
    </row>
    <row r="833" spans="33:34" ht="19.5" thickBot="1" x14ac:dyDescent="0.25">
      <c r="AG833" s="25"/>
      <c r="AH833" s="25"/>
    </row>
    <row r="834" spans="33:34" ht="19.5" thickBot="1" x14ac:dyDescent="0.25">
      <c r="AG834" s="25"/>
      <c r="AH834" s="25"/>
    </row>
    <row r="835" spans="33:34" ht="19.5" thickBot="1" x14ac:dyDescent="0.25">
      <c r="AG835" s="25"/>
      <c r="AH835" s="25"/>
    </row>
    <row r="836" spans="33:34" ht="19.5" thickBot="1" x14ac:dyDescent="0.25">
      <c r="AG836" s="25"/>
      <c r="AH836" s="25"/>
    </row>
    <row r="837" spans="33:34" ht="19.5" thickBot="1" x14ac:dyDescent="0.25">
      <c r="AG837" s="25"/>
      <c r="AH837" s="25"/>
    </row>
    <row r="838" spans="33:34" ht="19.5" thickBot="1" x14ac:dyDescent="0.25">
      <c r="AG838" s="25"/>
      <c r="AH838" s="25"/>
    </row>
    <row r="839" spans="33:34" ht="19.5" thickBot="1" x14ac:dyDescent="0.25">
      <c r="AG839" s="25"/>
      <c r="AH839" s="25"/>
    </row>
    <row r="840" spans="33:34" ht="19.5" thickBot="1" x14ac:dyDescent="0.25">
      <c r="AG840" s="25"/>
      <c r="AH840" s="25"/>
    </row>
    <row r="841" spans="33:34" ht="19.5" thickBot="1" x14ac:dyDescent="0.25">
      <c r="AG841" s="25"/>
      <c r="AH841" s="25"/>
    </row>
    <row r="842" spans="33:34" ht="19.5" thickBot="1" x14ac:dyDescent="0.25">
      <c r="AG842" s="25"/>
      <c r="AH842" s="25"/>
    </row>
    <row r="843" spans="33:34" ht="19.5" thickBot="1" x14ac:dyDescent="0.25">
      <c r="AG843" s="25"/>
      <c r="AH843" s="25"/>
    </row>
    <row r="844" spans="33:34" ht="19.5" thickBot="1" x14ac:dyDescent="0.25">
      <c r="AG844" s="25"/>
      <c r="AH844" s="25"/>
    </row>
    <row r="845" spans="33:34" ht="19.5" thickBot="1" x14ac:dyDescent="0.25">
      <c r="AG845" s="25"/>
      <c r="AH845" s="25"/>
    </row>
    <row r="846" spans="33:34" ht="19.5" thickBot="1" x14ac:dyDescent="0.25">
      <c r="AG846" s="25"/>
      <c r="AH846" s="25"/>
    </row>
    <row r="847" spans="33:34" ht="19.5" thickBot="1" x14ac:dyDescent="0.25">
      <c r="AG847" s="25"/>
      <c r="AH847" s="25"/>
    </row>
    <row r="848" spans="33:34" ht="19.5" thickBot="1" x14ac:dyDescent="0.25">
      <c r="AG848" s="25"/>
      <c r="AH848" s="25"/>
    </row>
    <row r="849" spans="33:34" ht="19.5" thickBot="1" x14ac:dyDescent="0.25">
      <c r="AG849" s="25"/>
      <c r="AH849" s="25"/>
    </row>
    <row r="850" spans="33:34" ht="19.5" thickBot="1" x14ac:dyDescent="0.25">
      <c r="AG850" s="25"/>
      <c r="AH850" s="25"/>
    </row>
    <row r="851" spans="33:34" ht="19.5" thickBot="1" x14ac:dyDescent="0.25">
      <c r="AG851" s="25"/>
      <c r="AH851" s="25"/>
    </row>
    <row r="852" spans="33:34" ht="19.5" thickBot="1" x14ac:dyDescent="0.25">
      <c r="AG852" s="25"/>
      <c r="AH852" s="25"/>
    </row>
    <row r="853" spans="33:34" ht="19.5" thickBot="1" x14ac:dyDescent="0.25">
      <c r="AG853" s="25"/>
      <c r="AH853" s="25"/>
    </row>
    <row r="854" spans="33:34" ht="19.5" thickBot="1" x14ac:dyDescent="0.25">
      <c r="AG854" s="25"/>
      <c r="AH854" s="25"/>
    </row>
    <row r="855" spans="33:34" ht="19.5" thickBot="1" x14ac:dyDescent="0.25">
      <c r="AG855" s="25"/>
      <c r="AH855" s="25"/>
    </row>
    <row r="856" spans="33:34" ht="19.5" thickBot="1" x14ac:dyDescent="0.25">
      <c r="AG856" s="25"/>
      <c r="AH856" s="25"/>
    </row>
    <row r="857" spans="33:34" ht="19.5" thickBot="1" x14ac:dyDescent="0.25">
      <c r="AG857" s="25"/>
      <c r="AH857" s="25"/>
    </row>
    <row r="858" spans="33:34" ht="19.5" thickBot="1" x14ac:dyDescent="0.25">
      <c r="AG858" s="25"/>
      <c r="AH858" s="25"/>
    </row>
    <row r="859" spans="33:34" ht="19.5" thickBot="1" x14ac:dyDescent="0.25">
      <c r="AG859" s="25"/>
      <c r="AH859" s="25"/>
    </row>
    <row r="860" spans="33:34" ht="19.5" thickBot="1" x14ac:dyDescent="0.25">
      <c r="AG860" s="25"/>
      <c r="AH860" s="25"/>
    </row>
    <row r="861" spans="33:34" ht="19.5" thickBot="1" x14ac:dyDescent="0.25">
      <c r="AG861" s="25"/>
      <c r="AH861" s="25"/>
    </row>
    <row r="862" spans="33:34" ht="19.5" thickBot="1" x14ac:dyDescent="0.25">
      <c r="AG862" s="25"/>
      <c r="AH862" s="25"/>
    </row>
    <row r="863" spans="33:34" ht="19.5" thickBot="1" x14ac:dyDescent="0.25">
      <c r="AG863" s="25"/>
      <c r="AH863" s="25"/>
    </row>
    <row r="864" spans="33:34" ht="19.5" thickBot="1" x14ac:dyDescent="0.25">
      <c r="AG864" s="25"/>
      <c r="AH864" s="25"/>
    </row>
    <row r="865" spans="33:34" ht="19.5" thickBot="1" x14ac:dyDescent="0.25">
      <c r="AG865" s="25"/>
      <c r="AH865" s="25"/>
    </row>
    <row r="866" spans="33:34" ht="19.5" thickBot="1" x14ac:dyDescent="0.25">
      <c r="AG866" s="25"/>
      <c r="AH866" s="25"/>
    </row>
    <row r="867" spans="33:34" ht="19.5" thickBot="1" x14ac:dyDescent="0.25">
      <c r="AG867" s="25"/>
      <c r="AH867" s="25"/>
    </row>
    <row r="868" spans="33:34" ht="19.5" thickBot="1" x14ac:dyDescent="0.25">
      <c r="AG868" s="25"/>
      <c r="AH868" s="25"/>
    </row>
    <row r="869" spans="33:34" ht="19.5" thickBot="1" x14ac:dyDescent="0.25">
      <c r="AG869" s="25"/>
      <c r="AH869" s="25"/>
    </row>
    <row r="870" spans="33:34" ht="19.5" thickBot="1" x14ac:dyDescent="0.25">
      <c r="AG870" s="25"/>
      <c r="AH870" s="25"/>
    </row>
    <row r="871" spans="33:34" ht="19.5" thickBot="1" x14ac:dyDescent="0.25">
      <c r="AG871" s="25"/>
      <c r="AH871" s="25"/>
    </row>
    <row r="872" spans="33:34" ht="19.5" thickBot="1" x14ac:dyDescent="0.25">
      <c r="AG872" s="25"/>
      <c r="AH872" s="25"/>
    </row>
    <row r="873" spans="33:34" ht="19.5" thickBot="1" x14ac:dyDescent="0.25">
      <c r="AG873" s="25"/>
      <c r="AH873" s="25"/>
    </row>
    <row r="874" spans="33:34" ht="19.5" thickBot="1" x14ac:dyDescent="0.25">
      <c r="AG874" s="25"/>
      <c r="AH874" s="25"/>
    </row>
    <row r="875" spans="33:34" ht="19.5" thickBot="1" x14ac:dyDescent="0.25">
      <c r="AG875" s="25"/>
      <c r="AH875" s="25"/>
    </row>
    <row r="876" spans="33:34" ht="19.5" thickBot="1" x14ac:dyDescent="0.25">
      <c r="AG876" s="25"/>
      <c r="AH876" s="25"/>
    </row>
    <row r="877" spans="33:34" ht="19.5" thickBot="1" x14ac:dyDescent="0.25">
      <c r="AG877" s="25"/>
      <c r="AH877" s="25"/>
    </row>
    <row r="878" spans="33:34" ht="19.5" thickBot="1" x14ac:dyDescent="0.25">
      <c r="AG878" s="25"/>
      <c r="AH878" s="25"/>
    </row>
    <row r="879" spans="33:34" ht="19.5" thickBot="1" x14ac:dyDescent="0.25">
      <c r="AG879" s="25"/>
      <c r="AH879" s="25"/>
    </row>
    <row r="880" spans="33:34" ht="19.5" thickBot="1" x14ac:dyDescent="0.25">
      <c r="AG880" s="25"/>
      <c r="AH880" s="25"/>
    </row>
    <row r="881" spans="33:34" ht="19.5" thickBot="1" x14ac:dyDescent="0.25">
      <c r="AG881" s="25"/>
      <c r="AH881" s="25"/>
    </row>
    <row r="882" spans="33:34" ht="19.5" thickBot="1" x14ac:dyDescent="0.25">
      <c r="AG882" s="25"/>
      <c r="AH882" s="25"/>
    </row>
    <row r="883" spans="33:34" ht="19.5" thickBot="1" x14ac:dyDescent="0.25">
      <c r="AG883" s="25"/>
      <c r="AH883" s="25"/>
    </row>
    <row r="884" spans="33:34" ht="19.5" thickBot="1" x14ac:dyDescent="0.25">
      <c r="AG884" s="25"/>
      <c r="AH884" s="25"/>
    </row>
    <row r="885" spans="33:34" ht="19.5" thickBot="1" x14ac:dyDescent="0.25">
      <c r="AG885" s="25"/>
      <c r="AH885" s="25"/>
    </row>
    <row r="886" spans="33:34" ht="19.5" thickBot="1" x14ac:dyDescent="0.25">
      <c r="AG886" s="25"/>
      <c r="AH886" s="25"/>
    </row>
    <row r="887" spans="33:34" ht="19.5" thickBot="1" x14ac:dyDescent="0.25">
      <c r="AG887" s="25"/>
      <c r="AH887" s="25"/>
    </row>
    <row r="888" spans="33:34" ht="19.5" thickBot="1" x14ac:dyDescent="0.25">
      <c r="AG888" s="25"/>
      <c r="AH888" s="25"/>
    </row>
    <row r="889" spans="33:34" ht="19.5" thickBot="1" x14ac:dyDescent="0.25">
      <c r="AG889" s="25"/>
      <c r="AH889" s="25"/>
    </row>
    <row r="890" spans="33:34" ht="19.5" thickBot="1" x14ac:dyDescent="0.25">
      <c r="AG890" s="25"/>
      <c r="AH890" s="25"/>
    </row>
    <row r="891" spans="33:34" ht="19.5" thickBot="1" x14ac:dyDescent="0.25">
      <c r="AG891" s="25"/>
      <c r="AH891" s="25"/>
    </row>
    <row r="892" spans="33:34" ht="19.5" thickBot="1" x14ac:dyDescent="0.25">
      <c r="AG892" s="25"/>
      <c r="AH892" s="25"/>
    </row>
    <row r="893" spans="33:34" ht="19.5" thickBot="1" x14ac:dyDescent="0.25">
      <c r="AG893" s="25"/>
      <c r="AH893" s="25"/>
    </row>
    <row r="894" spans="33:34" ht="19.5" thickBot="1" x14ac:dyDescent="0.25">
      <c r="AG894" s="25"/>
      <c r="AH894" s="25"/>
    </row>
    <row r="895" spans="33:34" ht="19.5" thickBot="1" x14ac:dyDescent="0.25">
      <c r="AG895" s="25"/>
      <c r="AH895" s="25"/>
    </row>
    <row r="896" spans="33:34" ht="19.5" thickBot="1" x14ac:dyDescent="0.25">
      <c r="AG896" s="25"/>
      <c r="AH896" s="25"/>
    </row>
    <row r="897" spans="33:34" ht="19.5" thickBot="1" x14ac:dyDescent="0.25">
      <c r="AG897" s="25"/>
      <c r="AH897" s="25"/>
    </row>
    <row r="898" spans="33:34" ht="19.5" thickBot="1" x14ac:dyDescent="0.25">
      <c r="AG898" s="25"/>
      <c r="AH898" s="25"/>
    </row>
    <row r="899" spans="33:34" ht="19.5" thickBot="1" x14ac:dyDescent="0.25">
      <c r="AG899" s="25"/>
      <c r="AH899" s="25"/>
    </row>
    <row r="900" spans="33:34" ht="19.5" thickBot="1" x14ac:dyDescent="0.25">
      <c r="AG900" s="25"/>
      <c r="AH900" s="25"/>
    </row>
    <row r="901" spans="33:34" ht="19.5" thickBot="1" x14ac:dyDescent="0.25">
      <c r="AG901" s="25"/>
      <c r="AH901" s="25"/>
    </row>
    <row r="902" spans="33:34" ht="19.5" thickBot="1" x14ac:dyDescent="0.25">
      <c r="AG902" s="25"/>
      <c r="AH902" s="25"/>
    </row>
    <row r="903" spans="33:34" ht="19.5" thickBot="1" x14ac:dyDescent="0.25">
      <c r="AG903" s="25"/>
      <c r="AH903" s="25"/>
    </row>
    <row r="904" spans="33:34" ht="19.5" thickBot="1" x14ac:dyDescent="0.25">
      <c r="AG904" s="25"/>
      <c r="AH904" s="25"/>
    </row>
    <row r="905" spans="33:34" ht="19.5" thickBot="1" x14ac:dyDescent="0.25">
      <c r="AG905" s="25"/>
      <c r="AH905" s="25"/>
    </row>
    <row r="906" spans="33:34" ht="19.5" thickBot="1" x14ac:dyDescent="0.25">
      <c r="AG906" s="25"/>
      <c r="AH906" s="25"/>
    </row>
    <row r="907" spans="33:34" ht="19.5" thickBot="1" x14ac:dyDescent="0.25">
      <c r="AG907" s="25"/>
      <c r="AH907" s="25"/>
    </row>
    <row r="908" spans="33:34" ht="19.5" thickBot="1" x14ac:dyDescent="0.25">
      <c r="AG908" s="25"/>
      <c r="AH908" s="25"/>
    </row>
    <row r="909" spans="33:34" ht="19.5" thickBot="1" x14ac:dyDescent="0.25">
      <c r="AG909" s="25"/>
      <c r="AH909" s="25"/>
    </row>
    <row r="910" spans="33:34" ht="19.5" thickBot="1" x14ac:dyDescent="0.25">
      <c r="AG910" s="25"/>
      <c r="AH910" s="25"/>
    </row>
    <row r="911" spans="33:34" ht="19.5" thickBot="1" x14ac:dyDescent="0.25">
      <c r="AG911" s="25"/>
      <c r="AH911" s="25"/>
    </row>
    <row r="912" spans="33:34" ht="19.5" thickBot="1" x14ac:dyDescent="0.25">
      <c r="AG912" s="25"/>
      <c r="AH912" s="25"/>
    </row>
    <row r="913" spans="33:34" ht="19.5" thickBot="1" x14ac:dyDescent="0.25">
      <c r="AG913" s="25"/>
      <c r="AH913" s="25"/>
    </row>
    <row r="914" spans="33:34" ht="19.5" thickBot="1" x14ac:dyDescent="0.25">
      <c r="AG914" s="25"/>
      <c r="AH914" s="25"/>
    </row>
    <row r="915" spans="33:34" ht="19.5" thickBot="1" x14ac:dyDescent="0.25">
      <c r="AG915" s="25"/>
      <c r="AH915" s="25"/>
    </row>
    <row r="916" spans="33:34" ht="19.5" thickBot="1" x14ac:dyDescent="0.25">
      <c r="AG916" s="25"/>
      <c r="AH916" s="25"/>
    </row>
    <row r="917" spans="33:34" ht="19.5" thickBot="1" x14ac:dyDescent="0.25">
      <c r="AG917" s="25"/>
      <c r="AH917" s="25"/>
    </row>
    <row r="918" spans="33:34" ht="19.5" thickBot="1" x14ac:dyDescent="0.25">
      <c r="AG918" s="25"/>
      <c r="AH918" s="25"/>
    </row>
    <row r="919" spans="33:34" ht="19.5" thickBot="1" x14ac:dyDescent="0.25">
      <c r="AG919" s="25"/>
      <c r="AH919" s="25"/>
    </row>
    <row r="920" spans="33:34" ht="19.5" thickBot="1" x14ac:dyDescent="0.25">
      <c r="AG920" s="25"/>
      <c r="AH920" s="25"/>
    </row>
    <row r="921" spans="33:34" ht="19.5" thickBot="1" x14ac:dyDescent="0.25">
      <c r="AG921" s="25"/>
      <c r="AH921" s="25"/>
    </row>
    <row r="922" spans="33:34" ht="19.5" thickBot="1" x14ac:dyDescent="0.25">
      <c r="AG922" s="25"/>
      <c r="AH922" s="25"/>
    </row>
    <row r="923" spans="33:34" ht="19.5" thickBot="1" x14ac:dyDescent="0.25">
      <c r="AG923" s="25"/>
      <c r="AH923" s="25"/>
    </row>
    <row r="924" spans="33:34" ht="19.5" thickBot="1" x14ac:dyDescent="0.25">
      <c r="AG924" s="25"/>
      <c r="AH924" s="25"/>
    </row>
    <row r="925" spans="33:34" ht="19.5" thickBot="1" x14ac:dyDescent="0.25">
      <c r="AG925" s="25"/>
      <c r="AH925" s="25"/>
    </row>
    <row r="926" spans="33:34" ht="19.5" thickBot="1" x14ac:dyDescent="0.25">
      <c r="AG926" s="25"/>
      <c r="AH926" s="25"/>
    </row>
    <row r="927" spans="33:34" ht="19.5" thickBot="1" x14ac:dyDescent="0.25">
      <c r="AG927" s="25"/>
      <c r="AH927" s="25"/>
    </row>
    <row r="928" spans="33:34" ht="19.5" thickBot="1" x14ac:dyDescent="0.25">
      <c r="AG928" s="25"/>
      <c r="AH928" s="25"/>
    </row>
    <row r="929" spans="33:34" ht="19.5" thickBot="1" x14ac:dyDescent="0.25">
      <c r="AG929" s="25"/>
      <c r="AH929" s="25"/>
    </row>
    <row r="930" spans="33:34" ht="19.5" thickBot="1" x14ac:dyDescent="0.25">
      <c r="AG930" s="25"/>
      <c r="AH930" s="25"/>
    </row>
    <row r="931" spans="33:34" ht="19.5" thickBot="1" x14ac:dyDescent="0.25">
      <c r="AG931" s="25"/>
      <c r="AH931" s="25"/>
    </row>
    <row r="932" spans="33:34" ht="19.5" thickBot="1" x14ac:dyDescent="0.25">
      <c r="AG932" s="25"/>
      <c r="AH932" s="25"/>
    </row>
    <row r="933" spans="33:34" ht="19.5" thickBot="1" x14ac:dyDescent="0.25">
      <c r="AG933" s="25"/>
      <c r="AH933" s="25"/>
    </row>
    <row r="934" spans="33:34" ht="19.5" thickBot="1" x14ac:dyDescent="0.25">
      <c r="AG934" s="25"/>
      <c r="AH934" s="25"/>
    </row>
    <row r="935" spans="33:34" ht="19.5" thickBot="1" x14ac:dyDescent="0.25">
      <c r="AG935" s="25"/>
      <c r="AH935" s="25"/>
    </row>
    <row r="936" spans="33:34" ht="19.5" thickBot="1" x14ac:dyDescent="0.25">
      <c r="AG936" s="25"/>
      <c r="AH936" s="25"/>
    </row>
    <row r="937" spans="33:34" ht="19.5" thickBot="1" x14ac:dyDescent="0.25">
      <c r="AG937" s="25"/>
      <c r="AH937" s="25"/>
    </row>
    <row r="938" spans="33:34" ht="19.5" thickBot="1" x14ac:dyDescent="0.25">
      <c r="AG938" s="25"/>
      <c r="AH938" s="25"/>
    </row>
    <row r="939" spans="33:34" ht="19.5" thickBot="1" x14ac:dyDescent="0.25">
      <c r="AG939" s="25"/>
      <c r="AH939" s="25"/>
    </row>
    <row r="940" spans="33:34" ht="19.5" thickBot="1" x14ac:dyDescent="0.25">
      <c r="AG940" s="25"/>
      <c r="AH940" s="25"/>
    </row>
    <row r="941" spans="33:34" ht="19.5" thickBot="1" x14ac:dyDescent="0.25">
      <c r="AG941" s="25"/>
      <c r="AH941" s="25"/>
    </row>
    <row r="942" spans="33:34" ht="19.5" thickBot="1" x14ac:dyDescent="0.25">
      <c r="AG942" s="25"/>
      <c r="AH942" s="25"/>
    </row>
    <row r="943" spans="33:34" ht="19.5" thickBot="1" x14ac:dyDescent="0.25">
      <c r="AG943" s="25"/>
      <c r="AH943" s="25"/>
    </row>
    <row r="944" spans="33:34" ht="19.5" thickBot="1" x14ac:dyDescent="0.25">
      <c r="AG944" s="25"/>
      <c r="AH944" s="25"/>
    </row>
    <row r="945" spans="33:34" ht="19.5" thickBot="1" x14ac:dyDescent="0.25">
      <c r="AG945" s="25"/>
      <c r="AH945" s="25"/>
    </row>
    <row r="946" spans="33:34" ht="19.5" thickBot="1" x14ac:dyDescent="0.25">
      <c r="AG946" s="25"/>
      <c r="AH946" s="25"/>
    </row>
    <row r="947" spans="33:34" ht="19.5" thickBot="1" x14ac:dyDescent="0.25">
      <c r="AG947" s="25"/>
      <c r="AH947" s="25"/>
    </row>
    <row r="948" spans="33:34" ht="19.5" thickBot="1" x14ac:dyDescent="0.25">
      <c r="AG948" s="25"/>
      <c r="AH948" s="25"/>
    </row>
    <row r="949" spans="33:34" ht="19.5" thickBot="1" x14ac:dyDescent="0.25">
      <c r="AG949" s="25"/>
      <c r="AH949" s="25"/>
    </row>
    <row r="950" spans="33:34" ht="19.5" thickBot="1" x14ac:dyDescent="0.25">
      <c r="AG950" s="25"/>
      <c r="AH950" s="25"/>
    </row>
    <row r="951" spans="33:34" ht="19.5" thickBot="1" x14ac:dyDescent="0.25">
      <c r="AG951" s="25"/>
      <c r="AH951" s="25"/>
    </row>
    <row r="952" spans="33:34" ht="19.5" thickBot="1" x14ac:dyDescent="0.25">
      <c r="AG952" s="25"/>
      <c r="AH952" s="25"/>
    </row>
    <row r="953" spans="33:34" ht="19.5" thickBot="1" x14ac:dyDescent="0.25">
      <c r="AG953" s="25"/>
      <c r="AH953" s="25"/>
    </row>
    <row r="954" spans="33:34" ht="19.5" thickBot="1" x14ac:dyDescent="0.25">
      <c r="AG954" s="25"/>
      <c r="AH954" s="25"/>
    </row>
    <row r="955" spans="33:34" ht="19.5" thickBot="1" x14ac:dyDescent="0.25">
      <c r="AG955" s="25"/>
      <c r="AH955" s="25"/>
    </row>
    <row r="956" spans="33:34" ht="19.5" thickBot="1" x14ac:dyDescent="0.25">
      <c r="AG956" s="25"/>
      <c r="AH956" s="25"/>
    </row>
    <row r="957" spans="33:34" ht="19.5" thickBot="1" x14ac:dyDescent="0.25">
      <c r="AG957" s="25"/>
      <c r="AH957" s="25"/>
    </row>
    <row r="958" spans="33:34" ht="19.5" thickBot="1" x14ac:dyDescent="0.25">
      <c r="AG958" s="25"/>
      <c r="AH958" s="25"/>
    </row>
    <row r="959" spans="33:34" ht="19.5" thickBot="1" x14ac:dyDescent="0.25">
      <c r="AG959" s="25"/>
      <c r="AH959" s="25"/>
    </row>
    <row r="960" spans="33:34" ht="19.5" thickBot="1" x14ac:dyDescent="0.25">
      <c r="AG960" s="25"/>
      <c r="AH960" s="25"/>
    </row>
    <row r="961" spans="33:34" ht="19.5" thickBot="1" x14ac:dyDescent="0.25">
      <c r="AG961" s="25"/>
      <c r="AH961" s="25"/>
    </row>
    <row r="962" spans="33:34" ht="19.5" thickBot="1" x14ac:dyDescent="0.25">
      <c r="AG962" s="25"/>
      <c r="AH962" s="25"/>
    </row>
    <row r="963" spans="33:34" ht="19.5" thickBot="1" x14ac:dyDescent="0.25">
      <c r="AG963" s="25"/>
      <c r="AH963" s="25"/>
    </row>
    <row r="964" spans="33:34" ht="19.5" thickBot="1" x14ac:dyDescent="0.25">
      <c r="AG964" s="25"/>
      <c r="AH964" s="25"/>
    </row>
    <row r="965" spans="33:34" ht="19.5" thickBot="1" x14ac:dyDescent="0.25">
      <c r="AG965" s="25"/>
      <c r="AH965" s="25"/>
    </row>
    <row r="966" spans="33:34" ht="19.5" thickBot="1" x14ac:dyDescent="0.25">
      <c r="AG966" s="25"/>
      <c r="AH966" s="25"/>
    </row>
    <row r="967" spans="33:34" ht="19.5" thickBot="1" x14ac:dyDescent="0.25">
      <c r="AG967" s="25"/>
      <c r="AH967" s="25"/>
    </row>
    <row r="968" spans="33:34" ht="19.5" thickBot="1" x14ac:dyDescent="0.25">
      <c r="AG968" s="25"/>
      <c r="AH968" s="25"/>
    </row>
    <row r="969" spans="33:34" ht="19.5" thickBot="1" x14ac:dyDescent="0.25">
      <c r="AG969" s="25"/>
      <c r="AH969" s="25"/>
    </row>
    <row r="970" spans="33:34" ht="19.5" thickBot="1" x14ac:dyDescent="0.25">
      <c r="AG970" s="25"/>
      <c r="AH970" s="25"/>
    </row>
    <row r="971" spans="33:34" ht="19.5" thickBot="1" x14ac:dyDescent="0.25">
      <c r="AG971" s="25"/>
      <c r="AH971" s="25"/>
    </row>
    <row r="972" spans="33:34" ht="19.5" thickBot="1" x14ac:dyDescent="0.25">
      <c r="AG972" s="25"/>
      <c r="AH972" s="25"/>
    </row>
    <row r="973" spans="33:34" ht="19.5" thickBot="1" x14ac:dyDescent="0.25">
      <c r="AG973" s="25"/>
      <c r="AH973" s="25"/>
    </row>
    <row r="974" spans="33:34" ht="19.5" thickBot="1" x14ac:dyDescent="0.25">
      <c r="AG974" s="25"/>
      <c r="AH974" s="25"/>
    </row>
    <row r="975" spans="33:34" ht="19.5" thickBot="1" x14ac:dyDescent="0.25">
      <c r="AG975" s="25"/>
      <c r="AH975" s="25"/>
    </row>
    <row r="976" spans="33:34" ht="19.5" thickBot="1" x14ac:dyDescent="0.25">
      <c r="AG976" s="25"/>
      <c r="AH976" s="25"/>
    </row>
    <row r="977" spans="33:34" ht="19.5" thickBot="1" x14ac:dyDescent="0.25">
      <c r="AG977" s="25"/>
      <c r="AH977" s="25"/>
    </row>
    <row r="978" spans="33:34" ht="19.5" thickBot="1" x14ac:dyDescent="0.25">
      <c r="AG978" s="25"/>
      <c r="AH978" s="25"/>
    </row>
    <row r="979" spans="33:34" ht="19.5" thickBot="1" x14ac:dyDescent="0.25">
      <c r="AG979" s="25"/>
      <c r="AH979" s="25"/>
    </row>
    <row r="980" spans="33:34" ht="19.5" thickBot="1" x14ac:dyDescent="0.25">
      <c r="AG980" s="25"/>
      <c r="AH980" s="25"/>
    </row>
    <row r="981" spans="33:34" ht="19.5" thickBot="1" x14ac:dyDescent="0.25">
      <c r="AG981" s="25"/>
      <c r="AH981" s="25"/>
    </row>
    <row r="982" spans="33:34" ht="19.5" thickBot="1" x14ac:dyDescent="0.25">
      <c r="AG982" s="25"/>
      <c r="AH982" s="25"/>
    </row>
    <row r="983" spans="33:34" ht="19.5" thickBot="1" x14ac:dyDescent="0.25">
      <c r="AG983" s="25"/>
      <c r="AH983" s="25"/>
    </row>
    <row r="984" spans="33:34" ht="19.5" thickBot="1" x14ac:dyDescent="0.25">
      <c r="AG984" s="25"/>
      <c r="AH984" s="25"/>
    </row>
    <row r="985" spans="33:34" ht="19.5" thickBot="1" x14ac:dyDescent="0.25">
      <c r="AG985" s="25"/>
      <c r="AH985" s="25"/>
    </row>
    <row r="986" spans="33:34" ht="19.5" thickBot="1" x14ac:dyDescent="0.25">
      <c r="AG986" s="25"/>
      <c r="AH986" s="25"/>
    </row>
    <row r="987" spans="33:34" ht="19.5" thickBot="1" x14ac:dyDescent="0.25">
      <c r="AG987" s="25"/>
      <c r="AH987" s="25"/>
    </row>
    <row r="988" spans="33:34" ht="19.5" thickBot="1" x14ac:dyDescent="0.25">
      <c r="AG988" s="25"/>
      <c r="AH988" s="25"/>
    </row>
    <row r="989" spans="33:34" ht="19.5" thickBot="1" x14ac:dyDescent="0.25">
      <c r="AG989" s="25"/>
      <c r="AH989" s="25"/>
    </row>
    <row r="990" spans="33:34" ht="19.5" thickBot="1" x14ac:dyDescent="0.25">
      <c r="AG990" s="25"/>
      <c r="AH990" s="25"/>
    </row>
    <row r="991" spans="33:34" ht="19.5" thickBot="1" x14ac:dyDescent="0.25">
      <c r="AG991" s="25"/>
      <c r="AH991" s="25"/>
    </row>
    <row r="992" spans="33:34" ht="19.5" thickBot="1" x14ac:dyDescent="0.25">
      <c r="AG992" s="25"/>
      <c r="AH992" s="25"/>
    </row>
    <row r="993" spans="33:34" ht="19.5" thickBot="1" x14ac:dyDescent="0.25">
      <c r="AG993" s="25"/>
      <c r="AH993" s="25"/>
    </row>
    <row r="994" spans="33:34" ht="19.5" thickBot="1" x14ac:dyDescent="0.25">
      <c r="AG994" s="25"/>
      <c r="AH994" s="25"/>
    </row>
    <row r="995" spans="33:34" ht="19.5" thickBot="1" x14ac:dyDescent="0.25">
      <c r="AG995" s="25"/>
      <c r="AH995" s="25"/>
    </row>
    <row r="996" spans="33:34" ht="19.5" thickBot="1" x14ac:dyDescent="0.25">
      <c r="AG996" s="25"/>
      <c r="AH996" s="25"/>
    </row>
    <row r="997" spans="33:34" ht="19.5" thickBot="1" x14ac:dyDescent="0.25">
      <c r="AG997" s="25"/>
      <c r="AH997" s="25"/>
    </row>
    <row r="998" spans="33:34" ht="19.5" thickBot="1" x14ac:dyDescent="0.25">
      <c r="AG998" s="25"/>
      <c r="AH998" s="25"/>
    </row>
    <row r="999" spans="33:34" ht="19.5" thickBot="1" x14ac:dyDescent="0.25">
      <c r="AG999" s="25"/>
      <c r="AH999" s="25"/>
    </row>
    <row r="1000" spans="33:34" ht="19.5" thickBot="1" x14ac:dyDescent="0.25">
      <c r="AG1000" s="25"/>
      <c r="AH1000" s="25"/>
    </row>
    <row r="1001" spans="33:34" ht="19.5" thickBot="1" x14ac:dyDescent="0.25">
      <c r="AG1001" s="25"/>
      <c r="AH1001" s="25"/>
    </row>
    <row r="1002" spans="33:34" ht="19.5" thickBot="1" x14ac:dyDescent="0.25">
      <c r="AG1002" s="25"/>
      <c r="AH1002" s="25"/>
    </row>
    <row r="1003" spans="33:34" ht="19.5" thickBot="1" x14ac:dyDescent="0.25">
      <c r="AG1003" s="25"/>
      <c r="AH1003" s="25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5C39-B0BF-46D8-AFAB-E0FE514B93C2}">
  <sheetPr codeName="Sheet6">
    <tabColor theme="8" tint="0.79998168889431442"/>
  </sheetPr>
  <dimension ref="A1:CO60"/>
  <sheetViews>
    <sheetView workbookViewId="0">
      <pane xSplit="5" ySplit="9" topLeftCell="F28" activePane="bottomRight" state="frozen"/>
      <selection pane="topRight" activeCell="F1" sqref="F1"/>
      <selection pane="bottomLeft" activeCell="A8" sqref="A8"/>
      <selection pane="bottomRight" activeCell="A33" sqref="A33"/>
    </sheetView>
  </sheetViews>
  <sheetFormatPr defaultColWidth="5.125" defaultRowHeight="18.75" outlineLevelRow="1" outlineLevelCol="1" x14ac:dyDescent="0.4"/>
  <cols>
    <col min="1" max="2" width="15.125" customWidth="1"/>
    <col min="7" max="25" width="5.125" hidden="1" customWidth="1" outlineLevel="1"/>
    <col min="26" max="26" width="5.125" collapsed="1"/>
    <col min="27" max="41" width="5.125" customWidth="1" outlineLevel="1"/>
    <col min="43" max="56" width="0" hidden="1" customWidth="1" outlineLevel="1"/>
    <col min="57" max="57" width="5.125" collapsed="1"/>
    <col min="60" max="70" width="5.125" customWidth="1" outlineLevel="1"/>
    <col min="72" max="86" width="0" hidden="1" customWidth="1" outlineLevel="1"/>
    <col min="87" max="87" width="5.125" collapsed="1"/>
    <col min="90" max="90" width="5.5" bestFit="1" customWidth="1"/>
  </cols>
  <sheetData>
    <row r="1" spans="1:93" s="2" customFormat="1" ht="36" customHeight="1" thickBot="1" x14ac:dyDescent="0.3">
      <c r="A1" s="18" t="s">
        <v>193</v>
      </c>
      <c r="B1" s="18" t="s">
        <v>192</v>
      </c>
      <c r="C1" s="21" t="s">
        <v>191</v>
      </c>
      <c r="D1" s="21" t="s">
        <v>190</v>
      </c>
      <c r="E1" s="21" t="s">
        <v>189</v>
      </c>
      <c r="F1" s="20" t="s">
        <v>188</v>
      </c>
      <c r="G1" s="20" t="s">
        <v>187</v>
      </c>
      <c r="H1" s="20" t="s">
        <v>186</v>
      </c>
      <c r="I1" s="20" t="s">
        <v>185</v>
      </c>
      <c r="J1" s="19" t="s">
        <v>184</v>
      </c>
      <c r="K1" s="19" t="s">
        <v>183</v>
      </c>
      <c r="L1" s="19" t="s">
        <v>182</v>
      </c>
      <c r="M1" s="19" t="s">
        <v>181</v>
      </c>
      <c r="N1" s="20" t="s">
        <v>180</v>
      </c>
      <c r="O1" s="19" t="s">
        <v>179</v>
      </c>
      <c r="P1" s="19" t="s">
        <v>178</v>
      </c>
      <c r="Q1" s="18" t="s">
        <v>177</v>
      </c>
      <c r="R1" s="18" t="s">
        <v>176</v>
      </c>
      <c r="S1" s="16" t="s">
        <v>175</v>
      </c>
      <c r="T1" s="16" t="s">
        <v>174</v>
      </c>
      <c r="U1" s="16" t="s">
        <v>173</v>
      </c>
      <c r="V1" s="17" t="s">
        <v>172</v>
      </c>
      <c r="W1" s="16" t="s">
        <v>171</v>
      </c>
      <c r="X1" s="16" t="s">
        <v>170</v>
      </c>
      <c r="Y1" s="16" t="s">
        <v>169</v>
      </c>
      <c r="Z1" s="15" t="s">
        <v>168</v>
      </c>
      <c r="AA1" s="15" t="s">
        <v>167</v>
      </c>
      <c r="AB1" s="11" t="s">
        <v>166</v>
      </c>
      <c r="AC1" s="11" t="s">
        <v>165</v>
      </c>
      <c r="AD1" s="11" t="s">
        <v>164</v>
      </c>
      <c r="AE1" s="14" t="s">
        <v>163</v>
      </c>
      <c r="AF1" s="14" t="s">
        <v>162</v>
      </c>
      <c r="AG1" s="14" t="s">
        <v>161</v>
      </c>
      <c r="AH1" s="14" t="s">
        <v>160</v>
      </c>
      <c r="AI1" s="14" t="s">
        <v>159</v>
      </c>
      <c r="AJ1" s="14" t="s">
        <v>158</v>
      </c>
      <c r="AK1" s="14" t="s">
        <v>157</v>
      </c>
      <c r="AL1" s="13" t="s">
        <v>156</v>
      </c>
      <c r="AM1" s="13" t="s">
        <v>155</v>
      </c>
      <c r="AN1" s="12" t="s">
        <v>154</v>
      </c>
      <c r="AO1" s="12" t="s">
        <v>153</v>
      </c>
      <c r="AP1" s="11" t="s">
        <v>152</v>
      </c>
      <c r="AQ1" s="11" t="s">
        <v>151</v>
      </c>
      <c r="AR1" s="11" t="s">
        <v>150</v>
      </c>
      <c r="AS1" s="11" t="s">
        <v>149</v>
      </c>
      <c r="AT1" s="11" t="s">
        <v>148</v>
      </c>
      <c r="AU1" s="11" t="s">
        <v>147</v>
      </c>
      <c r="AV1" s="11" t="s">
        <v>146</v>
      </c>
      <c r="AW1" s="11" t="s">
        <v>145</v>
      </c>
      <c r="AX1" s="11" t="s">
        <v>144</v>
      </c>
      <c r="AY1" s="11" t="s">
        <v>143</v>
      </c>
      <c r="AZ1" s="10" t="s">
        <v>142</v>
      </c>
      <c r="BA1" s="10" t="s">
        <v>141</v>
      </c>
      <c r="BB1" s="8" t="s">
        <v>140</v>
      </c>
      <c r="BC1" s="10" t="s">
        <v>139</v>
      </c>
      <c r="BD1" s="9" t="s">
        <v>138</v>
      </c>
      <c r="BE1" s="8" t="s">
        <v>137</v>
      </c>
      <c r="BF1" s="8" t="s">
        <v>136</v>
      </c>
      <c r="BG1" s="6" t="s">
        <v>135</v>
      </c>
      <c r="BH1" s="6" t="s">
        <v>134</v>
      </c>
      <c r="BI1" s="6" t="s">
        <v>133</v>
      </c>
      <c r="BJ1" s="6" t="s">
        <v>132</v>
      </c>
      <c r="BK1" s="6" t="s">
        <v>131</v>
      </c>
      <c r="BL1" s="6" t="s">
        <v>130</v>
      </c>
      <c r="BM1" s="6" t="s">
        <v>66</v>
      </c>
      <c r="BN1" s="7" t="s">
        <v>129</v>
      </c>
      <c r="BO1" s="6" t="s">
        <v>128</v>
      </c>
      <c r="BP1" s="6" t="s">
        <v>127</v>
      </c>
      <c r="BQ1" s="5" t="s">
        <v>126</v>
      </c>
      <c r="BR1" s="5" t="s">
        <v>125</v>
      </c>
      <c r="BS1" s="3" t="s">
        <v>124</v>
      </c>
      <c r="BT1" s="3" t="s">
        <v>123</v>
      </c>
      <c r="BU1" s="3" t="s">
        <v>122</v>
      </c>
      <c r="BV1" s="3" t="s">
        <v>121</v>
      </c>
      <c r="BW1" s="3" t="s">
        <v>120</v>
      </c>
      <c r="BX1" s="3" t="s">
        <v>119</v>
      </c>
      <c r="BY1" s="4" t="s">
        <v>118</v>
      </c>
      <c r="BZ1" s="3" t="s">
        <v>117</v>
      </c>
      <c r="CA1" s="3" t="s">
        <v>116</v>
      </c>
      <c r="CB1" s="3" t="s">
        <v>115</v>
      </c>
      <c r="CC1" s="3" t="s">
        <v>114</v>
      </c>
      <c r="CD1" s="3" t="s">
        <v>113</v>
      </c>
      <c r="CE1" s="3" t="s">
        <v>112</v>
      </c>
      <c r="CF1" s="3" t="s">
        <v>111</v>
      </c>
      <c r="CG1" s="3" t="s">
        <v>110</v>
      </c>
      <c r="CH1" s="3" t="s">
        <v>109</v>
      </c>
      <c r="CI1" s="2" t="s">
        <v>108</v>
      </c>
      <c r="CJ1" s="2" t="s">
        <v>107</v>
      </c>
      <c r="CK1" s="2" t="s">
        <v>106</v>
      </c>
      <c r="CL1" s="2" t="s">
        <v>105</v>
      </c>
      <c r="CM1" s="2" t="s">
        <v>104</v>
      </c>
      <c r="CN1" s="2" t="s">
        <v>103</v>
      </c>
      <c r="CO1" s="2" t="s">
        <v>102</v>
      </c>
    </row>
    <row r="2" spans="1:93" ht="13.5" customHeight="1" x14ac:dyDescent="0.4">
      <c r="A2" s="1" t="s">
        <v>101</v>
      </c>
      <c r="B2" s="1" t="s">
        <v>100</v>
      </c>
      <c r="C2" t="str">
        <f>武器!W118</f>
        <v>命中,速度,盲目,幻覚,感知,鑑定</v>
      </c>
    </row>
    <row r="3" spans="1:93" ht="13.5" customHeight="1" x14ac:dyDescent="0.4">
      <c r="A3" s="1" t="s">
        <v>0</v>
      </c>
      <c r="B3" s="1" t="s">
        <v>99</v>
      </c>
      <c r="C3" t="str">
        <f>武器!W119</f>
        <v xml:space="preserve">防御 隠密 </v>
      </c>
    </row>
    <row r="4" spans="1:93" ht="13.5" customHeight="1" x14ac:dyDescent="0.4">
      <c r="A4" s="1" t="s">
        <v>98</v>
      </c>
      <c r="B4" s="1" t="s">
        <v>97</v>
      </c>
      <c r="C4" t="str">
        <f>武器!W66</f>
        <v/>
      </c>
    </row>
    <row r="5" spans="1:93" ht="13.5" customHeight="1" x14ac:dyDescent="0.4">
      <c r="A5" s="1" t="s">
        <v>96</v>
      </c>
      <c r="B5" s="1" t="s">
        <v>95</v>
      </c>
      <c r="C5" t="str">
        <f>武器!W120</f>
        <v xml:space="preserve">HP ST 攻撃 防御 体幹 怯み 疲労 </v>
      </c>
    </row>
    <row r="6" spans="1:93" ht="13.5" customHeight="1" x14ac:dyDescent="0.4">
      <c r="A6" s="1" t="s">
        <v>94</v>
      </c>
      <c r="B6" s="1" t="s">
        <v>93</v>
      </c>
      <c r="C6" t="str">
        <f>武器!W121</f>
        <v xml:space="preserve">攻撃 魔力 速度 命中 </v>
      </c>
    </row>
    <row r="7" spans="1:93" ht="13.5" customHeight="1" x14ac:dyDescent="0.4">
      <c r="A7" s="1" t="s">
        <v>92</v>
      </c>
      <c r="B7" s="1" t="s">
        <v>91</v>
      </c>
      <c r="C7" t="str">
        <f>武器!W122</f>
        <v xml:space="preserve">魔防 精神 幻覚 石化 呪い 即死 </v>
      </c>
    </row>
    <row r="8" spans="1:93" ht="13.5" customHeight="1" x14ac:dyDescent="0.4">
      <c r="A8" s="1" t="s">
        <v>90</v>
      </c>
      <c r="B8" s="1" t="s">
        <v>89</v>
      </c>
      <c r="C8" t="str">
        <f>武器!W123</f>
        <v/>
      </c>
    </row>
    <row r="9" spans="1:93" ht="21" customHeight="1" x14ac:dyDescent="0.4">
      <c r="A9" s="1"/>
      <c r="B9" s="1"/>
    </row>
    <row r="10" spans="1:93" ht="21" customHeight="1" x14ac:dyDescent="0.4">
      <c r="A10" s="1" t="s">
        <v>88</v>
      </c>
      <c r="B10" s="1" t="s">
        <v>87</v>
      </c>
    </row>
    <row r="11" spans="1:93" x14ac:dyDescent="0.4">
      <c r="A11" s="1" t="s">
        <v>86</v>
      </c>
      <c r="B11" s="1" t="s">
        <v>85</v>
      </c>
      <c r="BH11">
        <v>5</v>
      </c>
      <c r="CL11">
        <f t="shared" ref="CL11:CL60" si="0">(SUM(F11:AA11,BH11:BR11)*100)+(SUM(AB11:BF11)*200)+(SUM(BS11:CI11)*50)</f>
        <v>500</v>
      </c>
    </row>
    <row r="12" spans="1:93" outlineLevel="1" x14ac:dyDescent="0.4">
      <c r="A12" s="1" t="s">
        <v>84</v>
      </c>
      <c r="B12" s="1" t="s">
        <v>83</v>
      </c>
      <c r="BK12">
        <v>5</v>
      </c>
      <c r="CL12">
        <f t="shared" si="0"/>
        <v>500</v>
      </c>
    </row>
    <row r="13" spans="1:93" outlineLevel="1" x14ac:dyDescent="0.4">
      <c r="A13" s="1" t="s">
        <v>82</v>
      </c>
      <c r="B13" s="1" t="s">
        <v>81</v>
      </c>
      <c r="BL13">
        <v>5</v>
      </c>
      <c r="CL13">
        <f t="shared" si="0"/>
        <v>500</v>
      </c>
    </row>
    <row r="14" spans="1:93" outlineLevel="1" x14ac:dyDescent="0.4">
      <c r="A14" s="1" t="s">
        <v>80</v>
      </c>
      <c r="B14" s="1" t="s">
        <v>79</v>
      </c>
      <c r="BM14">
        <v>5</v>
      </c>
      <c r="CL14">
        <f t="shared" si="0"/>
        <v>500</v>
      </c>
    </row>
    <row r="15" spans="1:93" outlineLevel="1" x14ac:dyDescent="0.4">
      <c r="A15" s="1" t="s">
        <v>78</v>
      </c>
      <c r="B15" s="1" t="s">
        <v>77</v>
      </c>
      <c r="BN15">
        <v>5</v>
      </c>
      <c r="CL15">
        <f t="shared" si="0"/>
        <v>500</v>
      </c>
    </row>
    <row r="16" spans="1:93" outlineLevel="1" x14ac:dyDescent="0.4">
      <c r="A16" s="1" t="s">
        <v>76</v>
      </c>
      <c r="B16" s="1" t="s">
        <v>75</v>
      </c>
      <c r="BO16">
        <v>5</v>
      </c>
      <c r="CL16">
        <f t="shared" si="0"/>
        <v>500</v>
      </c>
    </row>
    <row r="17" spans="1:90" outlineLevel="1" x14ac:dyDescent="0.4">
      <c r="A17" s="1" t="s">
        <v>74</v>
      </c>
      <c r="B17" s="1" t="s">
        <v>73</v>
      </c>
      <c r="BP17">
        <v>5</v>
      </c>
      <c r="CL17">
        <f t="shared" si="0"/>
        <v>500</v>
      </c>
    </row>
    <row r="18" spans="1:90" outlineLevel="1" x14ac:dyDescent="0.4">
      <c r="A18" s="1" t="s">
        <v>72</v>
      </c>
      <c r="B18" s="1" t="s">
        <v>71</v>
      </c>
      <c r="BH18">
        <f>BH11+5</f>
        <v>10</v>
      </c>
      <c r="CL18">
        <f t="shared" si="0"/>
        <v>1000</v>
      </c>
    </row>
    <row r="19" spans="1:90" outlineLevel="1" x14ac:dyDescent="0.4">
      <c r="A19" s="1" t="s">
        <v>70</v>
      </c>
      <c r="B19" s="1" t="s">
        <v>69</v>
      </c>
      <c r="BK19">
        <f>BK12+5</f>
        <v>10</v>
      </c>
      <c r="CL19">
        <f t="shared" si="0"/>
        <v>1000</v>
      </c>
    </row>
    <row r="20" spans="1:90" outlineLevel="1" x14ac:dyDescent="0.4">
      <c r="A20" s="1" t="s">
        <v>68</v>
      </c>
      <c r="B20" s="1" t="s">
        <v>67</v>
      </c>
      <c r="BL20">
        <f>BL13+5</f>
        <v>10</v>
      </c>
      <c r="CL20">
        <f t="shared" si="0"/>
        <v>1000</v>
      </c>
    </row>
    <row r="21" spans="1:90" outlineLevel="1" x14ac:dyDescent="0.4">
      <c r="A21" s="1" t="s">
        <v>66</v>
      </c>
      <c r="B21" s="1" t="s">
        <v>65</v>
      </c>
      <c r="BM21">
        <f>BM14+5</f>
        <v>10</v>
      </c>
      <c r="CL21">
        <f t="shared" si="0"/>
        <v>1000</v>
      </c>
    </row>
    <row r="22" spans="1:90" outlineLevel="1" x14ac:dyDescent="0.4">
      <c r="A22" s="1" t="s">
        <v>64</v>
      </c>
      <c r="B22" s="1" t="s">
        <v>63</v>
      </c>
      <c r="BN22">
        <f>BN15+5</f>
        <v>10</v>
      </c>
      <c r="CL22">
        <f t="shared" si="0"/>
        <v>1000</v>
      </c>
    </row>
    <row r="23" spans="1:90" outlineLevel="1" x14ac:dyDescent="0.4">
      <c r="A23" s="1" t="s">
        <v>62</v>
      </c>
      <c r="B23" s="1" t="s">
        <v>61</v>
      </c>
      <c r="BO23">
        <f>BO16+5</f>
        <v>10</v>
      </c>
      <c r="CL23">
        <f t="shared" si="0"/>
        <v>1000</v>
      </c>
    </row>
    <row r="24" spans="1:90" outlineLevel="1" x14ac:dyDescent="0.4">
      <c r="A24" s="1" t="s">
        <v>60</v>
      </c>
      <c r="B24" s="1" t="s">
        <v>59</v>
      </c>
      <c r="BP24">
        <f>BP17+5</f>
        <v>10</v>
      </c>
      <c r="CL24">
        <f t="shared" si="0"/>
        <v>1000</v>
      </c>
    </row>
    <row r="25" spans="1:90" outlineLevel="1" x14ac:dyDescent="0.4">
      <c r="A25" s="1" t="s">
        <v>58</v>
      </c>
      <c r="B25" s="1" t="s">
        <v>57</v>
      </c>
      <c r="BH25">
        <f>BH18+5</f>
        <v>15</v>
      </c>
      <c r="CL25">
        <f t="shared" si="0"/>
        <v>1500</v>
      </c>
    </row>
    <row r="26" spans="1:90" outlineLevel="1" x14ac:dyDescent="0.4">
      <c r="A26" s="1" t="s">
        <v>56</v>
      </c>
      <c r="B26" s="1" t="s">
        <v>55</v>
      </c>
      <c r="BK26">
        <f>BK19+5</f>
        <v>15</v>
      </c>
      <c r="CL26">
        <f t="shared" si="0"/>
        <v>1500</v>
      </c>
    </row>
    <row r="27" spans="1:90" outlineLevel="1" x14ac:dyDescent="0.4">
      <c r="A27" s="1" t="s">
        <v>54</v>
      </c>
      <c r="B27" s="1" t="s">
        <v>53</v>
      </c>
      <c r="BL27">
        <f>BL20+5</f>
        <v>15</v>
      </c>
      <c r="CL27">
        <f t="shared" si="0"/>
        <v>1500</v>
      </c>
    </row>
    <row r="28" spans="1:90" outlineLevel="1" x14ac:dyDescent="0.4">
      <c r="A28" s="1" t="s">
        <v>52</v>
      </c>
      <c r="B28" s="1" t="s">
        <v>51</v>
      </c>
      <c r="BM28">
        <f>BM21+5</f>
        <v>15</v>
      </c>
      <c r="CL28">
        <f t="shared" si="0"/>
        <v>1500</v>
      </c>
    </row>
    <row r="29" spans="1:90" outlineLevel="1" x14ac:dyDescent="0.4">
      <c r="A29" s="1" t="s">
        <v>50</v>
      </c>
      <c r="B29" s="1" t="s">
        <v>49</v>
      </c>
      <c r="BN29">
        <f>BN22+5</f>
        <v>15</v>
      </c>
      <c r="CL29">
        <f t="shared" si="0"/>
        <v>1500</v>
      </c>
    </row>
    <row r="30" spans="1:90" outlineLevel="1" x14ac:dyDescent="0.4">
      <c r="A30" s="1" t="s">
        <v>48</v>
      </c>
      <c r="B30" s="1" t="s">
        <v>47</v>
      </c>
      <c r="BO30">
        <f>BO23+5</f>
        <v>15</v>
      </c>
      <c r="CL30">
        <f t="shared" si="0"/>
        <v>1500</v>
      </c>
    </row>
    <row r="31" spans="1:90" outlineLevel="1" x14ac:dyDescent="0.4">
      <c r="A31" t="s">
        <v>46</v>
      </c>
      <c r="B31" s="1" t="s">
        <v>45</v>
      </c>
      <c r="BP31">
        <f>BP24+5</f>
        <v>15</v>
      </c>
      <c r="CL31">
        <f t="shared" si="0"/>
        <v>1500</v>
      </c>
    </row>
    <row r="32" spans="1:90" outlineLevel="1" x14ac:dyDescent="0.4">
      <c r="A32" t="s">
        <v>44</v>
      </c>
      <c r="B32" s="1" t="s">
        <v>43</v>
      </c>
      <c r="BH32">
        <f>BH25+5</f>
        <v>20</v>
      </c>
      <c r="CL32">
        <f t="shared" si="0"/>
        <v>2000</v>
      </c>
    </row>
    <row r="33" spans="1:90" outlineLevel="1" x14ac:dyDescent="0.4">
      <c r="A33" t="s">
        <v>42</v>
      </c>
      <c r="B33" s="1" t="s">
        <v>41</v>
      </c>
      <c r="BK33">
        <f>BK26+5</f>
        <v>20</v>
      </c>
      <c r="CL33">
        <f t="shared" si="0"/>
        <v>2000</v>
      </c>
    </row>
    <row r="34" spans="1:90" outlineLevel="1" x14ac:dyDescent="0.4">
      <c r="A34" t="s">
        <v>40</v>
      </c>
      <c r="B34" s="1" t="s">
        <v>39</v>
      </c>
      <c r="BL34">
        <f>BL27+5</f>
        <v>20</v>
      </c>
      <c r="CL34">
        <f t="shared" si="0"/>
        <v>2000</v>
      </c>
    </row>
    <row r="35" spans="1:90" outlineLevel="1" x14ac:dyDescent="0.4">
      <c r="A35" t="s">
        <v>38</v>
      </c>
      <c r="B35" s="1" t="s">
        <v>37</v>
      </c>
      <c r="BM35">
        <f>BM28+5</f>
        <v>20</v>
      </c>
      <c r="CL35">
        <f t="shared" si="0"/>
        <v>2000</v>
      </c>
    </row>
    <row r="36" spans="1:90" ht="37.5" outlineLevel="1" x14ac:dyDescent="0.4">
      <c r="A36" t="s">
        <v>36</v>
      </c>
      <c r="B36" s="1" t="s">
        <v>35</v>
      </c>
      <c r="BN36">
        <f>BN29+5</f>
        <v>20</v>
      </c>
      <c r="CL36">
        <f t="shared" si="0"/>
        <v>2000</v>
      </c>
    </row>
    <row r="37" spans="1:90" outlineLevel="1" x14ac:dyDescent="0.4">
      <c r="A37" t="s">
        <v>34</v>
      </c>
      <c r="B37" s="1" t="s">
        <v>33</v>
      </c>
      <c r="BO37">
        <f>BO30+5</f>
        <v>20</v>
      </c>
      <c r="CL37">
        <f t="shared" si="0"/>
        <v>2000</v>
      </c>
    </row>
    <row r="38" spans="1:90" outlineLevel="1" x14ac:dyDescent="0.4">
      <c r="A38" t="s">
        <v>32</v>
      </c>
      <c r="B38" s="1" t="s">
        <v>31</v>
      </c>
      <c r="BP38">
        <f>BP31+5</f>
        <v>20</v>
      </c>
      <c r="CL38">
        <f t="shared" si="0"/>
        <v>2000</v>
      </c>
    </row>
    <row r="39" spans="1:90" outlineLevel="1" x14ac:dyDescent="0.4">
      <c r="A39" t="s">
        <v>30</v>
      </c>
      <c r="B39" s="1" t="s">
        <v>29</v>
      </c>
      <c r="BH39">
        <f>BH32+5</f>
        <v>25</v>
      </c>
      <c r="CL39">
        <f t="shared" si="0"/>
        <v>2500</v>
      </c>
    </row>
    <row r="40" spans="1:90" outlineLevel="1" x14ac:dyDescent="0.4">
      <c r="A40" t="s">
        <v>28</v>
      </c>
      <c r="B40" s="1" t="s">
        <v>27</v>
      </c>
      <c r="BK40">
        <f>BK33+5</f>
        <v>25</v>
      </c>
      <c r="CL40">
        <f t="shared" si="0"/>
        <v>2500</v>
      </c>
    </row>
    <row r="41" spans="1:90" outlineLevel="1" x14ac:dyDescent="0.4">
      <c r="A41" t="s">
        <v>26</v>
      </c>
      <c r="B41" s="1" t="s">
        <v>25</v>
      </c>
      <c r="BL41">
        <f>BL34+5</f>
        <v>25</v>
      </c>
      <c r="CL41">
        <f t="shared" si="0"/>
        <v>2500</v>
      </c>
    </row>
    <row r="42" spans="1:90" outlineLevel="1" x14ac:dyDescent="0.4">
      <c r="A42" t="s">
        <v>24</v>
      </c>
      <c r="B42" s="1" t="s">
        <v>23</v>
      </c>
      <c r="BM42">
        <f>BM35+5</f>
        <v>25</v>
      </c>
      <c r="CL42">
        <f t="shared" si="0"/>
        <v>2500</v>
      </c>
    </row>
    <row r="43" spans="1:90" outlineLevel="1" x14ac:dyDescent="0.4">
      <c r="A43" t="s">
        <v>22</v>
      </c>
      <c r="B43" s="1" t="s">
        <v>21</v>
      </c>
      <c r="BN43">
        <f>BN36+5</f>
        <v>25</v>
      </c>
      <c r="CL43">
        <f t="shared" si="0"/>
        <v>2500</v>
      </c>
    </row>
    <row r="44" spans="1:90" outlineLevel="1" x14ac:dyDescent="0.4">
      <c r="A44" t="s">
        <v>20</v>
      </c>
      <c r="B44" s="1" t="s">
        <v>19</v>
      </c>
      <c r="BO44">
        <f>BO37+5</f>
        <v>25</v>
      </c>
      <c r="CL44">
        <f t="shared" si="0"/>
        <v>2500</v>
      </c>
    </row>
    <row r="45" spans="1:90" outlineLevel="1" x14ac:dyDescent="0.4">
      <c r="A45" t="s">
        <v>18</v>
      </c>
      <c r="B45" s="1" t="s">
        <v>17</v>
      </c>
      <c r="BP45">
        <f>BP38+5</f>
        <v>25</v>
      </c>
      <c r="CL45">
        <f t="shared" si="0"/>
        <v>2500</v>
      </c>
    </row>
    <row r="46" spans="1:90" outlineLevel="1" x14ac:dyDescent="0.4">
      <c r="B46" s="1"/>
    </row>
    <row r="47" spans="1:90" outlineLevel="1" x14ac:dyDescent="0.4">
      <c r="A47" t="s">
        <v>1279</v>
      </c>
      <c r="B47" s="1"/>
      <c r="BE47">
        <v>2.5</v>
      </c>
      <c r="BF47">
        <v>10</v>
      </c>
    </row>
    <row r="48" spans="1:90" outlineLevel="1" x14ac:dyDescent="0.4">
      <c r="A48" t="s">
        <v>1280</v>
      </c>
      <c r="B48" s="1"/>
      <c r="BE48">
        <f>BE47+2.5</f>
        <v>5</v>
      </c>
      <c r="BF48">
        <f>BF47+10</f>
        <v>20</v>
      </c>
    </row>
    <row r="49" spans="1:90" outlineLevel="1" x14ac:dyDescent="0.4">
      <c r="A49" t="s">
        <v>1281</v>
      </c>
      <c r="B49" s="1"/>
      <c r="BE49">
        <f t="shared" ref="BE49:BE51" si="1">BE48+2.5</f>
        <v>7.5</v>
      </c>
      <c r="BF49">
        <f t="shared" ref="BF49:BF51" si="2">BF48+10</f>
        <v>30</v>
      </c>
    </row>
    <row r="50" spans="1:90" outlineLevel="1" x14ac:dyDescent="0.4">
      <c r="A50" t="s">
        <v>1282</v>
      </c>
      <c r="B50" s="1"/>
      <c r="BE50">
        <f t="shared" si="1"/>
        <v>10</v>
      </c>
      <c r="BF50">
        <f t="shared" si="2"/>
        <v>40</v>
      </c>
    </row>
    <row r="51" spans="1:90" outlineLevel="1" x14ac:dyDescent="0.4">
      <c r="A51" t="s">
        <v>1283</v>
      </c>
      <c r="BE51">
        <f t="shared" si="1"/>
        <v>12.5</v>
      </c>
      <c r="BF51">
        <f>BF50+10</f>
        <v>50</v>
      </c>
      <c r="CL51">
        <f t="shared" si="0"/>
        <v>12500</v>
      </c>
    </row>
    <row r="52" spans="1:90" x14ac:dyDescent="0.4">
      <c r="CL52">
        <f t="shared" si="0"/>
        <v>0</v>
      </c>
    </row>
    <row r="53" spans="1:90" x14ac:dyDescent="0.4">
      <c r="A53" t="s">
        <v>16</v>
      </c>
      <c r="B53" s="1" t="s">
        <v>15</v>
      </c>
      <c r="C53" s="1" t="s">
        <v>0</v>
      </c>
      <c r="AK53">
        <v>-10</v>
      </c>
      <c r="BS53">
        <v>60</v>
      </c>
      <c r="CL53">
        <f t="shared" si="0"/>
        <v>1000</v>
      </c>
    </row>
    <row r="54" spans="1:90" x14ac:dyDescent="0.4">
      <c r="A54" t="s">
        <v>14</v>
      </c>
      <c r="B54" s="1" t="s">
        <v>13</v>
      </c>
      <c r="C54" s="1" t="s">
        <v>0</v>
      </c>
      <c r="AE54">
        <v>15</v>
      </c>
      <c r="CL54">
        <f t="shared" si="0"/>
        <v>3000</v>
      </c>
    </row>
    <row r="55" spans="1:90" x14ac:dyDescent="0.4">
      <c r="A55" t="s">
        <v>12</v>
      </c>
      <c r="B55" s="1" t="s">
        <v>11</v>
      </c>
      <c r="C55" s="1" t="s">
        <v>0</v>
      </c>
      <c r="AF55">
        <v>15</v>
      </c>
      <c r="CL55">
        <f t="shared" si="0"/>
        <v>3000</v>
      </c>
    </row>
    <row r="56" spans="1:90" ht="37.5" x14ac:dyDescent="0.4">
      <c r="A56" t="s">
        <v>10</v>
      </c>
      <c r="B56" s="1" t="s">
        <v>9</v>
      </c>
      <c r="C56" s="1" t="s">
        <v>0</v>
      </c>
      <c r="AG56">
        <v>15</v>
      </c>
      <c r="CL56">
        <f t="shared" si="0"/>
        <v>3000</v>
      </c>
    </row>
    <row r="57" spans="1:90" x14ac:dyDescent="0.4">
      <c r="A57" t="s">
        <v>8</v>
      </c>
      <c r="B57" s="1" t="s">
        <v>7</v>
      </c>
      <c r="C57" s="1" t="s">
        <v>0</v>
      </c>
      <c r="AH57">
        <v>15</v>
      </c>
      <c r="CL57">
        <f t="shared" si="0"/>
        <v>3000</v>
      </c>
    </row>
    <row r="58" spans="1:90" x14ac:dyDescent="0.4">
      <c r="A58" t="s">
        <v>6</v>
      </c>
      <c r="B58" s="1" t="s">
        <v>5</v>
      </c>
      <c r="C58" s="1" t="s">
        <v>0</v>
      </c>
      <c r="AI58">
        <v>15</v>
      </c>
      <c r="CL58">
        <f t="shared" si="0"/>
        <v>3000</v>
      </c>
    </row>
    <row r="59" spans="1:90" x14ac:dyDescent="0.4">
      <c r="A59" t="s">
        <v>4</v>
      </c>
      <c r="B59" s="1" t="s">
        <v>3</v>
      </c>
      <c r="C59" s="1" t="s">
        <v>0</v>
      </c>
      <c r="AJ59">
        <v>15</v>
      </c>
      <c r="CL59">
        <f t="shared" si="0"/>
        <v>3000</v>
      </c>
    </row>
    <row r="60" spans="1:90" x14ac:dyDescent="0.4">
      <c r="A60" t="s">
        <v>2</v>
      </c>
      <c r="B60" s="1" t="s">
        <v>1</v>
      </c>
      <c r="C60" s="1" t="s">
        <v>0</v>
      </c>
      <c r="AK60">
        <v>15</v>
      </c>
      <c r="CL60">
        <f t="shared" si="0"/>
        <v>3000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3870-46DF-49B1-BC22-93BD7CD95387}">
  <sheetPr codeName="Sheet7">
    <tabColor theme="7" tint="0.79998168889431442"/>
  </sheetPr>
  <dimension ref="A1:AV6"/>
  <sheetViews>
    <sheetView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G3" sqref="AC3:AG3"/>
    </sheetView>
  </sheetViews>
  <sheetFormatPr defaultRowHeight="18.75" x14ac:dyDescent="0.4"/>
  <cols>
    <col min="1" max="1" width="15.125" bestFit="1" customWidth="1"/>
    <col min="2" max="2" width="20.375" customWidth="1"/>
    <col min="5" max="6" width="5.25" bestFit="1" customWidth="1"/>
    <col min="27" max="29" width="9" style="1"/>
  </cols>
  <sheetData>
    <row r="1" spans="1:48" x14ac:dyDescent="0.4">
      <c r="A1" s="21" t="s">
        <v>1148</v>
      </c>
      <c r="B1" s="21" t="s">
        <v>1147</v>
      </c>
      <c r="C1" s="52" t="s">
        <v>1146</v>
      </c>
      <c r="D1" s="52" t="s">
        <v>1145</v>
      </c>
      <c r="E1" s="52" t="s">
        <v>1144</v>
      </c>
      <c r="F1" s="52" t="s">
        <v>1143</v>
      </c>
      <c r="G1" s="52" t="s">
        <v>1142</v>
      </c>
      <c r="H1" s="52" t="s">
        <v>1141</v>
      </c>
      <c r="I1" s="52" t="s">
        <v>1140</v>
      </c>
      <c r="J1" s="52" t="s">
        <v>1139</v>
      </c>
      <c r="K1" s="52" t="s">
        <v>1138</v>
      </c>
      <c r="L1" s="52" t="s">
        <v>1137</v>
      </c>
      <c r="M1" s="52" t="s">
        <v>1136</v>
      </c>
      <c r="N1" s="52" t="s">
        <v>1135</v>
      </c>
      <c r="O1" s="52" t="s">
        <v>1134</v>
      </c>
      <c r="P1" s="52" t="s">
        <v>1133</v>
      </c>
      <c r="Q1" s="52" t="s">
        <v>1132</v>
      </c>
      <c r="R1" s="52" t="s">
        <v>1131</v>
      </c>
      <c r="S1" s="52" t="s">
        <v>1130</v>
      </c>
      <c r="T1" s="52" t="s">
        <v>1129</v>
      </c>
      <c r="U1" s="52" t="s">
        <v>1128</v>
      </c>
      <c r="V1" s="52" t="s">
        <v>1127</v>
      </c>
      <c r="W1" s="52" t="s">
        <v>1126</v>
      </c>
      <c r="X1" s="52" t="s">
        <v>1125</v>
      </c>
      <c r="Y1" s="52" t="s">
        <v>1124</v>
      </c>
      <c r="Z1" s="52" t="s">
        <v>1123</v>
      </c>
      <c r="AA1" s="52" t="s">
        <v>1122</v>
      </c>
      <c r="AB1" s="52" t="s">
        <v>1121</v>
      </c>
      <c r="AC1" s="52" t="s">
        <v>1120</v>
      </c>
      <c r="AD1" s="52" t="s">
        <v>1119</v>
      </c>
      <c r="AE1" s="52" t="s">
        <v>1118</v>
      </c>
      <c r="AF1" s="52" t="s">
        <v>1117</v>
      </c>
      <c r="AG1" s="52" t="s">
        <v>1116</v>
      </c>
      <c r="AH1" s="52" t="s">
        <v>1115</v>
      </c>
      <c r="AI1" s="52" t="s">
        <v>1114</v>
      </c>
      <c r="AJ1" s="52" t="s">
        <v>1113</v>
      </c>
      <c r="AK1" s="52" t="s">
        <v>1112</v>
      </c>
      <c r="AL1" s="52" t="s">
        <v>1111</v>
      </c>
      <c r="AM1" s="52" t="s">
        <v>1110</v>
      </c>
      <c r="AN1" s="52" t="s">
        <v>1109</v>
      </c>
      <c r="AO1" s="52" t="s">
        <v>1108</v>
      </c>
      <c r="AP1" s="52" t="s">
        <v>1107</v>
      </c>
      <c r="AQ1" s="52" t="s">
        <v>1106</v>
      </c>
      <c r="AR1" s="52" t="s">
        <v>1105</v>
      </c>
      <c r="AS1" s="52" t="s">
        <v>1104</v>
      </c>
      <c r="AT1" s="52" t="s">
        <v>1103</v>
      </c>
      <c r="AU1" s="52" t="s">
        <v>1102</v>
      </c>
      <c r="AV1" s="52" t="s">
        <v>1101</v>
      </c>
    </row>
    <row r="2" spans="1:48" x14ac:dyDescent="0.4">
      <c r="A2" t="s">
        <v>1242</v>
      </c>
      <c r="C2" t="s">
        <v>481</v>
      </c>
      <c r="D2" t="s">
        <v>479</v>
      </c>
      <c r="E2" t="s">
        <v>477</v>
      </c>
      <c r="F2" t="s">
        <v>473</v>
      </c>
      <c r="G2" t="s">
        <v>469</v>
      </c>
      <c r="H2" t="s">
        <v>1100</v>
      </c>
      <c r="J2" t="s">
        <v>1099</v>
      </c>
      <c r="K2" t="s">
        <v>1098</v>
      </c>
      <c r="M2" t="s">
        <v>1097</v>
      </c>
      <c r="N2" t="s">
        <v>1096</v>
      </c>
      <c r="O2" s="1" t="s">
        <v>1095</v>
      </c>
      <c r="P2" s="1" t="s">
        <v>1094</v>
      </c>
      <c r="Q2" s="1" t="s">
        <v>1093</v>
      </c>
      <c r="R2" s="1" t="s">
        <v>1092</v>
      </c>
      <c r="S2" t="s">
        <v>1091</v>
      </c>
      <c r="T2" t="s">
        <v>1090</v>
      </c>
      <c r="U2" t="s">
        <v>1089</v>
      </c>
      <c r="V2" t="s">
        <v>1088</v>
      </c>
      <c r="W2" t="s">
        <v>1087</v>
      </c>
      <c r="X2" t="s">
        <v>1086</v>
      </c>
      <c r="Y2" t="s">
        <v>1085</v>
      </c>
      <c r="Z2" t="s">
        <v>1084</v>
      </c>
      <c r="AA2" t="s">
        <v>1083</v>
      </c>
      <c r="AB2"/>
      <c r="AC2" t="s">
        <v>1082</v>
      </c>
      <c r="AD2" t="s">
        <v>1081</v>
      </c>
      <c r="AE2" t="s">
        <v>1080</v>
      </c>
      <c r="AF2" t="s">
        <v>1079</v>
      </c>
      <c r="AG2" t="s">
        <v>1078</v>
      </c>
      <c r="AH2" t="s">
        <v>1077</v>
      </c>
      <c r="AJ2" t="s">
        <v>1076</v>
      </c>
      <c r="AK2" t="s">
        <v>1075</v>
      </c>
      <c r="AL2" t="s">
        <v>1074</v>
      </c>
      <c r="AM2" t="s">
        <v>1073</v>
      </c>
      <c r="AN2" t="s">
        <v>1072</v>
      </c>
      <c r="AO2" t="s">
        <v>1071</v>
      </c>
      <c r="AP2" t="s">
        <v>1070</v>
      </c>
      <c r="AQ2" t="s">
        <v>1069</v>
      </c>
      <c r="AR2" t="s">
        <v>1068</v>
      </c>
      <c r="AS2" t="s">
        <v>1067</v>
      </c>
      <c r="AT2" t="s">
        <v>1066</v>
      </c>
      <c r="AU2" t="s">
        <v>1065</v>
      </c>
      <c r="AV2" t="s">
        <v>1064</v>
      </c>
    </row>
    <row r="3" spans="1:48" ht="37.5" x14ac:dyDescent="0.4">
      <c r="A3" t="s">
        <v>1243</v>
      </c>
      <c r="C3" t="s">
        <v>481</v>
      </c>
      <c r="D3" t="s">
        <v>479</v>
      </c>
      <c r="E3" t="s">
        <v>477</v>
      </c>
      <c r="F3" t="s">
        <v>473</v>
      </c>
      <c r="G3" t="s">
        <v>469</v>
      </c>
      <c r="H3" t="s">
        <v>1063</v>
      </c>
      <c r="J3" t="s">
        <v>1062</v>
      </c>
      <c r="K3" t="s">
        <v>1061</v>
      </c>
      <c r="M3" t="s">
        <v>1060</v>
      </c>
      <c r="N3" t="s">
        <v>1059</v>
      </c>
      <c r="O3" s="1" t="s">
        <v>1058</v>
      </c>
      <c r="P3" s="1" t="s">
        <v>1057</v>
      </c>
      <c r="Q3" s="1" t="s">
        <v>1056</v>
      </c>
      <c r="R3" s="1" t="s">
        <v>1055</v>
      </c>
      <c r="S3" s="1"/>
      <c r="T3" s="1"/>
      <c r="U3" t="s">
        <v>1054</v>
      </c>
      <c r="V3" t="s">
        <v>1053</v>
      </c>
      <c r="W3" t="s">
        <v>1052</v>
      </c>
      <c r="X3" t="s">
        <v>1051</v>
      </c>
      <c r="Y3" s="1"/>
      <c r="Z3" s="1"/>
      <c r="AA3" t="s">
        <v>1050</v>
      </c>
      <c r="AB3"/>
      <c r="AC3" t="s">
        <v>1049</v>
      </c>
      <c r="AD3" t="s">
        <v>1048</v>
      </c>
      <c r="AE3" s="1" t="s">
        <v>1047</v>
      </c>
      <c r="AF3" s="1" t="s">
        <v>1046</v>
      </c>
      <c r="AG3" s="1" t="s">
        <v>1045</v>
      </c>
    </row>
    <row r="4" spans="1:48" x14ac:dyDescent="0.4">
      <c r="AA4"/>
      <c r="AB4"/>
      <c r="AC4"/>
    </row>
    <row r="5" spans="1:48" x14ac:dyDescent="0.4">
      <c r="AB5"/>
    </row>
    <row r="6" spans="1:48" x14ac:dyDescent="0.4">
      <c r="AB6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カテゴリ</vt:lpstr>
      <vt:lpstr>装備品</vt:lpstr>
      <vt:lpstr>アイテム</vt:lpstr>
      <vt:lpstr>素材</vt:lpstr>
      <vt:lpstr>武器</vt:lpstr>
      <vt:lpstr>装強</vt:lpstr>
      <vt:lpstr>ショップ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syuya kikuti</dc:creator>
  <cp:lastModifiedBy>syuya kikuti</cp:lastModifiedBy>
  <dcterms:created xsi:type="dcterms:W3CDTF">2024-12-13T08:42:41Z</dcterms:created>
  <dcterms:modified xsi:type="dcterms:W3CDTF">2025-01-23T01:25:51Z</dcterms:modified>
</cp:coreProperties>
</file>