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0" windowWidth="16815" windowHeight="7755"/>
  </bookViews>
  <sheets>
    <sheet name="Calculation" sheetId="2" r:id="rId1"/>
    <sheet name="Instructions" sheetId="3" r:id="rId2"/>
  </sheets>
  <calcPr calcId="144525"/>
</workbook>
</file>

<file path=xl/calcChain.xml><?xml version="1.0" encoding="utf-8"?>
<calcChain xmlns="http://schemas.openxmlformats.org/spreadsheetml/2006/main">
  <c r="F27" i="2" l="1"/>
  <c r="R64" i="2" l="1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C54" i="2"/>
  <c r="D27" i="2"/>
  <c r="N34" i="2"/>
  <c r="M34" i="2"/>
  <c r="C27" i="2"/>
  <c r="F22" i="2"/>
  <c r="D22" i="2" s="1"/>
  <c r="F21" i="2"/>
  <c r="F23" i="2"/>
  <c r="E23" i="2" s="1"/>
  <c r="F24" i="2"/>
  <c r="D24" i="2" s="1"/>
  <c r="F25" i="2"/>
  <c r="D25" i="2" s="1"/>
  <c r="F26" i="2"/>
  <c r="D26" i="2" s="1"/>
  <c r="D54" i="2" l="1"/>
  <c r="D23" i="2"/>
  <c r="E25" i="2"/>
  <c r="E27" i="2"/>
  <c r="E26" i="2"/>
  <c r="E24" i="2"/>
  <c r="E22" i="2"/>
  <c r="L32" i="2"/>
  <c r="L25" i="2"/>
  <c r="L23" i="2"/>
  <c r="L22" i="2"/>
  <c r="L28" i="2"/>
  <c r="L31" i="2"/>
  <c r="L30" i="2"/>
  <c r="S62" i="2" l="1"/>
  <c r="S59" i="2"/>
  <c r="S56" i="2"/>
  <c r="S53" i="2"/>
  <c r="S50" i="2"/>
  <c r="S64" i="2"/>
  <c r="S61" i="2"/>
  <c r="S58" i="2"/>
  <c r="S55" i="2"/>
  <c r="S52" i="2"/>
  <c r="S49" i="2"/>
  <c r="S63" i="2"/>
  <c r="S60" i="2"/>
  <c r="S57" i="2"/>
  <c r="S54" i="2"/>
  <c r="S51" i="2"/>
  <c r="S48" i="2"/>
  <c r="L29" i="2"/>
  <c r="L26" i="2"/>
  <c r="L24" i="2"/>
  <c r="L27" i="2"/>
  <c r="E21" i="2"/>
  <c r="M27" i="2" s="1"/>
  <c r="D21" i="2"/>
  <c r="N27" i="2" s="1"/>
  <c r="D48" i="2" l="1"/>
  <c r="G61" i="2" s="1"/>
  <c r="C48" i="2"/>
  <c r="F60" i="2" s="1"/>
  <c r="C50" i="2"/>
  <c r="J64" i="2" s="1"/>
  <c r="C51" i="2"/>
  <c r="L62" i="2" s="1"/>
  <c r="C52" i="2"/>
  <c r="N63" i="2" s="1"/>
  <c r="C53" i="2"/>
  <c r="P64" i="2" s="1"/>
  <c r="C49" i="2"/>
  <c r="H64" i="2" s="1"/>
  <c r="H38" i="2"/>
  <c r="H43" i="2"/>
  <c r="F43" i="2"/>
  <c r="H40" i="2"/>
  <c r="H41" i="2"/>
  <c r="H42" i="2"/>
  <c r="H39" i="2"/>
  <c r="F42" i="2"/>
  <c r="F41" i="2"/>
  <c r="F40" i="2"/>
  <c r="F39" i="2"/>
  <c r="E40" i="2"/>
  <c r="E41" i="2"/>
  <c r="E42" i="2"/>
  <c r="E39" i="2"/>
  <c r="C42" i="2"/>
  <c r="C41" i="2"/>
  <c r="C40" i="2"/>
  <c r="C39" i="2"/>
  <c r="P23" i="2"/>
  <c r="P24" i="2"/>
  <c r="P25" i="2"/>
  <c r="P26" i="2"/>
  <c r="P27" i="2"/>
  <c r="P28" i="2"/>
  <c r="P29" i="2"/>
  <c r="P30" i="2"/>
  <c r="P31" i="2"/>
  <c r="P32" i="2"/>
  <c r="P22" i="2"/>
  <c r="H53" i="2" l="1"/>
  <c r="H59" i="2"/>
  <c r="F48" i="2"/>
  <c r="H48" i="2"/>
  <c r="H54" i="2"/>
  <c r="H60" i="2"/>
  <c r="F52" i="2"/>
  <c r="H49" i="2"/>
  <c r="H55" i="2"/>
  <c r="H61" i="2"/>
  <c r="F53" i="2"/>
  <c r="H50" i="2"/>
  <c r="H56" i="2"/>
  <c r="H62" i="2"/>
  <c r="F61" i="2"/>
  <c r="H51" i="2"/>
  <c r="H57" i="2"/>
  <c r="H63" i="2"/>
  <c r="F62" i="2"/>
  <c r="H52" i="2"/>
  <c r="H58" i="2"/>
  <c r="J48" i="2"/>
  <c r="J51" i="2"/>
  <c r="J57" i="2"/>
  <c r="J60" i="2"/>
  <c r="G59" i="2"/>
  <c r="G56" i="2"/>
  <c r="G58" i="2"/>
  <c r="G50" i="2"/>
  <c r="G62" i="2"/>
  <c r="G52" i="2"/>
  <c r="G64" i="2"/>
  <c r="G53" i="2"/>
  <c r="G51" i="2"/>
  <c r="G57" i="2"/>
  <c r="G63" i="2"/>
  <c r="G48" i="2"/>
  <c r="G54" i="2"/>
  <c r="G60" i="2"/>
  <c r="G49" i="2"/>
  <c r="G55" i="2"/>
  <c r="P54" i="2"/>
  <c r="P63" i="2"/>
  <c r="P51" i="2"/>
  <c r="P60" i="2"/>
  <c r="J54" i="2"/>
  <c r="J63" i="2"/>
  <c r="P48" i="2"/>
  <c r="P57" i="2"/>
  <c r="L49" i="2"/>
  <c r="L55" i="2"/>
  <c r="L61" i="2"/>
  <c r="N50" i="2"/>
  <c r="N59" i="2"/>
  <c r="J49" i="2"/>
  <c r="J50" i="2"/>
  <c r="J53" i="2"/>
  <c r="J56" i="2"/>
  <c r="J59" i="2"/>
  <c r="J62" i="2"/>
  <c r="L48" i="2"/>
  <c r="L51" i="2"/>
  <c r="L54" i="2"/>
  <c r="L57" i="2"/>
  <c r="L60" i="2"/>
  <c r="L63" i="2"/>
  <c r="N49" i="2"/>
  <c r="N52" i="2"/>
  <c r="N55" i="2"/>
  <c r="N58" i="2"/>
  <c r="N61" i="2"/>
  <c r="N64" i="2"/>
  <c r="P50" i="2"/>
  <c r="P53" i="2"/>
  <c r="P56" i="2"/>
  <c r="P59" i="2"/>
  <c r="P62" i="2"/>
  <c r="L52" i="2"/>
  <c r="L58" i="2"/>
  <c r="L64" i="2"/>
  <c r="N53" i="2"/>
  <c r="N56" i="2"/>
  <c r="N62" i="2"/>
  <c r="J52" i="2"/>
  <c r="J55" i="2"/>
  <c r="J58" i="2"/>
  <c r="J61" i="2"/>
  <c r="L50" i="2"/>
  <c r="L53" i="2"/>
  <c r="L56" i="2"/>
  <c r="L59" i="2"/>
  <c r="N48" i="2"/>
  <c r="N51" i="2"/>
  <c r="N54" i="2"/>
  <c r="N57" i="2"/>
  <c r="N60" i="2"/>
  <c r="P49" i="2"/>
  <c r="P52" i="2"/>
  <c r="P55" i="2"/>
  <c r="P58" i="2"/>
  <c r="P61" i="2"/>
  <c r="F54" i="2"/>
  <c r="F57" i="2"/>
  <c r="F63" i="2"/>
  <c r="F49" i="2"/>
  <c r="F55" i="2"/>
  <c r="F58" i="2"/>
  <c r="F50" i="2"/>
  <c r="F56" i="2"/>
  <c r="F59" i="2"/>
  <c r="F64" i="2"/>
  <c r="F51" i="2"/>
  <c r="D53" i="2" l="1"/>
  <c r="K23" i="2"/>
  <c r="K24" i="2"/>
  <c r="K32" i="2"/>
  <c r="K31" i="2"/>
  <c r="K30" i="2"/>
  <c r="K29" i="2"/>
  <c r="K28" i="2"/>
  <c r="K27" i="2"/>
  <c r="K26" i="2"/>
  <c r="K25" i="2"/>
  <c r="N32" i="2" l="1"/>
  <c r="N22" i="2"/>
  <c r="M32" i="2"/>
  <c r="M22" i="2"/>
  <c r="Q55" i="2"/>
  <c r="Q54" i="2"/>
  <c r="Q59" i="2"/>
  <c r="Q53" i="2"/>
  <c r="Q64" i="2"/>
  <c r="Q58" i="2"/>
  <c r="Q52" i="2"/>
  <c r="Q63" i="2"/>
  <c r="Q57" i="2"/>
  <c r="Q51" i="2"/>
  <c r="Q62" i="2"/>
  <c r="Q56" i="2"/>
  <c r="Q50" i="2"/>
  <c r="Q61" i="2"/>
  <c r="Q49" i="2"/>
  <c r="Q60" i="2"/>
  <c r="Q48" i="2"/>
  <c r="D51" i="2"/>
  <c r="D52" i="2"/>
  <c r="D49" i="2"/>
  <c r="D50" i="2"/>
  <c r="N30" i="2" l="1"/>
  <c r="N24" i="2"/>
  <c r="M25" i="2"/>
  <c r="M29" i="2"/>
  <c r="M31" i="2"/>
  <c r="M23" i="2"/>
  <c r="N25" i="2"/>
  <c r="N29" i="2"/>
  <c r="N31" i="2"/>
  <c r="N23" i="2"/>
  <c r="N26" i="2"/>
  <c r="N28" i="2"/>
  <c r="M30" i="2"/>
  <c r="M24" i="2"/>
  <c r="M26" i="2"/>
  <c r="M28" i="2"/>
  <c r="K60" i="2"/>
  <c r="K56" i="2"/>
  <c r="K55" i="2"/>
  <c r="K50" i="2"/>
  <c r="K64" i="2"/>
  <c r="K59" i="2"/>
  <c r="K54" i="2"/>
  <c r="K49" i="2"/>
  <c r="K63" i="2"/>
  <c r="K62" i="2"/>
  <c r="K57" i="2"/>
  <c r="K52" i="2"/>
  <c r="K61" i="2"/>
  <c r="K51" i="2"/>
  <c r="K58" i="2"/>
  <c r="K53" i="2"/>
  <c r="K48" i="2"/>
  <c r="I63" i="2"/>
  <c r="I57" i="2"/>
  <c r="I51" i="2"/>
  <c r="I62" i="2"/>
  <c r="I56" i="2"/>
  <c r="I50" i="2"/>
  <c r="I61" i="2"/>
  <c r="I55" i="2"/>
  <c r="I49" i="2"/>
  <c r="I54" i="2"/>
  <c r="I48" i="2"/>
  <c r="I59" i="2"/>
  <c r="I53" i="2"/>
  <c r="I64" i="2"/>
  <c r="I58" i="2"/>
  <c r="I52" i="2"/>
  <c r="I60" i="2"/>
  <c r="M61" i="2"/>
  <c r="M55" i="2"/>
  <c r="M49" i="2"/>
  <c r="M60" i="2"/>
  <c r="M54" i="2"/>
  <c r="M48" i="2"/>
  <c r="M59" i="2"/>
  <c r="M53" i="2"/>
  <c r="M63" i="2"/>
  <c r="M57" i="2"/>
  <c r="M51" i="2"/>
  <c r="M62" i="2"/>
  <c r="M56" i="2"/>
  <c r="M50" i="2"/>
  <c r="M64" i="2"/>
  <c r="M58" i="2"/>
  <c r="M52" i="2"/>
  <c r="O62" i="2"/>
  <c r="O56" i="2"/>
  <c r="O50" i="2"/>
  <c r="O61" i="2"/>
  <c r="O55" i="2"/>
  <c r="O49" i="2"/>
  <c r="O60" i="2"/>
  <c r="O54" i="2"/>
  <c r="O48" i="2"/>
  <c r="O64" i="2"/>
  <c r="O58" i="2"/>
  <c r="O52" i="2"/>
  <c r="O63" i="2"/>
  <c r="O57" i="2"/>
  <c r="O51" i="2"/>
  <c r="O59" i="2"/>
  <c r="O53" i="2"/>
</calcChain>
</file>

<file path=xl/sharedStrings.xml><?xml version="1.0" encoding="utf-8"?>
<sst xmlns="http://schemas.openxmlformats.org/spreadsheetml/2006/main" count="64" uniqueCount="42">
  <si>
    <t>Span(ft)</t>
  </si>
  <si>
    <t>Depth(mm)</t>
  </si>
  <si>
    <t>h1(mm)</t>
  </si>
  <si>
    <t>h2(mm)</t>
  </si>
  <si>
    <t>L/10</t>
  </si>
  <si>
    <t>2L/10</t>
  </si>
  <si>
    <t>3L/10</t>
  </si>
  <si>
    <t>4L/10</t>
  </si>
  <si>
    <t>5L/10</t>
  </si>
  <si>
    <t>Duct Dia(mm)</t>
  </si>
  <si>
    <t>Input values</t>
  </si>
  <si>
    <t>Output</t>
  </si>
  <si>
    <t>Position of centreline of duct</t>
  </si>
  <si>
    <t>Position of upper surface of duct</t>
  </si>
  <si>
    <t>Position of lower surface of duct</t>
  </si>
  <si>
    <t>Width
(mm)</t>
  </si>
  <si>
    <t>x values</t>
  </si>
  <si>
    <t>y values bottom girder</t>
  </si>
  <si>
    <t>y values top girder</t>
  </si>
  <si>
    <t>y values sides</t>
  </si>
  <si>
    <t>x values left girder</t>
  </si>
  <si>
    <t>x values right girder</t>
  </si>
  <si>
    <t>x centre</t>
  </si>
  <si>
    <t>y centre</t>
  </si>
  <si>
    <t>x</t>
  </si>
  <si>
    <t>y</t>
  </si>
  <si>
    <t>Insert values here</t>
  </si>
  <si>
    <t>y0(mm)</t>
  </si>
  <si>
    <t>centre</t>
  </si>
  <si>
    <t>lower</t>
  </si>
  <si>
    <t>upper</t>
  </si>
  <si>
    <t>Desired position from midspan (ft)</t>
  </si>
  <si>
    <t>Distance from midspan (ft)</t>
  </si>
  <si>
    <t>Desired point</t>
  </si>
  <si>
    <t>desired</t>
  </si>
  <si>
    <t># Input values in only the fields between F8 and M8</t>
  </si>
  <si>
    <t># Span and desired position from midpoint along span takes inputs in feet, all other measurements are in millimeters</t>
  </si>
  <si>
    <t># From the midspan upto the point 4*span/10 from the midspan, the tendon follows the curve y = a * x^2</t>
  </si>
  <si>
    <t># The tendon position at the centreline (y0) and the endspan(h1) must be known for this excel to be useful</t>
  </si>
  <si>
    <t># From the 4*span/10 position upto the endspan, the tendon position is linearly interpolated</t>
  </si>
  <si>
    <t># The diagrams are not to scale</t>
  </si>
  <si>
    <t>#The necessary code is hidden behind the beam duct profile graph and the rectangle group object with the beam section graphs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</si>
</sst>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28"/>
      <color theme="1"/>
      <name val="Symbol"/>
      <family val="1"/>
      <charset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4" borderId="1" xfId="0" applyFill="1" applyBorder="1"/>
    <xf numFmtId="0" fontId="0" fillId="2" borderId="1" xfId="0" applyFill="1" applyBorder="1"/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wrapText="1"/>
    </xf>
    <xf numFmtId="0" fontId="0" fillId="0" borderId="0" xfId="0" applyAlignment="1"/>
    <xf numFmtId="0" fontId="0" fillId="4" borderId="0" xfId="0" applyFill="1"/>
    <xf numFmtId="0" fontId="0" fillId="6" borderId="1" xfId="0" applyFill="1" applyBorder="1" applyAlignment="1">
      <alignment horizontal="center"/>
    </xf>
    <xf numFmtId="0" fontId="0" fillId="5" borderId="0" xfId="0" applyFill="1"/>
    <xf numFmtId="0" fontId="0" fillId="4" borderId="1" xfId="0" applyFill="1" applyBorder="1" applyAlignment="1">
      <alignment horizontal="left"/>
    </xf>
    <xf numFmtId="0" fontId="1" fillId="5" borderId="0" xfId="0" applyFont="1" applyFill="1" applyAlignment="1">
      <alignment horizontal="center"/>
    </xf>
    <xf numFmtId="0" fontId="4" fillId="0" borderId="0" xfId="0" applyFont="1"/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Beam duct profile</a:t>
            </a:r>
          </a:p>
        </c:rich>
      </c:tx>
      <c:layout>
        <c:manualLayout>
          <c:xMode val="edge"/>
          <c:yMode val="edge"/>
          <c:x val="0.34678086166504629"/>
          <c:y val="2.5324742102113121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Centreline</c:v>
          </c:tx>
          <c:marker>
            <c:symbol val="diamond"/>
            <c:size val="2"/>
          </c:marker>
          <c:xVal>
            <c:numRef>
              <c:f>Calculation!$K$22:$K$32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Calculation!$L$22:$L$32</c:f>
              <c:numCache>
                <c:formatCode>General</c:formatCode>
                <c:ptCount val="11"/>
                <c:pt idx="0">
                  <c:v>235</c:v>
                </c:pt>
                <c:pt idx="1">
                  <c:v>215</c:v>
                </c:pt>
                <c:pt idx="2">
                  <c:v>142.81250000000003</c:v>
                </c:pt>
                <c:pt idx="3">
                  <c:v>91.25</c:v>
                </c:pt>
                <c:pt idx="4">
                  <c:v>60.3125</c:v>
                </c:pt>
                <c:pt idx="5">
                  <c:v>50</c:v>
                </c:pt>
                <c:pt idx="6">
                  <c:v>60.3125</c:v>
                </c:pt>
                <c:pt idx="7">
                  <c:v>91.25</c:v>
                </c:pt>
                <c:pt idx="8">
                  <c:v>142.81250000000003</c:v>
                </c:pt>
                <c:pt idx="9">
                  <c:v>215</c:v>
                </c:pt>
                <c:pt idx="10">
                  <c:v>235</c:v>
                </c:pt>
              </c:numCache>
            </c:numRef>
          </c:yVal>
          <c:smooth val="1"/>
        </c:ser>
        <c:ser>
          <c:idx val="1"/>
          <c:order val="1"/>
          <c:tx>
            <c:v>Upper surface</c:v>
          </c:tx>
          <c:marker>
            <c:symbol val="square"/>
            <c:size val="2"/>
          </c:marker>
          <c:xVal>
            <c:numRef>
              <c:f>Calculation!$K$22:$K$32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Calculation!$N$22:$N$32</c:f>
              <c:numCache>
                <c:formatCode>General</c:formatCode>
                <c:ptCount val="11"/>
                <c:pt idx="0">
                  <c:v>255</c:v>
                </c:pt>
                <c:pt idx="1">
                  <c:v>235</c:v>
                </c:pt>
                <c:pt idx="2">
                  <c:v>162.81250000000003</c:v>
                </c:pt>
                <c:pt idx="3">
                  <c:v>111.25</c:v>
                </c:pt>
                <c:pt idx="4">
                  <c:v>80.3125</c:v>
                </c:pt>
                <c:pt idx="5">
                  <c:v>70</c:v>
                </c:pt>
                <c:pt idx="6">
                  <c:v>80.3125</c:v>
                </c:pt>
                <c:pt idx="7">
                  <c:v>111.25</c:v>
                </c:pt>
                <c:pt idx="8">
                  <c:v>162.81250000000003</c:v>
                </c:pt>
                <c:pt idx="9">
                  <c:v>235</c:v>
                </c:pt>
                <c:pt idx="10">
                  <c:v>255</c:v>
                </c:pt>
              </c:numCache>
            </c:numRef>
          </c:yVal>
          <c:smooth val="1"/>
        </c:ser>
        <c:ser>
          <c:idx val="2"/>
          <c:order val="2"/>
          <c:tx>
            <c:v>Lower surface</c:v>
          </c:tx>
          <c:marker>
            <c:symbol val="triangle"/>
            <c:size val="2"/>
          </c:marker>
          <c:xVal>
            <c:numRef>
              <c:f>Calculation!$K$22:$K$32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Calculation!$M$22:$M$32</c:f>
              <c:numCache>
                <c:formatCode>General</c:formatCode>
                <c:ptCount val="11"/>
                <c:pt idx="0">
                  <c:v>215</c:v>
                </c:pt>
                <c:pt idx="1">
                  <c:v>195</c:v>
                </c:pt>
                <c:pt idx="2">
                  <c:v>122.81250000000003</c:v>
                </c:pt>
                <c:pt idx="3">
                  <c:v>71.25</c:v>
                </c:pt>
                <c:pt idx="4">
                  <c:v>40.3125</c:v>
                </c:pt>
                <c:pt idx="5">
                  <c:v>30</c:v>
                </c:pt>
                <c:pt idx="6">
                  <c:v>40.3125</c:v>
                </c:pt>
                <c:pt idx="7">
                  <c:v>71.25</c:v>
                </c:pt>
                <c:pt idx="8">
                  <c:v>122.81250000000003</c:v>
                </c:pt>
                <c:pt idx="9">
                  <c:v>195</c:v>
                </c:pt>
                <c:pt idx="10">
                  <c:v>215</c:v>
                </c:pt>
              </c:numCache>
            </c:numRef>
          </c:yVal>
          <c:smooth val="1"/>
        </c:ser>
        <c:ser>
          <c:idx val="3"/>
          <c:order val="3"/>
          <c:tx>
            <c:v>girder top</c:v>
          </c:tx>
          <c:marker>
            <c:symbol val="x"/>
            <c:size val="2"/>
          </c:marker>
          <c:xVal>
            <c:numRef>
              <c:f>Calculation!$K$22:$K$32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Calculation!$P$22:$P$32</c:f>
              <c:numCache>
                <c:formatCode>General</c:formatCode>
                <c:ptCount val="11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</c:numCache>
            </c:numRef>
          </c:yVal>
          <c:smooth val="1"/>
        </c:ser>
        <c:ser>
          <c:idx val="4"/>
          <c:order val="4"/>
          <c:tx>
            <c:v>girder bottom</c:v>
          </c:tx>
          <c:marker>
            <c:symbol val="star"/>
            <c:size val="2"/>
          </c:marker>
          <c:xVal>
            <c:numRef>
              <c:f>Calculation!$K$22:$K$32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Calculation!$O$22:$O$32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032960"/>
        <c:axId val="363034496"/>
      </c:scatterChart>
      <c:scatterChart>
        <c:scatterStyle val="lineMarker"/>
        <c:varyColors val="0"/>
        <c:ser>
          <c:idx val="5"/>
          <c:order val="5"/>
          <c:tx>
            <c:v>Desired position centre</c:v>
          </c:tx>
          <c:spPr>
            <a:ln w="28575">
              <a:noFill/>
            </a:ln>
          </c:spPr>
          <c:marker>
            <c:symbol val="circle"/>
            <c:size val="8"/>
          </c:marker>
          <c:xVal>
            <c:numRef>
              <c:f>Calculation!$M$34</c:f>
              <c:numCache>
                <c:formatCode>General</c:formatCode>
                <c:ptCount val="1"/>
                <c:pt idx="0">
                  <c:v>95</c:v>
                </c:pt>
              </c:numCache>
            </c:numRef>
          </c:xVal>
          <c:yVal>
            <c:numRef>
              <c:f>Calculation!$F$27</c:f>
              <c:numCache>
                <c:formatCode>General</c:formatCode>
                <c:ptCount val="1"/>
                <c:pt idx="0">
                  <c:v>225</c:v>
                </c:pt>
              </c:numCache>
            </c:numRef>
          </c:yVal>
          <c:smooth val="0"/>
        </c:ser>
        <c:ser>
          <c:idx val="6"/>
          <c:order val="6"/>
          <c:tx>
            <c:v>Desired position lower</c:v>
          </c:tx>
          <c:spPr>
            <a:ln w="28575">
              <a:noFill/>
            </a:ln>
          </c:spPr>
          <c:marker>
            <c:symbol val="circle"/>
            <c:size val="8"/>
          </c:marker>
          <c:xVal>
            <c:numRef>
              <c:f>Calculation!$M$34</c:f>
              <c:numCache>
                <c:formatCode>General</c:formatCode>
                <c:ptCount val="1"/>
                <c:pt idx="0">
                  <c:v>95</c:v>
                </c:pt>
              </c:numCache>
            </c:numRef>
          </c:xVal>
          <c:yVal>
            <c:numRef>
              <c:f>Calculation!$E$27</c:f>
              <c:numCache>
                <c:formatCode>General</c:formatCode>
                <c:ptCount val="1"/>
                <c:pt idx="0">
                  <c:v>205</c:v>
                </c:pt>
              </c:numCache>
            </c:numRef>
          </c:yVal>
          <c:smooth val="0"/>
        </c:ser>
        <c:ser>
          <c:idx val="7"/>
          <c:order val="7"/>
          <c:tx>
            <c:v>Desired position upper</c:v>
          </c:tx>
          <c:spPr>
            <a:ln w="28575">
              <a:noFill/>
            </a:ln>
          </c:spPr>
          <c:marker>
            <c:symbol val="circle"/>
            <c:size val="8"/>
          </c:marker>
          <c:xVal>
            <c:numRef>
              <c:f>Calculation!$M$34</c:f>
              <c:numCache>
                <c:formatCode>General</c:formatCode>
                <c:ptCount val="1"/>
                <c:pt idx="0">
                  <c:v>95</c:v>
                </c:pt>
              </c:numCache>
            </c:numRef>
          </c:xVal>
          <c:yVal>
            <c:numRef>
              <c:f>Calculation!$D$27</c:f>
              <c:numCache>
                <c:formatCode>General</c:formatCode>
                <c:ptCount val="1"/>
                <c:pt idx="0">
                  <c:v>245</c:v>
                </c:pt>
              </c:numCache>
            </c:numRef>
          </c:yVal>
          <c:smooth val="0"/>
        </c:ser>
        <c:ser>
          <c:idx val="8"/>
          <c:order val="8"/>
          <c:tx>
            <c:v>Desired position centre left</c:v>
          </c:tx>
          <c:spPr>
            <a:ln w="28575">
              <a:noFill/>
            </a:ln>
          </c:spPr>
          <c:marker>
            <c:symbol val="circle"/>
            <c:size val="8"/>
          </c:marker>
          <c:xVal>
            <c:numRef>
              <c:f>Calculation!$N$34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Calculation!$F$27</c:f>
              <c:numCache>
                <c:formatCode>General</c:formatCode>
                <c:ptCount val="1"/>
                <c:pt idx="0">
                  <c:v>225</c:v>
                </c:pt>
              </c:numCache>
            </c:numRef>
          </c:yVal>
          <c:smooth val="0"/>
        </c:ser>
        <c:ser>
          <c:idx val="9"/>
          <c:order val="9"/>
          <c:tx>
            <c:v>Desired position lower left</c:v>
          </c:tx>
          <c:spPr>
            <a:ln w="28575">
              <a:noFill/>
            </a:ln>
          </c:spPr>
          <c:marker>
            <c:symbol val="circle"/>
            <c:size val="8"/>
          </c:marker>
          <c:xVal>
            <c:numRef>
              <c:f>Calculation!$N$34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Calculation!$E$27</c:f>
              <c:numCache>
                <c:formatCode>General</c:formatCode>
                <c:ptCount val="1"/>
                <c:pt idx="0">
                  <c:v>205</c:v>
                </c:pt>
              </c:numCache>
            </c:numRef>
          </c:yVal>
          <c:smooth val="0"/>
        </c:ser>
        <c:ser>
          <c:idx val="10"/>
          <c:order val="10"/>
          <c:tx>
            <c:v>Desired position upper left</c:v>
          </c:tx>
          <c:spPr>
            <a:ln w="28575">
              <a:noFill/>
            </a:ln>
          </c:spPr>
          <c:marker>
            <c:symbol val="circle"/>
            <c:size val="8"/>
          </c:marker>
          <c:xVal>
            <c:numRef>
              <c:f>Calculation!$N$34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Calculation!$D$27</c:f>
              <c:numCache>
                <c:formatCode>General</c:formatCode>
                <c:ptCount val="1"/>
                <c:pt idx="0">
                  <c:v>245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032960"/>
        <c:axId val="363034496"/>
      </c:scatterChart>
      <c:valAx>
        <c:axId val="36303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3034496"/>
        <c:crosses val="autoZero"/>
        <c:crossBetween val="midCat"/>
      </c:valAx>
      <c:valAx>
        <c:axId val="363034496"/>
        <c:scaling>
          <c:orientation val="minMax"/>
          <c:min val="-1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0"/>
        </c:spPr>
        <c:crossAx val="363032960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/>
              <a:t>Midspan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88128063844877"/>
          <c:y val="4.9184478962905134E-2"/>
          <c:w val="0.86224781277340334"/>
          <c:h val="0.74316518779716678"/>
        </c:manualLayout>
      </c:layout>
      <c:scatterChart>
        <c:scatterStyle val="lineMarker"/>
        <c:varyColors val="0"/>
        <c:ser>
          <c:idx val="4"/>
          <c:order val="4"/>
          <c:tx>
            <c:v>centre point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Calculation!$C$48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Calculation!$D$48</c:f>
              <c:numCache>
                <c:formatCode>General</c:formatCode>
                <c:ptCount val="1"/>
                <c:pt idx="0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059456"/>
        <c:axId val="363139072"/>
      </c:scatterChart>
      <c:scatterChart>
        <c:scatterStyle val="smoothMarker"/>
        <c:varyColors val="0"/>
        <c:ser>
          <c:idx val="0"/>
          <c:order val="0"/>
          <c:tx>
            <c:v>girder bottom</c:v>
          </c:tx>
          <c:marker>
            <c:symbol val="none"/>
          </c:marker>
          <c:xVal>
            <c:numRef>
              <c:f>Calculation!$C$38:$C$42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Calculation!$D$38:$D$42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girder top</c:v>
          </c:tx>
          <c:marker>
            <c:symbol val="none"/>
          </c:marker>
          <c:xVal>
            <c:numRef>
              <c:f>Calculation!$C$38:$C$42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Calculation!$E$38:$E$42</c:f>
              <c:numCache>
                <c:formatCode>General</c:formatCode>
                <c:ptCount val="5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</c:numCache>
            </c:numRef>
          </c:yVal>
          <c:smooth val="1"/>
        </c:ser>
        <c:ser>
          <c:idx val="2"/>
          <c:order val="2"/>
          <c:tx>
            <c:v>girder left</c:v>
          </c:tx>
          <c:marker>
            <c:symbol val="none"/>
          </c:marker>
          <c:xVal>
            <c:numRef>
              <c:f>Calculation!$G$38:$G$43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Calculation!$F$38:$F$43</c:f>
              <c:numCache>
                <c:formatCode>General</c:formatCode>
                <c:ptCount val="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</c:numCache>
            </c:numRef>
          </c:yVal>
          <c:smooth val="1"/>
        </c:ser>
        <c:ser>
          <c:idx val="3"/>
          <c:order val="3"/>
          <c:tx>
            <c:v>girder right</c:v>
          </c:tx>
          <c:marker>
            <c:symbol val="none"/>
          </c:marker>
          <c:xVal>
            <c:numRef>
              <c:f>Calculation!$H$38:$H$43</c:f>
              <c:numCache>
                <c:formatCode>General</c:formatCode>
                <c:ptCount val="6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</c:numCache>
            </c:numRef>
          </c:xVal>
          <c:yVal>
            <c:numRef>
              <c:f>Calculation!$F$38:$F$43</c:f>
              <c:numCache>
                <c:formatCode>General</c:formatCode>
                <c:ptCount val="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</c:numCache>
            </c:numRef>
          </c:yVal>
          <c:smooth val="1"/>
        </c:ser>
        <c:ser>
          <c:idx val="5"/>
          <c:order val="5"/>
          <c:tx>
            <c:v>duct</c:v>
          </c:tx>
          <c:marker>
            <c:symbol val="none"/>
          </c:marker>
          <c:xVal>
            <c:numRef>
              <c:f>Calculation!$F$48:$F$64</c:f>
              <c:numCache>
                <c:formatCode>General</c:formatCode>
                <c:ptCount val="17"/>
                <c:pt idx="0">
                  <c:v>120</c:v>
                </c:pt>
                <c:pt idx="1">
                  <c:v>117.32050807568878</c:v>
                </c:pt>
                <c:pt idx="2">
                  <c:v>114.14213562373095</c:v>
                </c:pt>
                <c:pt idx="3">
                  <c:v>110</c:v>
                </c:pt>
                <c:pt idx="4">
                  <c:v>100</c:v>
                </c:pt>
                <c:pt idx="5">
                  <c:v>90</c:v>
                </c:pt>
                <c:pt idx="6">
                  <c:v>85.857864376269049</c:v>
                </c:pt>
                <c:pt idx="7">
                  <c:v>82.679491924311222</c:v>
                </c:pt>
                <c:pt idx="8">
                  <c:v>80</c:v>
                </c:pt>
                <c:pt idx="9">
                  <c:v>82.679491924311222</c:v>
                </c:pt>
                <c:pt idx="10">
                  <c:v>85.857864376269049</c:v>
                </c:pt>
                <c:pt idx="11">
                  <c:v>89.999999999999986</c:v>
                </c:pt>
                <c:pt idx="12">
                  <c:v>100</c:v>
                </c:pt>
                <c:pt idx="13">
                  <c:v>109.99999999999999</c:v>
                </c:pt>
                <c:pt idx="14">
                  <c:v>114.14213562373095</c:v>
                </c:pt>
                <c:pt idx="15">
                  <c:v>117.32050807568878</c:v>
                </c:pt>
                <c:pt idx="16">
                  <c:v>120</c:v>
                </c:pt>
              </c:numCache>
            </c:numRef>
          </c:xVal>
          <c:yVal>
            <c:numRef>
              <c:f>Calculation!$G$48:$G$64</c:f>
              <c:numCache>
                <c:formatCode>General</c:formatCode>
                <c:ptCount val="17"/>
                <c:pt idx="0">
                  <c:v>50</c:v>
                </c:pt>
                <c:pt idx="1">
                  <c:v>60</c:v>
                </c:pt>
                <c:pt idx="2">
                  <c:v>64.142135623730951</c:v>
                </c:pt>
                <c:pt idx="3">
                  <c:v>67.320508075688764</c:v>
                </c:pt>
                <c:pt idx="4">
                  <c:v>70</c:v>
                </c:pt>
                <c:pt idx="5">
                  <c:v>67.320508075688778</c:v>
                </c:pt>
                <c:pt idx="6">
                  <c:v>64.142135623730951</c:v>
                </c:pt>
                <c:pt idx="7">
                  <c:v>60</c:v>
                </c:pt>
                <c:pt idx="8">
                  <c:v>50</c:v>
                </c:pt>
                <c:pt idx="9">
                  <c:v>40.000000000000007</c:v>
                </c:pt>
                <c:pt idx="10">
                  <c:v>35.857864376269049</c:v>
                </c:pt>
                <c:pt idx="11">
                  <c:v>32.679491924311236</c:v>
                </c:pt>
                <c:pt idx="12">
                  <c:v>30</c:v>
                </c:pt>
                <c:pt idx="13">
                  <c:v>32.679491924311222</c:v>
                </c:pt>
                <c:pt idx="14">
                  <c:v>35.857864376269049</c:v>
                </c:pt>
                <c:pt idx="15">
                  <c:v>40.000000000000007</c:v>
                </c:pt>
                <c:pt idx="16">
                  <c:v>49.999999999999993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059456"/>
        <c:axId val="363139072"/>
      </c:scatterChart>
      <c:valAx>
        <c:axId val="36305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63139072"/>
        <c:crosses val="autoZero"/>
        <c:crossBetween val="midCat"/>
      </c:valAx>
      <c:valAx>
        <c:axId val="363139072"/>
        <c:scaling>
          <c:orientation val="minMax"/>
          <c:min val="-10"/>
        </c:scaling>
        <c:delete val="0"/>
        <c:axPos val="l"/>
        <c:numFmt formatCode="General" sourceLinked="1"/>
        <c:majorTickMark val="none"/>
        <c:minorTickMark val="none"/>
        <c:tickLblPos val="nextTo"/>
        <c:crossAx val="363059456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/>
              <a:t>L/10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88128063844877"/>
          <c:y val="4.9184478962905134E-2"/>
          <c:w val="0.86224781277340334"/>
          <c:h val="0.74316518779716678"/>
        </c:manualLayout>
      </c:layout>
      <c:scatterChart>
        <c:scatterStyle val="lineMarker"/>
        <c:varyColors val="0"/>
        <c:ser>
          <c:idx val="4"/>
          <c:order val="4"/>
          <c:tx>
            <c:v>centre point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Calculation!$C$49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Calculation!$D$49</c:f>
              <c:numCache>
                <c:formatCode>General</c:formatCode>
                <c:ptCount val="1"/>
                <c:pt idx="0">
                  <c:v>60.3125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53280"/>
        <c:axId val="363154816"/>
      </c:scatterChart>
      <c:scatterChart>
        <c:scatterStyle val="smoothMarker"/>
        <c:varyColors val="0"/>
        <c:ser>
          <c:idx val="0"/>
          <c:order val="0"/>
          <c:tx>
            <c:v>girder bottom</c:v>
          </c:tx>
          <c:marker>
            <c:symbol val="none"/>
          </c:marker>
          <c:xVal>
            <c:numRef>
              <c:f>Calculation!$C$38:$C$42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Calculation!$D$38:$D$42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girder top</c:v>
          </c:tx>
          <c:marker>
            <c:symbol val="none"/>
          </c:marker>
          <c:xVal>
            <c:numRef>
              <c:f>Calculation!$C$38:$C$42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Calculation!$E$38:$E$42</c:f>
              <c:numCache>
                <c:formatCode>General</c:formatCode>
                <c:ptCount val="5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</c:numCache>
            </c:numRef>
          </c:yVal>
          <c:smooth val="1"/>
        </c:ser>
        <c:ser>
          <c:idx val="2"/>
          <c:order val="2"/>
          <c:tx>
            <c:v>girder left</c:v>
          </c:tx>
          <c:marker>
            <c:symbol val="none"/>
          </c:marker>
          <c:xVal>
            <c:numRef>
              <c:f>Calculation!$G$38:$G$43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Calculation!$F$38:$F$43</c:f>
              <c:numCache>
                <c:formatCode>General</c:formatCode>
                <c:ptCount val="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</c:numCache>
            </c:numRef>
          </c:yVal>
          <c:smooth val="1"/>
        </c:ser>
        <c:ser>
          <c:idx val="3"/>
          <c:order val="3"/>
          <c:tx>
            <c:v>girder right</c:v>
          </c:tx>
          <c:marker>
            <c:symbol val="none"/>
          </c:marker>
          <c:xVal>
            <c:numRef>
              <c:f>Calculation!$H$38:$H$43</c:f>
              <c:numCache>
                <c:formatCode>General</c:formatCode>
                <c:ptCount val="6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</c:numCache>
            </c:numRef>
          </c:xVal>
          <c:yVal>
            <c:numRef>
              <c:f>Calculation!$F$38:$F$43</c:f>
              <c:numCache>
                <c:formatCode>General</c:formatCode>
                <c:ptCount val="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</c:numCache>
            </c:numRef>
          </c:yVal>
          <c:smooth val="1"/>
        </c:ser>
        <c:ser>
          <c:idx val="5"/>
          <c:order val="5"/>
          <c:tx>
            <c:v>duct</c:v>
          </c:tx>
          <c:marker>
            <c:symbol val="none"/>
          </c:marker>
          <c:xVal>
            <c:numRef>
              <c:f>Calculation!$H$48:$H$64</c:f>
              <c:numCache>
                <c:formatCode>General</c:formatCode>
                <c:ptCount val="17"/>
                <c:pt idx="0">
                  <c:v>120</c:v>
                </c:pt>
                <c:pt idx="1">
                  <c:v>117.32050807568878</c:v>
                </c:pt>
                <c:pt idx="2">
                  <c:v>114.14213562373095</c:v>
                </c:pt>
                <c:pt idx="3">
                  <c:v>110</c:v>
                </c:pt>
                <c:pt idx="4">
                  <c:v>100</c:v>
                </c:pt>
                <c:pt idx="5">
                  <c:v>90</c:v>
                </c:pt>
                <c:pt idx="6">
                  <c:v>85.857864376269049</c:v>
                </c:pt>
                <c:pt idx="7">
                  <c:v>82.679491924311222</c:v>
                </c:pt>
                <c:pt idx="8">
                  <c:v>80</c:v>
                </c:pt>
                <c:pt idx="9">
                  <c:v>82.679491924311222</c:v>
                </c:pt>
                <c:pt idx="10">
                  <c:v>85.857864376269049</c:v>
                </c:pt>
                <c:pt idx="11">
                  <c:v>89.999999999999986</c:v>
                </c:pt>
                <c:pt idx="12">
                  <c:v>100</c:v>
                </c:pt>
                <c:pt idx="13">
                  <c:v>109.99999999999999</c:v>
                </c:pt>
                <c:pt idx="14">
                  <c:v>114.14213562373095</c:v>
                </c:pt>
                <c:pt idx="15">
                  <c:v>117.32050807568878</c:v>
                </c:pt>
                <c:pt idx="16">
                  <c:v>120</c:v>
                </c:pt>
              </c:numCache>
            </c:numRef>
          </c:xVal>
          <c:yVal>
            <c:numRef>
              <c:f>Calculation!$I$48:$I$64</c:f>
              <c:numCache>
                <c:formatCode>General</c:formatCode>
                <c:ptCount val="17"/>
                <c:pt idx="0">
                  <c:v>60.3125</c:v>
                </c:pt>
                <c:pt idx="1">
                  <c:v>70.3125</c:v>
                </c:pt>
                <c:pt idx="2">
                  <c:v>74.454635623730951</c:v>
                </c:pt>
                <c:pt idx="3">
                  <c:v>77.633008075688764</c:v>
                </c:pt>
                <c:pt idx="4">
                  <c:v>80.3125</c:v>
                </c:pt>
                <c:pt idx="5">
                  <c:v>77.633008075688778</c:v>
                </c:pt>
                <c:pt idx="6">
                  <c:v>74.454635623730951</c:v>
                </c:pt>
                <c:pt idx="7">
                  <c:v>70.3125</c:v>
                </c:pt>
                <c:pt idx="8">
                  <c:v>60.3125</c:v>
                </c:pt>
                <c:pt idx="9">
                  <c:v>50.312500000000007</c:v>
                </c:pt>
                <c:pt idx="10">
                  <c:v>46.170364376269049</c:v>
                </c:pt>
                <c:pt idx="11">
                  <c:v>42.991991924311236</c:v>
                </c:pt>
                <c:pt idx="12">
                  <c:v>40.3125</c:v>
                </c:pt>
                <c:pt idx="13">
                  <c:v>42.991991924311222</c:v>
                </c:pt>
                <c:pt idx="14">
                  <c:v>46.170364376269049</c:v>
                </c:pt>
                <c:pt idx="15">
                  <c:v>50.312500000000007</c:v>
                </c:pt>
                <c:pt idx="16">
                  <c:v>60.312499999999993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53280"/>
        <c:axId val="363154816"/>
      </c:scatterChart>
      <c:valAx>
        <c:axId val="36315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63154816"/>
        <c:crosses val="autoZero"/>
        <c:crossBetween val="midCat"/>
      </c:valAx>
      <c:valAx>
        <c:axId val="363154816"/>
        <c:scaling>
          <c:orientation val="minMax"/>
          <c:min val="-10"/>
        </c:scaling>
        <c:delete val="0"/>
        <c:axPos val="l"/>
        <c:numFmt formatCode="General" sourceLinked="1"/>
        <c:majorTickMark val="none"/>
        <c:minorTickMark val="none"/>
        <c:tickLblPos val="nextTo"/>
        <c:crossAx val="363153280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/>
              <a:t>2L/10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88128063844877"/>
          <c:y val="4.9184478962905134E-2"/>
          <c:w val="0.86224781277340334"/>
          <c:h val="0.74316518779716678"/>
        </c:manualLayout>
      </c:layout>
      <c:scatterChart>
        <c:scatterStyle val="lineMarker"/>
        <c:varyColors val="0"/>
        <c:ser>
          <c:idx val="4"/>
          <c:order val="4"/>
          <c:tx>
            <c:v>centre point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Calculation!$C$50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Calculation!$D$50</c:f>
              <c:numCache>
                <c:formatCode>General</c:formatCode>
                <c:ptCount val="1"/>
                <c:pt idx="0">
                  <c:v>91.25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2320"/>
        <c:axId val="363193856"/>
      </c:scatterChart>
      <c:scatterChart>
        <c:scatterStyle val="smoothMarker"/>
        <c:varyColors val="0"/>
        <c:ser>
          <c:idx val="0"/>
          <c:order val="0"/>
          <c:tx>
            <c:v>girder bottom</c:v>
          </c:tx>
          <c:marker>
            <c:symbol val="none"/>
          </c:marker>
          <c:xVal>
            <c:numRef>
              <c:f>Calculation!$C$38:$C$42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Calculation!$D$38:$D$42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girder top</c:v>
          </c:tx>
          <c:marker>
            <c:symbol val="none"/>
          </c:marker>
          <c:xVal>
            <c:numRef>
              <c:f>Calculation!$C$38:$C$42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Calculation!$E$38:$E$42</c:f>
              <c:numCache>
                <c:formatCode>General</c:formatCode>
                <c:ptCount val="5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</c:numCache>
            </c:numRef>
          </c:yVal>
          <c:smooth val="1"/>
        </c:ser>
        <c:ser>
          <c:idx val="2"/>
          <c:order val="2"/>
          <c:tx>
            <c:v>girder left</c:v>
          </c:tx>
          <c:marker>
            <c:symbol val="none"/>
          </c:marker>
          <c:xVal>
            <c:numRef>
              <c:f>Calculation!$G$38:$G$43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Calculation!$F$38:$F$43</c:f>
              <c:numCache>
                <c:formatCode>General</c:formatCode>
                <c:ptCount val="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</c:numCache>
            </c:numRef>
          </c:yVal>
          <c:smooth val="1"/>
        </c:ser>
        <c:ser>
          <c:idx val="3"/>
          <c:order val="3"/>
          <c:tx>
            <c:v>girder right</c:v>
          </c:tx>
          <c:marker>
            <c:symbol val="none"/>
          </c:marker>
          <c:xVal>
            <c:numRef>
              <c:f>Calculation!$H$38:$H$43</c:f>
              <c:numCache>
                <c:formatCode>General</c:formatCode>
                <c:ptCount val="6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</c:numCache>
            </c:numRef>
          </c:xVal>
          <c:yVal>
            <c:numRef>
              <c:f>Calculation!$F$38:$F$43</c:f>
              <c:numCache>
                <c:formatCode>General</c:formatCode>
                <c:ptCount val="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</c:numCache>
            </c:numRef>
          </c:yVal>
          <c:smooth val="1"/>
        </c:ser>
        <c:ser>
          <c:idx val="5"/>
          <c:order val="5"/>
          <c:tx>
            <c:v>duct</c:v>
          </c:tx>
          <c:marker>
            <c:symbol val="none"/>
          </c:marker>
          <c:xVal>
            <c:numRef>
              <c:f>Calculation!$J$48:$J$64</c:f>
              <c:numCache>
                <c:formatCode>General</c:formatCode>
                <c:ptCount val="17"/>
                <c:pt idx="0">
                  <c:v>120</c:v>
                </c:pt>
                <c:pt idx="1">
                  <c:v>117.32050807568878</c:v>
                </c:pt>
                <c:pt idx="2">
                  <c:v>114.14213562373095</c:v>
                </c:pt>
                <c:pt idx="3">
                  <c:v>110</c:v>
                </c:pt>
                <c:pt idx="4">
                  <c:v>100</c:v>
                </c:pt>
                <c:pt idx="5">
                  <c:v>90</c:v>
                </c:pt>
                <c:pt idx="6">
                  <c:v>85.857864376269049</c:v>
                </c:pt>
                <c:pt idx="7">
                  <c:v>82.679491924311222</c:v>
                </c:pt>
                <c:pt idx="8">
                  <c:v>80</c:v>
                </c:pt>
                <c:pt idx="9">
                  <c:v>82.679491924311222</c:v>
                </c:pt>
                <c:pt idx="10">
                  <c:v>85.857864376269049</c:v>
                </c:pt>
                <c:pt idx="11">
                  <c:v>89.999999999999986</c:v>
                </c:pt>
                <c:pt idx="12">
                  <c:v>100</c:v>
                </c:pt>
                <c:pt idx="13">
                  <c:v>109.99999999999999</c:v>
                </c:pt>
                <c:pt idx="14">
                  <c:v>114.14213562373095</c:v>
                </c:pt>
                <c:pt idx="15">
                  <c:v>117.32050807568878</c:v>
                </c:pt>
                <c:pt idx="16">
                  <c:v>120</c:v>
                </c:pt>
              </c:numCache>
            </c:numRef>
          </c:xVal>
          <c:yVal>
            <c:numRef>
              <c:f>Calculation!$K$48:$K$64</c:f>
              <c:numCache>
                <c:formatCode>General</c:formatCode>
                <c:ptCount val="17"/>
                <c:pt idx="0">
                  <c:v>91.25</c:v>
                </c:pt>
                <c:pt idx="1">
                  <c:v>101.25</c:v>
                </c:pt>
                <c:pt idx="2">
                  <c:v>105.39213562373095</c:v>
                </c:pt>
                <c:pt idx="3">
                  <c:v>108.57050807568876</c:v>
                </c:pt>
                <c:pt idx="4">
                  <c:v>111.25</c:v>
                </c:pt>
                <c:pt idx="5">
                  <c:v>108.57050807568878</c:v>
                </c:pt>
                <c:pt idx="6">
                  <c:v>105.39213562373095</c:v>
                </c:pt>
                <c:pt idx="7">
                  <c:v>101.25</c:v>
                </c:pt>
                <c:pt idx="8">
                  <c:v>91.25</c:v>
                </c:pt>
                <c:pt idx="9">
                  <c:v>81.25</c:v>
                </c:pt>
                <c:pt idx="10">
                  <c:v>77.107864376269049</c:v>
                </c:pt>
                <c:pt idx="11">
                  <c:v>73.929491924311236</c:v>
                </c:pt>
                <c:pt idx="12">
                  <c:v>71.25</c:v>
                </c:pt>
                <c:pt idx="13">
                  <c:v>73.929491924311222</c:v>
                </c:pt>
                <c:pt idx="14">
                  <c:v>77.107864376269049</c:v>
                </c:pt>
                <c:pt idx="15">
                  <c:v>81.25</c:v>
                </c:pt>
                <c:pt idx="16">
                  <c:v>91.25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2320"/>
        <c:axId val="363193856"/>
      </c:scatterChart>
      <c:valAx>
        <c:axId val="3631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63193856"/>
        <c:crosses val="autoZero"/>
        <c:crossBetween val="midCat"/>
      </c:valAx>
      <c:valAx>
        <c:axId val="363193856"/>
        <c:scaling>
          <c:orientation val="minMax"/>
          <c:min val="-10"/>
        </c:scaling>
        <c:delete val="0"/>
        <c:axPos val="l"/>
        <c:numFmt formatCode="General" sourceLinked="1"/>
        <c:majorTickMark val="none"/>
        <c:minorTickMark val="none"/>
        <c:tickLblPos val="nextTo"/>
        <c:crossAx val="363192320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/>
              <a:t>3L/10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88128063844877"/>
          <c:y val="4.9184478962905134E-2"/>
          <c:w val="0.86224781277340334"/>
          <c:h val="0.74316518779716678"/>
        </c:manualLayout>
      </c:layout>
      <c:scatterChart>
        <c:scatterStyle val="lineMarker"/>
        <c:varyColors val="0"/>
        <c:ser>
          <c:idx val="4"/>
          <c:order val="4"/>
          <c:tx>
            <c:v>centre point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Calculation!$C$51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Calculation!$D$51</c:f>
              <c:numCache>
                <c:formatCode>General</c:formatCode>
                <c:ptCount val="1"/>
                <c:pt idx="0">
                  <c:v>142.81250000000003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235584"/>
        <c:axId val="363241472"/>
      </c:scatterChart>
      <c:scatterChart>
        <c:scatterStyle val="smoothMarker"/>
        <c:varyColors val="0"/>
        <c:ser>
          <c:idx val="0"/>
          <c:order val="0"/>
          <c:tx>
            <c:v>girder bottom</c:v>
          </c:tx>
          <c:marker>
            <c:symbol val="none"/>
          </c:marker>
          <c:xVal>
            <c:numRef>
              <c:f>Calculation!$C$38:$C$42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Calculation!$D$38:$D$42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girder top</c:v>
          </c:tx>
          <c:marker>
            <c:symbol val="none"/>
          </c:marker>
          <c:xVal>
            <c:numRef>
              <c:f>Calculation!$C$38:$C$42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Calculation!$E$38:$E$42</c:f>
              <c:numCache>
                <c:formatCode>General</c:formatCode>
                <c:ptCount val="5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</c:numCache>
            </c:numRef>
          </c:yVal>
          <c:smooth val="1"/>
        </c:ser>
        <c:ser>
          <c:idx val="2"/>
          <c:order val="2"/>
          <c:tx>
            <c:v>girder left</c:v>
          </c:tx>
          <c:marker>
            <c:symbol val="none"/>
          </c:marker>
          <c:xVal>
            <c:numRef>
              <c:f>Calculation!$G$38:$G$43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Calculation!$F$38:$F$43</c:f>
              <c:numCache>
                <c:formatCode>General</c:formatCode>
                <c:ptCount val="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</c:numCache>
            </c:numRef>
          </c:yVal>
          <c:smooth val="1"/>
        </c:ser>
        <c:ser>
          <c:idx val="3"/>
          <c:order val="3"/>
          <c:tx>
            <c:v>girder right</c:v>
          </c:tx>
          <c:marker>
            <c:symbol val="none"/>
          </c:marker>
          <c:xVal>
            <c:numRef>
              <c:f>Calculation!$H$38:$H$43</c:f>
              <c:numCache>
                <c:formatCode>General</c:formatCode>
                <c:ptCount val="6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</c:numCache>
            </c:numRef>
          </c:xVal>
          <c:yVal>
            <c:numRef>
              <c:f>Calculation!$F$38:$F$43</c:f>
              <c:numCache>
                <c:formatCode>General</c:formatCode>
                <c:ptCount val="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</c:numCache>
            </c:numRef>
          </c:yVal>
          <c:smooth val="1"/>
        </c:ser>
        <c:ser>
          <c:idx val="5"/>
          <c:order val="5"/>
          <c:tx>
            <c:v>duct</c:v>
          </c:tx>
          <c:marker>
            <c:symbol val="none"/>
          </c:marker>
          <c:xVal>
            <c:numRef>
              <c:f>Calculation!$L$48:$L$64</c:f>
              <c:numCache>
                <c:formatCode>General</c:formatCode>
                <c:ptCount val="17"/>
                <c:pt idx="0">
                  <c:v>120</c:v>
                </c:pt>
                <c:pt idx="1">
                  <c:v>117.32050807568878</c:v>
                </c:pt>
                <c:pt idx="2">
                  <c:v>114.14213562373095</c:v>
                </c:pt>
                <c:pt idx="3">
                  <c:v>110</c:v>
                </c:pt>
                <c:pt idx="4">
                  <c:v>100</c:v>
                </c:pt>
                <c:pt idx="5">
                  <c:v>90</c:v>
                </c:pt>
                <c:pt idx="6">
                  <c:v>85.857864376269049</c:v>
                </c:pt>
                <c:pt idx="7">
                  <c:v>82.679491924311222</c:v>
                </c:pt>
                <c:pt idx="8">
                  <c:v>80</c:v>
                </c:pt>
                <c:pt idx="9">
                  <c:v>82.679491924311222</c:v>
                </c:pt>
                <c:pt idx="10">
                  <c:v>85.857864376269049</c:v>
                </c:pt>
                <c:pt idx="11">
                  <c:v>89.999999999999986</c:v>
                </c:pt>
                <c:pt idx="12">
                  <c:v>100</c:v>
                </c:pt>
                <c:pt idx="13">
                  <c:v>109.99999999999999</c:v>
                </c:pt>
                <c:pt idx="14">
                  <c:v>114.14213562373095</c:v>
                </c:pt>
                <c:pt idx="15">
                  <c:v>117.32050807568878</c:v>
                </c:pt>
                <c:pt idx="16">
                  <c:v>120</c:v>
                </c:pt>
              </c:numCache>
            </c:numRef>
          </c:xVal>
          <c:yVal>
            <c:numRef>
              <c:f>Calculation!$M$48:$M$64</c:f>
              <c:numCache>
                <c:formatCode>General</c:formatCode>
                <c:ptCount val="17"/>
                <c:pt idx="0">
                  <c:v>142.81250000000003</c:v>
                </c:pt>
                <c:pt idx="1">
                  <c:v>152.81250000000003</c:v>
                </c:pt>
                <c:pt idx="2">
                  <c:v>156.95463562373098</c:v>
                </c:pt>
                <c:pt idx="3">
                  <c:v>160.13300807568879</c:v>
                </c:pt>
                <c:pt idx="4">
                  <c:v>162.81250000000003</c:v>
                </c:pt>
                <c:pt idx="5">
                  <c:v>160.13300807568879</c:v>
                </c:pt>
                <c:pt idx="6">
                  <c:v>156.95463562373098</c:v>
                </c:pt>
                <c:pt idx="7">
                  <c:v>152.81250000000003</c:v>
                </c:pt>
                <c:pt idx="8">
                  <c:v>142.81250000000003</c:v>
                </c:pt>
                <c:pt idx="9">
                  <c:v>132.81250000000003</c:v>
                </c:pt>
                <c:pt idx="10">
                  <c:v>128.67036437626908</c:v>
                </c:pt>
                <c:pt idx="11">
                  <c:v>125.49199192431126</c:v>
                </c:pt>
                <c:pt idx="12">
                  <c:v>122.81250000000003</c:v>
                </c:pt>
                <c:pt idx="13">
                  <c:v>125.49199192431125</c:v>
                </c:pt>
                <c:pt idx="14">
                  <c:v>128.67036437626908</c:v>
                </c:pt>
                <c:pt idx="15">
                  <c:v>132.81250000000003</c:v>
                </c:pt>
                <c:pt idx="16">
                  <c:v>142.81250000000003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235584"/>
        <c:axId val="363241472"/>
      </c:scatterChart>
      <c:valAx>
        <c:axId val="36323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63241472"/>
        <c:crosses val="autoZero"/>
        <c:crossBetween val="midCat"/>
      </c:valAx>
      <c:valAx>
        <c:axId val="363241472"/>
        <c:scaling>
          <c:orientation val="minMax"/>
          <c:min val="-10"/>
        </c:scaling>
        <c:delete val="0"/>
        <c:axPos val="l"/>
        <c:numFmt formatCode="General" sourceLinked="1"/>
        <c:majorTickMark val="none"/>
        <c:minorTickMark val="none"/>
        <c:tickLblPos val="nextTo"/>
        <c:crossAx val="363235584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/>
              <a:t>4L/10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88128063844877"/>
          <c:y val="4.9184478962905134E-2"/>
          <c:w val="0.86224781277340334"/>
          <c:h val="0.74316518779716678"/>
        </c:manualLayout>
      </c:layout>
      <c:scatterChart>
        <c:scatterStyle val="lineMarker"/>
        <c:varyColors val="0"/>
        <c:ser>
          <c:idx val="4"/>
          <c:order val="4"/>
          <c:tx>
            <c:v>centre point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Calculation!$C$52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Calculation!$D$52</c:f>
              <c:numCache>
                <c:formatCode>General</c:formatCode>
                <c:ptCount val="1"/>
                <c:pt idx="0">
                  <c:v>215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403904"/>
        <c:axId val="363413888"/>
      </c:scatterChart>
      <c:scatterChart>
        <c:scatterStyle val="smoothMarker"/>
        <c:varyColors val="0"/>
        <c:ser>
          <c:idx val="0"/>
          <c:order val="0"/>
          <c:tx>
            <c:v>girder bottom</c:v>
          </c:tx>
          <c:marker>
            <c:symbol val="none"/>
          </c:marker>
          <c:xVal>
            <c:numRef>
              <c:f>Calculation!$C$38:$C$42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Calculation!$D$38:$D$42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girder top</c:v>
          </c:tx>
          <c:marker>
            <c:symbol val="none"/>
          </c:marker>
          <c:xVal>
            <c:numRef>
              <c:f>Calculation!$C$38:$C$42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Calculation!$E$38:$E$42</c:f>
              <c:numCache>
                <c:formatCode>General</c:formatCode>
                <c:ptCount val="5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</c:numCache>
            </c:numRef>
          </c:yVal>
          <c:smooth val="1"/>
        </c:ser>
        <c:ser>
          <c:idx val="2"/>
          <c:order val="2"/>
          <c:tx>
            <c:v>girder left</c:v>
          </c:tx>
          <c:marker>
            <c:symbol val="none"/>
          </c:marker>
          <c:xVal>
            <c:numRef>
              <c:f>Calculation!$G$38:$G$43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Calculation!$F$38:$F$43</c:f>
              <c:numCache>
                <c:formatCode>General</c:formatCode>
                <c:ptCount val="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</c:numCache>
            </c:numRef>
          </c:yVal>
          <c:smooth val="1"/>
        </c:ser>
        <c:ser>
          <c:idx val="3"/>
          <c:order val="3"/>
          <c:tx>
            <c:v>girder right</c:v>
          </c:tx>
          <c:marker>
            <c:symbol val="none"/>
          </c:marker>
          <c:xVal>
            <c:numRef>
              <c:f>Calculation!$H$38:$H$43</c:f>
              <c:numCache>
                <c:formatCode>General</c:formatCode>
                <c:ptCount val="6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</c:numCache>
            </c:numRef>
          </c:xVal>
          <c:yVal>
            <c:numRef>
              <c:f>Calculation!$F$38:$F$43</c:f>
              <c:numCache>
                <c:formatCode>General</c:formatCode>
                <c:ptCount val="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</c:numCache>
            </c:numRef>
          </c:yVal>
          <c:smooth val="1"/>
        </c:ser>
        <c:ser>
          <c:idx val="5"/>
          <c:order val="5"/>
          <c:tx>
            <c:v>duct</c:v>
          </c:tx>
          <c:marker>
            <c:symbol val="none"/>
          </c:marker>
          <c:xVal>
            <c:numRef>
              <c:f>Calculation!$N$48:$N$64</c:f>
              <c:numCache>
                <c:formatCode>General</c:formatCode>
                <c:ptCount val="17"/>
                <c:pt idx="0">
                  <c:v>120</c:v>
                </c:pt>
                <c:pt idx="1">
                  <c:v>117.32050807568878</c:v>
                </c:pt>
                <c:pt idx="2">
                  <c:v>114.14213562373095</c:v>
                </c:pt>
                <c:pt idx="3">
                  <c:v>110</c:v>
                </c:pt>
                <c:pt idx="4">
                  <c:v>100</c:v>
                </c:pt>
                <c:pt idx="5">
                  <c:v>90</c:v>
                </c:pt>
                <c:pt idx="6">
                  <c:v>85.857864376269049</c:v>
                </c:pt>
                <c:pt idx="7">
                  <c:v>82.679491924311222</c:v>
                </c:pt>
                <c:pt idx="8">
                  <c:v>80</c:v>
                </c:pt>
                <c:pt idx="9">
                  <c:v>82.679491924311222</c:v>
                </c:pt>
                <c:pt idx="10">
                  <c:v>85.857864376269049</c:v>
                </c:pt>
                <c:pt idx="11">
                  <c:v>89.999999999999986</c:v>
                </c:pt>
                <c:pt idx="12">
                  <c:v>100</c:v>
                </c:pt>
                <c:pt idx="13">
                  <c:v>109.99999999999999</c:v>
                </c:pt>
                <c:pt idx="14">
                  <c:v>114.14213562373095</c:v>
                </c:pt>
                <c:pt idx="15">
                  <c:v>117.32050807568878</c:v>
                </c:pt>
                <c:pt idx="16">
                  <c:v>120</c:v>
                </c:pt>
              </c:numCache>
            </c:numRef>
          </c:xVal>
          <c:yVal>
            <c:numRef>
              <c:f>Calculation!$O$48:$O$64</c:f>
              <c:numCache>
                <c:formatCode>General</c:formatCode>
                <c:ptCount val="17"/>
                <c:pt idx="0">
                  <c:v>215</c:v>
                </c:pt>
                <c:pt idx="1">
                  <c:v>225</c:v>
                </c:pt>
                <c:pt idx="2">
                  <c:v>229.14213562373095</c:v>
                </c:pt>
                <c:pt idx="3">
                  <c:v>232.32050807568876</c:v>
                </c:pt>
                <c:pt idx="4">
                  <c:v>235</c:v>
                </c:pt>
                <c:pt idx="5">
                  <c:v>232.32050807568876</c:v>
                </c:pt>
                <c:pt idx="6">
                  <c:v>229.14213562373095</c:v>
                </c:pt>
                <c:pt idx="7">
                  <c:v>225</c:v>
                </c:pt>
                <c:pt idx="8">
                  <c:v>215</c:v>
                </c:pt>
                <c:pt idx="9">
                  <c:v>205</c:v>
                </c:pt>
                <c:pt idx="10">
                  <c:v>200.85786437626905</c:v>
                </c:pt>
                <c:pt idx="11">
                  <c:v>197.67949192431124</c:v>
                </c:pt>
                <c:pt idx="12">
                  <c:v>195</c:v>
                </c:pt>
                <c:pt idx="13">
                  <c:v>197.67949192431121</c:v>
                </c:pt>
                <c:pt idx="14">
                  <c:v>200.85786437626905</c:v>
                </c:pt>
                <c:pt idx="15">
                  <c:v>205</c:v>
                </c:pt>
                <c:pt idx="16">
                  <c:v>215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403904"/>
        <c:axId val="363413888"/>
      </c:scatterChart>
      <c:valAx>
        <c:axId val="36340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63413888"/>
        <c:crosses val="autoZero"/>
        <c:crossBetween val="midCat"/>
      </c:valAx>
      <c:valAx>
        <c:axId val="363413888"/>
        <c:scaling>
          <c:orientation val="minMax"/>
          <c:min val="-10"/>
        </c:scaling>
        <c:delete val="0"/>
        <c:axPos val="l"/>
        <c:numFmt formatCode="General" sourceLinked="1"/>
        <c:majorTickMark val="none"/>
        <c:minorTickMark val="none"/>
        <c:tickLblPos val="nextTo"/>
        <c:crossAx val="363403904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/>
              <a:t>5L/10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88128063844877"/>
          <c:y val="4.9184478962905134E-2"/>
          <c:w val="0.86224781277340334"/>
          <c:h val="0.74316518779716678"/>
        </c:manualLayout>
      </c:layout>
      <c:scatterChart>
        <c:scatterStyle val="lineMarker"/>
        <c:varyColors val="0"/>
        <c:ser>
          <c:idx val="4"/>
          <c:order val="4"/>
          <c:tx>
            <c:v>centre point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Calculation!$C$53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Calculation!$D$53</c:f>
              <c:numCache>
                <c:formatCode>General</c:formatCode>
                <c:ptCount val="1"/>
                <c:pt idx="0">
                  <c:v>235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455232"/>
        <c:axId val="363456768"/>
      </c:scatterChart>
      <c:scatterChart>
        <c:scatterStyle val="smoothMarker"/>
        <c:varyColors val="0"/>
        <c:ser>
          <c:idx val="0"/>
          <c:order val="0"/>
          <c:tx>
            <c:v>girder bottom</c:v>
          </c:tx>
          <c:marker>
            <c:symbol val="none"/>
          </c:marker>
          <c:xVal>
            <c:numRef>
              <c:f>Calculation!$C$38:$C$42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Calculation!$D$38:$D$42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girder top</c:v>
          </c:tx>
          <c:marker>
            <c:symbol val="none"/>
          </c:marker>
          <c:xVal>
            <c:numRef>
              <c:f>Calculation!$C$38:$C$42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Calculation!$E$38:$E$42</c:f>
              <c:numCache>
                <c:formatCode>General</c:formatCode>
                <c:ptCount val="5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</c:numCache>
            </c:numRef>
          </c:yVal>
          <c:smooth val="1"/>
        </c:ser>
        <c:ser>
          <c:idx val="2"/>
          <c:order val="2"/>
          <c:tx>
            <c:v>girder left</c:v>
          </c:tx>
          <c:marker>
            <c:symbol val="none"/>
          </c:marker>
          <c:xVal>
            <c:numRef>
              <c:f>Calculation!$G$38:$G$43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Calculation!$F$38:$F$43</c:f>
              <c:numCache>
                <c:formatCode>General</c:formatCode>
                <c:ptCount val="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</c:numCache>
            </c:numRef>
          </c:yVal>
          <c:smooth val="1"/>
        </c:ser>
        <c:ser>
          <c:idx val="3"/>
          <c:order val="3"/>
          <c:tx>
            <c:v>girder right</c:v>
          </c:tx>
          <c:marker>
            <c:symbol val="none"/>
          </c:marker>
          <c:xVal>
            <c:numRef>
              <c:f>Calculation!$H$38:$H$43</c:f>
              <c:numCache>
                <c:formatCode>General</c:formatCode>
                <c:ptCount val="6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</c:numCache>
            </c:numRef>
          </c:xVal>
          <c:yVal>
            <c:numRef>
              <c:f>Calculation!$F$38:$F$43</c:f>
              <c:numCache>
                <c:formatCode>General</c:formatCode>
                <c:ptCount val="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</c:numCache>
            </c:numRef>
          </c:yVal>
          <c:smooth val="1"/>
        </c:ser>
        <c:ser>
          <c:idx val="5"/>
          <c:order val="5"/>
          <c:tx>
            <c:v>duct</c:v>
          </c:tx>
          <c:marker>
            <c:symbol val="none"/>
          </c:marker>
          <c:xVal>
            <c:numRef>
              <c:f>Calculation!$P$48:$P$64</c:f>
              <c:numCache>
                <c:formatCode>General</c:formatCode>
                <c:ptCount val="17"/>
                <c:pt idx="0">
                  <c:v>120</c:v>
                </c:pt>
                <c:pt idx="1">
                  <c:v>117.32050807568878</c:v>
                </c:pt>
                <c:pt idx="2">
                  <c:v>114.14213562373095</c:v>
                </c:pt>
                <c:pt idx="3">
                  <c:v>110</c:v>
                </c:pt>
                <c:pt idx="4">
                  <c:v>100</c:v>
                </c:pt>
                <c:pt idx="5">
                  <c:v>90</c:v>
                </c:pt>
                <c:pt idx="6">
                  <c:v>85.857864376269049</c:v>
                </c:pt>
                <c:pt idx="7">
                  <c:v>82.679491924311222</c:v>
                </c:pt>
                <c:pt idx="8">
                  <c:v>80</c:v>
                </c:pt>
                <c:pt idx="9">
                  <c:v>82.679491924311222</c:v>
                </c:pt>
                <c:pt idx="10">
                  <c:v>85.857864376269049</c:v>
                </c:pt>
                <c:pt idx="11">
                  <c:v>89.999999999999986</c:v>
                </c:pt>
                <c:pt idx="12">
                  <c:v>100</c:v>
                </c:pt>
                <c:pt idx="13">
                  <c:v>109.99999999999999</c:v>
                </c:pt>
                <c:pt idx="14">
                  <c:v>114.14213562373095</c:v>
                </c:pt>
                <c:pt idx="15">
                  <c:v>117.32050807568878</c:v>
                </c:pt>
                <c:pt idx="16">
                  <c:v>120</c:v>
                </c:pt>
              </c:numCache>
            </c:numRef>
          </c:xVal>
          <c:yVal>
            <c:numRef>
              <c:f>Calculation!$Q$48:$Q$64</c:f>
              <c:numCache>
                <c:formatCode>General</c:formatCode>
                <c:ptCount val="17"/>
                <c:pt idx="0">
                  <c:v>235</c:v>
                </c:pt>
                <c:pt idx="1">
                  <c:v>245</c:v>
                </c:pt>
                <c:pt idx="2">
                  <c:v>249.14213562373095</c:v>
                </c:pt>
                <c:pt idx="3">
                  <c:v>252.32050807568876</c:v>
                </c:pt>
                <c:pt idx="4">
                  <c:v>255</c:v>
                </c:pt>
                <c:pt idx="5">
                  <c:v>252.32050807568876</c:v>
                </c:pt>
                <c:pt idx="6">
                  <c:v>249.14213562373095</c:v>
                </c:pt>
                <c:pt idx="7">
                  <c:v>245</c:v>
                </c:pt>
                <c:pt idx="8">
                  <c:v>235</c:v>
                </c:pt>
                <c:pt idx="9">
                  <c:v>225</c:v>
                </c:pt>
                <c:pt idx="10">
                  <c:v>220.85786437626905</c:v>
                </c:pt>
                <c:pt idx="11">
                  <c:v>217.67949192431124</c:v>
                </c:pt>
                <c:pt idx="12">
                  <c:v>215</c:v>
                </c:pt>
                <c:pt idx="13">
                  <c:v>217.67949192431121</c:v>
                </c:pt>
                <c:pt idx="14">
                  <c:v>220.85786437626905</c:v>
                </c:pt>
                <c:pt idx="15">
                  <c:v>225</c:v>
                </c:pt>
                <c:pt idx="16">
                  <c:v>235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455232"/>
        <c:axId val="363456768"/>
      </c:scatterChart>
      <c:valAx>
        <c:axId val="36345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63456768"/>
        <c:crosses val="autoZero"/>
        <c:crossBetween val="midCat"/>
      </c:valAx>
      <c:valAx>
        <c:axId val="363456768"/>
        <c:scaling>
          <c:orientation val="minMax"/>
          <c:min val="-10"/>
        </c:scaling>
        <c:delete val="0"/>
        <c:axPos val="l"/>
        <c:numFmt formatCode="General" sourceLinked="1"/>
        <c:majorTickMark val="none"/>
        <c:minorTickMark val="none"/>
        <c:tickLblPos val="nextTo"/>
        <c:crossAx val="363455232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/>
              <a:t>Desired Section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88128063844877"/>
          <c:y val="4.9184478962905134E-2"/>
          <c:w val="0.86224781277340334"/>
          <c:h val="0.74316518779716678"/>
        </c:manualLayout>
      </c:layout>
      <c:scatterChart>
        <c:scatterStyle val="lineMarker"/>
        <c:varyColors val="0"/>
        <c:ser>
          <c:idx val="4"/>
          <c:order val="4"/>
          <c:tx>
            <c:v>centre point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Calculation!$C$54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Calculation!$D$54</c:f>
              <c:numCache>
                <c:formatCode>General</c:formatCode>
                <c:ptCount val="1"/>
                <c:pt idx="0">
                  <c:v>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477248"/>
        <c:axId val="363491328"/>
      </c:scatterChart>
      <c:scatterChart>
        <c:scatterStyle val="smoothMarker"/>
        <c:varyColors val="0"/>
        <c:ser>
          <c:idx val="0"/>
          <c:order val="0"/>
          <c:tx>
            <c:v>girder bottom</c:v>
          </c:tx>
          <c:marker>
            <c:symbol val="none"/>
          </c:marker>
          <c:xVal>
            <c:numRef>
              <c:f>Calculation!$C$38:$C$42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Calculation!$D$38:$D$42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girder top</c:v>
          </c:tx>
          <c:marker>
            <c:symbol val="none"/>
          </c:marker>
          <c:xVal>
            <c:numRef>
              <c:f>Calculation!$C$38:$C$42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Calculation!$E$38:$E$42</c:f>
              <c:numCache>
                <c:formatCode>General</c:formatCode>
                <c:ptCount val="5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</c:numCache>
            </c:numRef>
          </c:yVal>
          <c:smooth val="1"/>
        </c:ser>
        <c:ser>
          <c:idx val="2"/>
          <c:order val="2"/>
          <c:tx>
            <c:v>girder left</c:v>
          </c:tx>
          <c:marker>
            <c:symbol val="none"/>
          </c:marker>
          <c:xVal>
            <c:numRef>
              <c:f>Calculation!$G$38:$G$43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Calculation!$F$38:$F$43</c:f>
              <c:numCache>
                <c:formatCode>General</c:formatCode>
                <c:ptCount val="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</c:numCache>
            </c:numRef>
          </c:yVal>
          <c:smooth val="1"/>
        </c:ser>
        <c:ser>
          <c:idx val="3"/>
          <c:order val="3"/>
          <c:tx>
            <c:v>girder right</c:v>
          </c:tx>
          <c:marker>
            <c:symbol val="none"/>
          </c:marker>
          <c:xVal>
            <c:numRef>
              <c:f>Calculation!$H$38:$H$43</c:f>
              <c:numCache>
                <c:formatCode>General</c:formatCode>
                <c:ptCount val="6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</c:numCache>
            </c:numRef>
          </c:xVal>
          <c:yVal>
            <c:numRef>
              <c:f>Calculation!$F$38:$F$43</c:f>
              <c:numCache>
                <c:formatCode>General</c:formatCode>
                <c:ptCount val="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</c:numCache>
            </c:numRef>
          </c:yVal>
          <c:smooth val="1"/>
        </c:ser>
        <c:ser>
          <c:idx val="5"/>
          <c:order val="5"/>
          <c:tx>
            <c:v>duct</c:v>
          </c:tx>
          <c:marker>
            <c:symbol val="none"/>
          </c:marker>
          <c:xVal>
            <c:numRef>
              <c:f>Calculation!$R$48:$R$64</c:f>
              <c:numCache>
                <c:formatCode>General</c:formatCode>
                <c:ptCount val="17"/>
                <c:pt idx="0">
                  <c:v>120</c:v>
                </c:pt>
                <c:pt idx="1">
                  <c:v>117.32050807568878</c:v>
                </c:pt>
                <c:pt idx="2">
                  <c:v>114.14213562373095</c:v>
                </c:pt>
                <c:pt idx="3">
                  <c:v>110</c:v>
                </c:pt>
                <c:pt idx="4">
                  <c:v>100</c:v>
                </c:pt>
                <c:pt idx="5">
                  <c:v>90</c:v>
                </c:pt>
                <c:pt idx="6">
                  <c:v>85.857864376269049</c:v>
                </c:pt>
                <c:pt idx="7">
                  <c:v>82.679491924311222</c:v>
                </c:pt>
                <c:pt idx="8">
                  <c:v>80</c:v>
                </c:pt>
                <c:pt idx="9">
                  <c:v>82.679491924311222</c:v>
                </c:pt>
                <c:pt idx="10">
                  <c:v>85.857864376269049</c:v>
                </c:pt>
                <c:pt idx="11">
                  <c:v>89.999999999999986</c:v>
                </c:pt>
                <c:pt idx="12">
                  <c:v>100</c:v>
                </c:pt>
                <c:pt idx="13">
                  <c:v>109.99999999999999</c:v>
                </c:pt>
                <c:pt idx="14">
                  <c:v>114.14213562373095</c:v>
                </c:pt>
                <c:pt idx="15">
                  <c:v>117.32050807568878</c:v>
                </c:pt>
                <c:pt idx="16">
                  <c:v>120</c:v>
                </c:pt>
              </c:numCache>
            </c:numRef>
          </c:xVal>
          <c:yVal>
            <c:numRef>
              <c:f>Calculation!$S$48:$S$64</c:f>
              <c:numCache>
                <c:formatCode>General</c:formatCode>
                <c:ptCount val="17"/>
                <c:pt idx="0">
                  <c:v>225</c:v>
                </c:pt>
                <c:pt idx="1">
                  <c:v>235</c:v>
                </c:pt>
                <c:pt idx="2">
                  <c:v>239.14213562373095</c:v>
                </c:pt>
                <c:pt idx="3">
                  <c:v>242.32050807568876</c:v>
                </c:pt>
                <c:pt idx="4">
                  <c:v>245</c:v>
                </c:pt>
                <c:pt idx="5">
                  <c:v>242.32050807568876</c:v>
                </c:pt>
                <c:pt idx="6">
                  <c:v>239.14213562373095</c:v>
                </c:pt>
                <c:pt idx="7">
                  <c:v>235</c:v>
                </c:pt>
                <c:pt idx="8">
                  <c:v>225</c:v>
                </c:pt>
                <c:pt idx="9">
                  <c:v>215</c:v>
                </c:pt>
                <c:pt idx="10">
                  <c:v>210.85786437626905</c:v>
                </c:pt>
                <c:pt idx="11">
                  <c:v>207.67949192431124</c:v>
                </c:pt>
                <c:pt idx="12">
                  <c:v>205</c:v>
                </c:pt>
                <c:pt idx="13">
                  <c:v>207.67949192431121</c:v>
                </c:pt>
                <c:pt idx="14">
                  <c:v>210.85786437626905</c:v>
                </c:pt>
                <c:pt idx="15">
                  <c:v>215</c:v>
                </c:pt>
                <c:pt idx="16">
                  <c:v>225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477248"/>
        <c:axId val="363491328"/>
      </c:scatterChart>
      <c:valAx>
        <c:axId val="3634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63491328"/>
        <c:crosses val="autoZero"/>
        <c:crossBetween val="midCat"/>
      </c:valAx>
      <c:valAx>
        <c:axId val="363491328"/>
        <c:scaling>
          <c:orientation val="minMax"/>
          <c:min val="-10"/>
        </c:scaling>
        <c:delete val="0"/>
        <c:axPos val="l"/>
        <c:numFmt formatCode="General" sourceLinked="1"/>
        <c:majorTickMark val="none"/>
        <c:minorTickMark val="none"/>
        <c:tickLblPos val="nextTo"/>
        <c:crossAx val="36347724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470477</xdr:colOff>
      <xdr:row>18</xdr:row>
      <xdr:rowOff>44532</xdr:rowOff>
    </xdr:from>
    <xdr:to>
      <xdr:col>20</xdr:col>
      <xdr:colOff>544285</xdr:colOff>
      <xdr:row>33</xdr:row>
      <xdr:rowOff>160813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312965</xdr:colOff>
      <xdr:row>6</xdr:row>
      <xdr:rowOff>217714</xdr:rowOff>
    </xdr:from>
    <xdr:to>
      <xdr:col>4</xdr:col>
      <xdr:colOff>231322</xdr:colOff>
      <xdr:row>8</xdr:row>
      <xdr:rowOff>108857</xdr:rowOff>
    </xdr:to>
    <xdr:sp macro="" textlink="">
      <xdr:nvSpPr>
        <xdr:cNvPr id="14" name="TextBox 13"/>
        <xdr:cNvSpPr txBox="1"/>
      </xdr:nvSpPr>
      <xdr:spPr>
        <a:xfrm>
          <a:off x="925286" y="1360714"/>
          <a:ext cx="2054679" cy="73478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1">
              <a:solidFill>
                <a:sysClr val="windowText" lastClr="000000"/>
              </a:solidFill>
            </a:rPr>
            <a:t>Insert Value Here</a:t>
          </a:r>
        </a:p>
      </xdr:txBody>
    </xdr:sp>
    <xdr:clientData/>
  </xdr:twoCellAnchor>
  <xdr:twoCellAnchor editAs="oneCell">
    <xdr:from>
      <xdr:col>16</xdr:col>
      <xdr:colOff>418298</xdr:colOff>
      <xdr:row>2</xdr:row>
      <xdr:rowOff>29041</xdr:rowOff>
    </xdr:from>
    <xdr:to>
      <xdr:col>24</xdr:col>
      <xdr:colOff>149678</xdr:colOff>
      <xdr:row>13</xdr:row>
      <xdr:rowOff>153506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08119" y="410041"/>
          <a:ext cx="4629952" cy="2941144"/>
        </a:xfrm>
        <a:prstGeom prst="rect">
          <a:avLst/>
        </a:prstGeom>
      </xdr:spPr>
    </xdr:pic>
    <xdr:clientData/>
  </xdr:twoCellAnchor>
  <xdr:twoCellAnchor>
    <xdr:from>
      <xdr:col>0</xdr:col>
      <xdr:colOff>608997</xdr:colOff>
      <xdr:row>35</xdr:row>
      <xdr:rowOff>110315</xdr:rowOff>
    </xdr:from>
    <xdr:to>
      <xdr:col>27</xdr:col>
      <xdr:colOff>14959</xdr:colOff>
      <xdr:row>81</xdr:row>
      <xdr:rowOff>103781</xdr:rowOff>
    </xdr:to>
    <xdr:grpSp>
      <xdr:nvGrpSpPr>
        <xdr:cNvPr id="13" name="Group 12"/>
        <xdr:cNvGrpSpPr/>
      </xdr:nvGrpSpPr>
      <xdr:grpSpPr>
        <a:xfrm>
          <a:off x="608997" y="7985209"/>
          <a:ext cx="17355892" cy="9022093"/>
          <a:chOff x="589644" y="7848625"/>
          <a:chExt cx="17710747" cy="8668938"/>
        </a:xfrm>
      </xdr:grpSpPr>
      <xdr:grpSp>
        <xdr:nvGrpSpPr>
          <xdr:cNvPr id="11" name="Group 10"/>
          <xdr:cNvGrpSpPr/>
        </xdr:nvGrpSpPr>
        <xdr:grpSpPr>
          <a:xfrm>
            <a:off x="589644" y="7848625"/>
            <a:ext cx="17710747" cy="8668938"/>
            <a:chOff x="81505" y="6819035"/>
            <a:chExt cx="23366602" cy="12396049"/>
          </a:xfrm>
        </xdr:grpSpPr>
        <xdr:sp macro="" textlink="">
          <xdr:nvSpPr>
            <xdr:cNvPr id="4" name="Rectangle 3"/>
            <xdr:cNvSpPr/>
          </xdr:nvSpPr>
          <xdr:spPr>
            <a:xfrm>
              <a:off x="81505" y="6819035"/>
              <a:ext cx="23366602" cy="12396049"/>
            </a:xfrm>
            <a:prstGeom prst="rect">
              <a:avLst/>
            </a:prstGeom>
            <a:solidFill>
              <a:schemeClr val="bg2">
                <a:lumMod val="9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3" name="Chart 2"/>
            <xdr:cNvGraphicFramePr/>
          </xdr:nvGraphicFramePr>
          <xdr:xfrm>
            <a:off x="863613" y="7943555"/>
            <a:ext cx="3197855" cy="467824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5" name="Chart 4"/>
            <xdr:cNvGraphicFramePr>
              <a:graphicFrameLocks/>
            </xdr:cNvGraphicFramePr>
          </xdr:nvGraphicFramePr>
          <xdr:xfrm>
            <a:off x="4285121" y="7934739"/>
            <a:ext cx="3221197" cy="467824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 macro="">
          <xdr:nvGraphicFramePr>
            <xdr:cNvPr id="6" name="Chart 5"/>
            <xdr:cNvGraphicFramePr>
              <a:graphicFrameLocks/>
            </xdr:cNvGraphicFramePr>
          </xdr:nvGraphicFramePr>
          <xdr:xfrm>
            <a:off x="7656143" y="7914033"/>
            <a:ext cx="3240774" cy="467824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 macro="">
          <xdr:nvGraphicFramePr>
            <xdr:cNvPr id="7" name="Chart 6"/>
            <xdr:cNvGraphicFramePr>
              <a:graphicFrameLocks/>
            </xdr:cNvGraphicFramePr>
          </xdr:nvGraphicFramePr>
          <xdr:xfrm>
            <a:off x="11052389" y="7893326"/>
            <a:ext cx="3232869" cy="46740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graphicFrame macro="">
          <xdr:nvGraphicFramePr>
            <xdr:cNvPr id="8" name="Chart 7"/>
            <xdr:cNvGraphicFramePr>
              <a:graphicFrameLocks/>
            </xdr:cNvGraphicFramePr>
          </xdr:nvGraphicFramePr>
          <xdr:xfrm>
            <a:off x="14435082" y="7893326"/>
            <a:ext cx="3232867" cy="46740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graphicFrame macro="">
          <xdr:nvGraphicFramePr>
            <xdr:cNvPr id="9" name="Chart 8"/>
            <xdr:cNvGraphicFramePr>
              <a:graphicFrameLocks/>
            </xdr:cNvGraphicFramePr>
          </xdr:nvGraphicFramePr>
          <xdr:xfrm>
            <a:off x="17903289" y="7878536"/>
            <a:ext cx="3232869" cy="467409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  <xdr:sp macro="" textlink="">
          <xdr:nvSpPr>
            <xdr:cNvPr id="10" name="TextBox 9"/>
            <xdr:cNvSpPr txBox="1"/>
          </xdr:nvSpPr>
          <xdr:spPr>
            <a:xfrm>
              <a:off x="8419213" y="7069206"/>
              <a:ext cx="5185385" cy="37067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/>
                <a:t>Girder</a:t>
              </a:r>
              <a:r>
                <a:rPr lang="en-US" sz="1100" baseline="0"/>
                <a:t> Section Profiles</a:t>
              </a:r>
              <a:endParaRPr lang="en-US" sz="1100"/>
            </a:p>
          </xdr:txBody>
        </xdr:sp>
      </xdr:grpSp>
      <xdr:graphicFrame macro="">
        <xdr:nvGraphicFramePr>
          <xdr:cNvPr id="15" name="Chart 14"/>
          <xdr:cNvGraphicFramePr>
            <a:graphicFrameLocks/>
          </xdr:cNvGraphicFramePr>
        </xdr:nvGraphicFramePr>
        <xdr:xfrm>
          <a:off x="7870015" y="12093216"/>
          <a:ext cx="2430196" cy="32573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  <xdr:twoCellAnchor>
    <xdr:from>
      <xdr:col>4</xdr:col>
      <xdr:colOff>137413</xdr:colOff>
      <xdr:row>7</xdr:row>
      <xdr:rowOff>93909</xdr:rowOff>
    </xdr:from>
    <xdr:to>
      <xdr:col>4</xdr:col>
      <xdr:colOff>630528</xdr:colOff>
      <xdr:row>7</xdr:row>
      <xdr:rowOff>96209</xdr:rowOff>
    </xdr:to>
    <xdr:cxnSp macro="">
      <xdr:nvCxnSpPr>
        <xdr:cNvPr id="17" name="Straight Arrow Connector 16"/>
        <xdr:cNvCxnSpPr/>
      </xdr:nvCxnSpPr>
      <xdr:spPr>
        <a:xfrm flipV="1">
          <a:off x="2874174" y="1864754"/>
          <a:ext cx="493115" cy="2300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64"/>
  <sheetViews>
    <sheetView showGridLines="0" tabSelected="1" zoomScale="71" zoomScaleNormal="71" workbookViewId="0">
      <selection activeCell="F8" sqref="F8"/>
    </sheetView>
  </sheetViews>
  <sheetFormatPr defaultRowHeight="15" x14ac:dyDescent="0.25"/>
  <cols>
    <col min="3" max="5" width="11.42578125" customWidth="1"/>
    <col min="6" max="6" width="12" customWidth="1"/>
    <col min="7" max="7" width="12.5703125" customWidth="1"/>
    <col min="8" max="8" width="11.5703125" customWidth="1"/>
    <col min="9" max="10" width="9.140625" customWidth="1"/>
    <col min="11" max="11" width="13.140625" customWidth="1"/>
    <col min="13" max="13" width="13.42578125" customWidth="1"/>
  </cols>
  <sheetData>
    <row r="2" spans="2:27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2:27" x14ac:dyDescent="0.25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27" x14ac:dyDescent="0.25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2:27" x14ac:dyDescent="0.25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2:27" x14ac:dyDescent="0.25">
      <c r="B6" s="9"/>
      <c r="C6" s="9"/>
      <c r="D6" s="9"/>
      <c r="E6" s="9"/>
      <c r="F6" s="13" t="s">
        <v>10</v>
      </c>
      <c r="G6" s="13"/>
      <c r="H6" s="13"/>
      <c r="I6" s="13"/>
      <c r="J6" s="13"/>
      <c r="K6" s="13"/>
      <c r="L6" s="13"/>
      <c r="M6" s="13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2:27" ht="50.25" customHeight="1" x14ac:dyDescent="0.25">
      <c r="B7" s="9"/>
      <c r="C7" s="9"/>
      <c r="D7" s="9"/>
      <c r="E7" s="9"/>
      <c r="F7" s="5" t="s">
        <v>0</v>
      </c>
      <c r="G7" s="5" t="s">
        <v>1</v>
      </c>
      <c r="H7" s="5" t="s">
        <v>27</v>
      </c>
      <c r="I7" s="5" t="s">
        <v>2</v>
      </c>
      <c r="J7" s="5" t="s">
        <v>3</v>
      </c>
      <c r="K7" s="5" t="s">
        <v>9</v>
      </c>
      <c r="L7" s="5" t="s">
        <v>15</v>
      </c>
      <c r="M7" s="5" t="s">
        <v>31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2:27" ht="36" x14ac:dyDescent="0.5">
      <c r="B8" s="15" t="s">
        <v>26</v>
      </c>
      <c r="C8" s="16"/>
      <c r="D8" s="16"/>
      <c r="E8" s="11"/>
      <c r="F8" s="8">
        <v>100</v>
      </c>
      <c r="G8" s="8">
        <v>300</v>
      </c>
      <c r="H8" s="8">
        <v>50</v>
      </c>
      <c r="I8" s="8">
        <v>65</v>
      </c>
      <c r="J8" s="8">
        <v>20</v>
      </c>
      <c r="K8" s="8">
        <v>40</v>
      </c>
      <c r="L8" s="8">
        <v>200</v>
      </c>
      <c r="M8" s="8">
        <v>45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2:27" x14ac:dyDescent="0.25">
      <c r="B9" s="16"/>
      <c r="C9" s="16"/>
      <c r="D9" s="16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2:27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2:27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2:27" ht="15" customHeight="1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2:27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2:27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2:27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2:27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8" spans="2:27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2:27" x14ac:dyDescent="0.25">
      <c r="B19" s="7"/>
      <c r="C19" s="17" t="s">
        <v>11</v>
      </c>
      <c r="D19" s="17"/>
      <c r="E19" s="17"/>
      <c r="F19" s="1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2:27" ht="60" x14ac:dyDescent="0.25">
      <c r="B20" s="7"/>
      <c r="C20" s="3" t="s">
        <v>32</v>
      </c>
      <c r="D20" s="3" t="s">
        <v>13</v>
      </c>
      <c r="E20" s="3" t="s">
        <v>14</v>
      </c>
      <c r="F20" s="3" t="s">
        <v>12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2:27" x14ac:dyDescent="0.25">
      <c r="B21" s="7"/>
      <c r="C21" s="10">
        <v>0</v>
      </c>
      <c r="D21" s="2">
        <f>$H$8+$K$8/2</f>
        <v>70</v>
      </c>
      <c r="E21" s="2">
        <f>$H$8-$K$8/2</f>
        <v>30</v>
      </c>
      <c r="F21" s="2">
        <f>$H$8</f>
        <v>50</v>
      </c>
      <c r="G21" s="7"/>
      <c r="H21" s="7"/>
      <c r="I21" s="7"/>
      <c r="J21" s="7"/>
      <c r="K21" s="7"/>
      <c r="L21" s="7" t="s">
        <v>28</v>
      </c>
      <c r="M21" s="7" t="s">
        <v>29</v>
      </c>
      <c r="N21" s="7" t="s">
        <v>30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2:27" x14ac:dyDescent="0.25">
      <c r="B22" s="7"/>
      <c r="C22" s="1" t="s">
        <v>4</v>
      </c>
      <c r="D22" s="2">
        <f>F22+$K$8/2</f>
        <v>80.3125</v>
      </c>
      <c r="E22" s="2">
        <f>F22-$K$8/2</f>
        <v>40.3125</v>
      </c>
      <c r="F22" s="2">
        <f>(($G$8-$H$8-$I$8-$J$8)/((121.92*$F$8)^2))*((304.8*$F$8/10)^2) + $H$8</f>
        <v>60.3125</v>
      </c>
      <c r="G22" s="7"/>
      <c r="H22" s="7"/>
      <c r="I22" s="7"/>
      <c r="J22" s="7"/>
      <c r="K22" s="7">
        <v>0</v>
      </c>
      <c r="L22" s="7">
        <f>F26</f>
        <v>235</v>
      </c>
      <c r="M22" s="7">
        <f>E26</f>
        <v>215</v>
      </c>
      <c r="N22" s="7">
        <f>D26</f>
        <v>255</v>
      </c>
      <c r="O22" s="7">
        <v>0</v>
      </c>
      <c r="P22" s="7">
        <f>$G$8</f>
        <v>300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2:27" x14ac:dyDescent="0.25">
      <c r="B23" s="7"/>
      <c r="C23" s="1" t="s">
        <v>5</v>
      </c>
      <c r="D23" s="2">
        <f t="shared" ref="D23:D26" si="0">F23+$K$8/2</f>
        <v>111.25</v>
      </c>
      <c r="E23" s="2">
        <f t="shared" ref="E23:E26" si="1">F23-$K$8/2</f>
        <v>71.25</v>
      </c>
      <c r="F23" s="2">
        <f>(($G$8-$H$8-$I$8-$J$8)/((121.92*$F$8)^2))*((2*304.8*$F$8/10)^2) + $H$8</f>
        <v>91.25</v>
      </c>
      <c r="G23" s="7"/>
      <c r="H23" s="7"/>
      <c r="I23" s="7"/>
      <c r="J23" s="7"/>
      <c r="K23" s="7">
        <f>$F$8/10</f>
        <v>10</v>
      </c>
      <c r="L23" s="7">
        <f>F25</f>
        <v>215</v>
      </c>
      <c r="M23" s="7">
        <f>E25</f>
        <v>195</v>
      </c>
      <c r="N23" s="7">
        <f>D25</f>
        <v>235</v>
      </c>
      <c r="O23" s="7">
        <v>0</v>
      </c>
      <c r="P23" s="7">
        <f t="shared" ref="P23:P32" si="2">$G$8</f>
        <v>300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2:27" x14ac:dyDescent="0.25">
      <c r="B24" s="7"/>
      <c r="C24" s="1" t="s">
        <v>6</v>
      </c>
      <c r="D24" s="2">
        <f t="shared" si="0"/>
        <v>162.81250000000003</v>
      </c>
      <c r="E24" s="2">
        <f t="shared" si="1"/>
        <v>122.81250000000003</v>
      </c>
      <c r="F24" s="2">
        <f>(($G$8-$H$8-$I$8-$J$8)/((121.92*$F$8)^2))*((3*304.8*$F$8/10)^2) + $H$8</f>
        <v>142.81250000000003</v>
      </c>
      <c r="G24" s="7"/>
      <c r="H24" s="7"/>
      <c r="I24" s="7"/>
      <c r="J24" s="7"/>
      <c r="K24" s="7">
        <f>$F$8*2/10</f>
        <v>20</v>
      </c>
      <c r="L24" s="7">
        <f>F24</f>
        <v>142.81250000000003</v>
      </c>
      <c r="M24" s="7">
        <f>E24</f>
        <v>122.81250000000003</v>
      </c>
      <c r="N24" s="7">
        <f>D24</f>
        <v>162.81250000000003</v>
      </c>
      <c r="O24" s="7">
        <v>0</v>
      </c>
      <c r="P24" s="7">
        <f t="shared" si="2"/>
        <v>300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2:27" x14ac:dyDescent="0.25">
      <c r="B25" s="7"/>
      <c r="C25" s="1" t="s">
        <v>7</v>
      </c>
      <c r="D25" s="2">
        <f t="shared" si="0"/>
        <v>235</v>
      </c>
      <c r="E25" s="2">
        <f t="shared" si="1"/>
        <v>195</v>
      </c>
      <c r="F25" s="2">
        <f>(($G$8-$H$8-$I$8-$J$8)/((121.92*$F$8)^2))*((4*304.8*$F$8/10)^2) + $H$8</f>
        <v>215</v>
      </c>
      <c r="G25" s="7"/>
      <c r="H25" s="7"/>
      <c r="I25" s="7"/>
      <c r="J25" s="7"/>
      <c r="K25" s="7">
        <f>$F$8*3/10</f>
        <v>30</v>
      </c>
      <c r="L25" s="7">
        <f>F23</f>
        <v>91.25</v>
      </c>
      <c r="M25" s="7">
        <f>E23</f>
        <v>71.25</v>
      </c>
      <c r="N25" s="7">
        <f>D23</f>
        <v>111.25</v>
      </c>
      <c r="O25" s="7">
        <v>0</v>
      </c>
      <c r="P25" s="7">
        <f t="shared" si="2"/>
        <v>300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2:27" x14ac:dyDescent="0.25">
      <c r="B26" s="7"/>
      <c r="C26" s="1" t="s">
        <v>8</v>
      </c>
      <c r="D26" s="2">
        <f t="shared" si="0"/>
        <v>255</v>
      </c>
      <c r="E26" s="2">
        <f t="shared" si="1"/>
        <v>215</v>
      </c>
      <c r="F26" s="2">
        <f>$G$8-$I$8</f>
        <v>235</v>
      </c>
      <c r="G26" s="7"/>
      <c r="H26" s="7"/>
      <c r="I26" s="7"/>
      <c r="J26" s="7"/>
      <c r="K26" s="7">
        <f>$F$8*4/10</f>
        <v>40</v>
      </c>
      <c r="L26" s="7">
        <f>F22</f>
        <v>60.3125</v>
      </c>
      <c r="M26" s="7">
        <f>E22</f>
        <v>40.3125</v>
      </c>
      <c r="N26" s="7">
        <f>D22</f>
        <v>80.3125</v>
      </c>
      <c r="O26" s="7">
        <v>0</v>
      </c>
      <c r="P26" s="7">
        <f t="shared" si="2"/>
        <v>300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2:27" x14ac:dyDescent="0.25">
      <c r="B27" s="7"/>
      <c r="C27" s="10">
        <f>M8</f>
        <v>45</v>
      </c>
      <c r="D27" s="2">
        <f t="shared" ref="D27" si="3">F27+$K$8/2</f>
        <v>245</v>
      </c>
      <c r="E27" s="2">
        <f t="shared" ref="E27" si="4">F27-$K$8/2</f>
        <v>205</v>
      </c>
      <c r="F27" s="2">
        <f>IF($M$8&gt;$F$8/2,"ERROR",IF($M$8&gt;($F$8/2-$F$8/10),((($M$8-4*$F$8/10)*($F$25-$F$26))/(4*$F$8/10-5*$F$8/10))+$F$25,(($G$8-$H$8-$I$8-$J$8)/((121.92*$F$8)^2))*((304.8*$M$8)^2) + $H$8))</f>
        <v>225</v>
      </c>
      <c r="G27" s="7"/>
      <c r="H27" s="7"/>
      <c r="I27" s="7"/>
      <c r="J27" s="7"/>
      <c r="K27" s="7">
        <f>$F$8*5/10</f>
        <v>50</v>
      </c>
      <c r="L27" s="7">
        <f t="shared" ref="L27:L32" si="5">F21</f>
        <v>50</v>
      </c>
      <c r="M27" s="7">
        <f t="shared" ref="M27:M32" si="6">E21</f>
        <v>30</v>
      </c>
      <c r="N27" s="7">
        <f t="shared" ref="N27:N32" si="7">D21</f>
        <v>70</v>
      </c>
      <c r="O27" s="7">
        <v>0</v>
      </c>
      <c r="P27" s="7">
        <f t="shared" si="2"/>
        <v>300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2:27" x14ac:dyDescent="0.25">
      <c r="B28" s="7"/>
      <c r="C28" s="7"/>
      <c r="D28" s="7"/>
      <c r="E28" s="7"/>
      <c r="F28" s="7"/>
      <c r="G28" s="7"/>
      <c r="H28" s="7"/>
      <c r="I28" s="7"/>
      <c r="J28" s="7"/>
      <c r="K28" s="7">
        <f>$F$8*6/10</f>
        <v>60</v>
      </c>
      <c r="L28" s="7">
        <f t="shared" si="5"/>
        <v>60.3125</v>
      </c>
      <c r="M28" s="7">
        <f t="shared" si="6"/>
        <v>40.3125</v>
      </c>
      <c r="N28" s="7">
        <f t="shared" si="7"/>
        <v>80.3125</v>
      </c>
      <c r="O28" s="7">
        <v>0</v>
      </c>
      <c r="P28" s="7">
        <f t="shared" si="2"/>
        <v>300</v>
      </c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2:27" x14ac:dyDescent="0.25">
      <c r="B29" s="7"/>
      <c r="C29" s="7"/>
      <c r="D29" s="7"/>
      <c r="E29" s="7"/>
      <c r="F29" s="7"/>
      <c r="G29" s="7"/>
      <c r="H29" s="7"/>
      <c r="I29" s="7"/>
      <c r="J29" s="7"/>
      <c r="K29" s="7">
        <f>$F$8*7/10</f>
        <v>70</v>
      </c>
      <c r="L29" s="7">
        <f t="shared" si="5"/>
        <v>91.25</v>
      </c>
      <c r="M29" s="7">
        <f t="shared" si="6"/>
        <v>71.25</v>
      </c>
      <c r="N29" s="7">
        <f t="shared" si="7"/>
        <v>111.25</v>
      </c>
      <c r="O29" s="7">
        <v>0</v>
      </c>
      <c r="P29" s="7">
        <f t="shared" si="2"/>
        <v>300</v>
      </c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2:27" x14ac:dyDescent="0.25">
      <c r="B30" s="7"/>
      <c r="C30" s="7"/>
      <c r="D30" s="7"/>
      <c r="E30" s="7"/>
      <c r="F30" s="7"/>
      <c r="G30" s="7"/>
      <c r="H30" s="7"/>
      <c r="I30" s="7"/>
      <c r="J30" s="7"/>
      <c r="K30" s="7">
        <f>$F$8*8/10</f>
        <v>80</v>
      </c>
      <c r="L30" s="7">
        <f t="shared" si="5"/>
        <v>142.81250000000003</v>
      </c>
      <c r="M30" s="7">
        <f t="shared" si="6"/>
        <v>122.81250000000003</v>
      </c>
      <c r="N30" s="7">
        <f t="shared" si="7"/>
        <v>162.81250000000003</v>
      </c>
      <c r="O30" s="7">
        <v>0</v>
      </c>
      <c r="P30" s="7">
        <f t="shared" si="2"/>
        <v>300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2:27" x14ac:dyDescent="0.25">
      <c r="B31" s="7"/>
      <c r="C31" s="7"/>
      <c r="D31" s="7"/>
      <c r="E31" s="7"/>
      <c r="F31" s="7"/>
      <c r="G31" s="7"/>
      <c r="H31" s="7"/>
      <c r="I31" s="7"/>
      <c r="J31" s="7"/>
      <c r="K31" s="7">
        <f>$F$8*9/10</f>
        <v>90</v>
      </c>
      <c r="L31" s="7">
        <f t="shared" si="5"/>
        <v>215</v>
      </c>
      <c r="M31" s="7">
        <f t="shared" si="6"/>
        <v>195</v>
      </c>
      <c r="N31" s="7">
        <f t="shared" si="7"/>
        <v>235</v>
      </c>
      <c r="O31" s="7">
        <v>0</v>
      </c>
      <c r="P31" s="7">
        <f t="shared" si="2"/>
        <v>300</v>
      </c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2:27" x14ac:dyDescent="0.25">
      <c r="B32" s="7"/>
      <c r="C32" s="7"/>
      <c r="D32" s="7"/>
      <c r="E32" s="7"/>
      <c r="F32" s="7"/>
      <c r="G32" s="7"/>
      <c r="H32" s="7"/>
      <c r="I32" s="7"/>
      <c r="J32" s="7"/>
      <c r="K32" s="7">
        <f>$F$8</f>
        <v>100</v>
      </c>
      <c r="L32" s="7">
        <f t="shared" si="5"/>
        <v>235</v>
      </c>
      <c r="M32" s="7">
        <f t="shared" si="6"/>
        <v>215</v>
      </c>
      <c r="N32" s="7">
        <f t="shared" si="7"/>
        <v>255</v>
      </c>
      <c r="O32" s="7">
        <v>0</v>
      </c>
      <c r="P32" s="7">
        <f t="shared" si="2"/>
        <v>300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2:27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2:27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>
        <f>$M$8+$F$8/2</f>
        <v>95</v>
      </c>
      <c r="N34" s="7">
        <f>$F$8/2-$M$8</f>
        <v>5</v>
      </c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2:27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7" spans="2:27" ht="45" x14ac:dyDescent="0.25">
      <c r="C37" s="4" t="s">
        <v>16</v>
      </c>
      <c r="D37" s="4" t="s">
        <v>17</v>
      </c>
      <c r="E37" s="4" t="s">
        <v>18</v>
      </c>
      <c r="F37" s="4" t="s">
        <v>19</v>
      </c>
      <c r="G37" s="4" t="s">
        <v>20</v>
      </c>
      <c r="H37" s="4" t="s">
        <v>21</v>
      </c>
    </row>
    <row r="38" spans="2:27" x14ac:dyDescent="0.25">
      <c r="C38">
        <v>0</v>
      </c>
      <c r="D38">
        <v>0</v>
      </c>
      <c r="E38">
        <v>300</v>
      </c>
      <c r="F38">
        <v>0</v>
      </c>
      <c r="G38">
        <v>0</v>
      </c>
      <c r="H38">
        <f>$L$8</f>
        <v>200</v>
      </c>
    </row>
    <row r="39" spans="2:27" x14ac:dyDescent="0.25">
      <c r="C39">
        <f>L8/4</f>
        <v>50</v>
      </c>
      <c r="D39">
        <v>0</v>
      </c>
      <c r="E39">
        <f>$G$8</f>
        <v>300</v>
      </c>
      <c r="F39">
        <f>$G$8/5</f>
        <v>60</v>
      </c>
      <c r="G39">
        <v>0</v>
      </c>
      <c r="H39">
        <f>$L$8</f>
        <v>200</v>
      </c>
    </row>
    <row r="40" spans="2:27" x14ac:dyDescent="0.25">
      <c r="C40">
        <f>2*L8/4</f>
        <v>100</v>
      </c>
      <c r="D40">
        <v>0</v>
      </c>
      <c r="E40">
        <f t="shared" ref="E40:E42" si="8">$G$8</f>
        <v>300</v>
      </c>
      <c r="F40">
        <f>2*$G$8/5</f>
        <v>120</v>
      </c>
      <c r="G40">
        <v>0</v>
      </c>
      <c r="H40">
        <f t="shared" ref="H40:H43" si="9">$L$8</f>
        <v>200</v>
      </c>
    </row>
    <row r="41" spans="2:27" x14ac:dyDescent="0.25">
      <c r="C41">
        <f>3*L8/4</f>
        <v>150</v>
      </c>
      <c r="D41">
        <v>0</v>
      </c>
      <c r="E41">
        <f t="shared" si="8"/>
        <v>300</v>
      </c>
      <c r="F41">
        <f>3*$G$8/5</f>
        <v>180</v>
      </c>
      <c r="G41">
        <v>0</v>
      </c>
      <c r="H41">
        <f t="shared" si="9"/>
        <v>200</v>
      </c>
    </row>
    <row r="42" spans="2:27" x14ac:dyDescent="0.25">
      <c r="C42">
        <f>L8</f>
        <v>200</v>
      </c>
      <c r="D42">
        <v>0</v>
      </c>
      <c r="E42">
        <f t="shared" si="8"/>
        <v>300</v>
      </c>
      <c r="F42">
        <f>4*$G$8/5</f>
        <v>240</v>
      </c>
      <c r="G42">
        <v>0</v>
      </c>
      <c r="H42">
        <f t="shared" si="9"/>
        <v>200</v>
      </c>
    </row>
    <row r="43" spans="2:27" x14ac:dyDescent="0.25">
      <c r="F43">
        <f>5*$G$8/5</f>
        <v>300</v>
      </c>
      <c r="G43">
        <v>0</v>
      </c>
      <c r="H43">
        <f t="shared" si="9"/>
        <v>200</v>
      </c>
    </row>
    <row r="46" spans="2:27" x14ac:dyDescent="0.25">
      <c r="E46" s="6"/>
      <c r="F46" s="14">
        <v>0</v>
      </c>
      <c r="G46" s="14"/>
      <c r="H46" s="14" t="s">
        <v>4</v>
      </c>
      <c r="I46" s="14"/>
      <c r="J46" s="14" t="s">
        <v>5</v>
      </c>
      <c r="K46" s="14"/>
      <c r="L46" s="14" t="s">
        <v>6</v>
      </c>
      <c r="M46" s="14"/>
      <c r="N46" s="14" t="s">
        <v>7</v>
      </c>
      <c r="O46" s="14"/>
      <c r="P46" s="14" t="s">
        <v>8</v>
      </c>
      <c r="Q46" s="14"/>
      <c r="R46" s="14" t="s">
        <v>33</v>
      </c>
      <c r="S46" s="14"/>
    </row>
    <row r="47" spans="2:27" x14ac:dyDescent="0.25">
      <c r="C47" t="s">
        <v>22</v>
      </c>
      <c r="D47" t="s">
        <v>23</v>
      </c>
      <c r="F47" t="s">
        <v>24</v>
      </c>
      <c r="G47" t="s">
        <v>25</v>
      </c>
      <c r="H47" t="s">
        <v>24</v>
      </c>
      <c r="I47" t="s">
        <v>25</v>
      </c>
      <c r="J47" t="s">
        <v>24</v>
      </c>
      <c r="K47" t="s">
        <v>25</v>
      </c>
      <c r="L47" t="s">
        <v>24</v>
      </c>
      <c r="M47" t="s">
        <v>25</v>
      </c>
      <c r="N47" t="s">
        <v>24</v>
      </c>
      <c r="O47" t="s">
        <v>25</v>
      </c>
      <c r="P47" t="s">
        <v>24</v>
      </c>
      <c r="Q47" t="s">
        <v>25</v>
      </c>
      <c r="R47" t="s">
        <v>24</v>
      </c>
      <c r="S47" t="s">
        <v>25</v>
      </c>
    </row>
    <row r="48" spans="2:27" x14ac:dyDescent="0.25">
      <c r="B48">
        <v>0</v>
      </c>
      <c r="C48">
        <f>$L$8/2</f>
        <v>100</v>
      </c>
      <c r="D48">
        <f>$H$8</f>
        <v>50</v>
      </c>
      <c r="F48">
        <f>$C$48+($K$8/2*COS(0))</f>
        <v>120</v>
      </c>
      <c r="G48">
        <f>$D$48+($K$8/2*SIN(0))</f>
        <v>50</v>
      </c>
      <c r="H48">
        <f>$C$49+($K$8/2*COS(0))</f>
        <v>120</v>
      </c>
      <c r="I48">
        <f>$D$49+($K$8/2*SIN(0))</f>
        <v>60.3125</v>
      </c>
      <c r="J48">
        <f>$C$50+($K$8/2*COS(0))</f>
        <v>120</v>
      </c>
      <c r="K48">
        <f>$D$50+($K$8/2*SIN(0))</f>
        <v>91.25</v>
      </c>
      <c r="L48">
        <f>$C$51+($K$8/2*COS(0))</f>
        <v>120</v>
      </c>
      <c r="M48">
        <f>$D$51+($K$8/2*SIN(0))</f>
        <v>142.81250000000003</v>
      </c>
      <c r="N48">
        <f>$C$52+($K$8/2*COS(0))</f>
        <v>120</v>
      </c>
      <c r="O48">
        <f>$D$52+($K$8/2*SIN(0))</f>
        <v>215</v>
      </c>
      <c r="P48">
        <f>$C$53+($K$8/2*COS(0))</f>
        <v>120</v>
      </c>
      <c r="Q48">
        <f>$D$53+($K$8/2*SIN(0))</f>
        <v>235</v>
      </c>
      <c r="R48">
        <f>$C$54+($K$8/2*COS(0))</f>
        <v>120</v>
      </c>
      <c r="S48">
        <f>$D$54+($K$8/2*SIN(0))</f>
        <v>225</v>
      </c>
    </row>
    <row r="49" spans="2:19" x14ac:dyDescent="0.25">
      <c r="B49" t="s">
        <v>4</v>
      </c>
      <c r="C49">
        <f>$L$8/2</f>
        <v>100</v>
      </c>
      <c r="D49">
        <f>$F22</f>
        <v>60.3125</v>
      </c>
      <c r="F49">
        <f>$C$48+($K$8/2*COS(PI()/6))</f>
        <v>117.32050807568878</v>
      </c>
      <c r="G49">
        <f>$D$48+($K$8/2*SIN(PI()/6))</f>
        <v>60</v>
      </c>
      <c r="H49">
        <f>$C$49+($K$8/2*COS(PI()/6))</f>
        <v>117.32050807568878</v>
      </c>
      <c r="I49">
        <f>$D$49+($K$8/2*SIN(PI()/6))</f>
        <v>70.3125</v>
      </c>
      <c r="J49">
        <f>$C$50+($K$8/2*COS(PI()/6))</f>
        <v>117.32050807568878</v>
      </c>
      <c r="K49">
        <f>$D$50+($K$8/2*SIN(PI()/6))</f>
        <v>101.25</v>
      </c>
      <c r="L49">
        <f>$C$51+($K$8/2*COS(PI()/6))</f>
        <v>117.32050807568878</v>
      </c>
      <c r="M49">
        <f>$D$51+($K$8/2*SIN(PI()/6))</f>
        <v>152.81250000000003</v>
      </c>
      <c r="N49">
        <f>$C$52+($K$8/2*COS(PI()/6))</f>
        <v>117.32050807568878</v>
      </c>
      <c r="O49">
        <f>$D$52+($K$8/2*SIN(PI()/6))</f>
        <v>225</v>
      </c>
      <c r="P49">
        <f>$C$53+($K$8/2*COS(PI()/6))</f>
        <v>117.32050807568878</v>
      </c>
      <c r="Q49">
        <f>$D$53+($K$8/2*SIN(PI()/6))</f>
        <v>245</v>
      </c>
      <c r="R49">
        <f>$C$54+($K$8/2*COS(PI()/6))</f>
        <v>117.32050807568878</v>
      </c>
      <c r="S49">
        <f>$D$54+($K$8/2*SIN(PI()/6))</f>
        <v>235</v>
      </c>
    </row>
    <row r="50" spans="2:19" x14ac:dyDescent="0.25">
      <c r="B50" t="s">
        <v>5</v>
      </c>
      <c r="C50">
        <f t="shared" ref="C50:C54" si="10">$L$8/2</f>
        <v>100</v>
      </c>
      <c r="D50">
        <f t="shared" ref="D50:D54" si="11">$F23</f>
        <v>91.25</v>
      </c>
      <c r="F50">
        <f>$C$48+($K$8/2*COS(PI()/4))</f>
        <v>114.14213562373095</v>
      </c>
      <c r="G50">
        <f>$D$48+($K$8/2*SIN(PI()/4))</f>
        <v>64.142135623730951</v>
      </c>
      <c r="H50">
        <f>$C$49+($K$8/2*COS(PI()/4))</f>
        <v>114.14213562373095</v>
      </c>
      <c r="I50">
        <f>$D$49+($K$8/2*SIN(PI()/4))</f>
        <v>74.454635623730951</v>
      </c>
      <c r="J50">
        <f>$C$50+($K$8/2*COS(PI()/4))</f>
        <v>114.14213562373095</v>
      </c>
      <c r="K50">
        <f>$D$50+($K$8/2*SIN(PI()/4))</f>
        <v>105.39213562373095</v>
      </c>
      <c r="L50">
        <f>$C$51+($K$8/2*COS(PI()/4))</f>
        <v>114.14213562373095</v>
      </c>
      <c r="M50">
        <f>$D$51+($K$8/2*SIN(PI()/4))</f>
        <v>156.95463562373098</v>
      </c>
      <c r="N50">
        <f>$C$52+($K$8/2*COS(PI()/4))</f>
        <v>114.14213562373095</v>
      </c>
      <c r="O50">
        <f>$D$52+($K$8/2*SIN(PI()/4))</f>
        <v>229.14213562373095</v>
      </c>
      <c r="P50">
        <f>$C$53+($K$8/2*COS(PI()/4))</f>
        <v>114.14213562373095</v>
      </c>
      <c r="Q50">
        <f>$D$53+($K$8/2*SIN(PI()/4))</f>
        <v>249.14213562373095</v>
      </c>
      <c r="R50">
        <f>$C$54+($K$8/2*COS(PI()/4))</f>
        <v>114.14213562373095</v>
      </c>
      <c r="S50">
        <f>$D$54+($K$8/2*SIN(PI()/4))</f>
        <v>239.14213562373095</v>
      </c>
    </row>
    <row r="51" spans="2:19" x14ac:dyDescent="0.25">
      <c r="B51" t="s">
        <v>6</v>
      </c>
      <c r="C51">
        <f t="shared" si="10"/>
        <v>100</v>
      </c>
      <c r="D51">
        <f t="shared" si="11"/>
        <v>142.81250000000003</v>
      </c>
      <c r="F51">
        <f>$C$48+($K$8/2*COS(PI()/3))</f>
        <v>110</v>
      </c>
      <c r="G51">
        <f>$D$48+($K$8/2*SIN(PI()/3))</f>
        <v>67.320508075688764</v>
      </c>
      <c r="H51">
        <f>$C$49+($K$8/2*COS(PI()/3))</f>
        <v>110</v>
      </c>
      <c r="I51">
        <f>$D$49+($K$8/2*SIN(PI()/3))</f>
        <v>77.633008075688764</v>
      </c>
      <c r="J51">
        <f>$C$50+($K$8/2*COS(PI()/3))</f>
        <v>110</v>
      </c>
      <c r="K51">
        <f>$D$50+($K$8/2*SIN(PI()/3))</f>
        <v>108.57050807568876</v>
      </c>
      <c r="L51">
        <f>$C$51+($K$8/2*COS(PI()/3))</f>
        <v>110</v>
      </c>
      <c r="M51">
        <f>$D$51+($K$8/2*SIN(PI()/3))</f>
        <v>160.13300807568879</v>
      </c>
      <c r="N51">
        <f>$C$52+($K$8/2*COS(PI()/3))</f>
        <v>110</v>
      </c>
      <c r="O51">
        <f>$D$52+($K$8/2*SIN(PI()/3))</f>
        <v>232.32050807568876</v>
      </c>
      <c r="P51">
        <f>$C$53+($K$8/2*COS(PI()/3))</f>
        <v>110</v>
      </c>
      <c r="Q51">
        <f>$D$53+($K$8/2*SIN(PI()/3))</f>
        <v>252.32050807568876</v>
      </c>
      <c r="R51">
        <f>$C$54+($K$8/2*COS(PI()/3))</f>
        <v>110</v>
      </c>
      <c r="S51">
        <f>$D$54+($K$8/2*SIN(PI()/3))</f>
        <v>242.32050807568876</v>
      </c>
    </row>
    <row r="52" spans="2:19" x14ac:dyDescent="0.25">
      <c r="B52" t="s">
        <v>7</v>
      </c>
      <c r="C52">
        <f t="shared" si="10"/>
        <v>100</v>
      </c>
      <c r="D52">
        <f t="shared" si="11"/>
        <v>215</v>
      </c>
      <c r="F52">
        <f>$C$48+($K$8/2*COS(PI()/2))</f>
        <v>100</v>
      </c>
      <c r="G52">
        <f>$D$48+($K$8/2*SIN(PI()/2))</f>
        <v>70</v>
      </c>
      <c r="H52">
        <f>$C$49+($K$8/2*COS(PI()/2))</f>
        <v>100</v>
      </c>
      <c r="I52">
        <f>$D$49+($K$8/2*SIN(PI()/2))</f>
        <v>80.3125</v>
      </c>
      <c r="J52">
        <f>$C$50+($K$8/2*COS(PI()/2))</f>
        <v>100</v>
      </c>
      <c r="K52">
        <f>$D$50+($K$8/2*SIN(PI()/2))</f>
        <v>111.25</v>
      </c>
      <c r="L52">
        <f>$C$51+($K$8/2*COS(PI()/2))</f>
        <v>100</v>
      </c>
      <c r="M52">
        <f>$D$51+($K$8/2*SIN(PI()/2))</f>
        <v>162.81250000000003</v>
      </c>
      <c r="N52">
        <f>$C$52+($K$8/2*COS(PI()/2))</f>
        <v>100</v>
      </c>
      <c r="O52">
        <f>$D$52+($K$8/2*SIN(PI()/2))</f>
        <v>235</v>
      </c>
      <c r="P52">
        <f>$C$53+($K$8/2*COS(PI()/2))</f>
        <v>100</v>
      </c>
      <c r="Q52">
        <f>$D$53+($K$8/2*SIN(PI()/2))</f>
        <v>255</v>
      </c>
      <c r="R52">
        <f>$C$54+($K$8/2*COS(PI()/2))</f>
        <v>100</v>
      </c>
      <c r="S52">
        <f>$D$54+($K$8/2*SIN(PI()/2))</f>
        <v>245</v>
      </c>
    </row>
    <row r="53" spans="2:19" x14ac:dyDescent="0.25">
      <c r="B53" t="s">
        <v>8</v>
      </c>
      <c r="C53">
        <f t="shared" si="10"/>
        <v>100</v>
      </c>
      <c r="D53">
        <f t="shared" si="11"/>
        <v>235</v>
      </c>
      <c r="F53">
        <f>$C$48+($K$8/2*COS(2*PI()/3))</f>
        <v>90</v>
      </c>
      <c r="G53">
        <f>$D$48+($K$8/2*SIN(2*PI()/3))</f>
        <v>67.320508075688778</v>
      </c>
      <c r="H53">
        <f>$C$49+($K$8/2*COS(2*PI()/3))</f>
        <v>90</v>
      </c>
      <c r="I53">
        <f>$D$49+($K$8/2*SIN(2*PI()/3))</f>
        <v>77.633008075688778</v>
      </c>
      <c r="J53">
        <f>$C$50+($K$8/2*COS(2*PI()/3))</f>
        <v>90</v>
      </c>
      <c r="K53">
        <f>$D$50+($K$8/2*SIN(2*PI()/3))</f>
        <v>108.57050807568878</v>
      </c>
      <c r="L53">
        <f>$C$51+($K$8/2*COS(2*PI()/3))</f>
        <v>90</v>
      </c>
      <c r="M53">
        <f>$D$51+($K$8/2*SIN(2*PI()/3))</f>
        <v>160.13300807568879</v>
      </c>
      <c r="N53">
        <f>$C$52+($K$8/2*COS(2*PI()/3))</f>
        <v>90</v>
      </c>
      <c r="O53">
        <f>$D$52+($K$8/2*SIN(2*PI()/3))</f>
        <v>232.32050807568876</v>
      </c>
      <c r="P53">
        <f>$C$53+($K$8/2*COS(2*PI()/3))</f>
        <v>90</v>
      </c>
      <c r="Q53">
        <f>$D$53+($K$8/2*SIN(2*PI()/3))</f>
        <v>252.32050807568876</v>
      </c>
      <c r="R53">
        <f>$C$54+($K$8/2*COS(2*PI()/3))</f>
        <v>90</v>
      </c>
      <c r="S53">
        <f>$D$54+($K$8/2*SIN(2*PI()/3))</f>
        <v>242.32050807568876</v>
      </c>
    </row>
    <row r="54" spans="2:19" x14ac:dyDescent="0.25">
      <c r="B54" t="s">
        <v>34</v>
      </c>
      <c r="C54">
        <f t="shared" si="10"/>
        <v>100</v>
      </c>
      <c r="D54">
        <f t="shared" si="11"/>
        <v>225</v>
      </c>
      <c r="F54">
        <f>$C$48+($K$8/2*COS(3*PI()/4))</f>
        <v>85.857864376269049</v>
      </c>
      <c r="G54">
        <f>$D$48+($K$8/2*SIN(3*PI()/4))</f>
        <v>64.142135623730951</v>
      </c>
      <c r="H54">
        <f>$C$49+($K$8/2*COS(3*PI()/4))</f>
        <v>85.857864376269049</v>
      </c>
      <c r="I54">
        <f>$D$49+($K$8/2*SIN(3*PI()/4))</f>
        <v>74.454635623730951</v>
      </c>
      <c r="J54">
        <f>$C$50+($K$8/2*COS(3*PI()/4))</f>
        <v>85.857864376269049</v>
      </c>
      <c r="K54">
        <f>$D$50+($K$8/2*SIN(3*PI()/4))</f>
        <v>105.39213562373095</v>
      </c>
      <c r="L54">
        <f>$C$51+($K$8/2*COS(3*PI()/4))</f>
        <v>85.857864376269049</v>
      </c>
      <c r="M54">
        <f>$D$51+($K$8/2*SIN(3*PI()/4))</f>
        <v>156.95463562373098</v>
      </c>
      <c r="N54">
        <f>$C$52+($K$8/2*COS(3*PI()/4))</f>
        <v>85.857864376269049</v>
      </c>
      <c r="O54">
        <f>$D$52+($K$8/2*SIN(3*PI()/4))</f>
        <v>229.14213562373095</v>
      </c>
      <c r="P54">
        <f>$C$53+($K$8/2*COS(3*PI()/4))</f>
        <v>85.857864376269049</v>
      </c>
      <c r="Q54">
        <f>$D$53+($K$8/2*SIN(3*PI()/4))</f>
        <v>249.14213562373095</v>
      </c>
      <c r="R54">
        <f>$C$54+($K$8/2*COS(3*PI()/4))</f>
        <v>85.857864376269049</v>
      </c>
      <c r="S54">
        <f>$D$54+($K$8/2*SIN(3*PI()/4))</f>
        <v>239.14213562373095</v>
      </c>
    </row>
    <row r="55" spans="2:19" x14ac:dyDescent="0.25">
      <c r="F55">
        <f>$C$48+($K$8/2*COS(5*PI()/6))</f>
        <v>82.679491924311222</v>
      </c>
      <c r="G55">
        <f>$D$48+($K$8/2*SIN(5*PI()/6))</f>
        <v>60</v>
      </c>
      <c r="H55">
        <f>$C$49+($K$8/2*COS(5*PI()/6))</f>
        <v>82.679491924311222</v>
      </c>
      <c r="I55">
        <f>$D$49+($K$8/2*SIN(5*PI()/6))</f>
        <v>70.3125</v>
      </c>
      <c r="J55">
        <f>$C$50+($K$8/2*COS(5*PI()/6))</f>
        <v>82.679491924311222</v>
      </c>
      <c r="K55">
        <f>$D$50+($K$8/2*SIN(5*PI()/6))</f>
        <v>101.25</v>
      </c>
      <c r="L55">
        <f>$C$51+($K$8/2*COS(5*PI()/6))</f>
        <v>82.679491924311222</v>
      </c>
      <c r="M55">
        <f>$D$51+($K$8/2*SIN(5*PI()/6))</f>
        <v>152.81250000000003</v>
      </c>
      <c r="N55">
        <f>$C$52+($K$8/2*COS(5*PI()/6))</f>
        <v>82.679491924311222</v>
      </c>
      <c r="O55">
        <f>$D$52+($K$8/2*SIN(5*PI()/6))</f>
        <v>225</v>
      </c>
      <c r="P55">
        <f>$C$53+($K$8/2*COS(5*PI()/6))</f>
        <v>82.679491924311222</v>
      </c>
      <c r="Q55">
        <f>$D$53+($K$8/2*SIN(5*PI()/6))</f>
        <v>245</v>
      </c>
      <c r="R55">
        <f>$C$54+($K$8/2*COS(5*PI()/6))</f>
        <v>82.679491924311222</v>
      </c>
      <c r="S55">
        <f>$D$54+($K$8/2*SIN(5*PI()/6))</f>
        <v>235</v>
      </c>
    </row>
    <row r="56" spans="2:19" x14ac:dyDescent="0.25">
      <c r="F56">
        <f>$C$48+($K$8/2*COS(PI()))</f>
        <v>80</v>
      </c>
      <c r="G56">
        <f>$D$48+($K$8/2*SIN(PI()))</f>
        <v>50</v>
      </c>
      <c r="H56">
        <f>$C$49+($K$8/2*COS(PI()))</f>
        <v>80</v>
      </c>
      <c r="I56">
        <f>$D$49+($K$8/2*SIN(PI()))</f>
        <v>60.3125</v>
      </c>
      <c r="J56">
        <f>$C$50+($K$8/2*COS(PI()))</f>
        <v>80</v>
      </c>
      <c r="K56">
        <f>$D$50+($K$8/2*SIN(PI()))</f>
        <v>91.25</v>
      </c>
      <c r="L56">
        <f>$C$51+($K$8/2*COS(PI()))</f>
        <v>80</v>
      </c>
      <c r="M56">
        <f>$D$51+($K$8/2*SIN(PI()))</f>
        <v>142.81250000000003</v>
      </c>
      <c r="N56">
        <f>$C$52+($K$8/2*COS(PI()))</f>
        <v>80</v>
      </c>
      <c r="O56">
        <f>$D$52+($K$8/2*SIN(PI()))</f>
        <v>215</v>
      </c>
      <c r="P56">
        <f>$C$53+($K$8/2*COS(PI()))</f>
        <v>80</v>
      </c>
      <c r="Q56">
        <f>$D$53+($K$8/2*SIN(PI()))</f>
        <v>235</v>
      </c>
      <c r="R56">
        <f>$C$54+($K$8/2*COS(PI()))</f>
        <v>80</v>
      </c>
      <c r="S56">
        <f>$D$54+($K$8/2*SIN(PI()))</f>
        <v>225</v>
      </c>
    </row>
    <row r="57" spans="2:19" x14ac:dyDescent="0.25">
      <c r="F57">
        <f>$C$48+($K$8/2*COS(PI()+PI()/6))</f>
        <v>82.679491924311222</v>
      </c>
      <c r="G57">
        <f>$D$48+($K$8/2*SIN(PI()+PI()/6))</f>
        <v>40.000000000000007</v>
      </c>
      <c r="H57">
        <f>$C$49+($K$8/2*COS(PI()+PI()/6))</f>
        <v>82.679491924311222</v>
      </c>
      <c r="I57">
        <f>$D$49+($K$8/2*SIN(PI()+PI()/6))</f>
        <v>50.312500000000007</v>
      </c>
      <c r="J57">
        <f>$C$50+($K$8/2*COS(PI()+PI()/6))</f>
        <v>82.679491924311222</v>
      </c>
      <c r="K57">
        <f>$D$50+($K$8/2*SIN(PI()+PI()/6))</f>
        <v>81.25</v>
      </c>
      <c r="L57">
        <f>$C$51+($K$8/2*COS(PI()+PI()/6))</f>
        <v>82.679491924311222</v>
      </c>
      <c r="M57">
        <f>$D$51+($K$8/2*SIN(PI()+PI()/6))</f>
        <v>132.81250000000003</v>
      </c>
      <c r="N57">
        <f>$C$52+($K$8/2*COS(PI()+PI()/6))</f>
        <v>82.679491924311222</v>
      </c>
      <c r="O57">
        <f>$D$52+($K$8/2*SIN(PI()+PI()/6))</f>
        <v>205</v>
      </c>
      <c r="P57">
        <f>$C$53+($K$8/2*COS(PI()+PI()/6))</f>
        <v>82.679491924311222</v>
      </c>
      <c r="Q57">
        <f>$D$53+($K$8/2*SIN(PI()+PI()/6))</f>
        <v>225</v>
      </c>
      <c r="R57">
        <f>$C$54+($K$8/2*COS(PI()+PI()/6))</f>
        <v>82.679491924311222</v>
      </c>
      <c r="S57">
        <f>$D$54+($K$8/2*SIN(PI()+PI()/6))</f>
        <v>215</v>
      </c>
    </row>
    <row r="58" spans="2:19" x14ac:dyDescent="0.25">
      <c r="F58">
        <f>$C$48+($K$8/2*COS(PI()+PI()/4))</f>
        <v>85.857864376269049</v>
      </c>
      <c r="G58">
        <f>$D$48+($K$8/2*SIN(PI()+PI()/4))</f>
        <v>35.857864376269049</v>
      </c>
      <c r="H58">
        <f>$C$49+($K$8/2*COS(PI()+PI()/4))</f>
        <v>85.857864376269049</v>
      </c>
      <c r="I58">
        <f>$D$49+($K$8/2*SIN(PI()+PI()/4))</f>
        <v>46.170364376269049</v>
      </c>
      <c r="J58">
        <f>$C$50+($K$8/2*COS(PI()+PI()/4))</f>
        <v>85.857864376269049</v>
      </c>
      <c r="K58">
        <f>$D$50+($K$8/2*SIN(PI()+PI()/4))</f>
        <v>77.107864376269049</v>
      </c>
      <c r="L58">
        <f>$C$51+($K$8/2*COS(PI()+PI()/4))</f>
        <v>85.857864376269049</v>
      </c>
      <c r="M58">
        <f>$D$51+($K$8/2*SIN(PI()+PI()/4))</f>
        <v>128.67036437626908</v>
      </c>
      <c r="N58">
        <f>$C$52+($K$8/2*COS(PI()+PI()/4))</f>
        <v>85.857864376269049</v>
      </c>
      <c r="O58">
        <f>$D$52+($K$8/2*SIN(PI()+PI()/4))</f>
        <v>200.85786437626905</v>
      </c>
      <c r="P58">
        <f>$C$53+($K$8/2*COS(PI()+PI()/4))</f>
        <v>85.857864376269049</v>
      </c>
      <c r="Q58">
        <f>$D$53+($K$8/2*SIN(PI()+PI()/4))</f>
        <v>220.85786437626905</v>
      </c>
      <c r="R58">
        <f>$C$54+($K$8/2*COS(PI()+PI()/4))</f>
        <v>85.857864376269049</v>
      </c>
      <c r="S58">
        <f>$D$54+($K$8/2*SIN(PI()+PI()/4))</f>
        <v>210.85786437626905</v>
      </c>
    </row>
    <row r="59" spans="2:19" x14ac:dyDescent="0.25">
      <c r="F59">
        <f>$C$48+($K$8/2*COS(PI()+PI()/3))</f>
        <v>89.999999999999986</v>
      </c>
      <c r="G59">
        <f>$D$48+($K$8/2*SIN(PI()+PI()/3))</f>
        <v>32.679491924311236</v>
      </c>
      <c r="H59">
        <f>$C$49+($K$8/2*COS(PI()+PI()/3))</f>
        <v>89.999999999999986</v>
      </c>
      <c r="I59">
        <f>$D$49+($K$8/2*SIN(PI()+PI()/3))</f>
        <v>42.991991924311236</v>
      </c>
      <c r="J59">
        <f>$C$50+($K$8/2*COS(PI()+PI()/3))</f>
        <v>89.999999999999986</v>
      </c>
      <c r="K59">
        <f>$D$50+($K$8/2*SIN(PI()+PI()/3))</f>
        <v>73.929491924311236</v>
      </c>
      <c r="L59">
        <f>$C$51+($K$8/2*COS(PI()+PI()/3))</f>
        <v>89.999999999999986</v>
      </c>
      <c r="M59">
        <f>$D$51+($K$8/2*SIN(PI()+PI()/3))</f>
        <v>125.49199192431126</v>
      </c>
      <c r="N59">
        <f>$C$52+($K$8/2*COS(PI()+PI()/3))</f>
        <v>89.999999999999986</v>
      </c>
      <c r="O59">
        <f>$D$52+($K$8/2*SIN(PI()+PI()/3))</f>
        <v>197.67949192431124</v>
      </c>
      <c r="P59">
        <f>$C$53+($K$8/2*COS(PI()+PI()/3))</f>
        <v>89.999999999999986</v>
      </c>
      <c r="Q59">
        <f>$D$53+($K$8/2*SIN(PI()+PI()/3))</f>
        <v>217.67949192431124</v>
      </c>
      <c r="R59">
        <f>$C$54+($K$8/2*COS(PI()+PI()/3))</f>
        <v>89.999999999999986</v>
      </c>
      <c r="S59">
        <f>$D$54+($K$8/2*SIN(PI()+PI()/3))</f>
        <v>207.67949192431124</v>
      </c>
    </row>
    <row r="60" spans="2:19" x14ac:dyDescent="0.25">
      <c r="F60">
        <f>$C$48+($K$8/2*COS(PI()+PI()/2))</f>
        <v>100</v>
      </c>
      <c r="G60">
        <f>$D$48+($K$8/2*SIN(PI()+PI()/2))</f>
        <v>30</v>
      </c>
      <c r="H60">
        <f>$C$49+($K$8/2*COS(PI()+PI()/2))</f>
        <v>100</v>
      </c>
      <c r="I60">
        <f>$D$49+($K$8/2*SIN(PI()+PI()/2))</f>
        <v>40.3125</v>
      </c>
      <c r="J60">
        <f>$C$50+($K$8/2*COS(PI()+PI()/2))</f>
        <v>100</v>
      </c>
      <c r="K60">
        <f>$D$50+($K$8/2*SIN(PI()+PI()/2))</f>
        <v>71.25</v>
      </c>
      <c r="L60">
        <f>$C$51+($K$8/2*COS(PI()+PI()/2))</f>
        <v>100</v>
      </c>
      <c r="M60">
        <f>$D$51+($K$8/2*SIN(PI()+PI()/2))</f>
        <v>122.81250000000003</v>
      </c>
      <c r="N60">
        <f>$C$52+($K$8/2*COS(PI()+PI()/2))</f>
        <v>100</v>
      </c>
      <c r="O60">
        <f>$D$52+($K$8/2*SIN(PI()+PI()/2))</f>
        <v>195</v>
      </c>
      <c r="P60">
        <f>$C$53+($K$8/2*COS(PI()+PI()/2))</f>
        <v>100</v>
      </c>
      <c r="Q60">
        <f>$D$53+($K$8/2*SIN(PI()+PI()/2))</f>
        <v>215</v>
      </c>
      <c r="R60">
        <f>$C$54+($K$8/2*COS(PI()+PI()/2))</f>
        <v>100</v>
      </c>
      <c r="S60">
        <f>$D$54+($K$8/2*SIN(PI()+PI()/2))</f>
        <v>205</v>
      </c>
    </row>
    <row r="61" spans="2:19" x14ac:dyDescent="0.25">
      <c r="F61">
        <f>$C$48+($K$8/2*COS(PI()+2*PI()/3))</f>
        <v>109.99999999999999</v>
      </c>
      <c r="G61">
        <f>$D$48+($K$8/2*SIN(PI()+2*PI()/3))</f>
        <v>32.679491924311222</v>
      </c>
      <c r="H61">
        <f>$C$49+($K$8/2*COS(PI()+2*PI()/3))</f>
        <v>109.99999999999999</v>
      </c>
      <c r="I61">
        <f>$D$49+($K$8/2*SIN(PI()+2*PI()/3))</f>
        <v>42.991991924311222</v>
      </c>
      <c r="J61">
        <f>$C$50+($K$8/2*COS(PI()+2*PI()/3))</f>
        <v>109.99999999999999</v>
      </c>
      <c r="K61">
        <f>$D$50+($K$8/2*SIN(PI()+2*PI()/3))</f>
        <v>73.929491924311222</v>
      </c>
      <c r="L61">
        <f>$C$51+($K$8/2*COS(PI()+2*PI()/3))</f>
        <v>109.99999999999999</v>
      </c>
      <c r="M61">
        <f>$D$51+($K$8/2*SIN(PI()+2*PI()/3))</f>
        <v>125.49199192431125</v>
      </c>
      <c r="N61">
        <f>$C$52+($K$8/2*COS(PI()+2*PI()/3))</f>
        <v>109.99999999999999</v>
      </c>
      <c r="O61">
        <f>$D$52+($K$8/2*SIN(PI()+2*PI()/3))</f>
        <v>197.67949192431121</v>
      </c>
      <c r="P61">
        <f>$C$53+($K$8/2*COS(PI()+2*PI()/3))</f>
        <v>109.99999999999999</v>
      </c>
      <c r="Q61">
        <f>$D$53+($K$8/2*SIN(PI()+2*PI()/3))</f>
        <v>217.67949192431121</v>
      </c>
      <c r="R61">
        <f>$C$54+($K$8/2*COS(PI()+2*PI()/3))</f>
        <v>109.99999999999999</v>
      </c>
      <c r="S61">
        <f>$D$54+($K$8/2*SIN(PI()+2*PI()/3))</f>
        <v>207.67949192431121</v>
      </c>
    </row>
    <row r="62" spans="2:19" x14ac:dyDescent="0.25">
      <c r="F62">
        <f>$C$48+($K$8/2*COS(PI()+3*PI()/4))</f>
        <v>114.14213562373095</v>
      </c>
      <c r="G62">
        <f>$D$48+($K$8/2*SIN(PI()+3*PI()/4))</f>
        <v>35.857864376269049</v>
      </c>
      <c r="H62">
        <f>$C$49+($K$8/2*COS(PI()+3*PI()/4))</f>
        <v>114.14213562373095</v>
      </c>
      <c r="I62">
        <f>$D$49+($K$8/2*SIN(PI()+3*PI()/4))</f>
        <v>46.170364376269049</v>
      </c>
      <c r="J62">
        <f>$C$50+($K$8/2*COS(PI()+3*PI()/4))</f>
        <v>114.14213562373095</v>
      </c>
      <c r="K62">
        <f>$D$50+($K$8/2*SIN(PI()+3*PI()/4))</f>
        <v>77.107864376269049</v>
      </c>
      <c r="L62">
        <f>$C$51+($K$8/2*COS(PI()+3*PI()/4))</f>
        <v>114.14213562373095</v>
      </c>
      <c r="M62">
        <f>$D$51+($K$8/2*SIN(PI()+3*PI()/4))</f>
        <v>128.67036437626908</v>
      </c>
      <c r="N62">
        <f>$C$52+($K$8/2*COS(PI()+3*PI()/4))</f>
        <v>114.14213562373095</v>
      </c>
      <c r="O62">
        <f>$D$52+($K$8/2*SIN(PI()+3*PI()/4))</f>
        <v>200.85786437626905</v>
      </c>
      <c r="P62">
        <f>$C$53+($K$8/2*COS(PI()+3*PI()/4))</f>
        <v>114.14213562373095</v>
      </c>
      <c r="Q62">
        <f>$D$53+($K$8/2*SIN(PI()+3*PI()/4))</f>
        <v>220.85786437626905</v>
      </c>
      <c r="R62">
        <f>$C$54+($K$8/2*COS(PI()+3*PI()/4))</f>
        <v>114.14213562373095</v>
      </c>
      <c r="S62">
        <f>$D$54+($K$8/2*SIN(PI()+3*PI()/4))</f>
        <v>210.85786437626905</v>
      </c>
    </row>
    <row r="63" spans="2:19" x14ac:dyDescent="0.25">
      <c r="F63">
        <f>$C$48+($K$8/2*COS(PI()+5*PI()/6))</f>
        <v>117.32050807568878</v>
      </c>
      <c r="G63">
        <f>$D$48+($K$8/2*SIN(PI()+5*PI()/6))</f>
        <v>40.000000000000007</v>
      </c>
      <c r="H63">
        <f>$C$49+($K$8/2*COS(PI()+5*PI()/6))</f>
        <v>117.32050807568878</v>
      </c>
      <c r="I63">
        <f>$D$49+($K$8/2*SIN(PI()+5*PI()/6))</f>
        <v>50.312500000000007</v>
      </c>
      <c r="J63">
        <f>$C$50+($K$8/2*COS(PI()+5*PI()/6))</f>
        <v>117.32050807568878</v>
      </c>
      <c r="K63">
        <f>$D$50+($K$8/2*SIN(PI()+5*PI()/6))</f>
        <v>81.25</v>
      </c>
      <c r="L63">
        <f>$C$51+($K$8/2*COS(PI()+5*PI()/6))</f>
        <v>117.32050807568878</v>
      </c>
      <c r="M63">
        <f>$D$51+($K$8/2*SIN(PI()+5*PI()/6))</f>
        <v>132.81250000000003</v>
      </c>
      <c r="N63">
        <f>$C$52+($K$8/2*COS(PI()+5*PI()/6))</f>
        <v>117.32050807568878</v>
      </c>
      <c r="O63">
        <f>$D$52+($K$8/2*SIN(PI()+5*PI()/6))</f>
        <v>205</v>
      </c>
      <c r="P63">
        <f>$C$53+($K$8/2*COS(PI()+5*PI()/6))</f>
        <v>117.32050807568878</v>
      </c>
      <c r="Q63">
        <f>$D$53+($K$8/2*SIN(PI()+5*PI()/6))</f>
        <v>225</v>
      </c>
      <c r="R63">
        <f>$C$54+($K$8/2*COS(PI()+5*PI()/6))</f>
        <v>117.32050807568878</v>
      </c>
      <c r="S63">
        <f>$D$54+($K$8/2*SIN(PI()+5*PI()/6))</f>
        <v>215</v>
      </c>
    </row>
    <row r="64" spans="2:19" x14ac:dyDescent="0.25">
      <c r="F64">
        <f>$C$48+($K$8/2*COS(2*PI()))</f>
        <v>120</v>
      </c>
      <c r="G64">
        <f>$D$48+($K$8/2*SIN(2*PI()))</f>
        <v>49.999999999999993</v>
      </c>
      <c r="H64">
        <f>$C$49+($K$8/2*COS(2*PI()))</f>
        <v>120</v>
      </c>
      <c r="I64">
        <f>$D$49+($K$8/2*SIN(2*PI()))</f>
        <v>60.312499999999993</v>
      </c>
      <c r="J64">
        <f>$C$50+($K$8/2*COS(2*PI()))</f>
        <v>120</v>
      </c>
      <c r="K64">
        <f>$D$50+($K$8/2*SIN(2*PI()))</f>
        <v>91.25</v>
      </c>
      <c r="L64">
        <f>$C$51+($K$8/2*COS(2*PI()))</f>
        <v>120</v>
      </c>
      <c r="M64">
        <f>$D$51+($K$8/2*SIN(2*PI()))</f>
        <v>142.81250000000003</v>
      </c>
      <c r="N64">
        <f>$C$52+($K$8/2*COS(2*PI()))</f>
        <v>120</v>
      </c>
      <c r="O64">
        <f>$D$52+($K$8/2*SIN(2*PI()))</f>
        <v>215</v>
      </c>
      <c r="P64">
        <f>$C$53+($K$8/2*COS(2*PI()))</f>
        <v>120</v>
      </c>
      <c r="Q64">
        <f>$D$53+($K$8/2*SIN(2*PI()))</f>
        <v>235</v>
      </c>
      <c r="R64">
        <f>$C$54+($K$8/2*COS(2*PI()))</f>
        <v>120</v>
      </c>
      <c r="S64">
        <f>$D$54+($K$8/2*SIN(2*PI()))</f>
        <v>225</v>
      </c>
    </row>
  </sheetData>
  <mergeCells count="10">
    <mergeCell ref="F6:M6"/>
    <mergeCell ref="R46:S46"/>
    <mergeCell ref="N46:O46"/>
    <mergeCell ref="P46:Q46"/>
    <mergeCell ref="B8:D9"/>
    <mergeCell ref="C19:F19"/>
    <mergeCell ref="F46:G46"/>
    <mergeCell ref="H46:I46"/>
    <mergeCell ref="J46:K46"/>
    <mergeCell ref="L46:M4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showGridLines="0" workbookViewId="0">
      <selection activeCell="I13" sqref="I13"/>
    </sheetView>
  </sheetViews>
  <sheetFormatPr defaultRowHeight="15" x14ac:dyDescent="0.25"/>
  <sheetData>
    <row r="1" spans="1:1" x14ac:dyDescent="0.25">
      <c r="A1" s="12" t="s">
        <v>35</v>
      </c>
    </row>
    <row r="2" spans="1:1" x14ac:dyDescent="0.25">
      <c r="A2" s="12" t="s">
        <v>36</v>
      </c>
    </row>
    <row r="3" spans="1:1" x14ac:dyDescent="0.25">
      <c r="A3" s="12" t="s">
        <v>37</v>
      </c>
    </row>
    <row r="4" spans="1:1" x14ac:dyDescent="0.25">
      <c r="A4" s="12" t="s">
        <v>39</v>
      </c>
    </row>
    <row r="5" spans="1:1" x14ac:dyDescent="0.25">
      <c r="A5" s="12" t="s">
        <v>38</v>
      </c>
    </row>
    <row r="6" spans="1:1" x14ac:dyDescent="0.25">
      <c r="A6" s="12" t="s">
        <v>40</v>
      </c>
    </row>
    <row r="7" spans="1:1" x14ac:dyDescent="0.25">
      <c r="A7" s="12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</vt:lpstr>
      <vt:lpstr>Instructions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2019-10-30T08:02:33Z</dcterms:modified>
</cp:coreProperties>
</file>