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ak/Documents/TCO Model/"/>
    </mc:Choice>
  </mc:AlternateContent>
  <xr:revisionPtr revIDLastSave="0" documentId="13_ncr:1_{340B8FE9-7716-DA4C-8C49-887F4BF3CB4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1" r:id="rId1"/>
    <sheet name="Diesel Analysis" sheetId="2" r:id="rId2"/>
    <sheet name="Electric Analysis" sheetId="3" r:id="rId3"/>
    <sheet name="Comparis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B33" i="2"/>
  <c r="C34" i="2"/>
  <c r="B34" i="2"/>
  <c r="D23" i="3"/>
  <c r="D12" i="3"/>
  <c r="D13" i="3" s="1"/>
  <c r="D14" i="3" s="1"/>
  <c r="D4" i="3"/>
  <c r="C23" i="3"/>
  <c r="C29" i="3" s="1"/>
  <c r="C12" i="3"/>
  <c r="C13" i="3" s="1"/>
  <c r="C14" i="3" s="1"/>
  <c r="C4" i="3"/>
  <c r="C5" i="3"/>
  <c r="C10" i="2"/>
  <c r="C5" i="2"/>
  <c r="C4" i="2"/>
  <c r="D18" i="1"/>
  <c r="E17" i="1"/>
  <c r="E18" i="1" s="1"/>
  <c r="G18" i="1"/>
  <c r="F18" i="1"/>
  <c r="C18" i="1"/>
  <c r="C35" i="3" l="1"/>
  <c r="D35" i="3"/>
  <c r="C6" i="2"/>
  <c r="C25" i="2"/>
  <c r="C11" i="2"/>
  <c r="C12" i="2" s="1"/>
  <c r="C13" i="2" s="1"/>
  <c r="C14" i="2" s="1"/>
  <c r="D29" i="3"/>
  <c r="C15" i="3"/>
  <c r="D15" i="3"/>
  <c r="C6" i="3"/>
  <c r="C27" i="3" s="1"/>
  <c r="C15" i="2" l="1"/>
  <c r="D16" i="3"/>
  <c r="C16" i="3"/>
  <c r="D7" i="3" l="1"/>
  <c r="C17" i="3"/>
  <c r="D17" i="3"/>
  <c r="B23" i="3" l="1"/>
  <c r="C7" i="5" s="1"/>
  <c r="B12" i="3"/>
  <c r="B5" i="3"/>
  <c r="B4" i="3"/>
  <c r="B21" i="2"/>
  <c r="B10" i="2"/>
  <c r="B5" i="2"/>
  <c r="B4" i="2"/>
  <c r="B66" i="1"/>
  <c r="B61" i="1"/>
  <c r="B11" i="2" l="1"/>
  <c r="B7" i="5"/>
  <c r="D7" i="5" s="1"/>
  <c r="C21" i="2"/>
  <c r="B13" i="3"/>
  <c r="B35" i="3" s="1"/>
  <c r="B6" i="3"/>
  <c r="B27" i="3" s="1"/>
  <c r="D62" i="1"/>
  <c r="C62" i="1"/>
  <c r="G62" i="1"/>
  <c r="F62" i="1"/>
  <c r="E62" i="1"/>
  <c r="B6" i="2"/>
  <c r="B7" i="2" s="1"/>
  <c r="B29" i="3"/>
  <c r="B27" i="2"/>
  <c r="D63" i="1" l="1"/>
  <c r="D65" i="1" s="1"/>
  <c r="C16" i="2"/>
  <c r="C22" i="2" s="1"/>
  <c r="C7" i="2"/>
  <c r="F64" i="1"/>
  <c r="F65" i="1" s="1"/>
  <c r="C18" i="3"/>
  <c r="C9" i="3" s="1"/>
  <c r="G64" i="1"/>
  <c r="G65" i="1" s="1"/>
  <c r="D18" i="3"/>
  <c r="D9" i="3" s="1"/>
  <c r="D5" i="3" s="1"/>
  <c r="D6" i="3" s="1"/>
  <c r="D27" i="3" s="1"/>
  <c r="C63" i="1"/>
  <c r="C65" i="1" s="1"/>
  <c r="B16" i="2"/>
  <c r="C27" i="2"/>
  <c r="E64" i="1"/>
  <c r="E65" i="1" s="1"/>
  <c r="B18" i="3"/>
  <c r="B9" i="3" s="1"/>
  <c r="C5" i="5"/>
  <c r="B5" i="5"/>
  <c r="B25" i="2"/>
  <c r="B12" i="2"/>
  <c r="B14" i="3"/>
  <c r="B15" i="3" s="1"/>
  <c r="B16" i="3" s="1"/>
  <c r="B20" i="3" l="1"/>
  <c r="D19" i="3"/>
  <c r="D8" i="3"/>
  <c r="D24" i="3"/>
  <c r="D20" i="3"/>
  <c r="D28" i="3" s="1"/>
  <c r="D30" i="3" s="1"/>
  <c r="C19" i="3"/>
  <c r="C24" i="3"/>
  <c r="C8" i="3"/>
  <c r="C20" i="3"/>
  <c r="C28" i="3" s="1"/>
  <c r="C30" i="3" s="1"/>
  <c r="F23" i="5" s="1"/>
  <c r="C17" i="2"/>
  <c r="C18" i="2"/>
  <c r="C26" i="2" s="1"/>
  <c r="C28" i="2" s="1"/>
  <c r="C23" i="5" s="1"/>
  <c r="B17" i="2"/>
  <c r="B22" i="2"/>
  <c r="B32" i="2" s="1"/>
  <c r="B13" i="2"/>
  <c r="B14" i="2" s="1"/>
  <c r="B18" i="2" s="1"/>
  <c r="C32" i="2"/>
  <c r="C31" i="2"/>
  <c r="B24" i="3"/>
  <c r="B19" i="3"/>
  <c r="B8" i="3"/>
  <c r="D5" i="5"/>
  <c r="B17" i="3"/>
  <c r="D34" i="3" l="1"/>
  <c r="C33" i="3"/>
  <c r="D33" i="3"/>
  <c r="D36" i="3" s="1"/>
  <c r="C34" i="3"/>
  <c r="C36" i="3" s="1"/>
  <c r="G23" i="5"/>
  <c r="B15" i="2"/>
  <c r="B6" i="5" s="1"/>
  <c r="B31" i="2"/>
  <c r="B13" i="5" s="1"/>
  <c r="C35" i="2"/>
  <c r="C24" i="5" s="1"/>
  <c r="C22" i="5"/>
  <c r="B33" i="3"/>
  <c r="B34" i="3"/>
  <c r="B26" i="2"/>
  <c r="B28" i="2" s="1"/>
  <c r="C18" i="5"/>
  <c r="C19" i="5" s="1"/>
  <c r="C13" i="5" l="1"/>
  <c r="C14" i="5" s="1"/>
  <c r="B36" i="3"/>
  <c r="D37" i="3"/>
  <c r="G24" i="5" s="1"/>
  <c r="G27" i="5" s="1"/>
  <c r="G28" i="5" s="1"/>
  <c r="G22" i="5"/>
  <c r="G30" i="5" s="1"/>
  <c r="C37" i="3"/>
  <c r="F24" i="5" s="1"/>
  <c r="F27" i="5" s="1"/>
  <c r="F28" i="5" s="1"/>
  <c r="F22" i="5"/>
  <c r="F30" i="5" s="1"/>
  <c r="B18" i="5"/>
  <c r="D18" i="5" s="1"/>
  <c r="B8" i="5"/>
  <c r="B23" i="5"/>
  <c r="C6" i="5"/>
  <c r="D6" i="5" s="1"/>
  <c r="B28" i="3"/>
  <c r="B30" i="3" s="1"/>
  <c r="B14" i="5"/>
  <c r="D14" i="5" l="1"/>
  <c r="D13" i="5"/>
  <c r="B35" i="2"/>
  <c r="B24" i="5" s="1"/>
  <c r="G25" i="5" s="1"/>
  <c r="G26" i="5" s="1"/>
  <c r="B22" i="5"/>
  <c r="C8" i="5"/>
  <c r="D8" i="5" s="1"/>
  <c r="C9" i="5" s="1"/>
  <c r="E23" i="5"/>
  <c r="B37" i="3"/>
  <c r="E24" i="5" s="1"/>
  <c r="E27" i="5" s="1"/>
  <c r="E28" i="5" s="1"/>
  <c r="E22" i="5"/>
  <c r="G29" i="5"/>
  <c r="F29" i="5"/>
  <c r="F25" i="5"/>
  <c r="F26" i="5" s="1"/>
  <c r="B19" i="5"/>
  <c r="D19" i="5" s="1"/>
  <c r="E25" i="5" l="1"/>
  <c r="E26" i="5" s="1"/>
</calcChain>
</file>

<file path=xl/sharedStrings.xml><?xml version="1.0" encoding="utf-8"?>
<sst xmlns="http://schemas.openxmlformats.org/spreadsheetml/2006/main" count="176" uniqueCount="134">
  <si>
    <t>Adjust Yellow Cells - Separate Parameters for Diesel and Electric</t>
  </si>
  <si>
    <t>Parameter</t>
  </si>
  <si>
    <t>Diesel</t>
  </si>
  <si>
    <t>Electric</t>
  </si>
  <si>
    <t>Corridor Parameters</t>
  </si>
  <si>
    <t>Days per year</t>
  </si>
  <si>
    <t>Operating Parameters</t>
  </si>
  <si>
    <t>Trips per month</t>
  </si>
  <si>
    <t>Months per year</t>
  </si>
  <si>
    <t>Other Operating Costs</t>
  </si>
  <si>
    <t>Charging Infrastructure</t>
  </si>
  <si>
    <t>Trucks supported</t>
  </si>
  <si>
    <t>Fuel/Energy Parameters</t>
  </si>
  <si>
    <t>Consumption (km/L diesel, kWh/km electric)</t>
  </si>
  <si>
    <t>Financing Parameters</t>
  </si>
  <si>
    <t>Interest rate (annual)</t>
  </si>
  <si>
    <t>Truck loan term (years)</t>
  </si>
  <si>
    <t>Truck lifespan (years)</t>
  </si>
  <si>
    <t>Residual value %</t>
  </si>
  <si>
    <t>Charging Infrastructure Financing</t>
  </si>
  <si>
    <t>Loan term (years)</t>
  </si>
  <si>
    <t>Lifespan (years)</t>
  </si>
  <si>
    <t>Forex Parameters</t>
  </si>
  <si>
    <t>Diesel import %</t>
  </si>
  <si>
    <t>Diesel truck import %</t>
  </si>
  <si>
    <t>Calculated Values</t>
  </si>
  <si>
    <t>Return trip distance (km)</t>
  </si>
  <si>
    <t>DIESEL TRUCK COST ANALYSIS</t>
  </si>
  <si>
    <t>Fuel consumption (liters per km)</t>
  </si>
  <si>
    <t>2. CAPITAL COST PER KM</t>
  </si>
  <si>
    <t>PV of residual value</t>
  </si>
  <si>
    <t>Total loan payments</t>
  </si>
  <si>
    <t>Annual km</t>
  </si>
  <si>
    <t>Total lifetime km</t>
  </si>
  <si>
    <t>TOTAL COST PER KM</t>
  </si>
  <si>
    <t>Energy cost per km</t>
  </si>
  <si>
    <t>Capital cost per km</t>
  </si>
  <si>
    <t>Other costs per km</t>
  </si>
  <si>
    <t>ANNUAL AND LIFETIME COSTS</t>
  </si>
  <si>
    <t>ELECTRIC TRUCK COST ANALYSIS</t>
  </si>
  <si>
    <t>Electricity consumption (kWh per km)</t>
  </si>
  <si>
    <t>DIESEL VS ELECTRIC COMPARISON</t>
  </si>
  <si>
    <t>COST PER KM</t>
  </si>
  <si>
    <t>Component</t>
  </si>
  <si>
    <t>Savings</t>
  </si>
  <si>
    <t>Energy cost/km</t>
  </si>
  <si>
    <t>Capital cost/km</t>
  </si>
  <si>
    <t>Other costs/km</t>
  </si>
  <si>
    <t>TOTAL COST/KM</t>
  </si>
  <si>
    <t>Savings %</t>
  </si>
  <si>
    <t>ANNUAL COSTS</t>
  </si>
  <si>
    <t>Metric</t>
  </si>
  <si>
    <t>Per truck</t>
  </si>
  <si>
    <t>All trucks</t>
  </si>
  <si>
    <t>LIFETIME COSTS</t>
  </si>
  <si>
    <t>KEY METRICS</t>
  </si>
  <si>
    <t>Annual litres diesel per truck</t>
  </si>
  <si>
    <t>1. ENERGY COST</t>
  </si>
  <si>
    <t xml:space="preserve">3. OTHER COSTS </t>
  </si>
  <si>
    <t>TOTAL COST PER KM IN LOAN PERIOD</t>
  </si>
  <si>
    <t>TCO CPK</t>
  </si>
  <si>
    <t>2. CAPITAL COST</t>
  </si>
  <si>
    <t>3. OTHER COSTS</t>
  </si>
  <si>
    <t>Regional Context</t>
  </si>
  <si>
    <t>Number of return trips per truck per month</t>
  </si>
  <si>
    <t>Typical diesel heavy truck fuel consumption km per litre</t>
  </si>
  <si>
    <t>Local bank finance interest % for trucks</t>
  </si>
  <si>
    <t>N3 CORRIDOR: ELECTRIC TRUCK TCO ANALYSIS</t>
  </si>
  <si>
    <t>Distance one way (km) Durban to Jhb</t>
  </si>
  <si>
    <t>Other costs per km (Rand)</t>
  </si>
  <si>
    <t>Electricity cost to CPO (Rand/kWh)</t>
  </si>
  <si>
    <t>Average driving time (hours)</t>
  </si>
  <si>
    <t>Average stopping time /trip (hours)</t>
  </si>
  <si>
    <t>Hours / trip adjusted for stops</t>
  </si>
  <si>
    <t>Load and offload time (hours)</t>
  </si>
  <si>
    <t>Number of corridor charging stations</t>
  </si>
  <si>
    <t>% of energy from corridor</t>
  </si>
  <si>
    <t>Corridor charge power (kW)</t>
  </si>
  <si>
    <t>Own charging price of energy</t>
  </si>
  <si>
    <t>% of energy from own charging</t>
  </si>
  <si>
    <t>Cost per station installed Rand</t>
  </si>
  <si>
    <t>Truck Purchase Price (Rand)</t>
  </si>
  <si>
    <t>Charge eq import %</t>
  </si>
  <si>
    <t>Electric charged</t>
  </si>
  <si>
    <t>USD to ZAR exchange rate</t>
  </si>
  <si>
    <t>Transit time Durban to Jhb return in days</t>
  </si>
  <si>
    <t>Expected Charge station tarrifs ZAR/kWh</t>
  </si>
  <si>
    <t>Expected depot elctricity tarrif per kWh</t>
  </si>
  <si>
    <t>Industrial tarrif Rand/kWh</t>
  </si>
  <si>
    <t>Diesel truck</t>
  </si>
  <si>
    <t>Electric swapped</t>
  </si>
  <si>
    <t>Financial</t>
  </si>
  <si>
    <t xml:space="preserve"> Exchange rate Rand per USD</t>
  </si>
  <si>
    <t>Permissable operational time per day</t>
  </si>
  <si>
    <t>Electric BaaS</t>
  </si>
  <si>
    <t>Price (Rand/L diesel, Rand/kWh electric)</t>
  </si>
  <si>
    <t>Shared data</t>
  </si>
  <si>
    <t>Chinese Diesel Truck</t>
  </si>
  <si>
    <t>Purchase Prices</t>
  </si>
  <si>
    <t>Battery price for BaaS</t>
  </si>
  <si>
    <t>Cost of energy per truck per year</t>
  </si>
  <si>
    <t>Total charging infrastructure cost (ZAR)</t>
  </si>
  <si>
    <t>Annual kWh per electric truck</t>
  </si>
  <si>
    <t>Diesel price (Rand per liter)</t>
  </si>
  <si>
    <t>ENERGY COST PER KM (Rand)</t>
  </si>
  <si>
    <t>ENERGY COST PER YEAR (Rand)</t>
  </si>
  <si>
    <t>Euro Diesel truck</t>
  </si>
  <si>
    <t>Purchase price (Rand)</t>
  </si>
  <si>
    <t>Residual value (Rand)</t>
  </si>
  <si>
    <t>Financed amount (Rand)</t>
  </si>
  <si>
    <t>Annual loan payment (Rand)</t>
  </si>
  <si>
    <t>CAPITAL COST PER KM (Rand)</t>
  </si>
  <si>
    <t>OTHER COSTS PER KM (Rand)</t>
  </si>
  <si>
    <t>OTHER COSTS PER YEAR (Rand)</t>
  </si>
  <si>
    <t>Annual cost in finance period (Rand)</t>
  </si>
  <si>
    <t>Annual cost post finance period (Rand)</t>
  </si>
  <si>
    <t>Electricity price (Rand per kWh)</t>
  </si>
  <si>
    <t xml:space="preserve">ENERGY COST PER YEAR </t>
  </si>
  <si>
    <t>Financed amount</t>
  </si>
  <si>
    <t>Annual loan payment</t>
  </si>
  <si>
    <t>Lifetime cost (Rand)</t>
  </si>
  <si>
    <t>Lifetime cost</t>
  </si>
  <si>
    <t>CPK Difference from Euro Diesel truck Rand</t>
  </si>
  <si>
    <t>CPK Difference from Euro Diesel truck %</t>
  </si>
  <si>
    <t>Lifetime Difference from Euro Diesel truck Rand</t>
  </si>
  <si>
    <t>CPK Difference from Chinese Diesel truck Rand</t>
  </si>
  <si>
    <t>CPK Difference from Chinese Diesel truck %</t>
  </si>
  <si>
    <t>Lifetime Difference from Chinese Diesel truck Rand</t>
  </si>
  <si>
    <t>TOTAL COST PER KM in loan period (Rand)</t>
  </si>
  <si>
    <t>CPK during loan period</t>
  </si>
  <si>
    <t>CPK over lifespan</t>
  </si>
  <si>
    <t>End of finance settlement</t>
  </si>
  <si>
    <t>Energy usage per year (kWh)</t>
  </si>
  <si>
    <t>Battery as a Service per year (costed into elect)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</si>
</sst>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"/>
    <numFmt numFmtId="169" formatCode="#,##0.000"/>
    <numFmt numFmtId="170" formatCode="#,##0.0"/>
    <numFmt numFmtId="172" formatCode="0.0"/>
  </numFmts>
  <fonts count="8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color rgb="FFFFFFFF"/>
      <name val="Calibri"/>
    </font>
    <font>
      <b/>
      <sz val="11"/>
      <name val="Calibri"/>
    </font>
    <font>
      <b/>
      <sz val="12"/>
      <color rgb="FFFFFFFF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366092"/>
        <bgColor rgb="FF366092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4" fontId="3" fillId="3" borderId="1" xfId="0" applyNumberFormat="1" applyFont="1" applyFill="1" applyBorder="1"/>
    <xf numFmtId="3" fontId="3" fillId="3" borderId="1" xfId="0" applyNumberFormat="1" applyFont="1" applyFill="1" applyBorder="1"/>
    <xf numFmtId="2" fontId="3" fillId="3" borderId="1" xfId="0" applyNumberFormat="1" applyFont="1" applyFill="1" applyBorder="1"/>
    <xf numFmtId="9" fontId="3" fillId="3" borderId="1" xfId="0" applyNumberFormat="1" applyFont="1" applyFill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4" fontId="0" fillId="4" borderId="1" xfId="0" applyNumberFormat="1" applyFill="1" applyBorder="1"/>
    <xf numFmtId="165" fontId="3" fillId="5" borderId="1" xfId="0" applyNumberFormat="1" applyFont="1" applyFill="1" applyBorder="1"/>
    <xf numFmtId="165" fontId="0" fillId="4" borderId="1" xfId="0" applyNumberFormat="1" applyFill="1" applyBorder="1"/>
    <xf numFmtId="4" fontId="3" fillId="5" borderId="1" xfId="0" applyNumberFormat="1" applyFont="1" applyFill="1" applyBorder="1"/>
    <xf numFmtId="10" fontId="3" fillId="5" borderId="1" xfId="0" applyNumberFormat="1" applyFont="1" applyFill="1" applyBorder="1"/>
    <xf numFmtId="0" fontId="4" fillId="6" borderId="1" xfId="0" applyFont="1" applyFill="1" applyBorder="1"/>
    <xf numFmtId="3" fontId="3" fillId="5" borderId="1" xfId="0" applyNumberFormat="1" applyFont="1" applyFill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/>
    <xf numFmtId="3" fontId="0" fillId="0" borderId="0" xfId="0" applyNumberFormat="1" applyFill="1" applyBorder="1"/>
    <xf numFmtId="0" fontId="0" fillId="7" borderId="0" xfId="0" applyFill="1"/>
    <xf numFmtId="3" fontId="3" fillId="5" borderId="0" xfId="0" applyNumberFormat="1" applyFont="1" applyFill="1" applyBorder="1"/>
    <xf numFmtId="0" fontId="0" fillId="0" borderId="1" xfId="0" applyBorder="1"/>
    <xf numFmtId="4" fontId="3" fillId="5" borderId="0" xfId="0" applyNumberFormat="1" applyFont="1" applyFill="1" applyBorder="1"/>
    <xf numFmtId="169" fontId="3" fillId="5" borderId="1" xfId="0" applyNumberFormat="1" applyFont="1" applyFill="1" applyBorder="1"/>
    <xf numFmtId="2" fontId="0" fillId="4" borderId="1" xfId="0" applyNumberFormat="1" applyFill="1" applyBorder="1"/>
    <xf numFmtId="172" fontId="0" fillId="4" borderId="1" xfId="0" applyNumberFormat="1" applyFill="1" applyBorder="1"/>
    <xf numFmtId="170" fontId="3" fillId="3" borderId="1" xfId="0" applyNumberFormat="1" applyFont="1" applyFill="1" applyBorder="1"/>
    <xf numFmtId="0" fontId="0" fillId="0" borderId="1" xfId="0" applyBorder="1" applyAlignment="1">
      <alignment horizontal="center"/>
    </xf>
    <xf numFmtId="3" fontId="3" fillId="3" borderId="0" xfId="0" applyNumberFormat="1" applyFont="1" applyFill="1" applyBorder="1"/>
    <xf numFmtId="9" fontId="3" fillId="3" borderId="1" xfId="1" applyFont="1" applyFill="1" applyBorder="1"/>
    <xf numFmtId="10" fontId="3" fillId="3" borderId="1" xfId="0" applyNumberFormat="1" applyFont="1" applyFill="1" applyBorder="1"/>
    <xf numFmtId="4" fontId="0" fillId="4" borderId="0" xfId="0" applyNumberFormat="1" applyFill="1" applyBorder="1"/>
    <xf numFmtId="10" fontId="3" fillId="5" borderId="0" xfId="0" applyNumberFormat="1" applyFont="1" applyFill="1" applyBorder="1"/>
    <xf numFmtId="4" fontId="3" fillId="5" borderId="3" xfId="0" applyNumberFormat="1" applyFont="1" applyFill="1" applyBorder="1"/>
    <xf numFmtId="3" fontId="0" fillId="8" borderId="1" xfId="0" applyNumberFormat="1" applyFill="1" applyBorder="1"/>
    <xf numFmtId="2" fontId="0" fillId="8" borderId="1" xfId="0" applyNumberFormat="1" applyFill="1" applyBorder="1"/>
    <xf numFmtId="4" fontId="0" fillId="8" borderId="1" xfId="0" applyNumberFormat="1" applyFill="1" applyBorder="1"/>
    <xf numFmtId="9" fontId="0" fillId="8" borderId="1" xfId="1" applyFont="1" applyFill="1" applyBorder="1"/>
    <xf numFmtId="3" fontId="6" fillId="5" borderId="1" xfId="0" applyNumberFormat="1" applyFont="1" applyFill="1" applyBorder="1"/>
    <xf numFmtId="4" fontId="6" fillId="5" borderId="1" xfId="0" applyNumberFormat="1" applyFont="1" applyFill="1" applyBorder="1"/>
    <xf numFmtId="4" fontId="6" fillId="5" borderId="3" xfId="0" applyNumberFormat="1" applyFont="1" applyFill="1" applyBorder="1"/>
    <xf numFmtId="4" fontId="7" fillId="8" borderId="1" xfId="0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10" workbookViewId="0">
      <selection activeCell="L20" sqref="L20"/>
    </sheetView>
  </sheetViews>
  <sheetFormatPr baseColWidth="10" defaultColWidth="8.83203125" defaultRowHeight="15" x14ac:dyDescent="0.2"/>
  <cols>
    <col min="1" max="1" width="55" customWidth="1"/>
    <col min="2" max="5" width="20" customWidth="1"/>
    <col min="6" max="6" width="18.6640625" customWidth="1"/>
    <col min="7" max="7" width="19.33203125" customWidth="1"/>
    <col min="9" max="9" width="43.83203125" hidden="1" customWidth="1"/>
    <col min="10" max="10" width="0" hidden="1" customWidth="1"/>
  </cols>
  <sheetData>
    <row r="1" spans="1:10" ht="19" x14ac:dyDescent="0.25">
      <c r="A1" s="16" t="s">
        <v>67</v>
      </c>
      <c r="B1" s="17"/>
      <c r="C1" s="17"/>
      <c r="D1" s="17"/>
      <c r="E1" s="18"/>
    </row>
    <row r="2" spans="1:10" x14ac:dyDescent="0.2">
      <c r="A2" s="19" t="s">
        <v>0</v>
      </c>
      <c r="B2" s="17"/>
      <c r="C2" s="17"/>
      <c r="D2" s="17"/>
      <c r="E2" s="18"/>
    </row>
    <row r="4" spans="1:10" x14ac:dyDescent="0.2">
      <c r="A4" t="s">
        <v>1</v>
      </c>
      <c r="B4" s="21" t="s">
        <v>96</v>
      </c>
      <c r="C4" s="21" t="s">
        <v>106</v>
      </c>
      <c r="D4" s="21" t="s">
        <v>97</v>
      </c>
      <c r="E4" s="21" t="s">
        <v>83</v>
      </c>
      <c r="F4" s="21" t="s">
        <v>90</v>
      </c>
      <c r="G4" s="21" t="s">
        <v>94</v>
      </c>
    </row>
    <row r="5" spans="1:10" x14ac:dyDescent="0.2">
      <c r="I5" s="29" t="s">
        <v>63</v>
      </c>
      <c r="J5" s="29"/>
    </row>
    <row r="6" spans="1:10" x14ac:dyDescent="0.2">
      <c r="A6" s="2" t="s">
        <v>91</v>
      </c>
      <c r="I6" s="23" t="s">
        <v>84</v>
      </c>
      <c r="J6" s="23"/>
    </row>
    <row r="7" spans="1:10" x14ac:dyDescent="0.2">
      <c r="A7" t="s">
        <v>92</v>
      </c>
      <c r="B7" s="3">
        <v>17.5</v>
      </c>
      <c r="I7" s="23" t="s">
        <v>85</v>
      </c>
      <c r="J7" s="23"/>
    </row>
    <row r="8" spans="1:10" x14ac:dyDescent="0.2">
      <c r="I8" s="23" t="s">
        <v>64</v>
      </c>
      <c r="J8" s="23"/>
    </row>
    <row r="9" spans="1:10" x14ac:dyDescent="0.2">
      <c r="A9" s="2" t="s">
        <v>4</v>
      </c>
      <c r="I9" s="23" t="s">
        <v>65</v>
      </c>
      <c r="J9" s="23"/>
    </row>
    <row r="10" spans="1:10" x14ac:dyDescent="0.2">
      <c r="A10" t="s">
        <v>68</v>
      </c>
      <c r="B10" s="4">
        <v>600</v>
      </c>
      <c r="I10" s="23" t="s">
        <v>88</v>
      </c>
      <c r="J10" s="23"/>
    </row>
    <row r="11" spans="1:10" x14ac:dyDescent="0.2">
      <c r="A11" t="s">
        <v>5</v>
      </c>
      <c r="B11" s="4">
        <v>365</v>
      </c>
      <c r="I11" s="23" t="s">
        <v>86</v>
      </c>
      <c r="J11" s="23"/>
    </row>
    <row r="12" spans="1:10" x14ac:dyDescent="0.2">
      <c r="I12" s="23" t="s">
        <v>66</v>
      </c>
      <c r="J12" s="23"/>
    </row>
    <row r="13" spans="1:10" x14ac:dyDescent="0.2">
      <c r="A13" s="2" t="s">
        <v>6</v>
      </c>
      <c r="I13" s="23" t="s">
        <v>87</v>
      </c>
      <c r="J13" s="23"/>
    </row>
    <row r="14" spans="1:10" x14ac:dyDescent="0.2">
      <c r="A14" t="s">
        <v>93</v>
      </c>
      <c r="C14" s="4">
        <v>12</v>
      </c>
      <c r="D14" s="4">
        <v>12</v>
      </c>
      <c r="E14" s="4">
        <v>12</v>
      </c>
      <c r="F14" s="4">
        <v>12</v>
      </c>
      <c r="G14" s="4">
        <v>12</v>
      </c>
    </row>
    <row r="15" spans="1:10" x14ac:dyDescent="0.2">
      <c r="A15" t="s">
        <v>71</v>
      </c>
      <c r="C15" s="4">
        <v>9</v>
      </c>
      <c r="D15" s="4">
        <v>9</v>
      </c>
      <c r="E15" s="4">
        <v>9</v>
      </c>
      <c r="F15" s="4">
        <v>9</v>
      </c>
      <c r="G15" s="4">
        <v>9</v>
      </c>
    </row>
    <row r="16" spans="1:10" x14ac:dyDescent="0.2">
      <c r="A16" t="s">
        <v>74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</row>
    <row r="17" spans="1:7" x14ac:dyDescent="0.2">
      <c r="A17" t="s">
        <v>72</v>
      </c>
      <c r="C17" s="4">
        <v>1</v>
      </c>
      <c r="D17" s="4">
        <v>1</v>
      </c>
      <c r="E17" s="28">
        <f>(500/B30)+1</f>
        <v>1.3125</v>
      </c>
      <c r="F17" s="4">
        <v>1</v>
      </c>
      <c r="G17" s="4">
        <v>1</v>
      </c>
    </row>
    <row r="18" spans="1:7" x14ac:dyDescent="0.2">
      <c r="A18" t="s">
        <v>73</v>
      </c>
      <c r="C18" s="4">
        <f>C15+C16+C17</f>
        <v>12</v>
      </c>
      <c r="D18" s="4">
        <f>D15+D16+D17</f>
        <v>12</v>
      </c>
      <c r="E18" s="4">
        <f t="shared" ref="E18:G18" si="0">E15+E16+E17</f>
        <v>12.3125</v>
      </c>
      <c r="F18" s="4">
        <f t="shared" si="0"/>
        <v>12</v>
      </c>
      <c r="G18" s="4">
        <f t="shared" si="0"/>
        <v>12</v>
      </c>
    </row>
    <row r="19" spans="1:7" x14ac:dyDescent="0.2">
      <c r="A19" t="s">
        <v>7</v>
      </c>
      <c r="C19" s="4">
        <v>12</v>
      </c>
      <c r="D19" s="4">
        <v>12</v>
      </c>
      <c r="E19" s="4">
        <v>8</v>
      </c>
      <c r="F19" s="4">
        <v>12</v>
      </c>
      <c r="G19" s="4">
        <v>12</v>
      </c>
    </row>
    <row r="20" spans="1:7" x14ac:dyDescent="0.2">
      <c r="A20" t="s">
        <v>8</v>
      </c>
      <c r="C20" s="4">
        <v>12</v>
      </c>
      <c r="D20" s="4">
        <v>12</v>
      </c>
      <c r="E20" s="4">
        <v>12</v>
      </c>
      <c r="F20" s="4">
        <v>12</v>
      </c>
      <c r="G20" s="4">
        <v>12</v>
      </c>
    </row>
    <row r="22" spans="1:7" x14ac:dyDescent="0.2">
      <c r="A22" s="2" t="s">
        <v>9</v>
      </c>
    </row>
    <row r="23" spans="1:7" x14ac:dyDescent="0.2">
      <c r="A23" t="s">
        <v>69</v>
      </c>
      <c r="B23" s="4">
        <v>6</v>
      </c>
    </row>
    <row r="25" spans="1:7" x14ac:dyDescent="0.2">
      <c r="A25" s="2" t="s">
        <v>10</v>
      </c>
    </row>
    <row r="26" spans="1:7" x14ac:dyDescent="0.2">
      <c r="A26" t="s">
        <v>75</v>
      </c>
      <c r="B26" s="4">
        <v>3</v>
      </c>
    </row>
    <row r="27" spans="1:7" x14ac:dyDescent="0.2">
      <c r="A27" t="s">
        <v>80</v>
      </c>
      <c r="B27" s="4">
        <v>9500000</v>
      </c>
    </row>
    <row r="28" spans="1:7" x14ac:dyDescent="0.2">
      <c r="A28" t="s">
        <v>11</v>
      </c>
      <c r="B28" s="4">
        <v>50</v>
      </c>
    </row>
    <row r="29" spans="1:7" x14ac:dyDescent="0.2">
      <c r="A29" t="s">
        <v>76</v>
      </c>
      <c r="B29" s="31">
        <v>1</v>
      </c>
    </row>
    <row r="30" spans="1:7" x14ac:dyDescent="0.2">
      <c r="A30" t="s">
        <v>77</v>
      </c>
      <c r="B30" s="4">
        <v>1600</v>
      </c>
    </row>
    <row r="31" spans="1:7" x14ac:dyDescent="0.2">
      <c r="A31" t="s">
        <v>78</v>
      </c>
      <c r="B31" s="3">
        <v>2.75</v>
      </c>
    </row>
    <row r="32" spans="1:7" x14ac:dyDescent="0.2">
      <c r="A32" t="s">
        <v>79</v>
      </c>
      <c r="B32" s="31">
        <v>0</v>
      </c>
    </row>
    <row r="34" spans="1:7" x14ac:dyDescent="0.2">
      <c r="A34" s="2" t="s">
        <v>98</v>
      </c>
    </row>
    <row r="35" spans="1:7" x14ac:dyDescent="0.2">
      <c r="A35" t="s">
        <v>81</v>
      </c>
      <c r="C35" s="4">
        <v>2200000</v>
      </c>
      <c r="D35" s="4">
        <v>1400000</v>
      </c>
      <c r="E35" s="4">
        <v>4500000</v>
      </c>
      <c r="F35" s="4">
        <v>4500000</v>
      </c>
      <c r="G35" s="4">
        <v>2500000</v>
      </c>
    </row>
    <row r="36" spans="1:7" x14ac:dyDescent="0.2">
      <c r="A36" t="s">
        <v>99</v>
      </c>
      <c r="G36" s="30">
        <v>2000000</v>
      </c>
    </row>
    <row r="38" spans="1:7" x14ac:dyDescent="0.2">
      <c r="A38" s="2" t="s">
        <v>12</v>
      </c>
    </row>
    <row r="39" spans="1:7" x14ac:dyDescent="0.2">
      <c r="A39" t="s">
        <v>13</v>
      </c>
      <c r="C39" s="5">
        <v>2.5</v>
      </c>
      <c r="D39" s="5">
        <v>2.2999999999999998</v>
      </c>
      <c r="E39" s="5">
        <v>1.35</v>
      </c>
      <c r="F39" s="5">
        <v>1.35</v>
      </c>
      <c r="G39" s="5">
        <v>1.35</v>
      </c>
    </row>
    <row r="40" spans="1:7" x14ac:dyDescent="0.2">
      <c r="A40" t="s">
        <v>95</v>
      </c>
      <c r="C40" s="3">
        <v>18</v>
      </c>
      <c r="D40" s="3">
        <v>18</v>
      </c>
      <c r="E40" s="5">
        <v>2.5</v>
      </c>
      <c r="F40" s="5">
        <v>2.5</v>
      </c>
      <c r="G40" s="5">
        <v>2.5</v>
      </c>
    </row>
    <row r="41" spans="1:7" x14ac:dyDescent="0.2">
      <c r="A41" t="s">
        <v>70</v>
      </c>
      <c r="E41" s="5">
        <v>1</v>
      </c>
      <c r="F41" s="5">
        <v>1</v>
      </c>
      <c r="G41" s="5">
        <v>1</v>
      </c>
    </row>
    <row r="43" spans="1:7" x14ac:dyDescent="0.2">
      <c r="A43" s="2" t="s">
        <v>14</v>
      </c>
    </row>
    <row r="44" spans="1:7" x14ac:dyDescent="0.2">
      <c r="A44" t="s">
        <v>15</v>
      </c>
      <c r="C44" s="32">
        <v>0.105</v>
      </c>
      <c r="D44" s="32">
        <v>0.105</v>
      </c>
      <c r="E44" s="32">
        <v>0.105</v>
      </c>
      <c r="F44" s="32">
        <v>1.105</v>
      </c>
      <c r="G44" s="32">
        <v>2.105</v>
      </c>
    </row>
    <row r="45" spans="1:7" x14ac:dyDescent="0.2">
      <c r="A45" t="s">
        <v>16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</row>
    <row r="46" spans="1:7" x14ac:dyDescent="0.2">
      <c r="A46" t="s">
        <v>17</v>
      </c>
      <c r="C46" s="4">
        <v>10</v>
      </c>
      <c r="D46" s="4">
        <v>10</v>
      </c>
      <c r="E46" s="4">
        <v>10</v>
      </c>
      <c r="F46" s="4">
        <v>10</v>
      </c>
      <c r="G46" s="4">
        <v>10</v>
      </c>
    </row>
    <row r="47" spans="1:7" x14ac:dyDescent="0.2">
      <c r="A47" t="s">
        <v>18</v>
      </c>
      <c r="C47" s="6">
        <v>0.25</v>
      </c>
      <c r="D47" s="6">
        <v>0.25</v>
      </c>
      <c r="E47" s="6">
        <v>0.25</v>
      </c>
      <c r="F47" s="6">
        <v>0.25</v>
      </c>
      <c r="G47" s="6">
        <v>0.25</v>
      </c>
    </row>
    <row r="49" spans="1:7" x14ac:dyDescent="0.2">
      <c r="A49" s="2" t="s">
        <v>19</v>
      </c>
    </row>
    <row r="50" spans="1:7" x14ac:dyDescent="0.2">
      <c r="A50" t="s">
        <v>15</v>
      </c>
      <c r="B50" s="32">
        <v>0.105</v>
      </c>
    </row>
    <row r="51" spans="1:7" x14ac:dyDescent="0.2">
      <c r="A51" t="s">
        <v>20</v>
      </c>
      <c r="B51" s="4">
        <v>5</v>
      </c>
    </row>
    <row r="52" spans="1:7" x14ac:dyDescent="0.2">
      <c r="A52" t="s">
        <v>21</v>
      </c>
      <c r="B52" s="4">
        <v>10</v>
      </c>
    </row>
    <row r="53" spans="1:7" x14ac:dyDescent="0.2">
      <c r="A53" t="s">
        <v>18</v>
      </c>
      <c r="B53" s="6">
        <v>0.25</v>
      </c>
    </row>
    <row r="55" spans="1:7" x14ac:dyDescent="0.2">
      <c r="A55" s="2" t="s">
        <v>22</v>
      </c>
    </row>
    <row r="56" spans="1:7" x14ac:dyDescent="0.2">
      <c r="A56" t="s">
        <v>23</v>
      </c>
      <c r="C56" s="6">
        <v>1</v>
      </c>
      <c r="D56" s="6">
        <v>1</v>
      </c>
    </row>
    <row r="57" spans="1:7" x14ac:dyDescent="0.2">
      <c r="A57" t="s">
        <v>24</v>
      </c>
      <c r="C57" s="6">
        <v>1</v>
      </c>
      <c r="D57" s="6">
        <v>1</v>
      </c>
    </row>
    <row r="58" spans="1:7" x14ac:dyDescent="0.2">
      <c r="A58" t="s">
        <v>82</v>
      </c>
      <c r="E58" s="6">
        <v>0.7</v>
      </c>
      <c r="F58" s="6">
        <v>0.7</v>
      </c>
      <c r="G58" s="6">
        <v>0.7</v>
      </c>
    </row>
    <row r="60" spans="1:7" x14ac:dyDescent="0.2">
      <c r="A60" s="2" t="s">
        <v>25</v>
      </c>
    </row>
    <row r="61" spans="1:7" x14ac:dyDescent="0.2">
      <c r="A61" t="s">
        <v>26</v>
      </c>
      <c r="B61" s="7">
        <f>B10*2</f>
        <v>1200</v>
      </c>
    </row>
    <row r="62" spans="1:7" x14ac:dyDescent="0.2">
      <c r="A62" t="s">
        <v>32</v>
      </c>
      <c r="C62" s="7">
        <f>B61*C19*C20</f>
        <v>172800</v>
      </c>
      <c r="D62" s="7">
        <f>B61*D19*D20</f>
        <v>172800</v>
      </c>
      <c r="E62" s="7">
        <f>B61*E19*E20</f>
        <v>115200</v>
      </c>
      <c r="F62" s="7">
        <f>B61*F19*F20</f>
        <v>172800</v>
      </c>
      <c r="G62" s="7">
        <f>B61*G19*G20</f>
        <v>172800</v>
      </c>
    </row>
    <row r="63" spans="1:7" x14ac:dyDescent="0.2">
      <c r="A63" t="s">
        <v>56</v>
      </c>
      <c r="C63" s="7">
        <f>C62/C39</f>
        <v>69120</v>
      </c>
      <c r="D63" s="7">
        <f>D62/D39</f>
        <v>75130.434782608703</v>
      </c>
      <c r="E63" s="20"/>
    </row>
    <row r="64" spans="1:7" x14ac:dyDescent="0.2">
      <c r="A64" t="s">
        <v>102</v>
      </c>
      <c r="C64" s="7"/>
      <c r="D64" s="7"/>
      <c r="E64" s="7">
        <f>E62*E39</f>
        <v>155520</v>
      </c>
      <c r="F64" s="7">
        <f t="shared" ref="F64:G64" si="1">F62*F39</f>
        <v>233280.00000000003</v>
      </c>
      <c r="G64" s="7">
        <f t="shared" si="1"/>
        <v>233280.00000000003</v>
      </c>
    </row>
    <row r="65" spans="1:7" x14ac:dyDescent="0.2">
      <c r="A65" t="s">
        <v>100</v>
      </c>
      <c r="C65" s="7">
        <f>C63*C40</f>
        <v>1244160</v>
      </c>
      <c r="D65" s="7">
        <f>D63*D40</f>
        <v>1352347.8260869565</v>
      </c>
      <c r="E65" s="7">
        <f>E64*E40</f>
        <v>388800</v>
      </c>
      <c r="F65" s="7">
        <f t="shared" ref="F65:G65" si="2">F64*F40</f>
        <v>583200.00000000012</v>
      </c>
      <c r="G65" s="7">
        <f t="shared" si="2"/>
        <v>583200.00000000012</v>
      </c>
    </row>
    <row r="66" spans="1:7" x14ac:dyDescent="0.2">
      <c r="A66" t="s">
        <v>101</v>
      </c>
      <c r="B66" s="7">
        <f>B26*B27</f>
        <v>28500000</v>
      </c>
    </row>
  </sheetData>
  <mergeCells count="3">
    <mergeCell ref="A1:E1"/>
    <mergeCell ref="A2:E2"/>
    <mergeCell ref="I5:J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topLeftCell="A6" zoomScale="125" workbookViewId="0">
      <selection activeCell="A33" sqref="A33:B33"/>
    </sheetView>
  </sheetViews>
  <sheetFormatPr baseColWidth="10" defaultColWidth="8.83203125" defaultRowHeight="15" x14ac:dyDescent="0.2"/>
  <cols>
    <col min="1" max="1" width="40" customWidth="1"/>
    <col min="2" max="2" width="25" customWidth="1"/>
    <col min="3" max="3" width="17.83203125" customWidth="1"/>
  </cols>
  <sheetData>
    <row r="1" spans="1:3" ht="19" x14ac:dyDescent="0.25">
      <c r="A1" s="1" t="s">
        <v>27</v>
      </c>
    </row>
    <row r="2" spans="1:3" x14ac:dyDescent="0.2">
      <c r="B2" s="21" t="s">
        <v>89</v>
      </c>
      <c r="C2" s="21" t="s">
        <v>97</v>
      </c>
    </row>
    <row r="3" spans="1:3" x14ac:dyDescent="0.2">
      <c r="A3" s="2" t="s">
        <v>57</v>
      </c>
    </row>
    <row r="4" spans="1:3" x14ac:dyDescent="0.2">
      <c r="A4" t="s">
        <v>28</v>
      </c>
      <c r="B4" s="8">
        <f>1/Inputs!C39</f>
        <v>0.4</v>
      </c>
      <c r="C4" s="8">
        <f>1/Inputs!D39</f>
        <v>0.43478260869565222</v>
      </c>
    </row>
    <row r="5" spans="1:3" x14ac:dyDescent="0.2">
      <c r="A5" t="s">
        <v>103</v>
      </c>
      <c r="B5" s="9">
        <f>Inputs!C40</f>
        <v>18</v>
      </c>
      <c r="C5" s="9">
        <f>Inputs!D40</f>
        <v>18</v>
      </c>
    </row>
    <row r="6" spans="1:3" x14ac:dyDescent="0.2">
      <c r="A6" t="s">
        <v>104</v>
      </c>
      <c r="B6" s="10">
        <f>B4*B5</f>
        <v>7.2</v>
      </c>
      <c r="C6" s="10">
        <f>C4*C5</f>
        <v>7.8260869565217401</v>
      </c>
    </row>
    <row r="7" spans="1:3" x14ac:dyDescent="0.2">
      <c r="A7" t="s">
        <v>105</v>
      </c>
      <c r="B7" s="7">
        <f>B6*Inputs!C62</f>
        <v>1244160</v>
      </c>
      <c r="C7" s="7">
        <f>C6*Inputs!D62</f>
        <v>1352347.8260869568</v>
      </c>
    </row>
    <row r="9" spans="1:3" x14ac:dyDescent="0.2">
      <c r="A9" s="2" t="s">
        <v>29</v>
      </c>
    </row>
    <row r="10" spans="1:3" x14ac:dyDescent="0.2">
      <c r="A10" t="s">
        <v>107</v>
      </c>
      <c r="B10" s="7">
        <f>Inputs!C35</f>
        <v>2200000</v>
      </c>
      <c r="C10" s="7">
        <f>Inputs!D35</f>
        <v>1400000</v>
      </c>
    </row>
    <row r="11" spans="1:3" x14ac:dyDescent="0.2">
      <c r="A11" t="s">
        <v>108</v>
      </c>
      <c r="B11" s="7">
        <f>B10*Inputs!C47</f>
        <v>550000</v>
      </c>
      <c r="C11" s="7">
        <f>C10*Inputs!C47</f>
        <v>350000</v>
      </c>
    </row>
    <row r="12" spans="1:3" x14ac:dyDescent="0.2">
      <c r="A12" t="s">
        <v>30</v>
      </c>
      <c r="B12" s="7">
        <f>B11/((1+Inputs!C44)^Inputs!C45)</f>
        <v>333849.93759478012</v>
      </c>
      <c r="C12" s="7">
        <f>C11/((1+Inputs!D44)^Inputs!D45)</f>
        <v>212449.96028758734</v>
      </c>
    </row>
    <row r="13" spans="1:3" x14ac:dyDescent="0.2">
      <c r="A13" t="s">
        <v>109</v>
      </c>
      <c r="B13" s="7">
        <f>B10-B12</f>
        <v>1866150.0624052198</v>
      </c>
      <c r="C13" s="7">
        <f>C10-C12</f>
        <v>1187550.0397124127</v>
      </c>
    </row>
    <row r="14" spans="1:3" x14ac:dyDescent="0.2">
      <c r="A14" t="s">
        <v>110</v>
      </c>
      <c r="B14" s="7">
        <f>B13*(Inputs!C44*(1+Inputs!C44)^Inputs!C45)/((1+Inputs!C44)^Inputs!C45-1)</f>
        <v>498589.5673805683</v>
      </c>
      <c r="C14" s="7">
        <f>C13*(Inputs!D44*(1+Inputs!D44)^Inputs!D45)/((1+Inputs!D44)^Inputs!D45-1)</f>
        <v>317284.27015127079</v>
      </c>
    </row>
    <row r="15" spans="1:3" x14ac:dyDescent="0.2">
      <c r="A15" t="s">
        <v>31</v>
      </c>
      <c r="B15" s="7">
        <f>B14*Inputs!C45</f>
        <v>2492947.8369028415</v>
      </c>
      <c r="C15" s="7">
        <f>C14*Inputs!D45</f>
        <v>1586421.3507563539</v>
      </c>
    </row>
    <row r="16" spans="1:3" x14ac:dyDescent="0.2">
      <c r="A16" t="s">
        <v>32</v>
      </c>
      <c r="B16" s="7">
        <f>Inputs!C62</f>
        <v>172800</v>
      </c>
      <c r="C16" s="7">
        <f>Inputs!D62</f>
        <v>172800</v>
      </c>
    </row>
    <row r="17" spans="1:3" x14ac:dyDescent="0.2">
      <c r="A17" t="s">
        <v>33</v>
      </c>
      <c r="B17" s="7">
        <f>B16*Inputs!B52</f>
        <v>1728000</v>
      </c>
      <c r="C17" s="7">
        <f>C16*Inputs!B52</f>
        <v>1728000</v>
      </c>
    </row>
    <row r="18" spans="1:3" x14ac:dyDescent="0.2">
      <c r="A18" t="s">
        <v>111</v>
      </c>
      <c r="B18" s="10">
        <f>B14/B16</f>
        <v>2.8853562927116223</v>
      </c>
      <c r="C18" s="10">
        <f>C14/C16</f>
        <v>1.8361358226346689</v>
      </c>
    </row>
    <row r="20" spans="1:3" x14ac:dyDescent="0.2">
      <c r="A20" s="2" t="s">
        <v>58</v>
      </c>
    </row>
    <row r="21" spans="1:3" x14ac:dyDescent="0.2">
      <c r="A21" t="s">
        <v>112</v>
      </c>
      <c r="B21" s="12">
        <f>Inputs!B23</f>
        <v>6</v>
      </c>
      <c r="C21" s="10">
        <f>B21</f>
        <v>6</v>
      </c>
    </row>
    <row r="22" spans="1:3" x14ac:dyDescent="0.2">
      <c r="A22" t="s">
        <v>113</v>
      </c>
      <c r="B22" s="7">
        <f>B21*B16</f>
        <v>1036800</v>
      </c>
      <c r="C22" s="7">
        <f>C21*C16</f>
        <v>1036800</v>
      </c>
    </row>
    <row r="24" spans="1:3" x14ac:dyDescent="0.2">
      <c r="A24" s="2" t="s">
        <v>59</v>
      </c>
    </row>
    <row r="25" spans="1:3" x14ac:dyDescent="0.2">
      <c r="A25" t="s">
        <v>35</v>
      </c>
      <c r="B25" s="11">
        <f>B6</f>
        <v>7.2</v>
      </c>
      <c r="C25" s="11">
        <f>C6</f>
        <v>7.8260869565217401</v>
      </c>
    </row>
    <row r="26" spans="1:3" x14ac:dyDescent="0.2">
      <c r="A26" t="s">
        <v>36</v>
      </c>
      <c r="B26" s="11">
        <f>B18</f>
        <v>2.8853562927116223</v>
      </c>
      <c r="C26" s="11">
        <f>C18</f>
        <v>1.8361358226346689</v>
      </c>
    </row>
    <row r="27" spans="1:3" x14ac:dyDescent="0.2">
      <c r="A27" t="s">
        <v>37</v>
      </c>
      <c r="B27" s="11">
        <f>B21</f>
        <v>6</v>
      </c>
      <c r="C27" s="11">
        <f>C21</f>
        <v>6</v>
      </c>
    </row>
    <row r="28" spans="1:3" x14ac:dyDescent="0.2">
      <c r="A28" t="s">
        <v>128</v>
      </c>
      <c r="B28" s="10">
        <f>B25+B26+B27</f>
        <v>16.085356292711623</v>
      </c>
      <c r="C28" s="10">
        <f>C25+C26+C27</f>
        <v>15.662222779156409</v>
      </c>
    </row>
    <row r="30" spans="1:3" x14ac:dyDescent="0.2">
      <c r="A30" s="2" t="s">
        <v>38</v>
      </c>
    </row>
    <row r="31" spans="1:3" x14ac:dyDescent="0.2">
      <c r="A31" t="s">
        <v>114</v>
      </c>
      <c r="B31" s="7">
        <f>B14+B22+B7</f>
        <v>2779549.567380568</v>
      </c>
      <c r="C31" s="7">
        <f>C14+C22+C7</f>
        <v>2706432.0962382276</v>
      </c>
    </row>
    <row r="32" spans="1:3" x14ac:dyDescent="0.2">
      <c r="A32" t="s">
        <v>115</v>
      </c>
      <c r="B32" s="7">
        <f>B7+B22</f>
        <v>2280960</v>
      </c>
      <c r="C32" s="7">
        <f>C7+C22</f>
        <v>2389147.826086957</v>
      </c>
    </row>
    <row r="33" spans="1:3" x14ac:dyDescent="0.2">
      <c r="A33" t="s">
        <v>131</v>
      </c>
      <c r="B33" s="7">
        <f>B11</f>
        <v>550000</v>
      </c>
      <c r="C33" s="7">
        <f>C11</f>
        <v>350000</v>
      </c>
    </row>
    <row r="34" spans="1:3" x14ac:dyDescent="0.2">
      <c r="A34" t="s">
        <v>120</v>
      </c>
      <c r="B34" s="7">
        <f>(B31*Inputs!C45)+((Inputs!C46-Inputs!C45)*B32)+B11</f>
        <v>25852547.836902842</v>
      </c>
      <c r="C34" s="7">
        <f>(C31*Inputs!D45)+((Inputs!D46-Inputs!D45)*C32)+C11</f>
        <v>25827899.611625925</v>
      </c>
    </row>
    <row r="35" spans="1:3" x14ac:dyDescent="0.2">
      <c r="A35" t="s">
        <v>60</v>
      </c>
      <c r="B35" s="33">
        <f>B34/(B16*Inputs!C46)</f>
        <v>14.960965183392849</v>
      </c>
      <c r="C35" s="33">
        <f>C34/(C16*Inputs!D46)</f>
        <v>14.946701164135373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topLeftCell="A16" zoomScale="133" workbookViewId="0">
      <selection activeCell="G13" sqref="G13"/>
    </sheetView>
  </sheetViews>
  <sheetFormatPr baseColWidth="10" defaultColWidth="8.83203125" defaultRowHeight="15" x14ac:dyDescent="0.2"/>
  <cols>
    <col min="1" max="1" width="40" customWidth="1"/>
    <col min="2" max="2" width="25" customWidth="1"/>
    <col min="3" max="3" width="13.83203125" bestFit="1" customWidth="1"/>
    <col min="4" max="4" width="10.6640625" bestFit="1" customWidth="1"/>
  </cols>
  <sheetData>
    <row r="1" spans="1:4" ht="19" x14ac:dyDescent="0.25">
      <c r="A1" s="1" t="s">
        <v>39</v>
      </c>
    </row>
    <row r="2" spans="1:4" x14ac:dyDescent="0.2">
      <c r="B2" s="21" t="s">
        <v>83</v>
      </c>
      <c r="C2" s="21" t="s">
        <v>90</v>
      </c>
      <c r="D2" s="21" t="s">
        <v>94</v>
      </c>
    </row>
    <row r="3" spans="1:4" x14ac:dyDescent="0.2">
      <c r="A3" s="2" t="s">
        <v>57</v>
      </c>
    </row>
    <row r="4" spans="1:4" x14ac:dyDescent="0.2">
      <c r="A4" t="s">
        <v>40</v>
      </c>
      <c r="B4" s="27">
        <f>Inputs!E39</f>
        <v>1.35</v>
      </c>
      <c r="C4" s="27">
        <f>Inputs!F39</f>
        <v>1.35</v>
      </c>
      <c r="D4" s="27">
        <f>Inputs!G39</f>
        <v>1.35</v>
      </c>
    </row>
    <row r="5" spans="1:4" x14ac:dyDescent="0.2">
      <c r="A5" t="s">
        <v>116</v>
      </c>
      <c r="B5" s="26">
        <f>Inputs!E40</f>
        <v>2.5</v>
      </c>
      <c r="C5" s="26">
        <f>Inputs!F40</f>
        <v>2.5</v>
      </c>
      <c r="D5" s="26">
        <f>Inputs!G40+(D7/D9)</f>
        <v>4.6373009575641646</v>
      </c>
    </row>
    <row r="6" spans="1:4" x14ac:dyDescent="0.2">
      <c r="A6" t="s">
        <v>104</v>
      </c>
      <c r="B6" s="25">
        <f>B4*B5</f>
        <v>3.375</v>
      </c>
      <c r="C6" s="25">
        <f>C4*C5</f>
        <v>3.375</v>
      </c>
      <c r="D6" s="25">
        <f>D4*D5</f>
        <v>6.2603562927116227</v>
      </c>
    </row>
    <row r="7" spans="1:4" x14ac:dyDescent="0.2">
      <c r="A7" t="s">
        <v>133</v>
      </c>
      <c r="B7" s="15"/>
      <c r="C7" s="15"/>
      <c r="D7" s="15">
        <f>Inputs!G36/Inputs!G35*'Electric Analysis'!D16*1.1</f>
        <v>498589.56738056848</v>
      </c>
    </row>
    <row r="8" spans="1:4" x14ac:dyDescent="0.2">
      <c r="A8" t="s">
        <v>117</v>
      </c>
      <c r="B8" s="15">
        <f>B6*B18</f>
        <v>388800</v>
      </c>
      <c r="C8" s="15">
        <f>C6*C18</f>
        <v>583200</v>
      </c>
      <c r="D8" s="15">
        <f>D6*D18</f>
        <v>1081789.5673805685</v>
      </c>
    </row>
    <row r="9" spans="1:4" x14ac:dyDescent="0.2">
      <c r="A9" t="s">
        <v>132</v>
      </c>
      <c r="B9" s="15">
        <f>B18*B4</f>
        <v>155520</v>
      </c>
      <c r="C9" s="15">
        <f t="shared" ref="C9:D9" si="0">C18*C4</f>
        <v>233280.00000000003</v>
      </c>
      <c r="D9" s="15">
        <f t="shared" si="0"/>
        <v>233280.00000000003</v>
      </c>
    </row>
    <row r="11" spans="1:4" x14ac:dyDescent="0.2">
      <c r="A11" s="2" t="s">
        <v>61</v>
      </c>
    </row>
    <row r="12" spans="1:4" x14ac:dyDescent="0.2">
      <c r="A12" t="s">
        <v>107</v>
      </c>
      <c r="B12" s="7">
        <f>Inputs!E35</f>
        <v>4500000</v>
      </c>
      <c r="C12" s="7">
        <f>Inputs!F35</f>
        <v>4500000</v>
      </c>
      <c r="D12" s="7">
        <f>Inputs!G35</f>
        <v>2500000</v>
      </c>
    </row>
    <row r="13" spans="1:4" x14ac:dyDescent="0.2">
      <c r="A13" t="s">
        <v>108</v>
      </c>
      <c r="B13" s="7">
        <f>B12*Inputs!E47</f>
        <v>1125000</v>
      </c>
      <c r="C13" s="7">
        <f>C12*Inputs!E47</f>
        <v>1125000</v>
      </c>
      <c r="D13" s="7">
        <f>D12*Inputs!E47</f>
        <v>625000</v>
      </c>
    </row>
    <row r="14" spans="1:4" x14ac:dyDescent="0.2">
      <c r="A14" t="s">
        <v>30</v>
      </c>
      <c r="B14" s="7">
        <f>B13/((1+Inputs!E44)^Inputs!E45)</f>
        <v>682874.87235295936</v>
      </c>
      <c r="C14" s="7">
        <f>C13/((1+Inputs!E44)^Inputs!E45)</f>
        <v>682874.87235295936</v>
      </c>
      <c r="D14" s="7">
        <f>D13/((1+Inputs!E44)^Inputs!E45)</f>
        <v>379374.92908497737</v>
      </c>
    </row>
    <row r="15" spans="1:4" x14ac:dyDescent="0.2">
      <c r="A15" t="s">
        <v>118</v>
      </c>
      <c r="B15" s="7">
        <f>B12-B14</f>
        <v>3817125.1276470404</v>
      </c>
      <c r="C15" s="7">
        <f>C12-C14</f>
        <v>3817125.1276470404</v>
      </c>
      <c r="D15" s="7">
        <f>D12-D14</f>
        <v>2120625.0709150229</v>
      </c>
    </row>
    <row r="16" spans="1:4" x14ac:dyDescent="0.2">
      <c r="A16" t="s">
        <v>119</v>
      </c>
      <c r="B16" s="7">
        <f>B15*(Inputs!$E44*(1+Inputs!$E44)^Inputs!$E45)/((1+Inputs!$E44)^Inputs!$E45-1)</f>
        <v>1019842.2969147988</v>
      </c>
      <c r="C16" s="7">
        <f>C15*(Inputs!$E44*(1+Inputs!$E44)^Inputs!$E45)/((1+Inputs!$E44)^Inputs!$E45-1)</f>
        <v>1019842.2969147988</v>
      </c>
      <c r="D16" s="7">
        <f>D15*(Inputs!$E44*(1+Inputs!$E44)^Inputs!$E45)/((1+Inputs!$E44)^Inputs!$E45-1)</f>
        <v>566579.05384155503</v>
      </c>
    </row>
    <row r="17" spans="1:4" x14ac:dyDescent="0.2">
      <c r="A17" t="s">
        <v>31</v>
      </c>
      <c r="B17" s="7">
        <f>B16*Inputs!E45</f>
        <v>5099211.4845739938</v>
      </c>
      <c r="C17" s="7">
        <f>C16*Inputs!E45</f>
        <v>5099211.4845739938</v>
      </c>
      <c r="D17" s="7">
        <f>D16*Inputs!G45</f>
        <v>2832895.2692077751</v>
      </c>
    </row>
    <row r="18" spans="1:4" x14ac:dyDescent="0.2">
      <c r="A18" t="s">
        <v>32</v>
      </c>
      <c r="B18" s="7">
        <f>Inputs!E62</f>
        <v>115200</v>
      </c>
      <c r="C18" s="7">
        <f>Inputs!F62</f>
        <v>172800</v>
      </c>
      <c r="D18" s="7">
        <f>Inputs!G62</f>
        <v>172800</v>
      </c>
    </row>
    <row r="19" spans="1:4" x14ac:dyDescent="0.2">
      <c r="A19" t="s">
        <v>33</v>
      </c>
      <c r="B19" s="7">
        <f>B18*Inputs!B52</f>
        <v>1152000</v>
      </c>
      <c r="C19" s="7">
        <f>C18*Inputs!B52</f>
        <v>1728000</v>
      </c>
      <c r="D19" s="7">
        <f>D18*Inputs!B52</f>
        <v>1728000</v>
      </c>
    </row>
    <row r="20" spans="1:4" x14ac:dyDescent="0.2">
      <c r="A20" t="s">
        <v>111</v>
      </c>
      <c r="B20" s="10">
        <f>B16/B18</f>
        <v>8.8527977162742957</v>
      </c>
      <c r="C20" s="10">
        <f t="shared" ref="C20:D20" si="1">C16/C18</f>
        <v>5.9018651441828638</v>
      </c>
      <c r="D20" s="10">
        <f t="shared" si="1"/>
        <v>3.2788139689904803</v>
      </c>
    </row>
    <row r="22" spans="1:4" x14ac:dyDescent="0.2">
      <c r="A22" s="2" t="s">
        <v>62</v>
      </c>
    </row>
    <row r="23" spans="1:4" x14ac:dyDescent="0.2">
      <c r="A23" t="s">
        <v>112</v>
      </c>
      <c r="B23" s="15">
        <f>Inputs!B23</f>
        <v>6</v>
      </c>
      <c r="C23" s="15">
        <f>Inputs!B23</f>
        <v>6</v>
      </c>
      <c r="D23" s="15">
        <f>Inputs!B23</f>
        <v>6</v>
      </c>
    </row>
    <row r="24" spans="1:4" x14ac:dyDescent="0.2">
      <c r="A24" t="s">
        <v>113</v>
      </c>
      <c r="B24" s="22">
        <f>B23*B18</f>
        <v>691200</v>
      </c>
      <c r="C24" s="22">
        <f>C23*C18</f>
        <v>1036800</v>
      </c>
      <c r="D24" s="22">
        <f>D23*D18</f>
        <v>1036800</v>
      </c>
    </row>
    <row r="26" spans="1:4" x14ac:dyDescent="0.2">
      <c r="A26" s="2" t="s">
        <v>34</v>
      </c>
    </row>
    <row r="27" spans="1:4" x14ac:dyDescent="0.2">
      <c r="A27" t="s">
        <v>35</v>
      </c>
      <c r="B27" s="11">
        <f>B6</f>
        <v>3.375</v>
      </c>
      <c r="C27" s="11">
        <f>C6</f>
        <v>3.375</v>
      </c>
      <c r="D27" s="11">
        <f>D6</f>
        <v>6.2603562927116227</v>
      </c>
    </row>
    <row r="28" spans="1:4" x14ac:dyDescent="0.2">
      <c r="A28" t="s">
        <v>36</v>
      </c>
      <c r="B28" s="11">
        <f>B20</f>
        <v>8.8527977162742957</v>
      </c>
      <c r="C28" s="11">
        <f>C20</f>
        <v>5.9018651441828638</v>
      </c>
      <c r="D28" s="11">
        <f>D20</f>
        <v>3.2788139689904803</v>
      </c>
    </row>
    <row r="29" spans="1:4" x14ac:dyDescent="0.2">
      <c r="A29" t="s">
        <v>37</v>
      </c>
      <c r="B29" s="11">
        <f>B23</f>
        <v>6</v>
      </c>
      <c r="C29" s="11">
        <f>C23</f>
        <v>6</v>
      </c>
      <c r="D29" s="11">
        <f>D23</f>
        <v>6</v>
      </c>
    </row>
    <row r="30" spans="1:4" x14ac:dyDescent="0.2">
      <c r="A30" t="s">
        <v>128</v>
      </c>
      <c r="B30" s="10">
        <f>B27+B28+B29</f>
        <v>18.227797716274296</v>
      </c>
      <c r="C30" s="10">
        <f>C27+C28+C29</f>
        <v>15.276865144182864</v>
      </c>
      <c r="D30" s="10">
        <f>D27+D28+D29</f>
        <v>15.539170261702104</v>
      </c>
    </row>
    <row r="32" spans="1:4" x14ac:dyDescent="0.2">
      <c r="A32" s="2" t="s">
        <v>38</v>
      </c>
    </row>
    <row r="33" spans="1:4" x14ac:dyDescent="0.2">
      <c r="A33" t="s">
        <v>114</v>
      </c>
      <c r="B33" s="7">
        <f>B8+B16+B24</f>
        <v>2099842.2969147987</v>
      </c>
      <c r="C33" s="7">
        <f>C16+C24+C8</f>
        <v>2639842.2969147987</v>
      </c>
      <c r="D33" s="7">
        <f>D16+D24+D8</f>
        <v>2685168.6212221235</v>
      </c>
    </row>
    <row r="34" spans="1:4" x14ac:dyDescent="0.2">
      <c r="A34" t="s">
        <v>115</v>
      </c>
      <c r="B34" s="7">
        <f>B8+B24</f>
        <v>1080000</v>
      </c>
      <c r="C34" s="7">
        <f>C8+C24</f>
        <v>1620000</v>
      </c>
      <c r="D34" s="7">
        <f>D8+D24</f>
        <v>2118589.5673805685</v>
      </c>
    </row>
    <row r="35" spans="1:4" x14ac:dyDescent="0.2">
      <c r="A35" t="s">
        <v>131</v>
      </c>
      <c r="B35" s="7">
        <f>B13</f>
        <v>1125000</v>
      </c>
      <c r="C35" s="7">
        <f t="shared" ref="C35:D35" si="2">C13</f>
        <v>1125000</v>
      </c>
      <c r="D35" s="7">
        <f t="shared" si="2"/>
        <v>625000</v>
      </c>
    </row>
    <row r="36" spans="1:4" x14ac:dyDescent="0.2">
      <c r="A36" t="s">
        <v>120</v>
      </c>
      <c r="B36" s="7">
        <f>(B33*Inputs!$E45)+((Inputs!$E46-Inputs!$E45)*B34)+B13</f>
        <v>17024211.484573994</v>
      </c>
      <c r="C36" s="7">
        <f>(C33*Inputs!F45)+((Inputs!F46-Inputs!F45)*C34)+C13</f>
        <v>22424211.484573994</v>
      </c>
      <c r="D36" s="7">
        <f>(D33*Inputs!G45)+((Inputs!G46-Inputs!G45)*D34)+D13</f>
        <v>24643790.943013459</v>
      </c>
    </row>
    <row r="37" spans="1:4" x14ac:dyDescent="0.2">
      <c r="A37" t="s">
        <v>60</v>
      </c>
      <c r="B37" s="33">
        <f>B36/B19</f>
        <v>14.777961358137148</v>
      </c>
      <c r="C37" s="33">
        <f>C36/C19</f>
        <v>12.976974238758098</v>
      </c>
      <c r="D37" s="33">
        <f>D36/D19</f>
        <v>14.261453092021679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zoomScale="132" workbookViewId="0">
      <selection activeCell="A34" sqref="A34"/>
    </sheetView>
  </sheetViews>
  <sheetFormatPr baseColWidth="10" defaultColWidth="8.83203125" defaultRowHeight="15" x14ac:dyDescent="0.2"/>
  <cols>
    <col min="1" max="1" width="40" customWidth="1"/>
    <col min="2" max="3" width="25" customWidth="1"/>
    <col min="4" max="4" width="4.6640625" customWidth="1"/>
    <col min="5" max="5" width="17.5" customWidth="1"/>
    <col min="6" max="7" width="17.33203125" customWidth="1"/>
  </cols>
  <sheetData>
    <row r="1" spans="1:4" ht="19" x14ac:dyDescent="0.25">
      <c r="A1" s="1" t="s">
        <v>41</v>
      </c>
    </row>
    <row r="3" spans="1:4" hidden="1" x14ac:dyDescent="0.2">
      <c r="A3" s="2" t="s">
        <v>42</v>
      </c>
    </row>
    <row r="4" spans="1:4" ht="16" hidden="1" x14ac:dyDescent="0.2">
      <c r="A4" s="14" t="s">
        <v>43</v>
      </c>
      <c r="B4" s="14" t="s">
        <v>2</v>
      </c>
      <c r="C4" s="14" t="s">
        <v>3</v>
      </c>
      <c r="D4" s="14" t="s">
        <v>44</v>
      </c>
    </row>
    <row r="5" spans="1:4" hidden="1" x14ac:dyDescent="0.2">
      <c r="A5" t="s">
        <v>45</v>
      </c>
      <c r="B5" s="11">
        <f>'Diesel Analysis'!B6</f>
        <v>7.2</v>
      </c>
      <c r="C5" s="11">
        <f>'Electric Analysis'!B6</f>
        <v>3.375</v>
      </c>
      <c r="D5" s="11">
        <f>B5-C5</f>
        <v>3.8250000000000002</v>
      </c>
    </row>
    <row r="6" spans="1:4" hidden="1" x14ac:dyDescent="0.2">
      <c r="A6" t="s">
        <v>46</v>
      </c>
      <c r="B6" s="11">
        <f>'Diesel Analysis'!B18</f>
        <v>2.8853562927116223</v>
      </c>
      <c r="C6" s="11">
        <f>'Electric Analysis'!B20</f>
        <v>8.8527977162742957</v>
      </c>
      <c r="D6" s="11">
        <f>B6-C6</f>
        <v>-5.9674414235626738</v>
      </c>
    </row>
    <row r="7" spans="1:4" hidden="1" x14ac:dyDescent="0.2">
      <c r="A7" t="s">
        <v>47</v>
      </c>
      <c r="B7" s="11">
        <f>'Diesel Analysis'!B21</f>
        <v>6</v>
      </c>
      <c r="C7" s="11">
        <f>'Electric Analysis'!B23</f>
        <v>6</v>
      </c>
      <c r="D7" s="11">
        <f>B7-C7</f>
        <v>0</v>
      </c>
    </row>
    <row r="8" spans="1:4" hidden="1" x14ac:dyDescent="0.2">
      <c r="A8" t="s">
        <v>48</v>
      </c>
      <c r="B8" s="10">
        <f>'Diesel Analysis'!B28</f>
        <v>16.085356292711623</v>
      </c>
      <c r="C8" s="10">
        <f>'Electric Analysis'!B30</f>
        <v>18.227797716274296</v>
      </c>
      <c r="D8" s="10">
        <f>B8-C8</f>
        <v>-2.1424414235626728</v>
      </c>
    </row>
    <row r="9" spans="1:4" hidden="1" x14ac:dyDescent="0.2">
      <c r="A9" t="s">
        <v>49</v>
      </c>
      <c r="C9" s="13">
        <f>D8/B8</f>
        <v>-0.13319204029900331</v>
      </c>
    </row>
    <row r="10" spans="1:4" hidden="1" x14ac:dyDescent="0.2"/>
    <row r="11" spans="1:4" hidden="1" x14ac:dyDescent="0.2">
      <c r="A11" s="2" t="s">
        <v>50</v>
      </c>
    </row>
    <row r="12" spans="1:4" ht="16" hidden="1" x14ac:dyDescent="0.2">
      <c r="A12" s="14" t="s">
        <v>51</v>
      </c>
      <c r="B12" s="14" t="s">
        <v>2</v>
      </c>
      <c r="C12" s="14" t="s">
        <v>3</v>
      </c>
      <c r="D12" s="14" t="s">
        <v>44</v>
      </c>
    </row>
    <row r="13" spans="1:4" hidden="1" x14ac:dyDescent="0.2">
      <c r="A13" t="s">
        <v>52</v>
      </c>
      <c r="B13" s="7">
        <f>'Diesel Analysis'!B31</f>
        <v>2779549.567380568</v>
      </c>
      <c r="C13" s="7">
        <f>'Electric Analysis'!B33</f>
        <v>2099842.2969147987</v>
      </c>
      <c r="D13" s="7">
        <f>B13-C13</f>
        <v>679707.27046576934</v>
      </c>
    </row>
    <row r="14" spans="1:4" hidden="1" x14ac:dyDescent="0.2">
      <c r="A14" t="s">
        <v>53</v>
      </c>
      <c r="B14" s="7">
        <f>B13*Inputs!B28</f>
        <v>138977478.36902839</v>
      </c>
      <c r="C14" s="7">
        <f>C13*Inputs!B28</f>
        <v>104992114.84573993</v>
      </c>
      <c r="D14" s="7">
        <f>B14-C14</f>
        <v>33985363.523288459</v>
      </c>
    </row>
    <row r="15" spans="1:4" hidden="1" x14ac:dyDescent="0.2"/>
    <row r="16" spans="1:4" hidden="1" x14ac:dyDescent="0.2">
      <c r="A16" s="2" t="s">
        <v>54</v>
      </c>
    </row>
    <row r="17" spans="1:7" ht="16" hidden="1" x14ac:dyDescent="0.2">
      <c r="A17" s="14" t="s">
        <v>51</v>
      </c>
      <c r="B17" s="14" t="s">
        <v>2</v>
      </c>
      <c r="C17" s="14" t="s">
        <v>3</v>
      </c>
      <c r="D17" s="14" t="s">
        <v>44</v>
      </c>
    </row>
    <row r="18" spans="1:7" hidden="1" x14ac:dyDescent="0.2">
      <c r="A18" t="s">
        <v>52</v>
      </c>
      <c r="B18" s="7">
        <f>'Diesel Analysis'!B34</f>
        <v>25852547.836902842</v>
      </c>
      <c r="C18" s="7">
        <f>'Electric Analysis'!B34</f>
        <v>1080000</v>
      </c>
      <c r="D18" s="7">
        <f>B18-C18</f>
        <v>24772547.836902842</v>
      </c>
    </row>
    <row r="19" spans="1:7" hidden="1" x14ac:dyDescent="0.2">
      <c r="A19" t="s">
        <v>53</v>
      </c>
      <c r="B19" s="7">
        <f>B18*Inputs!B28</f>
        <v>1292627391.8451421</v>
      </c>
      <c r="C19" s="7">
        <f>C18*Inputs!B28</f>
        <v>54000000</v>
      </c>
      <c r="D19" s="7">
        <f>B19-C19</f>
        <v>1238627391.8451421</v>
      </c>
    </row>
    <row r="21" spans="1:7" x14ac:dyDescent="0.2">
      <c r="A21" s="2" t="s">
        <v>55</v>
      </c>
      <c r="B21" s="21" t="s">
        <v>106</v>
      </c>
      <c r="C21" s="21" t="s">
        <v>97</v>
      </c>
      <c r="E21" s="21" t="s">
        <v>83</v>
      </c>
      <c r="F21" s="21" t="s">
        <v>90</v>
      </c>
      <c r="G21" s="21" t="s">
        <v>94</v>
      </c>
    </row>
    <row r="22" spans="1:7" x14ac:dyDescent="0.2">
      <c r="A22" t="s">
        <v>121</v>
      </c>
      <c r="B22" s="40">
        <f>'Diesel Analysis'!B34</f>
        <v>25852547.836902842</v>
      </c>
      <c r="C22" s="40">
        <f>'Diesel Analysis'!C34</f>
        <v>25827899.611625925</v>
      </c>
      <c r="E22" s="36">
        <f>'Electric Analysis'!B36</f>
        <v>17024211.484573994</v>
      </c>
      <c r="F22" s="36">
        <f>'Electric Analysis'!C36</f>
        <v>22424211.484573994</v>
      </c>
      <c r="G22" s="36">
        <f>'Electric Analysis'!D36</f>
        <v>24643790.943013459</v>
      </c>
    </row>
    <row r="23" spans="1:7" x14ac:dyDescent="0.2">
      <c r="A23" t="s">
        <v>129</v>
      </c>
      <c r="B23" s="41">
        <f>'Diesel Analysis'!B28</f>
        <v>16.085356292711623</v>
      </c>
      <c r="C23" s="42">
        <f>'Diesel Analysis'!C28</f>
        <v>15.662222779156409</v>
      </c>
      <c r="E23" s="37">
        <f>'Electric Analysis'!B30</f>
        <v>18.227797716274296</v>
      </c>
      <c r="F23" s="37">
        <f>'Electric Analysis'!C30</f>
        <v>15.276865144182864</v>
      </c>
      <c r="G23" s="37">
        <f>'Electric Analysis'!D30</f>
        <v>15.539170261702104</v>
      </c>
    </row>
    <row r="24" spans="1:7" x14ac:dyDescent="0.2">
      <c r="A24" t="s">
        <v>130</v>
      </c>
      <c r="B24" s="12">
        <f>'Diesel Analysis'!B35</f>
        <v>14.960965183392849</v>
      </c>
      <c r="C24" s="35">
        <f>'Diesel Analysis'!C35</f>
        <v>14.946701164135373</v>
      </c>
      <c r="E24" s="43">
        <f>'Electric Analysis'!B37</f>
        <v>14.777961358137148</v>
      </c>
      <c r="F24" s="43">
        <f>'Electric Analysis'!C37</f>
        <v>12.976974238758098</v>
      </c>
      <c r="G24" s="43">
        <f>'Electric Analysis'!D37</f>
        <v>14.261453092021679</v>
      </c>
    </row>
    <row r="25" spans="1:7" x14ac:dyDescent="0.2">
      <c r="A25" t="s">
        <v>122</v>
      </c>
      <c r="B25" s="22"/>
      <c r="C25" s="22"/>
      <c r="E25" s="38">
        <f>E24-B24</f>
        <v>-0.18300382525570136</v>
      </c>
      <c r="F25" s="38">
        <f>F24-B24</f>
        <v>-1.9839909446347512</v>
      </c>
      <c r="G25" s="38">
        <f>G24-B24</f>
        <v>-0.69951209137117054</v>
      </c>
    </row>
    <row r="26" spans="1:7" x14ac:dyDescent="0.2">
      <c r="A26" t="s">
        <v>123</v>
      </c>
      <c r="B26" s="34"/>
      <c r="C26" s="22"/>
      <c r="E26" s="39">
        <f>E25/B24</f>
        <v>-1.2232086834801372E-2</v>
      </c>
      <c r="F26" s="39">
        <f>F25/B24</f>
        <v>-0.13261115979582955</v>
      </c>
      <c r="G26" s="39">
        <f>G25/B24</f>
        <v>-4.6755813063962703E-2</v>
      </c>
    </row>
    <row r="27" spans="1:7" x14ac:dyDescent="0.2">
      <c r="A27" t="s">
        <v>125</v>
      </c>
      <c r="B27" s="22"/>
      <c r="C27" s="22"/>
      <c r="E27" s="38">
        <f>E24-C24</f>
        <v>-0.16873980599822502</v>
      </c>
      <c r="F27" s="38">
        <f>F24-C24</f>
        <v>-1.9697269253772749</v>
      </c>
      <c r="G27" s="38">
        <f>G24-C24</f>
        <v>-0.68524807211369421</v>
      </c>
    </row>
    <row r="28" spans="1:7" x14ac:dyDescent="0.2">
      <c r="A28" t="s">
        <v>126</v>
      </c>
      <c r="B28" s="24"/>
      <c r="C28" s="22"/>
      <c r="E28" s="39">
        <f>E27/C24</f>
        <v>-1.1289434648169483E-2</v>
      </c>
      <c r="F28" s="39">
        <f>F27/C24</f>
        <v>-0.13178338843782045</v>
      </c>
      <c r="G28" s="39">
        <f>G27/C24</f>
        <v>-4.5846107752388052E-2</v>
      </c>
    </row>
    <row r="29" spans="1:7" x14ac:dyDescent="0.2">
      <c r="A29" t="s">
        <v>124</v>
      </c>
      <c r="B29" s="34"/>
      <c r="C29" s="22"/>
      <c r="E29" s="36"/>
      <c r="F29" s="36">
        <f>F22-B22</f>
        <v>-3428336.3523288481</v>
      </c>
      <c r="G29" s="36">
        <f>G22-B22</f>
        <v>-1208756.8938893825</v>
      </c>
    </row>
    <row r="30" spans="1:7" x14ac:dyDescent="0.2">
      <c r="A30" t="s">
        <v>127</v>
      </c>
      <c r="B30" s="34"/>
      <c r="C30" s="22"/>
      <c r="E30" s="36"/>
      <c r="F30" s="36">
        <f>F22-C22</f>
        <v>-3403688.1270519309</v>
      </c>
      <c r="G30" s="36">
        <f>G22-C22</f>
        <v>-1184108.6686124653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Diesel Analysis</vt:lpstr>
      <vt:lpstr>Electric Analysis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Abdool Kamdar</cp:lastModifiedBy>
  <dcterms:created xsi:type="dcterms:W3CDTF">2025-10-19T10:55:33Z</dcterms:created>
  <dcterms:modified xsi:type="dcterms:W3CDTF">2025-10-30T19:39:07Z</dcterms:modified>
</cp:coreProperties>
</file>