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maya\Box\AA_Sigal_Documents\Climate - Health\Wildfire Asthma Microsim\Modeling\Calibration\Asthma states\"/>
    </mc:Choice>
  </mc:AlternateContent>
  <xr:revisionPtr revIDLastSave="0" documentId="13_ncr:1_{375B5492-CADB-4DFD-B50D-A59281779DD0}" xr6:coauthVersionLast="47" xr6:coauthVersionMax="47" xr10:uidLastSave="{00000000-0000-0000-0000-000000000000}"/>
  <bookViews>
    <workbookView xWindow="-108" yWindow="-108" windowWidth="30936" windowHeight="16896" activeTab="2" xr2:uid="{95115A8E-B4AD-A141-83E3-2764AA2AD3E5}"/>
  </bookViews>
  <sheets>
    <sheet name="Calibrate2distribution" sheetId="1" r:id="rId1"/>
    <sheet name="Methodology" sheetId="2" r:id="rId2"/>
    <sheet name="Check-calib2transprob"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20" i="4" l="1"/>
  <c r="AR10" i="4"/>
  <c r="AR11" i="4" s="1"/>
  <c r="AS11" i="4"/>
  <c r="AS10" i="4"/>
  <c r="AJ18" i="4"/>
  <c r="AK18" i="4"/>
  <c r="AL18" i="4"/>
  <c r="AM18" i="4"/>
  <c r="AN18" i="4"/>
  <c r="AJ20" i="4"/>
  <c r="AO18" i="4" l="1"/>
  <c r="AN17" i="4"/>
  <c r="AM17" i="4"/>
  <c r="AL17" i="4"/>
  <c r="AK17" i="4"/>
  <c r="AJ17" i="4"/>
  <c r="AO15" i="4"/>
  <c r="AN15" i="4"/>
  <c r="AO14" i="4"/>
  <c r="AM14" i="4"/>
  <c r="AO13" i="4"/>
  <c r="AL13" i="4"/>
  <c r="AL20" i="4" s="1"/>
  <c r="AO12" i="4"/>
  <c r="AK12" i="4"/>
  <c r="AK20" i="4" s="1"/>
  <c r="AO11" i="4"/>
  <c r="AK4" i="4"/>
  <c r="AM20" i="4" l="1"/>
  <c r="AN21" i="4" s="1"/>
  <c r="AJ11" i="4"/>
  <c r="AL21" i="4" l="1"/>
  <c r="AK21" i="4"/>
  <c r="AJ21" i="4"/>
  <c r="AO20" i="4"/>
  <c r="AO19" i="4"/>
  <c r="AM21" i="4" l="1"/>
  <c r="AN22" i="4" s="1"/>
  <c r="AL22" i="4" l="1"/>
  <c r="AJ22" i="4"/>
  <c r="AK22" i="4"/>
  <c r="AO21" i="4"/>
  <c r="R15" i="1"/>
  <c r="R14" i="1"/>
  <c r="R13" i="1"/>
  <c r="R12" i="1"/>
  <c r="R11" i="1"/>
  <c r="R16" i="1" s="1"/>
  <c r="Q16" i="1"/>
  <c r="T15" i="4"/>
  <c r="AA15" i="4" s="1"/>
  <c r="U15" i="4"/>
  <c r="AB15" i="4" s="1"/>
  <c r="V12" i="4"/>
  <c r="AC12" i="4" s="1"/>
  <c r="AE15" i="4"/>
  <c r="AE14" i="4"/>
  <c r="AE13" i="4"/>
  <c r="AE12" i="4"/>
  <c r="AE11" i="4"/>
  <c r="AE18" i="4"/>
  <c r="AD17" i="4"/>
  <c r="AC17" i="4"/>
  <c r="AB17" i="4"/>
  <c r="AA17" i="4"/>
  <c r="Z17" i="4"/>
  <c r="AA4" i="4"/>
  <c r="T3" i="4"/>
  <c r="T14" i="4" s="1"/>
  <c r="AA14" i="4" s="1"/>
  <c r="C12" i="4"/>
  <c r="G12" i="4" s="1"/>
  <c r="C13" i="4"/>
  <c r="G13" i="4" s="1"/>
  <c r="C14" i="4"/>
  <c r="G14" i="4" s="1"/>
  <c r="D19" i="4"/>
  <c r="F18" i="4"/>
  <c r="D17" i="4"/>
  <c r="E17" i="4"/>
  <c r="C17" i="4"/>
  <c r="K17" i="4"/>
  <c r="L17" i="4"/>
  <c r="M17" i="4"/>
  <c r="N17" i="4"/>
  <c r="J17" i="4"/>
  <c r="O15" i="4"/>
  <c r="O14" i="4"/>
  <c r="O13" i="4"/>
  <c r="O12" i="4"/>
  <c r="O11" i="4"/>
  <c r="N15" i="4"/>
  <c r="N19" i="4" s="1"/>
  <c r="M14" i="4"/>
  <c r="M19" i="4" s="1"/>
  <c r="L13" i="4"/>
  <c r="L19" i="4" s="1"/>
  <c r="K12" i="4"/>
  <c r="K19" i="4" s="1"/>
  <c r="J11" i="4"/>
  <c r="J19" i="4" s="1"/>
  <c r="AM22" i="4" l="1"/>
  <c r="AN23" i="4" s="1"/>
  <c r="U12" i="4"/>
  <c r="AB12" i="4" s="1"/>
  <c r="W14" i="4"/>
  <c r="AD14" i="4" s="1"/>
  <c r="S15" i="4"/>
  <c r="Z15" i="4" s="1"/>
  <c r="W12" i="4"/>
  <c r="AD12" i="4" s="1"/>
  <c r="V15" i="4"/>
  <c r="AC15" i="4" s="1"/>
  <c r="S12" i="4"/>
  <c r="Z12" i="4" s="1"/>
  <c r="AA12" i="4" s="1"/>
  <c r="AA19" i="4" s="1"/>
  <c r="S11" i="4"/>
  <c r="U13" i="4"/>
  <c r="W15" i="4"/>
  <c r="T12" i="4"/>
  <c r="T11" i="4"/>
  <c r="AA11" i="4" s="1"/>
  <c r="V13" i="4"/>
  <c r="AC13" i="4" s="1"/>
  <c r="S13" i="4"/>
  <c r="Z13" i="4" s="1"/>
  <c r="U11" i="4"/>
  <c r="AB11" i="4" s="1"/>
  <c r="W13" i="4"/>
  <c r="AD13" i="4" s="1"/>
  <c r="T13" i="4"/>
  <c r="AA13" i="4" s="1"/>
  <c r="V11" i="4"/>
  <c r="AC11" i="4" s="1"/>
  <c r="U14" i="4"/>
  <c r="AB14" i="4" s="1"/>
  <c r="S14" i="4"/>
  <c r="Z14" i="4" s="1"/>
  <c r="AC14" i="4" s="1"/>
  <c r="W11" i="4"/>
  <c r="AD11" i="4" s="1"/>
  <c r="V14" i="4"/>
  <c r="K20" i="4"/>
  <c r="L20" i="4"/>
  <c r="J20" i="4"/>
  <c r="N20" i="4"/>
  <c r="M20" i="4"/>
  <c r="C19" i="4"/>
  <c r="E19" i="4"/>
  <c r="O19" i="4"/>
  <c r="O18" i="4"/>
  <c r="AJ23" i="4" l="1"/>
  <c r="AL23" i="4"/>
  <c r="AK23" i="4"/>
  <c r="AO22" i="4"/>
  <c r="AB13" i="4"/>
  <c r="AB19" i="4" s="1"/>
  <c r="Z11" i="4"/>
  <c r="Z19" i="4" s="1"/>
  <c r="AC19" i="4"/>
  <c r="AD15" i="4"/>
  <c r="AD19" i="4" s="1"/>
  <c r="AE19" i="4"/>
  <c r="F19" i="4"/>
  <c r="K21" i="4"/>
  <c r="L21" i="4"/>
  <c r="M21" i="4"/>
  <c r="N21" i="4"/>
  <c r="O20" i="4"/>
  <c r="J21" i="4"/>
  <c r="E20" i="4"/>
  <c r="C20" i="4"/>
  <c r="D20" i="4"/>
  <c r="K5" i="1"/>
  <c r="J5" i="1"/>
  <c r="I5" i="1"/>
  <c r="J16" i="1"/>
  <c r="K15" i="1"/>
  <c r="K14" i="1"/>
  <c r="I12" i="1"/>
  <c r="I11" i="1"/>
  <c r="E12" i="1"/>
  <c r="G12" i="1" s="1"/>
  <c r="E18" i="1"/>
  <c r="F18" i="1"/>
  <c r="F19" i="1"/>
  <c r="E20" i="1"/>
  <c r="F20" i="1"/>
  <c r="E21" i="1"/>
  <c r="F21" i="1"/>
  <c r="E22" i="1"/>
  <c r="F22" i="1"/>
  <c r="D19" i="1"/>
  <c r="D20" i="1"/>
  <c r="D21" i="1"/>
  <c r="D22" i="1"/>
  <c r="D18" i="1"/>
  <c r="F6" i="1"/>
  <c r="F7" i="1" s="1"/>
  <c r="D6" i="1"/>
  <c r="D7" i="1" s="1"/>
  <c r="M16" i="1"/>
  <c r="G5" i="1"/>
  <c r="L5" i="1" s="1"/>
  <c r="G13" i="1"/>
  <c r="G14" i="1"/>
  <c r="G15" i="1"/>
  <c r="G11" i="1"/>
  <c r="AM23" i="4" l="1"/>
  <c r="AN24" i="4" s="1"/>
  <c r="AD20" i="4"/>
  <c r="AC20" i="4"/>
  <c r="AB20" i="4"/>
  <c r="AA20" i="4"/>
  <c r="Z20" i="4"/>
  <c r="K16" i="1"/>
  <c r="M22" i="4"/>
  <c r="O21" i="4"/>
  <c r="N22" i="4"/>
  <c r="J22" i="4"/>
  <c r="K22" i="4"/>
  <c r="L22" i="4"/>
  <c r="E21" i="4"/>
  <c r="D21" i="4"/>
  <c r="F20" i="4"/>
  <c r="C21" i="4"/>
  <c r="L13" i="1"/>
  <c r="L12" i="1"/>
  <c r="E19" i="1"/>
  <c r="G19" i="1" s="1"/>
  <c r="I16" i="1"/>
  <c r="E6" i="1"/>
  <c r="E7" i="1" s="1"/>
  <c r="G7" i="1" s="1"/>
  <c r="L14" i="1"/>
  <c r="L11" i="1"/>
  <c r="L15" i="1"/>
  <c r="G22" i="1"/>
  <c r="G21" i="1"/>
  <c r="G18" i="1"/>
  <c r="F23" i="1"/>
  <c r="F28" i="1" s="1"/>
  <c r="G20" i="1"/>
  <c r="D23" i="1"/>
  <c r="D30" i="1" s="1"/>
  <c r="AK24" i="4" l="1"/>
  <c r="AJ24" i="4"/>
  <c r="AL24" i="4"/>
  <c r="AO23" i="4"/>
  <c r="Z21" i="4"/>
  <c r="AB21" i="4"/>
  <c r="AE20" i="4"/>
  <c r="AA21" i="4"/>
  <c r="AD21" i="4"/>
  <c r="AC21" i="4"/>
  <c r="O22" i="4"/>
  <c r="K23" i="4"/>
  <c r="L23" i="4"/>
  <c r="M23" i="4"/>
  <c r="N23" i="4"/>
  <c r="J23" i="4"/>
  <c r="F21" i="4"/>
  <c r="E22" i="4"/>
  <c r="D22" i="4"/>
  <c r="C22" i="4"/>
  <c r="E23" i="1"/>
  <c r="E29" i="1" s="1"/>
  <c r="G6" i="1"/>
  <c r="N15" i="1"/>
  <c r="N14" i="1"/>
  <c r="N12" i="1"/>
  <c r="N13" i="1"/>
  <c r="L16" i="1"/>
  <c r="N11" i="1"/>
  <c r="G23" i="1"/>
  <c r="F27" i="1"/>
  <c r="F29" i="1"/>
  <c r="F31" i="1"/>
  <c r="F30" i="1"/>
  <c r="D27" i="1"/>
  <c r="D28" i="1"/>
  <c r="D29" i="1"/>
  <c r="D31" i="1"/>
  <c r="AM24" i="4" l="1"/>
  <c r="AN25" i="4" s="1"/>
  <c r="AE21" i="4"/>
  <c r="AC22" i="4"/>
  <c r="AA22" i="4"/>
  <c r="Z22" i="4"/>
  <c r="AD22" i="4"/>
  <c r="AB22" i="4"/>
  <c r="L24" i="4"/>
  <c r="O23" i="4"/>
  <c r="J24" i="4"/>
  <c r="K24" i="4"/>
  <c r="N24" i="4"/>
  <c r="M24" i="4"/>
  <c r="C23" i="4"/>
  <c r="F22" i="4"/>
  <c r="D23" i="4"/>
  <c r="E23" i="4"/>
  <c r="E30" i="1"/>
  <c r="F24" i="1"/>
  <c r="E31" i="1"/>
  <c r="E28" i="1"/>
  <c r="E27" i="1"/>
  <c r="N16" i="1"/>
  <c r="F32" i="1"/>
  <c r="D32" i="1"/>
  <c r="AJ25" i="4" l="1"/>
  <c r="AO24" i="4"/>
  <c r="AL25" i="4"/>
  <c r="AK25" i="4"/>
  <c r="AE22" i="4"/>
  <c r="AD23" i="4"/>
  <c r="AA23" i="4"/>
  <c r="AB23" i="4"/>
  <c r="AC23" i="4"/>
  <c r="Z23" i="4"/>
  <c r="N25" i="4"/>
  <c r="O24" i="4"/>
  <c r="L25" i="4"/>
  <c r="J25" i="4"/>
  <c r="K25" i="4"/>
  <c r="M25" i="4"/>
  <c r="C24" i="4"/>
  <c r="F23" i="4"/>
  <c r="D24" i="4"/>
  <c r="E24" i="4"/>
  <c r="E32" i="1"/>
  <c r="AM25" i="4" l="1"/>
  <c r="AN26" i="4" s="1"/>
  <c r="Z24" i="4"/>
  <c r="AA24" i="4"/>
  <c r="AB24" i="4"/>
  <c r="AD24" i="4"/>
  <c r="AC24" i="4"/>
  <c r="AE23" i="4"/>
  <c r="J26" i="4"/>
  <c r="K26" i="4"/>
  <c r="P14" i="1" s="1"/>
  <c r="L26" i="4"/>
  <c r="P13" i="1" s="1"/>
  <c r="M26" i="4"/>
  <c r="P12" i="1" s="1"/>
  <c r="O25" i="4"/>
  <c r="N26" i="4"/>
  <c r="E25" i="4"/>
  <c r="C25" i="4"/>
  <c r="F24" i="4"/>
  <c r="D25" i="4"/>
  <c r="AL26" i="4" l="1"/>
  <c r="AO25" i="4"/>
  <c r="AK26" i="4"/>
  <c r="AJ26" i="4"/>
  <c r="AA25" i="4"/>
  <c r="AE24" i="4"/>
  <c r="AC25" i="4"/>
  <c r="Z25" i="4"/>
  <c r="AD25" i="4"/>
  <c r="AB25" i="4"/>
  <c r="P11" i="1"/>
  <c r="P15" i="1"/>
  <c r="J27" i="4"/>
  <c r="L27" i="4"/>
  <c r="N27" i="4"/>
  <c r="K27" i="4"/>
  <c r="O26" i="4"/>
  <c r="M27" i="4"/>
  <c r="F25" i="4"/>
  <c r="D26" i="4"/>
  <c r="C26" i="4"/>
  <c r="E26" i="4"/>
  <c r="AM26" i="4" l="1"/>
  <c r="AN27" i="4" s="1"/>
  <c r="Z26" i="4"/>
  <c r="AE25" i="4"/>
  <c r="AB26" i="4"/>
  <c r="AA26" i="4"/>
  <c r="AD26" i="4"/>
  <c r="AC26" i="4"/>
  <c r="P16" i="1"/>
  <c r="O16" i="1"/>
  <c r="L28" i="4"/>
  <c r="O27" i="4"/>
  <c r="J28" i="4"/>
  <c r="K28" i="4"/>
  <c r="M28" i="4"/>
  <c r="N28" i="4"/>
  <c r="D27" i="4"/>
  <c r="E27" i="4"/>
  <c r="F26" i="4"/>
  <c r="C27" i="4"/>
  <c r="AJ27" i="4" l="1"/>
  <c r="AK27" i="4"/>
  <c r="AL27" i="4"/>
  <c r="AO26" i="4"/>
  <c r="AC27" i="4"/>
  <c r="AE26" i="4"/>
  <c r="AD27" i="4"/>
  <c r="AB27" i="4"/>
  <c r="Z27" i="4"/>
  <c r="AA27" i="4"/>
  <c r="L29" i="4"/>
  <c r="M29" i="4"/>
  <c r="N29" i="4"/>
  <c r="J29" i="4"/>
  <c r="K29" i="4"/>
  <c r="O28" i="4"/>
  <c r="E28" i="4"/>
  <c r="F27" i="4"/>
  <c r="C28" i="4"/>
  <c r="D28" i="4"/>
  <c r="AM27" i="4" l="1"/>
  <c r="AN28" i="4" s="1"/>
  <c r="Z28" i="4"/>
  <c r="AC28" i="4"/>
  <c r="AA28" i="4"/>
  <c r="AB28" i="4"/>
  <c r="AE27" i="4"/>
  <c r="AD28" i="4"/>
  <c r="M30" i="4"/>
  <c r="J30" i="4"/>
  <c r="L30" i="4"/>
  <c r="N30" i="4"/>
  <c r="K30" i="4"/>
  <c r="O29" i="4"/>
  <c r="C29" i="4"/>
  <c r="E29" i="4"/>
  <c r="D29" i="4"/>
  <c r="F28" i="4"/>
  <c r="AJ28" i="4" l="1"/>
  <c r="AO27" i="4"/>
  <c r="AK28" i="4"/>
  <c r="AL28" i="4"/>
  <c r="AC29" i="4"/>
  <c r="AE28" i="4"/>
  <c r="AA29" i="4"/>
  <c r="AD29" i="4"/>
  <c r="Z29" i="4"/>
  <c r="AB29" i="4"/>
  <c r="L31" i="4"/>
  <c r="J31" i="4"/>
  <c r="O30" i="4"/>
  <c r="N31" i="4"/>
  <c r="M31" i="4"/>
  <c r="K31" i="4"/>
  <c r="C30" i="4"/>
  <c r="E30" i="4"/>
  <c r="D30" i="4"/>
  <c r="F29" i="4"/>
  <c r="AM28" i="4" l="1"/>
  <c r="AN29" i="4" s="1"/>
  <c r="Z30" i="4"/>
  <c r="AD30" i="4"/>
  <c r="AE29" i="4"/>
  <c r="AC30" i="4"/>
  <c r="AA30" i="4"/>
  <c r="AB30" i="4"/>
  <c r="O31" i="4"/>
  <c r="K32" i="4"/>
  <c r="L32" i="4"/>
  <c r="N32" i="4"/>
  <c r="J32" i="4"/>
  <c r="M32" i="4"/>
  <c r="E31" i="4"/>
  <c r="F30" i="4"/>
  <c r="D31" i="4"/>
  <c r="C31" i="4"/>
  <c r="AJ29" i="4" l="1"/>
  <c r="AL29" i="4"/>
  <c r="AK29" i="4"/>
  <c r="AO28" i="4"/>
  <c r="AE30" i="4"/>
  <c r="AD31" i="4"/>
  <c r="AB31" i="4"/>
  <c r="AC31" i="4"/>
  <c r="Z31" i="4"/>
  <c r="AA31" i="4"/>
  <c r="M33" i="4"/>
  <c r="O32" i="4"/>
  <c r="L33" i="4"/>
  <c r="N33" i="4"/>
  <c r="J33" i="4"/>
  <c r="K33" i="4"/>
  <c r="D32" i="4"/>
  <c r="E32" i="4"/>
  <c r="C32" i="4"/>
  <c r="F31" i="4"/>
  <c r="AM29" i="4" l="1"/>
  <c r="AK30" i="4" s="1"/>
  <c r="AA32" i="4"/>
  <c r="AE31" i="4"/>
  <c r="AB32" i="4"/>
  <c r="AC32" i="4"/>
  <c r="Z32" i="4"/>
  <c r="AD32" i="4"/>
  <c r="O33" i="4"/>
  <c r="K34" i="4"/>
  <c r="J34" i="4"/>
  <c r="L34" i="4"/>
  <c r="N34" i="4"/>
  <c r="M34" i="4"/>
  <c r="D33" i="4"/>
  <c r="F32" i="4"/>
  <c r="E33" i="4"/>
  <c r="C33" i="4"/>
  <c r="AN30" i="4" l="1"/>
  <c r="AO29" i="4"/>
  <c r="AL30" i="4"/>
  <c r="AJ30" i="4"/>
  <c r="AC33" i="4"/>
  <c r="AE32" i="4"/>
  <c r="AD33" i="4"/>
  <c r="AB33" i="4"/>
  <c r="AA33" i="4"/>
  <c r="Z33" i="4"/>
  <c r="M35" i="4"/>
  <c r="N35" i="4"/>
  <c r="J35" i="4"/>
  <c r="L35" i="4"/>
  <c r="O34" i="4"/>
  <c r="K35" i="4"/>
  <c r="E34" i="4"/>
  <c r="D34" i="4"/>
  <c r="F33" i="4"/>
  <c r="C34" i="4"/>
  <c r="AM30" i="4" l="1"/>
  <c r="AN31" i="4" s="1"/>
  <c r="AB34" i="4"/>
  <c r="AD34" i="4"/>
  <c r="AE33" i="4"/>
  <c r="Z34" i="4"/>
  <c r="AC34" i="4"/>
  <c r="AA34" i="4"/>
  <c r="L36" i="4"/>
  <c r="N36" i="4"/>
  <c r="J36" i="4"/>
  <c r="M36" i="4"/>
  <c r="K36" i="4"/>
  <c r="O35" i="4"/>
  <c r="F34" i="4"/>
  <c r="D35" i="4"/>
  <c r="C35" i="4"/>
  <c r="E35" i="4"/>
  <c r="AL31" i="4" l="1"/>
  <c r="AK31" i="4"/>
  <c r="AJ31" i="4"/>
  <c r="AO30" i="4"/>
  <c r="AA35" i="4"/>
  <c r="AB35" i="4"/>
  <c r="AE34" i="4"/>
  <c r="AD35" i="4"/>
  <c r="AC35" i="4"/>
  <c r="Z35" i="4"/>
  <c r="N37" i="4"/>
  <c r="M37" i="4"/>
  <c r="O36" i="4"/>
  <c r="J37" i="4"/>
  <c r="K37" i="4"/>
  <c r="L37" i="4"/>
  <c r="C36" i="4"/>
  <c r="D36" i="4"/>
  <c r="E36" i="4"/>
  <c r="F35" i="4"/>
  <c r="AM31" i="4" l="1"/>
  <c r="AN32" i="4" s="1"/>
  <c r="AE35" i="4"/>
  <c r="AA36" i="4"/>
  <c r="AB36" i="4"/>
  <c r="AD36" i="4"/>
  <c r="AC36" i="4"/>
  <c r="Z36" i="4"/>
  <c r="O37" i="4"/>
  <c r="J38" i="4"/>
  <c r="K38" i="4"/>
  <c r="L38" i="4"/>
  <c r="N38" i="4"/>
  <c r="M38" i="4"/>
  <c r="F36" i="4"/>
  <c r="E37" i="4"/>
  <c r="D37" i="4"/>
  <c r="C37" i="4"/>
  <c r="AK32" i="4" l="1"/>
  <c r="AO31" i="4"/>
  <c r="AJ32" i="4"/>
  <c r="AL32" i="4"/>
  <c r="Z37" i="4"/>
  <c r="AE36" i="4"/>
  <c r="AB37" i="4"/>
  <c r="AA37" i="4"/>
  <c r="AC37" i="4"/>
  <c r="AD37" i="4"/>
  <c r="K39" i="4"/>
  <c r="L39" i="4"/>
  <c r="O38" i="4"/>
  <c r="M39" i="4"/>
  <c r="N39" i="4"/>
  <c r="J39" i="4"/>
  <c r="F37" i="4"/>
  <c r="C38" i="4"/>
  <c r="E38" i="4"/>
  <c r="D38" i="4"/>
  <c r="AM32" i="4" l="1"/>
  <c r="AN33" i="4" s="1"/>
  <c r="Z38" i="4"/>
  <c r="AD38" i="4"/>
  <c r="AA38" i="4"/>
  <c r="AB38" i="4"/>
  <c r="AC38" i="4"/>
  <c r="AE37" i="4"/>
  <c r="O39" i="4"/>
  <c r="J40" i="4"/>
  <c r="M40" i="4"/>
  <c r="N40" i="4"/>
  <c r="L40" i="4"/>
  <c r="K40" i="4"/>
  <c r="F38" i="4"/>
  <c r="D39" i="4"/>
  <c r="E39" i="4"/>
  <c r="C39" i="4"/>
  <c r="AL33" i="4" l="1"/>
  <c r="AO32" i="4"/>
  <c r="AJ33" i="4"/>
  <c r="AK33" i="4"/>
  <c r="AA39" i="4"/>
  <c r="AB39" i="4"/>
  <c r="Z39" i="4"/>
  <c r="AD39" i="4"/>
  <c r="AE38" i="4"/>
  <c r="AC39" i="4"/>
  <c r="L41" i="4"/>
  <c r="J41" i="4"/>
  <c r="K41" i="4"/>
  <c r="N41" i="4"/>
  <c r="O40" i="4"/>
  <c r="M41" i="4"/>
  <c r="D40" i="4"/>
  <c r="C40" i="4"/>
  <c r="E40" i="4"/>
  <c r="F39" i="4"/>
  <c r="AM33" i="4" l="1"/>
  <c r="AN34" i="4" s="1"/>
  <c r="AB40" i="4"/>
  <c r="AC40" i="4"/>
  <c r="AE39" i="4"/>
  <c r="AD40" i="4"/>
  <c r="AA40" i="4"/>
  <c r="Z40" i="4"/>
  <c r="M42" i="4"/>
  <c r="L42" i="4"/>
  <c r="N42" i="4"/>
  <c r="J42" i="4"/>
  <c r="K42" i="4"/>
  <c r="O41" i="4"/>
  <c r="F40" i="4"/>
  <c r="C41" i="4"/>
  <c r="E41" i="4"/>
  <c r="D41" i="4"/>
  <c r="AJ34" i="4" l="1"/>
  <c r="AK34" i="4"/>
  <c r="AO33" i="4"/>
  <c r="AL34" i="4"/>
  <c r="AA41" i="4"/>
  <c r="AE40" i="4"/>
  <c r="AD41" i="4"/>
  <c r="AB41" i="4"/>
  <c r="Z41" i="4"/>
  <c r="AC41" i="4"/>
  <c r="O42" i="4"/>
  <c r="J43" i="4"/>
  <c r="M43" i="4"/>
  <c r="L43" i="4"/>
  <c r="K43" i="4"/>
  <c r="N43" i="4"/>
  <c r="E42" i="4"/>
  <c r="F41" i="4"/>
  <c r="D42" i="4"/>
  <c r="C42" i="4"/>
  <c r="AM34" i="4" l="1"/>
  <c r="AN35" i="4" s="1"/>
  <c r="AD42" i="4"/>
  <c r="AB42" i="4"/>
  <c r="AC42" i="4"/>
  <c r="Z42" i="4"/>
  <c r="AA42" i="4"/>
  <c r="AE41" i="4"/>
  <c r="L44" i="4"/>
  <c r="M44" i="4"/>
  <c r="N44" i="4"/>
  <c r="J44" i="4"/>
  <c r="O43" i="4"/>
  <c r="K44" i="4"/>
  <c r="E43" i="4"/>
  <c r="C43" i="4"/>
  <c r="D43" i="4"/>
  <c r="F42" i="4"/>
  <c r="AK35" i="4" l="1"/>
  <c r="AL35" i="4"/>
  <c r="AJ35" i="4"/>
  <c r="AO34" i="4"/>
  <c r="AC43" i="4"/>
  <c r="AA43" i="4"/>
  <c r="AB43" i="4"/>
  <c r="Z43" i="4"/>
  <c r="AD43" i="4"/>
  <c r="AE42" i="4"/>
  <c r="J45" i="4"/>
  <c r="O44" i="4"/>
  <c r="K45" i="4"/>
  <c r="L45" i="4"/>
  <c r="N45" i="4"/>
  <c r="M45" i="4"/>
  <c r="F43" i="4"/>
  <c r="C44" i="4"/>
  <c r="D44" i="4"/>
  <c r="E44" i="4"/>
  <c r="AM35" i="4" l="1"/>
  <c r="AJ36" i="4" s="1"/>
  <c r="AB44" i="4"/>
  <c r="AD44" i="4"/>
  <c r="AA44" i="4"/>
  <c r="AC44" i="4"/>
  <c r="Z44" i="4"/>
  <c r="AE43" i="4"/>
  <c r="J46" i="4"/>
  <c r="K46" i="4"/>
  <c r="L46" i="4"/>
  <c r="M46" i="4"/>
  <c r="N46" i="4"/>
  <c r="O45" i="4"/>
  <c r="C45" i="4"/>
  <c r="D45" i="4"/>
  <c r="E45" i="4"/>
  <c r="F44" i="4"/>
  <c r="AL36" i="4" l="1"/>
  <c r="AO35" i="4"/>
  <c r="AK36" i="4"/>
  <c r="AN36" i="4"/>
  <c r="AA45" i="4"/>
  <c r="AC45" i="4"/>
  <c r="AB45" i="4"/>
  <c r="AD45" i="4"/>
  <c r="Z45" i="4"/>
  <c r="AE44" i="4"/>
  <c r="J47" i="4"/>
  <c r="K47" i="4"/>
  <c r="L47" i="4"/>
  <c r="M47" i="4"/>
  <c r="O46" i="4"/>
  <c r="N47" i="4"/>
  <c r="E46" i="4"/>
  <c r="C46" i="4"/>
  <c r="F45" i="4"/>
  <c r="D46" i="4"/>
  <c r="AM36" i="4" l="1"/>
  <c r="AN37" i="4" s="1"/>
  <c r="AA46" i="4"/>
  <c r="AD46" i="4"/>
  <c r="AB46" i="4"/>
  <c r="AC46" i="4"/>
  <c r="Z46" i="4"/>
  <c r="AE45" i="4"/>
  <c r="M48" i="4"/>
  <c r="M52" i="4" s="1"/>
  <c r="M54" i="4" s="1"/>
  <c r="N48" i="4"/>
  <c r="J48" i="4"/>
  <c r="L48" i="4"/>
  <c r="L52" i="4" s="1"/>
  <c r="L54" i="4" s="1"/>
  <c r="K48" i="4"/>
  <c r="O47" i="4"/>
  <c r="F46" i="4"/>
  <c r="C47" i="4"/>
  <c r="D47" i="4"/>
  <c r="E47" i="4"/>
  <c r="AJ37" i="4" l="1"/>
  <c r="AO36" i="4"/>
  <c r="AK37" i="4"/>
  <c r="AL37" i="4"/>
  <c r="AA47" i="4"/>
  <c r="AB47" i="4"/>
  <c r="AC47" i="4"/>
  <c r="Z47" i="4"/>
  <c r="AD47" i="4"/>
  <c r="AE46" i="4"/>
  <c r="J52" i="4"/>
  <c r="O48" i="4"/>
  <c r="C48" i="4"/>
  <c r="D48" i="4"/>
  <c r="E48" i="4"/>
  <c r="F47" i="4"/>
  <c r="AM37" i="4" l="1"/>
  <c r="AN38" i="4" s="1"/>
  <c r="AB48" i="4"/>
  <c r="AC48" i="4"/>
  <c r="AD48" i="4"/>
  <c r="AD55" i="4" s="1"/>
  <c r="Z48" i="4"/>
  <c r="AA48" i="4"/>
  <c r="AA55" i="4" s="1"/>
  <c r="AE47" i="4"/>
  <c r="J54" i="4"/>
  <c r="O54" i="4" s="1"/>
  <c r="O52" i="4"/>
  <c r="F48" i="4"/>
  <c r="AO37" i="4" l="1"/>
  <c r="AL38" i="4"/>
  <c r="AJ38" i="4"/>
  <c r="AK38" i="4"/>
  <c r="Z52" i="4"/>
  <c r="Z55" i="4"/>
  <c r="AE48" i="4"/>
  <c r="AC52" i="4"/>
  <c r="AC54" i="4" s="1"/>
  <c r="AC55" i="4"/>
  <c r="AB52" i="4"/>
  <c r="AB54" i="4" s="1"/>
  <c r="AB55" i="4"/>
  <c r="AM38" i="4" l="1"/>
  <c r="AN39" i="4" s="1"/>
  <c r="AE55" i="4"/>
  <c r="Z54" i="4"/>
  <c r="AE54" i="4" s="1"/>
  <c r="AE52" i="4"/>
  <c r="AO38" i="4" l="1"/>
  <c r="AL39" i="4"/>
  <c r="AK39" i="4"/>
  <c r="AJ39" i="4"/>
  <c r="AM39" i="4" l="1"/>
  <c r="AN40" i="4" s="1"/>
  <c r="AK40" i="4" l="1"/>
  <c r="AL40" i="4"/>
  <c r="AJ40" i="4"/>
  <c r="AO39" i="4"/>
  <c r="AM40" i="4" l="1"/>
  <c r="AN41" i="4" l="1"/>
  <c r="AJ41" i="4"/>
  <c r="AO40" i="4"/>
  <c r="AK41" i="4"/>
  <c r="AL41" i="4"/>
  <c r="AM41" i="4" l="1"/>
  <c r="AK42" i="4" s="1"/>
  <c r="AJ42" i="4" l="1"/>
  <c r="AN42" i="4"/>
  <c r="AL42" i="4"/>
  <c r="AO41" i="4"/>
  <c r="AM42" i="4" l="1"/>
  <c r="AO42" i="4" s="1"/>
  <c r="AL43" i="4" l="1"/>
  <c r="AK43" i="4"/>
  <c r="AN43" i="4"/>
  <c r="AJ43" i="4"/>
  <c r="AM43" i="4" l="1"/>
  <c r="AN44" i="4" s="1"/>
  <c r="AJ44" i="4" l="1"/>
  <c r="AO43" i="4"/>
  <c r="AL44" i="4"/>
  <c r="AK44" i="4"/>
  <c r="AM44" i="4" l="1"/>
  <c r="AN45" i="4" s="1"/>
  <c r="AO44" i="4" l="1"/>
  <c r="AJ45" i="4"/>
  <c r="AK45" i="4"/>
  <c r="AL45" i="4"/>
  <c r="AM45" i="4" s="1"/>
  <c r="AN46" i="4" s="1"/>
  <c r="AO45" i="4" l="1"/>
  <c r="AJ46" i="4"/>
  <c r="AL46" i="4"/>
  <c r="AK46" i="4"/>
  <c r="AM46" i="4" l="1"/>
  <c r="AN47" i="4" s="1"/>
  <c r="AJ47" i="4" l="1"/>
  <c r="AK47" i="4"/>
  <c r="AL47" i="4"/>
  <c r="AO46" i="4"/>
  <c r="AM47" i="4" l="1"/>
  <c r="AL48" i="4" s="1"/>
  <c r="AL55" i="4" s="1"/>
  <c r="AL52" i="4" l="1"/>
  <c r="AL54" i="4" s="1"/>
  <c r="AN48" i="4"/>
  <c r="AN55" i="4" s="1"/>
  <c r="AK48" i="4"/>
  <c r="AK55" i="4" s="1"/>
  <c r="AJ48" i="4"/>
  <c r="AJ55" i="4" s="1"/>
  <c r="AO47" i="4"/>
  <c r="AM48" i="4" l="1"/>
  <c r="AM55" i="4" s="1"/>
  <c r="AO55" i="4" s="1"/>
  <c r="AJ52" i="4"/>
  <c r="AJ54" i="4" s="1"/>
  <c r="AM52" i="4" l="1"/>
  <c r="AM54" i="4" s="1"/>
  <c r="AO54" i="4" s="1"/>
  <c r="AO48" i="4"/>
  <c r="AO5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Maya, Sigal</author>
    <author>James G. Kahn</author>
  </authors>
  <commentList>
    <comment ref="C5" authorId="0" shapeId="0" xr:uid="{55FF8238-7534-4AD3-94E5-602CC4918628}">
      <text>
        <r>
          <rPr>
            <b/>
            <sz val="9"/>
            <color indexed="81"/>
            <rFont val="Tahoma"/>
            <family val="2"/>
          </rPr>
          <t>Maya, Sigal:</t>
        </r>
        <r>
          <rPr>
            <sz val="9"/>
            <color indexed="81"/>
            <rFont val="Tahoma"/>
            <family val="2"/>
          </rPr>
          <t xml:space="preserve">
See Methodology tab for sources</t>
        </r>
      </text>
    </comment>
    <comment ref="M10" authorId="1" shapeId="0" xr:uid="{3FD835AC-A493-044C-A2E3-9D862BFC543E}">
      <text>
        <r>
          <rPr>
            <sz val="10"/>
            <color rgb="FF000000"/>
            <rFont val="Tahoma"/>
            <family val="2"/>
          </rPr>
          <t xml:space="preserve">Determined by transition probabilities.
</t>
        </r>
        <r>
          <rPr>
            <sz val="10"/>
            <color rgb="FF000000"/>
            <rFont val="Tahoma"/>
            <family val="2"/>
          </rPr>
          <t xml:space="preserve">
</t>
        </r>
        <r>
          <rPr>
            <sz val="10"/>
            <color rgb="FF000000"/>
            <rFont val="Tahoma"/>
            <family val="2"/>
          </rPr>
          <t>i.e., internal targets for calibration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Maya, Sigal</author>
  </authors>
  <commentList>
    <comment ref="K11" authorId="0" shapeId="0" xr:uid="{E2357095-D010-430C-887E-4139A3AC79B1}">
      <text>
        <r>
          <rPr>
            <b/>
            <sz val="9"/>
            <color indexed="81"/>
            <rFont val="Tahoma"/>
            <family val="2"/>
          </rPr>
          <t>Maya, Sigal:</t>
        </r>
        <r>
          <rPr>
            <sz val="9"/>
            <color indexed="81"/>
            <rFont val="Tahoma"/>
            <family val="2"/>
          </rPr>
          <t xml:space="preserve">
p.1.212, value A</t>
        </r>
      </text>
    </comment>
    <comment ref="L11" authorId="0" shapeId="0" xr:uid="{42C63862-EDE6-4A62-A365-E57A3853007A}">
      <text>
        <r>
          <rPr>
            <b/>
            <sz val="9"/>
            <color indexed="81"/>
            <rFont val="Tahoma"/>
            <family val="2"/>
          </rPr>
          <t>Maya, Sigal:</t>
        </r>
        <r>
          <rPr>
            <sz val="9"/>
            <color indexed="81"/>
            <rFont val="Tahoma"/>
            <family val="2"/>
          </rPr>
          <t xml:space="preserve">
p.1.212, value B</t>
        </r>
      </text>
    </comment>
    <comment ref="T11" authorId="0" shapeId="0" xr:uid="{F064C633-D2B0-4381-9787-BEE59379CF3B}">
      <text>
        <r>
          <rPr>
            <b/>
            <sz val="9"/>
            <color indexed="81"/>
            <rFont val="Tahoma"/>
            <family val="2"/>
          </rPr>
          <t>Maya, Sigal:</t>
        </r>
        <r>
          <rPr>
            <sz val="9"/>
            <color indexed="81"/>
            <rFont val="Tahoma"/>
            <family val="2"/>
          </rPr>
          <t xml:space="preserve">
p.1.212, value A</t>
        </r>
      </text>
    </comment>
    <comment ref="U11" authorId="0" shapeId="0" xr:uid="{41401FE3-F77F-4098-A779-4E7CAA6D9212}">
      <text>
        <r>
          <rPr>
            <b/>
            <sz val="9"/>
            <color indexed="81"/>
            <rFont val="Tahoma"/>
            <family val="2"/>
          </rPr>
          <t>Maya, Sigal:</t>
        </r>
        <r>
          <rPr>
            <sz val="9"/>
            <color indexed="81"/>
            <rFont val="Tahoma"/>
            <family val="2"/>
          </rPr>
          <t xml:space="preserve">
p.1.212, value B</t>
        </r>
      </text>
    </comment>
    <comment ref="AA11" authorId="0" shapeId="0" xr:uid="{FDBD105C-6F86-4D9D-86DA-AD16BCB222C7}">
      <text>
        <r>
          <rPr>
            <b/>
            <sz val="9"/>
            <color indexed="81"/>
            <rFont val="Tahoma"/>
            <family val="2"/>
          </rPr>
          <t>Maya, Sigal:</t>
        </r>
        <r>
          <rPr>
            <sz val="9"/>
            <color indexed="81"/>
            <rFont val="Tahoma"/>
            <family val="2"/>
          </rPr>
          <t xml:space="preserve">
p.1.212, value A</t>
        </r>
      </text>
    </comment>
    <comment ref="AB11" authorId="0" shapeId="0" xr:uid="{1A811D89-E50D-4281-87BE-2DD1860628B0}">
      <text>
        <r>
          <rPr>
            <b/>
            <sz val="9"/>
            <color indexed="81"/>
            <rFont val="Tahoma"/>
            <family val="2"/>
          </rPr>
          <t>Maya, Sigal:</t>
        </r>
        <r>
          <rPr>
            <sz val="9"/>
            <color indexed="81"/>
            <rFont val="Tahoma"/>
            <family val="2"/>
          </rPr>
          <t xml:space="preserve">
p.1.212, value B</t>
        </r>
      </text>
    </comment>
    <comment ref="AK11" authorId="0" shapeId="0" xr:uid="{DB74097D-8D3E-4712-A723-4F4BBEB8215C}">
      <text>
        <r>
          <rPr>
            <b/>
            <sz val="9"/>
            <color indexed="81"/>
            <rFont val="Tahoma"/>
            <family val="2"/>
          </rPr>
          <t>Maya, Sigal:</t>
        </r>
        <r>
          <rPr>
            <sz val="9"/>
            <color indexed="81"/>
            <rFont val="Tahoma"/>
            <family val="2"/>
          </rPr>
          <t xml:space="preserve">
p.1.212, value A</t>
        </r>
      </text>
    </comment>
    <comment ref="AL11" authorId="0" shapeId="0" xr:uid="{433E7CBA-FE0C-4B1D-9777-042F6D57477D}">
      <text>
        <r>
          <rPr>
            <b/>
            <sz val="9"/>
            <color indexed="81"/>
            <rFont val="Tahoma"/>
            <family val="2"/>
          </rPr>
          <t>Maya, Sigal:</t>
        </r>
        <r>
          <rPr>
            <sz val="9"/>
            <color indexed="81"/>
            <rFont val="Tahoma"/>
            <family val="2"/>
          </rPr>
          <t xml:space="preserve">
p.1.212, value B</t>
        </r>
      </text>
    </comment>
  </commentList>
</comments>
</file>

<file path=xl/sharedStrings.xml><?xml version="1.0" encoding="utf-8"?>
<sst xmlns="http://schemas.openxmlformats.org/spreadsheetml/2006/main" count="153" uniqueCount="82">
  <si>
    <t>calculated based on 1-5 values + co-distrib</t>
  </si>
  <si>
    <t>CHARM 5 to 3 state calibration</t>
  </si>
  <si>
    <t>Dividing 100 individuals</t>
  </si>
  <si>
    <t>Probabilities of 12345 given ABC</t>
  </si>
  <si>
    <t>inputs</t>
  </si>
  <si>
    <t>delta (want to minimize)</t>
  </si>
  <si>
    <t>Probabilities of 12345 given ABC (calculated)</t>
  </si>
  <si>
    <t>Co-distribution aka crosswalks (expert opinion) Choose method based on direction</t>
  </si>
  <si>
    <t>Method I - Specify ABC given 12345</t>
  </si>
  <si>
    <t>Method II - Specify 12345 given ABC</t>
  </si>
  <si>
    <t>A - uncontrolled</t>
  </si>
  <si>
    <t>B - partly controlled</t>
  </si>
  <si>
    <t>3 - somewhat controlled</t>
  </si>
  <si>
    <t>C - controlled</t>
  </si>
  <si>
    <t xml:space="preserve">This calibration worksheet converts the distribution of asthma across 3 health states into distribution across 5 health states. </t>
  </si>
  <si>
    <t>In Method 2, the 3-way prevalence is known, and the probability of the 5 states given occupying one of the 3 states is used to calculate 5-way prevalence.</t>
  </si>
  <si>
    <t>As of 2/28/2023, we are using Method 2.</t>
  </si>
  <si>
    <t>In Method 1, the 3-way prevalence is known, and the probability (co-distribution) of the 3 states given occupying one of 5 states is used to calculate 5-way prevalence.</t>
  </si>
  <si>
    <t>The ACT uses 3 categories to describe asthma patients: well-controlled, not well-controlled, very poorly controlled)</t>
  </si>
  <si>
    <t xml:space="preserve">The physician global assessment scores used 5 categories: not controlled, poorly controlled, somewhat controlled, well controlled, and completely controlled. </t>
  </si>
  <si>
    <t>In order to compare the two measures, Soler et al collapsed the physician assessment scores into 3 groups:</t>
  </si>
  <si>
    <t>Not controlled or poorly controlled was grouped together as "poorly controlled"</t>
  </si>
  <si>
    <t>Somewhat controlled remained the same</t>
  </si>
  <si>
    <t xml:space="preserve">Well-controlled and completely controlled were grouped together as "good control". </t>
  </si>
  <si>
    <t>The manuscript did not report the distribution of dissagregated physician assessment scores, thus we relied on Schatz et al. (2007) to obtain the distribution.</t>
  </si>
  <si>
    <t>Schatz et al. conducted a similar study to Soler et al., and while they did not collapse the 5-category physician assessment into 3 groups, they did report the distribution across the 5 categories at baseline (Table I).</t>
  </si>
  <si>
    <t xml:space="preserve">We then applied the grouping from Soler et al. to the prevalence distribution in Schatz et al in order to populate the calculation table for Method 2, as well as the distribution of 3-way prevalences. </t>
  </si>
  <si>
    <t>We then plugged in the 5-way prevalence into the model and iteratively adjusted the state transition probability matrix to achieve equilibrium while minimizing the "delta" (difference between model-derived prevalence and Method 2-calculated prevalence).</t>
  </si>
  <si>
    <t xml:space="preserve">To obtain the co-distribution of prevalence, we followed the example set in Soler et al (2019). Their study aimed to validate the Asthma Control Test (ACT) questionnaire, and compared ACT scores to physician global assessment scores for a sample of smoking asthmatics. </t>
  </si>
  <si>
    <t>target 3-way prevalence @ Equilibrium</t>
  </si>
  <si>
    <t>Main Calibra</t>
  </si>
  <si>
    <t>Lit.</t>
  </si>
  <si>
    <t>Delta</t>
  </si>
  <si>
    <t>Delta vs Lit.</t>
  </si>
  <si>
    <t>Probabilities of ABC given 12345 (placeholder values)</t>
  </si>
  <si>
    <t>use mean of all cycles</t>
  </si>
  <si>
    <t xml:space="preserve">Note: Schatz et al. studied individuals with asthma who had not been in care, which might have biased the sample towards more controlled asthma.  </t>
  </si>
  <si>
    <t>To confirm, we identified another study (Garcia-Marcos 2023) who analyzed asthma control in 25 countries. The 3-way prevalence was similar in high-income countries to that in Schatz et al. (uncontrolled: 0.233, partly controlled: 0.249, controlled: 0.518)</t>
  </si>
  <si>
    <t>Check calibrated 5-state model transition probabilities against published 3-state transition probabilities</t>
  </si>
  <si>
    <t>3-state model from Bateman 2010, Table 2</t>
  </si>
  <si>
    <t>Note: This is actually a 4-state model, the 4th being "exacerbation". However, the transition probability into this state (from any index state) is negligible, therefore we treat is as a 3-state model.</t>
  </si>
  <si>
    <t>Note 2: Table 2 provides transition probability matrices for different treatment groups, but they are no significant differences between any group. Here, I use the "same maintenance dose ICS/LABA + SABA" group</t>
  </si>
  <si>
    <t>Control status in index week</t>
  </si>
  <si>
    <t>Controlled</t>
  </si>
  <si>
    <t>Partly controlled</t>
  </si>
  <si>
    <t>Uncontrolled</t>
  </si>
  <si>
    <t>Ex</t>
  </si>
  <si>
    <t>Control status in the following week</t>
  </si>
  <si>
    <t>Note 3: These are weekly probabilities. Our model is two-weeks. Converted version is below the original.</t>
  </si>
  <si>
    <t>1 - completely controlled</t>
  </si>
  <si>
    <t>2 - well-controlled</t>
  </si>
  <si>
    <t>4 - Poorly controlled</t>
  </si>
  <si>
    <t>5 - Not controlled at all</t>
  </si>
  <si>
    <t>Prevalence at steady-state</t>
  </si>
  <si>
    <t>Weekly probs</t>
  </si>
  <si>
    <t>Week 0 dist'n</t>
  </si>
  <si>
    <t>Week 2 dist'n</t>
  </si>
  <si>
    <t>Week 4 dist'n</t>
  </si>
  <si>
    <t>sum</t>
  </si>
  <si>
    <t>Collapse groups:</t>
  </si>
  <si>
    <t>Week 1 dist'n</t>
  </si>
  <si>
    <t>Week 3 dist'n</t>
  </si>
  <si>
    <t>Week 6 dist'n</t>
  </si>
  <si>
    <t>Week 8 dist'n</t>
  </si>
  <si>
    <t>Iter.</t>
  </si>
  <si>
    <t>2-weekly probs</t>
  </si>
  <si>
    <t xml:space="preserve">t for 2-wk = </t>
  </si>
  <si>
    <t xml:space="preserve">t for 1-wk = </t>
  </si>
  <si>
    <t>…</t>
  </si>
  <si>
    <t>Delta from 2wk</t>
  </si>
  <si>
    <t>Delta from s-s</t>
  </si>
  <si>
    <t>Modeled prevalence at steady-state</t>
  </si>
  <si>
    <t>Model @ Equilibrium using 2-week probs</t>
  </si>
  <si>
    <t>Model @ Equilibrium using 1-week probs</t>
  </si>
  <si>
    <t>Delta vs. Lit</t>
  </si>
  <si>
    <t>THEN BACK TO 1-week PROBS</t>
  </si>
  <si>
    <t>CONVERT TO RATES 2 weekly</t>
  </si>
  <si>
    <t>5 - not controlled at all</t>
  </si>
  <si>
    <t>4 - poorly controlled</t>
  </si>
  <si>
    <t>Model @ Equilibrium, 1-wk probs, slower return to baseline</t>
  </si>
  <si>
    <t>`</t>
  </si>
  <si>
    <t>(recalibrate2)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</si>
</sst>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000"/>
  </numFmts>
  <fonts count="17" x14ac:knownFonts="1">
    <font>
      <sz val="12"/>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i/>
      <sz val="12"/>
      <color theme="1"/>
      <name val="Calibri"/>
      <family val="2"/>
      <scheme val="minor"/>
    </font>
    <font>
      <i/>
      <sz val="12"/>
      <color rgb="FF000AFF"/>
      <name val="Calibri"/>
      <family val="2"/>
      <scheme val="minor"/>
    </font>
    <font>
      <sz val="10"/>
      <color rgb="FF000000"/>
      <name val="Tahoma"/>
      <family val="2"/>
    </font>
    <font>
      <u/>
      <sz val="12"/>
      <color theme="10"/>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
      <b/>
      <sz val="11"/>
      <name val="Calibri"/>
      <family val="2"/>
      <scheme val="minor"/>
    </font>
    <font>
      <i/>
      <sz val="12"/>
      <color theme="2" tint="-0.89999084444715716"/>
      <name val="Calibri"/>
      <family val="2"/>
      <scheme val="minor"/>
    </font>
    <font>
      <b/>
      <i/>
      <sz val="12"/>
      <color theme="1"/>
      <name val="Calibri"/>
      <family val="2"/>
      <scheme val="minor"/>
    </font>
    <font>
      <sz val="12"/>
      <color theme="2" tint="-0.499984740745262"/>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CCCC"/>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131">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2" fontId="3" fillId="0" borderId="0" xfId="0" applyNumberFormat="1" applyFont="1" applyAlignment="1">
      <alignment horizontal="center" vertical="center"/>
    </xf>
    <xf numFmtId="2" fontId="0" fillId="2" borderId="0" xfId="0" applyNumberFormat="1" applyFill="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2" fontId="0" fillId="0" borderId="5" xfId="0" applyNumberFormat="1" applyBorder="1" applyAlignment="1">
      <alignment horizontal="center" vertical="center"/>
    </xf>
    <xf numFmtId="2" fontId="0" fillId="0" borderId="6" xfId="0" applyNumberFormat="1" applyBorder="1" applyAlignment="1">
      <alignment horizontal="center" vertical="center"/>
    </xf>
    <xf numFmtId="2" fontId="0" fillId="0" borderId="7" xfId="0" applyNumberFormat="1" applyBorder="1" applyAlignment="1">
      <alignment horizontal="center" vertical="center"/>
    </xf>
    <xf numFmtId="2" fontId="0" fillId="0" borderId="8" xfId="0" applyNumberFormat="1" applyBorder="1" applyAlignment="1">
      <alignment horizontal="center" vertical="center"/>
    </xf>
    <xf numFmtId="2" fontId="0" fillId="0" borderId="9" xfId="0" applyNumberFormat="1" applyBorder="1" applyAlignment="1">
      <alignment horizontal="center" vertical="center"/>
    </xf>
    <xf numFmtId="0" fontId="0" fillId="0" borderId="0" xfId="0" applyAlignment="1">
      <alignment horizontal="right" vertical="center"/>
    </xf>
    <xf numFmtId="0" fontId="5" fillId="0" borderId="0" xfId="0" applyFont="1" applyAlignment="1">
      <alignment horizontal="right" vertical="center"/>
    </xf>
    <xf numFmtId="0" fontId="5" fillId="0" borderId="0" xfId="0" applyFont="1" applyAlignment="1">
      <alignment horizontal="center" vertical="center"/>
    </xf>
    <xf numFmtId="164" fontId="6" fillId="0" borderId="0" xfId="0" applyNumberFormat="1" applyFont="1" applyAlignment="1">
      <alignment horizontal="center" vertical="center"/>
    </xf>
    <xf numFmtId="0" fontId="5" fillId="0" borderId="0" xfId="0" applyFont="1" applyAlignment="1">
      <alignment horizontal="left" vertical="center"/>
    </xf>
    <xf numFmtId="0" fontId="4" fillId="0" borderId="0" xfId="0" applyFont="1" applyAlignment="1">
      <alignment horizontal="left" vertical="center"/>
    </xf>
    <xf numFmtId="2" fontId="0" fillId="2" borderId="2" xfId="0" applyNumberFormat="1" applyFill="1" applyBorder="1" applyAlignment="1">
      <alignment horizontal="center" vertical="center"/>
    </xf>
    <xf numFmtId="2" fontId="0" fillId="2" borderId="3" xfId="0" applyNumberFormat="1" applyFill="1" applyBorder="1" applyAlignment="1">
      <alignment horizontal="center" vertical="center"/>
    </xf>
    <xf numFmtId="2" fontId="0" fillId="2" borderId="4" xfId="0" applyNumberFormat="1" applyFill="1" applyBorder="1" applyAlignment="1">
      <alignment horizontal="center" vertical="center"/>
    </xf>
    <xf numFmtId="2" fontId="0" fillId="2" borderId="5" xfId="0" applyNumberFormat="1" applyFill="1" applyBorder="1" applyAlignment="1">
      <alignment horizontal="center" vertical="center"/>
    </xf>
    <xf numFmtId="2" fontId="0" fillId="2" borderId="6" xfId="0" applyNumberFormat="1" applyFill="1" applyBorder="1" applyAlignment="1">
      <alignment horizontal="center" vertical="center"/>
    </xf>
    <xf numFmtId="2" fontId="0" fillId="2" borderId="7" xfId="0" applyNumberFormat="1" applyFill="1" applyBorder="1" applyAlignment="1">
      <alignment horizontal="center" vertical="center"/>
    </xf>
    <xf numFmtId="2" fontId="0" fillId="2" borderId="8" xfId="0" applyNumberFormat="1" applyFill="1" applyBorder="1" applyAlignment="1">
      <alignment horizontal="center" vertical="center"/>
    </xf>
    <xf numFmtId="2" fontId="0" fillId="2" borderId="9" xfId="0" applyNumberFormat="1" applyFill="1"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wrapText="1"/>
    </xf>
    <xf numFmtId="164" fontId="5" fillId="0" borderId="0" xfId="0" applyNumberFormat="1" applyFont="1" applyAlignment="1">
      <alignment horizontal="center" vertical="center"/>
    </xf>
    <xf numFmtId="0" fontId="4" fillId="2" borderId="1" xfId="0" applyFont="1" applyFill="1" applyBorder="1" applyAlignment="1">
      <alignment horizontal="center" vertical="center"/>
    </xf>
    <xf numFmtId="0" fontId="8" fillId="0" borderId="0" xfId="1" applyAlignment="1">
      <alignment horizontal="center" vertical="center"/>
    </xf>
    <xf numFmtId="0" fontId="4" fillId="0" borderId="0" xfId="0" applyFont="1" applyAlignment="1">
      <alignment horizontal="right" vertical="center"/>
    </xf>
    <xf numFmtId="0" fontId="4" fillId="3" borderId="0" xfId="0" applyFont="1" applyFill="1" applyAlignment="1">
      <alignment horizontal="left" vertical="center"/>
    </xf>
    <xf numFmtId="0" fontId="0" fillId="3" borderId="0" xfId="0" applyFill="1" applyAlignment="1">
      <alignment horizontal="center" vertical="center"/>
    </xf>
    <xf numFmtId="165" fontId="0" fillId="0" borderId="0" xfId="0" applyNumberFormat="1" applyAlignment="1">
      <alignment horizontal="center" vertical="center"/>
    </xf>
    <xf numFmtId="165" fontId="0" fillId="2" borderId="0" xfId="0" applyNumberFormat="1" applyFill="1" applyAlignment="1">
      <alignment horizontal="center" vertical="center"/>
    </xf>
    <xf numFmtId="15" fontId="4" fillId="0" borderId="0" xfId="0" applyNumberFormat="1" applyFont="1" applyAlignment="1">
      <alignment horizontal="center" vertical="center"/>
    </xf>
    <xf numFmtId="2" fontId="5" fillId="2" borderId="2" xfId="0" applyNumberFormat="1" applyFont="1" applyFill="1" applyBorder="1" applyAlignment="1">
      <alignment horizontal="center" vertical="center"/>
    </xf>
    <xf numFmtId="2" fontId="5" fillId="2" borderId="3" xfId="0" applyNumberFormat="1" applyFont="1" applyFill="1" applyBorder="1" applyAlignment="1">
      <alignment horizontal="center" vertical="center"/>
    </xf>
    <xf numFmtId="2" fontId="5" fillId="2" borderId="4" xfId="0" applyNumberFormat="1" applyFont="1" applyFill="1" applyBorder="1" applyAlignment="1">
      <alignment horizontal="center" vertical="center"/>
    </xf>
    <xf numFmtId="2" fontId="5" fillId="2" borderId="5" xfId="0" applyNumberFormat="1" applyFont="1" applyFill="1" applyBorder="1" applyAlignment="1">
      <alignment horizontal="center" vertical="center"/>
    </xf>
    <xf numFmtId="2" fontId="5" fillId="2" borderId="0" xfId="0" applyNumberFormat="1" applyFont="1" applyFill="1" applyAlignment="1">
      <alignment horizontal="center" vertical="center"/>
    </xf>
    <xf numFmtId="2" fontId="5" fillId="2" borderId="6" xfId="0" applyNumberFormat="1" applyFont="1" applyFill="1" applyBorder="1" applyAlignment="1">
      <alignment horizontal="center" vertical="center"/>
    </xf>
    <xf numFmtId="2" fontId="5" fillId="2" borderId="7" xfId="0" applyNumberFormat="1" applyFont="1" applyFill="1" applyBorder="1" applyAlignment="1">
      <alignment horizontal="center" vertical="center"/>
    </xf>
    <xf numFmtId="2" fontId="5" fillId="2" borderId="8" xfId="0" applyNumberFormat="1" applyFont="1" applyFill="1" applyBorder="1" applyAlignment="1">
      <alignment horizontal="center" vertical="center"/>
    </xf>
    <xf numFmtId="2" fontId="5" fillId="2" borderId="9"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11" fillId="0" borderId="13" xfId="0" applyFont="1" applyFill="1" applyBorder="1" applyAlignment="1">
      <alignment horizontal="center" vertical="center" wrapText="1"/>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0" fillId="5" borderId="0" xfId="0" applyFill="1" applyAlignment="1">
      <alignment horizontal="center" vertical="center"/>
    </xf>
    <xf numFmtId="0" fontId="12" fillId="6" borderId="1" xfId="0" applyFont="1" applyFill="1" applyBorder="1" applyAlignment="1">
      <alignment horizontal="center" vertical="center"/>
    </xf>
    <xf numFmtId="0" fontId="0" fillId="4" borderId="0" xfId="0" applyFill="1" applyAlignment="1">
      <alignment horizontal="center" vertical="center"/>
    </xf>
    <xf numFmtId="0" fontId="0" fillId="6" borderId="0" xfId="0" applyFill="1" applyAlignment="1">
      <alignment horizontal="center" vertical="center"/>
    </xf>
    <xf numFmtId="0" fontId="13" fillId="6" borderId="1" xfId="0" applyFont="1" applyFill="1" applyBorder="1" applyAlignment="1">
      <alignment horizontal="center" vertical="center"/>
    </xf>
    <xf numFmtId="0" fontId="13" fillId="5" borderId="1" xfId="0" applyFont="1" applyFill="1" applyBorder="1" applyAlignment="1">
      <alignment horizontal="center" vertical="center"/>
    </xf>
    <xf numFmtId="0" fontId="13" fillId="4" borderId="1" xfId="0" applyFont="1" applyFill="1" applyBorder="1" applyAlignment="1">
      <alignment horizontal="center" vertical="center"/>
    </xf>
    <xf numFmtId="0" fontId="5" fillId="0" borderId="0" xfId="0" applyFont="1" applyAlignment="1">
      <alignment vertical="center" wrapText="1"/>
    </xf>
    <xf numFmtId="165" fontId="0" fillId="0" borderId="0" xfId="0" applyNumberForma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xf>
    <xf numFmtId="0" fontId="0" fillId="0" borderId="0" xfId="0" applyAlignment="1">
      <alignment horizontal="left" vertical="center"/>
    </xf>
    <xf numFmtId="0" fontId="0" fillId="0" borderId="0" xfId="0" applyAlignment="1">
      <alignment vertical="center"/>
    </xf>
    <xf numFmtId="0" fontId="4" fillId="0" borderId="0" xfId="0" applyFont="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12" fillId="0" borderId="5" xfId="0" applyFont="1" applyFill="1" applyBorder="1" applyAlignment="1">
      <alignment horizontal="center" vertical="center"/>
    </xf>
    <xf numFmtId="2" fontId="14" fillId="0" borderId="0" xfId="0" applyNumberFormat="1" applyFont="1" applyAlignment="1">
      <alignment horizontal="center" vertical="center" wrapText="1"/>
    </xf>
    <xf numFmtId="0" fontId="15" fillId="0" borderId="0" xfId="0" applyFont="1" applyFill="1" applyAlignment="1">
      <alignment horizontal="center" vertical="center" wrapText="1"/>
    </xf>
    <xf numFmtId="165" fontId="5" fillId="0" borderId="0" xfId="0" applyNumberFormat="1" applyFont="1" applyFill="1" applyAlignment="1">
      <alignment horizontal="center" vertical="center" wrapText="1"/>
    </xf>
    <xf numFmtId="165" fontId="6" fillId="0" borderId="0" xfId="0" applyNumberFormat="1" applyFont="1" applyFill="1" applyAlignment="1">
      <alignment horizontal="center" vertical="center" wrapText="1"/>
    </xf>
    <xf numFmtId="0" fontId="16" fillId="0" borderId="0" xfId="0" applyFont="1" applyAlignment="1">
      <alignment horizontal="center" vertical="center" wrapText="1"/>
    </xf>
    <xf numFmtId="0" fontId="16" fillId="0" borderId="0" xfId="0" applyFont="1" applyAlignment="1">
      <alignment horizontal="center" vertical="center"/>
    </xf>
    <xf numFmtId="1" fontId="4" fillId="0" borderId="0" xfId="0" applyNumberFormat="1" applyFont="1" applyAlignment="1">
      <alignment horizontal="center" vertical="center" wrapText="1"/>
    </xf>
    <xf numFmtId="0" fontId="4" fillId="0" borderId="0" xfId="0" applyFont="1" applyAlignment="1">
      <alignment horizontal="center"/>
    </xf>
    <xf numFmtId="165" fontId="0" fillId="0" borderId="0" xfId="0" applyNumberFormat="1" applyFill="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3" xfId="0" applyFont="1" applyFill="1" applyBorder="1" applyAlignment="1">
      <alignment horizontal="center" vertical="center" wrapText="1"/>
    </xf>
    <xf numFmtId="0" fontId="0" fillId="4" borderId="1" xfId="0" applyFill="1" applyBorder="1" applyAlignment="1">
      <alignment horizontal="center" vertical="center" wrapText="1"/>
    </xf>
    <xf numFmtId="165" fontId="0" fillId="4" borderId="1" xfId="0" applyNumberFormat="1" applyFill="1" applyBorder="1" applyAlignment="1">
      <alignment horizontal="center" vertical="center" wrapText="1"/>
    </xf>
    <xf numFmtId="0" fontId="0" fillId="5" borderId="1" xfId="0" applyFill="1" applyBorder="1" applyAlignment="1">
      <alignment horizontal="center" vertical="center" wrapText="1"/>
    </xf>
    <xf numFmtId="165" fontId="0" fillId="5" borderId="1" xfId="0" applyNumberFormat="1" applyFill="1" applyBorder="1" applyAlignment="1">
      <alignment horizontal="center" vertical="center" wrapText="1"/>
    </xf>
    <xf numFmtId="0" fontId="0" fillId="5" borderId="1" xfId="0" applyFont="1" applyFill="1" applyBorder="1" applyAlignment="1">
      <alignment horizontal="center" vertical="center" wrapText="1"/>
    </xf>
    <xf numFmtId="0" fontId="0" fillId="6" borderId="1" xfId="0" applyFill="1" applyBorder="1" applyAlignment="1">
      <alignment horizontal="center" vertical="center" wrapText="1"/>
    </xf>
    <xf numFmtId="165" fontId="0" fillId="6" borderId="1" xfId="0" applyNumberFormat="1" applyFill="1" applyBorder="1" applyAlignment="1">
      <alignment horizontal="center" vertical="center" wrapText="1"/>
    </xf>
    <xf numFmtId="165" fontId="0" fillId="6" borderId="1" xfId="0" applyNumberFormat="1" applyFont="1" applyFill="1" applyBorder="1" applyAlignment="1">
      <alignment horizontal="center" vertical="center" wrapText="1"/>
    </xf>
    <xf numFmtId="165" fontId="0" fillId="4" borderId="1" xfId="0" applyNumberFormat="1" applyFont="1" applyFill="1" applyBorder="1" applyAlignment="1">
      <alignment horizontal="center" vertical="center" wrapText="1"/>
    </xf>
    <xf numFmtId="165" fontId="0" fillId="2" borderId="0" xfId="0" applyNumberFormat="1"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165" fontId="5" fillId="0" borderId="0" xfId="0" applyNumberFormat="1" applyFont="1" applyFill="1" applyAlignment="1">
      <alignment horizontal="center" vertical="center" wrapText="1"/>
    </xf>
    <xf numFmtId="0" fontId="5" fillId="0" borderId="0" xfId="0" applyFont="1" applyAlignment="1">
      <alignment horizontal="center" vertical="center" wrapText="1"/>
    </xf>
    <xf numFmtId="2" fontId="13" fillId="4" borderId="1" xfId="0" applyNumberFormat="1" applyFont="1" applyFill="1" applyBorder="1" applyAlignment="1">
      <alignment horizontal="center" vertical="center"/>
    </xf>
    <xf numFmtId="165" fontId="0" fillId="0" borderId="0" xfId="0" applyNumberFormat="1" applyFill="1" applyAlignment="1">
      <alignment horizontal="center" vertical="center"/>
    </xf>
    <xf numFmtId="2" fontId="12" fillId="4" borderId="1" xfId="0" applyNumberFormat="1" applyFont="1" applyFill="1" applyBorder="1" applyAlignment="1">
      <alignment horizontal="center" vertical="center"/>
    </xf>
    <xf numFmtId="2" fontId="12" fillId="5" borderId="1" xfId="0" applyNumberFormat="1" applyFont="1" applyFill="1" applyBorder="1" applyAlignment="1">
      <alignment horizontal="center" vertical="center"/>
    </xf>
    <xf numFmtId="2" fontId="13" fillId="5" borderId="1" xfId="0" applyNumberFormat="1" applyFont="1" applyFill="1" applyBorder="1" applyAlignment="1">
      <alignment horizontal="center" vertical="center"/>
    </xf>
    <xf numFmtId="2" fontId="12" fillId="6" borderId="1" xfId="0" applyNumberFormat="1" applyFont="1" applyFill="1" applyBorder="1" applyAlignment="1">
      <alignment horizontal="center" vertical="center"/>
    </xf>
    <xf numFmtId="2" fontId="13" fillId="6" borderId="1" xfId="0" applyNumberFormat="1" applyFont="1" applyFill="1" applyBorder="1" applyAlignment="1">
      <alignment horizontal="center" vertical="center"/>
    </xf>
    <xf numFmtId="166" fontId="13" fillId="4" borderId="1" xfId="0" applyNumberFormat="1" applyFont="1" applyFill="1" applyBorder="1" applyAlignment="1">
      <alignment horizontal="center" vertical="center"/>
    </xf>
    <xf numFmtId="166" fontId="12" fillId="4" borderId="1" xfId="0" applyNumberFormat="1" applyFont="1" applyFill="1" applyBorder="1" applyAlignment="1">
      <alignment horizontal="center" vertical="center"/>
    </xf>
    <xf numFmtId="166" fontId="12" fillId="5" borderId="1" xfId="0" applyNumberFormat="1" applyFont="1" applyFill="1" applyBorder="1" applyAlignment="1">
      <alignment horizontal="center" vertical="center"/>
    </xf>
    <xf numFmtId="166" fontId="13" fillId="5" borderId="1" xfId="0" applyNumberFormat="1" applyFont="1" applyFill="1" applyBorder="1" applyAlignment="1">
      <alignment horizontal="center" vertical="center"/>
    </xf>
    <xf numFmtId="166" fontId="12" fillId="6" borderId="1" xfId="0" applyNumberFormat="1" applyFont="1" applyFill="1" applyBorder="1" applyAlignment="1">
      <alignment horizontal="center" vertical="center"/>
    </xf>
    <xf numFmtId="166" fontId="13" fillId="6" borderId="1" xfId="0" applyNumberFormat="1" applyFont="1" applyFill="1" applyBorder="1" applyAlignment="1">
      <alignment horizontal="center" vertical="center"/>
    </xf>
    <xf numFmtId="0" fontId="15" fillId="0" borderId="0" xfId="0" applyFont="1" applyAlignment="1">
      <alignment horizontal="center"/>
    </xf>
    <xf numFmtId="165" fontId="5" fillId="0" borderId="0" xfId="0" applyNumberFormat="1" applyFont="1" applyAlignment="1">
      <alignment horizontal="center"/>
    </xf>
    <xf numFmtId="0" fontId="1" fillId="0" borderId="13"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5" fillId="0" borderId="0" xfId="0" applyFont="1" applyAlignment="1">
      <alignment horizontal="center" vertical="center" wrapText="1"/>
    </xf>
    <xf numFmtId="165" fontId="5" fillId="0" borderId="0" xfId="0" applyNumberFormat="1" applyFont="1" applyFill="1" applyAlignment="1">
      <alignment horizontal="center" vertical="center" wrapText="1"/>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3" borderId="5" xfId="0" applyFont="1" applyFill="1" applyBorder="1" applyAlignment="1">
      <alignment horizontal="center" vertical="center"/>
    </xf>
    <xf numFmtId="0" fontId="4" fillId="3" borderId="0" xfId="0" applyFont="1" applyFill="1" applyAlignment="1">
      <alignment horizontal="center" vertical="center"/>
    </xf>
    <xf numFmtId="0" fontId="0" fillId="0" borderId="0" xfId="0" applyAlignment="1">
      <alignment horizontal="center" vertical="center"/>
    </xf>
    <xf numFmtId="165" fontId="0" fillId="0" borderId="0" xfId="0" applyNumberFormat="1" applyAlignment="1">
      <alignment horizontal="center"/>
    </xf>
    <xf numFmtId="165" fontId="5" fillId="0" borderId="0" xfId="0" applyNumberFormat="1" applyFont="1" applyFill="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4" fillId="0" borderId="0" xfId="0" applyFont="1"/>
  </cellXfs>
  <cellStyles count="2">
    <cellStyle name="Hyperlink" xfId="1" builtinId="8"/>
    <cellStyle name="Normal" xfId="0" builtinId="0"/>
  </cellStyles>
  <dxfs count="2">
    <dxf>
      <font>
        <color theme="2" tint="-9.9948118533890809E-2"/>
      </font>
    </dxf>
    <dxf>
      <font>
        <color theme="2" tint="-9.9948118533890809E-2"/>
      </font>
    </dxf>
  </dxfs>
  <tableStyles count="0" defaultTableStyle="TableStyleMedium2" defaultPivotStyle="PivotStyleLight16"/>
  <colors>
    <mruColors>
      <color rgb="FFFFCCCC"/>
      <color rgb="FF000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to return to baseline if all becomes "4" at week 0</a:t>
            </a:r>
            <a:endParaRPr lang="en-US"/>
          </a:p>
        </c:rich>
      </c:tx>
      <c:overlay val="0"/>
      <c:spPr>
        <a:noFill/>
        <a:ln>
          <a:noFill/>
        </a:ln>
        <a:effectLst/>
      </c:spPr>
    </c:title>
    <c:autoTitleDeleted val="0"/>
    <c:plotArea>
      <c:layout/>
      <c:lineChart>
        <c:grouping val="standard"/>
        <c:varyColors val="0"/>
        <c:ser>
          <c:idx val="1"/>
          <c:order val="0"/>
          <c:marker>
            <c:symbol val="none"/>
          </c:marker>
          <c:cat>
            <c:numRef>
              <c:f>'Check-calib2transprob'!$AH$18:$AH$29</c:f>
              <c:numCache>
                <c:formatCode>General</c:formatCode>
                <c:ptCount val="12"/>
                <c:pt idx="0">
                  <c:v>-1</c:v>
                </c:pt>
                <c:pt idx="1">
                  <c:v>0</c:v>
                </c:pt>
                <c:pt idx="2">
                  <c:v>1</c:v>
                </c:pt>
                <c:pt idx="3">
                  <c:v>2</c:v>
                </c:pt>
                <c:pt idx="4">
                  <c:v>3</c:v>
                </c:pt>
                <c:pt idx="5">
                  <c:v>4</c:v>
                </c:pt>
                <c:pt idx="6">
                  <c:v>5</c:v>
                </c:pt>
                <c:pt idx="7">
                  <c:v>6</c:v>
                </c:pt>
                <c:pt idx="8">
                  <c:v>7</c:v>
                </c:pt>
                <c:pt idx="9">
                  <c:v>8</c:v>
                </c:pt>
                <c:pt idx="10">
                  <c:v>9</c:v>
                </c:pt>
                <c:pt idx="11">
                  <c:v>10</c:v>
                </c:pt>
              </c:numCache>
            </c:numRef>
          </c:cat>
          <c:val>
            <c:numRef>
              <c:f>'Check-calib2transprob'!$AM$18:$AM$29</c:f>
              <c:numCache>
                <c:formatCode>0.000</c:formatCode>
                <c:ptCount val="12"/>
                <c:pt idx="0">
                  <c:v>0.19416666666666668</c:v>
                </c:pt>
                <c:pt idx="1">
                  <c:v>1</c:v>
                </c:pt>
                <c:pt idx="2">
                  <c:v>0.67515000000000003</c:v>
                </c:pt>
                <c:pt idx="3">
                  <c:v>0.48130347610000002</c:v>
                </c:pt>
                <c:pt idx="4">
                  <c:v>0.36498809680911803</c:v>
                </c:pt>
                <c:pt idx="5">
                  <c:v>0.29478938183989256</c:v>
                </c:pt>
                <c:pt idx="6">
                  <c:v>0.25216867154067268</c:v>
                </c:pt>
                <c:pt idx="7">
                  <c:v>0.22613278084378663</c:v>
                </c:pt>
                <c:pt idx="8">
                  <c:v>0.21012921565877984</c:v>
                </c:pt>
                <c:pt idx="9">
                  <c:v>0.20023101727245685</c:v>
                </c:pt>
                <c:pt idx="10">
                  <c:v>0.19407126131547547</c:v>
                </c:pt>
                <c:pt idx="11">
                  <c:v>0.19021485059765786</c:v>
                </c:pt>
              </c:numCache>
            </c:numRef>
          </c:val>
          <c:smooth val="0"/>
          <c:extLst>
            <c:ext xmlns:c16="http://schemas.microsoft.com/office/drawing/2014/chart" uri="{C3380CC4-5D6E-409C-BE32-E72D297353CC}">
              <c16:uniqueId val="{00000003-309B-40B3-8D47-F98893F06973}"/>
            </c:ext>
          </c:extLst>
        </c:ser>
        <c:ser>
          <c:idx val="0"/>
          <c:order val="1"/>
          <c:spPr>
            <a:ln w="28575" cap="rnd">
              <a:solidFill>
                <a:schemeClr val="accent1"/>
              </a:solidFill>
              <a:round/>
            </a:ln>
            <a:effectLst/>
          </c:spPr>
          <c:marker>
            <c:symbol val="none"/>
          </c:marker>
          <c:cat>
            <c:numRef>
              <c:f>'Check-calib2transprob'!$AH$18:$AH$29</c:f>
              <c:numCache>
                <c:formatCode>General</c:formatCode>
                <c:ptCount val="12"/>
                <c:pt idx="0">
                  <c:v>-1</c:v>
                </c:pt>
                <c:pt idx="1">
                  <c:v>0</c:v>
                </c:pt>
                <c:pt idx="2">
                  <c:v>1</c:v>
                </c:pt>
                <c:pt idx="3">
                  <c:v>2</c:v>
                </c:pt>
                <c:pt idx="4">
                  <c:v>3</c:v>
                </c:pt>
                <c:pt idx="5">
                  <c:v>4</c:v>
                </c:pt>
                <c:pt idx="6">
                  <c:v>5</c:v>
                </c:pt>
                <c:pt idx="7">
                  <c:v>6</c:v>
                </c:pt>
                <c:pt idx="8">
                  <c:v>7</c:v>
                </c:pt>
                <c:pt idx="9">
                  <c:v>8</c:v>
                </c:pt>
                <c:pt idx="10">
                  <c:v>9</c:v>
                </c:pt>
                <c:pt idx="11">
                  <c:v>10</c:v>
                </c:pt>
              </c:numCache>
            </c:numRef>
          </c:cat>
          <c:val>
            <c:numRef>
              <c:f>'Check-calib2transprob'!$AM$18:$AM$29</c:f>
              <c:numCache>
                <c:formatCode>0.000</c:formatCode>
                <c:ptCount val="12"/>
                <c:pt idx="0">
                  <c:v>0.19416666666666668</c:v>
                </c:pt>
                <c:pt idx="1">
                  <c:v>1</c:v>
                </c:pt>
                <c:pt idx="2">
                  <c:v>0.67515000000000003</c:v>
                </c:pt>
                <c:pt idx="3">
                  <c:v>0.48130347610000002</c:v>
                </c:pt>
                <c:pt idx="4">
                  <c:v>0.36498809680911803</c:v>
                </c:pt>
                <c:pt idx="5">
                  <c:v>0.29478938183989256</c:v>
                </c:pt>
                <c:pt idx="6">
                  <c:v>0.25216867154067268</c:v>
                </c:pt>
                <c:pt idx="7">
                  <c:v>0.22613278084378663</c:v>
                </c:pt>
                <c:pt idx="8">
                  <c:v>0.21012921565877984</c:v>
                </c:pt>
                <c:pt idx="9">
                  <c:v>0.20023101727245685</c:v>
                </c:pt>
                <c:pt idx="10">
                  <c:v>0.19407126131547547</c:v>
                </c:pt>
                <c:pt idx="11">
                  <c:v>0.19021485059765786</c:v>
                </c:pt>
              </c:numCache>
            </c:numRef>
          </c:val>
          <c:smooth val="0"/>
          <c:extLst>
            <c:ext xmlns:c16="http://schemas.microsoft.com/office/drawing/2014/chart" uri="{C3380CC4-5D6E-409C-BE32-E72D297353CC}">
              <c16:uniqueId val="{00000002-309B-40B3-8D47-F98893F06973}"/>
            </c:ext>
          </c:extLst>
        </c:ser>
        <c:dLbls>
          <c:showLegendKey val="0"/>
          <c:showVal val="0"/>
          <c:showCatName val="0"/>
          <c:showSerName val="0"/>
          <c:showPercent val="0"/>
          <c:showBubbleSize val="0"/>
        </c:dLbls>
        <c:smooth val="0"/>
        <c:axId val="803671663"/>
        <c:axId val="268531279"/>
      </c:lineChart>
      <c:catAx>
        <c:axId val="80367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31279"/>
        <c:crosses val="autoZero"/>
        <c:auto val="1"/>
        <c:lblAlgn val="ctr"/>
        <c:lblOffset val="100"/>
        <c:noMultiLvlLbl val="0"/>
      </c:catAx>
      <c:valAx>
        <c:axId val="26853127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71663"/>
        <c:crosses val="autoZero"/>
        <c:crossBetween val="between"/>
        <c:majorUnit val="0.2"/>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195383</xdr:colOff>
      <xdr:row>16</xdr:row>
      <xdr:rowOff>195385</xdr:rowOff>
    </xdr:from>
    <xdr:to>
      <xdr:col>15</xdr:col>
      <xdr:colOff>283307</xdr:colOff>
      <xdr:row>25</xdr:row>
      <xdr:rowOff>19538</xdr:rowOff>
    </xdr:to>
    <xdr:sp macro="" textlink="">
      <xdr:nvSpPr>
        <xdr:cNvPr id="4" name="TextBox 3">
          <a:extLst>
            <a:ext uri="{FF2B5EF4-FFF2-40B4-BE49-F238E27FC236}">
              <a16:creationId xmlns:a16="http://schemas.microsoft.com/office/drawing/2014/main" id="{442C1A37-A535-6EFD-59DE-80B382667D1B}"/>
            </a:ext>
          </a:extLst>
        </xdr:cNvPr>
        <xdr:cNvSpPr txBox="1"/>
      </xdr:nvSpPr>
      <xdr:spPr>
        <a:xfrm>
          <a:off x="6750537" y="3683000"/>
          <a:ext cx="5890847" cy="167053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Steps</a:t>
          </a:r>
          <a:r>
            <a:rPr lang="en-US" sz="1200" b="1" baseline="0"/>
            <a:t> for Method II:</a:t>
          </a:r>
          <a:endParaRPr lang="en-US" sz="1200" b="1"/>
        </a:p>
        <a:p>
          <a:r>
            <a:rPr lang="en-US" sz="1200" b="0"/>
            <a:t>1)</a:t>
          </a:r>
          <a:r>
            <a:rPr lang="en-US" sz="1200" b="0" baseline="0"/>
            <a:t> Enter or check values for 3-way split and 12345 x ABC grid. </a:t>
          </a:r>
          <a:r>
            <a:rPr lang="en-US" sz="1200" b="0" i="1" baseline="0"/>
            <a:t>(We need a worksheet documenting these values, with cites, copied tables and/or text from sources, calcs &amp; comments.)</a:t>
          </a:r>
          <a:r>
            <a:rPr lang="en-US" sz="1200" b="0" baseline="0"/>
            <a:t> Resulting calculated literature-based targets 12345 are in column L. </a:t>
          </a:r>
        </a:p>
        <a:p>
          <a:r>
            <a:rPr lang="en-US" sz="1200" b="0" baseline="0"/>
            <a:t>2) Enter model results for Equilibrium. Check Delta total -- is it low enough to deem calibrated? E.g., &lt; 0.10.</a:t>
          </a:r>
        </a:p>
        <a:p>
          <a:r>
            <a:rPr lang="en-US" sz="1200" b="0" baseline="0"/>
            <a:t>3) If not, fiddle with transition probabilities and repeat step 2.</a:t>
          </a:r>
          <a:endParaRPr lang="en-US" sz="12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42</xdr:col>
      <xdr:colOff>294564</xdr:colOff>
      <xdr:row>15</xdr:row>
      <xdr:rowOff>131857</xdr:rowOff>
    </xdr:from>
    <xdr:to>
      <xdr:col>49</xdr:col>
      <xdr:colOff>238087</xdr:colOff>
      <xdr:row>27</xdr:row>
      <xdr:rowOff>103767</xdr:rowOff>
    </xdr:to>
    <xdr:graphicFrame macro="">
      <xdr:nvGraphicFramePr>
        <xdr:cNvPr id="2" name="Chart 1">
          <a:extLst>
            <a:ext uri="{FF2B5EF4-FFF2-40B4-BE49-F238E27FC236}">
              <a16:creationId xmlns:a16="http://schemas.microsoft.com/office/drawing/2014/main" id="{2AD2068B-7994-CC59-4CB5-140DD75EE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54E13-E3C1-3E46-8368-D2DB362951ED}">
  <dimension ref="B1:R32"/>
  <sheetViews>
    <sheetView topLeftCell="B8" zoomScaleNormal="100" workbookViewId="0">
      <selection activeCell="Q11" sqref="Q11"/>
    </sheetView>
  </sheetViews>
  <sheetFormatPr defaultColWidth="10.83203125" defaultRowHeight="15.5" x14ac:dyDescent="0.35"/>
  <cols>
    <col min="1" max="1" width="1.6640625" style="1" customWidth="1"/>
    <col min="2" max="2" width="22" style="1" customWidth="1"/>
    <col min="3" max="3" width="13.6640625" style="1" customWidth="1"/>
    <col min="4" max="4" width="12" style="1" hidden="1" customWidth="1"/>
    <col min="5" max="7" width="10.83203125" style="1" hidden="1" customWidth="1"/>
    <col min="8" max="8" width="3.83203125" style="1" customWidth="1"/>
    <col min="9" max="9" width="12.6640625" style="1" customWidth="1"/>
    <col min="10" max="11" width="10.83203125" style="1"/>
    <col min="12" max="12" width="9.83203125" style="1" customWidth="1"/>
    <col min="13" max="13" width="11" style="1" customWidth="1"/>
    <col min="14" max="14" width="9.83203125" style="1" customWidth="1"/>
    <col min="15" max="16" width="10.83203125" style="1"/>
    <col min="17" max="17" width="12.08203125" style="1" customWidth="1"/>
    <col min="18" max="16384" width="10.83203125" style="1"/>
  </cols>
  <sheetData>
    <row r="1" spans="2:18" x14ac:dyDescent="0.35">
      <c r="B1" s="18" t="s">
        <v>1</v>
      </c>
      <c r="D1" s="38">
        <v>44995</v>
      </c>
    </row>
    <row r="2" spans="2:18" ht="8" customHeight="1" x14ac:dyDescent="0.35">
      <c r="B2" s="18"/>
      <c r="D2" s="38"/>
    </row>
    <row r="3" spans="2:18" x14ac:dyDescent="0.35">
      <c r="B3" s="27" t="s">
        <v>4</v>
      </c>
      <c r="D3" s="18" t="s">
        <v>8</v>
      </c>
      <c r="I3" s="34" t="s">
        <v>9</v>
      </c>
      <c r="J3" s="35"/>
      <c r="K3" s="35"/>
    </row>
    <row r="4" spans="2:18" s="28" customFormat="1" ht="34" customHeight="1" x14ac:dyDescent="0.35">
      <c r="D4" s="29" t="s">
        <v>10</v>
      </c>
      <c r="E4" s="29" t="s">
        <v>11</v>
      </c>
      <c r="F4" s="29" t="s">
        <v>13</v>
      </c>
      <c r="I4" s="29" t="s">
        <v>10</v>
      </c>
      <c r="J4" s="29" t="s">
        <v>11</v>
      </c>
      <c r="K4" s="29" t="s">
        <v>13</v>
      </c>
    </row>
    <row r="5" spans="2:18" x14ac:dyDescent="0.35">
      <c r="C5" s="13" t="s">
        <v>29</v>
      </c>
      <c r="D5" s="31">
        <v>0.23300000000000001</v>
      </c>
      <c r="E5" s="31">
        <v>0.28499999999999998</v>
      </c>
      <c r="F5" s="31">
        <v>0.48199999999999998</v>
      </c>
      <c r="G5" s="3">
        <f>SUM(D5:F5)</f>
        <v>1</v>
      </c>
      <c r="I5" s="31">
        <f>D5</f>
        <v>0.23300000000000001</v>
      </c>
      <c r="J5" s="31">
        <f t="shared" ref="J5:L5" si="0">E5</f>
        <v>0.28499999999999998</v>
      </c>
      <c r="K5" s="31">
        <f t="shared" si="0"/>
        <v>0.48199999999999998</v>
      </c>
      <c r="L5" s="3">
        <f t="shared" si="0"/>
        <v>1</v>
      </c>
      <c r="M5" s="3"/>
    </row>
    <row r="6" spans="2:18" x14ac:dyDescent="0.35">
      <c r="C6" s="13" t="s">
        <v>0</v>
      </c>
      <c r="D6" s="1">
        <f>$M11*D11+$M12*D12+$M13*D13+$M14*D14+$M15*D15</f>
        <v>0.16596</v>
      </c>
      <c r="E6" s="1">
        <f>$M11*E11+$M12*E12+$M13*E13+$M14*E14+$M15*E15</f>
        <v>0.63714000000000004</v>
      </c>
      <c r="F6" s="1">
        <f>$M11*F11+$M12*F12+$M13*F13+$M14*F14+$M15*F15</f>
        <v>0.19690000000000002</v>
      </c>
      <c r="G6" s="3">
        <f>SUM(D6:F6)</f>
        <v>1</v>
      </c>
      <c r="L6" s="3"/>
      <c r="M6" s="3"/>
    </row>
    <row r="7" spans="2:18" x14ac:dyDescent="0.35">
      <c r="C7" s="14" t="s">
        <v>5</v>
      </c>
      <c r="D7" s="15">
        <f>D6-D5</f>
        <v>-6.7040000000000016E-2</v>
      </c>
      <c r="E7" s="15">
        <f t="shared" ref="E7:F7" si="1">E6-E5</f>
        <v>0.35214000000000006</v>
      </c>
      <c r="F7" s="15">
        <f t="shared" si="1"/>
        <v>-0.28509999999999996</v>
      </c>
      <c r="G7" s="16">
        <f>ABS(D7)+ABS(E7)+ABS(F7)</f>
        <v>0.70428000000000002</v>
      </c>
      <c r="H7" s="17"/>
      <c r="I7" s="15"/>
      <c r="J7" s="15"/>
      <c r="K7" s="15"/>
      <c r="L7" s="16"/>
      <c r="M7" s="16"/>
      <c r="P7" s="32"/>
    </row>
    <row r="8" spans="2:18" x14ac:dyDescent="0.35">
      <c r="G8" s="2"/>
    </row>
    <row r="9" spans="2:18" x14ac:dyDescent="0.35">
      <c r="D9" s="120" t="s">
        <v>7</v>
      </c>
      <c r="E9" s="121"/>
      <c r="F9" s="121"/>
      <c r="G9" s="121"/>
      <c r="H9" s="121"/>
      <c r="I9" s="121"/>
      <c r="J9" s="121"/>
      <c r="K9" s="122"/>
      <c r="L9" s="123" t="s">
        <v>30</v>
      </c>
      <c r="M9" s="124"/>
      <c r="N9" s="124"/>
      <c r="O9" s="125"/>
      <c r="P9" s="125"/>
    </row>
    <row r="10" spans="2:18" ht="67" customHeight="1" x14ac:dyDescent="0.35">
      <c r="D10" s="17" t="s">
        <v>34</v>
      </c>
      <c r="G10" s="2"/>
      <c r="I10" s="17" t="s">
        <v>3</v>
      </c>
      <c r="L10" s="1" t="s">
        <v>31</v>
      </c>
      <c r="M10" s="28" t="s">
        <v>72</v>
      </c>
      <c r="N10" s="15" t="s">
        <v>74</v>
      </c>
      <c r="O10" s="28" t="s">
        <v>73</v>
      </c>
      <c r="P10" s="15" t="s">
        <v>33</v>
      </c>
      <c r="Q10" s="115" t="s">
        <v>79</v>
      </c>
      <c r="R10" s="15" t="s">
        <v>33</v>
      </c>
    </row>
    <row r="11" spans="2:18" x14ac:dyDescent="0.35">
      <c r="C11" s="33" t="s">
        <v>77</v>
      </c>
      <c r="D11" s="39">
        <v>1</v>
      </c>
      <c r="E11" s="40"/>
      <c r="F11" s="41"/>
      <c r="G11" s="3">
        <f>SUM(D11:F11)</f>
        <v>1</v>
      </c>
      <c r="I11" s="19">
        <f>12/(12+60)</f>
        <v>0.16666666666666666</v>
      </c>
      <c r="J11" s="20">
        <v>0</v>
      </c>
      <c r="K11" s="21">
        <v>0</v>
      </c>
      <c r="L11" s="36">
        <f>I$5*I11+J$5*J11+K$5*K11</f>
        <v>3.8833333333333331E-2</v>
      </c>
      <c r="M11" s="37">
        <v>5.8999999999999997E-2</v>
      </c>
      <c r="N11" s="30">
        <f>L11-M11</f>
        <v>-2.0166666666666666E-2</v>
      </c>
      <c r="O11" s="37">
        <v>4.4999999999999998E-2</v>
      </c>
      <c r="P11" s="30">
        <f>O11-L11</f>
        <v>6.1666666666666675E-3</v>
      </c>
      <c r="Q11" s="37">
        <v>6.0999999999999999E-2</v>
      </c>
      <c r="R11" s="30">
        <f>Q11-L11</f>
        <v>2.2166666666666668E-2</v>
      </c>
    </row>
    <row r="12" spans="2:18" x14ac:dyDescent="0.35">
      <c r="C12" s="33" t="s">
        <v>78</v>
      </c>
      <c r="D12" s="42">
        <v>0.56000000000000005</v>
      </c>
      <c r="E12" s="43">
        <f>1-D12</f>
        <v>0.43999999999999995</v>
      </c>
      <c r="F12" s="44"/>
      <c r="G12" s="3">
        <f t="shared" ref="G12:G15" si="2">SUM(D12:F12)</f>
        <v>1</v>
      </c>
      <c r="I12" s="22">
        <f>60/(12+60)</f>
        <v>0.83333333333333337</v>
      </c>
      <c r="J12" s="4">
        <v>0</v>
      </c>
      <c r="K12" s="23">
        <v>0</v>
      </c>
      <c r="L12" s="36">
        <f t="shared" ref="L12:L15" si="3">I$5*I12+J$5*J12+K$5*K12</f>
        <v>0.19416666666666668</v>
      </c>
      <c r="M12" s="37">
        <v>0.191</v>
      </c>
      <c r="N12" s="30">
        <f>L12-M12</f>
        <v>3.1666666666666787E-3</v>
      </c>
      <c r="O12" s="37">
        <v>0.17599999999999999</v>
      </c>
      <c r="P12" s="30">
        <f t="shared" ref="P12:P15" si="4">O12-L12</f>
        <v>-1.8166666666666692E-2</v>
      </c>
      <c r="Q12" s="37">
        <v>0.19800000000000001</v>
      </c>
      <c r="R12" s="30">
        <f>Q12-L12</f>
        <v>3.8333333333333275E-3</v>
      </c>
    </row>
    <row r="13" spans="2:18" x14ac:dyDescent="0.35">
      <c r="C13" s="33" t="s">
        <v>12</v>
      </c>
      <c r="D13" s="42"/>
      <c r="E13" s="43">
        <v>1</v>
      </c>
      <c r="F13" s="44"/>
      <c r="G13" s="3">
        <f t="shared" si="2"/>
        <v>1</v>
      </c>
      <c r="I13" s="22">
        <v>0</v>
      </c>
      <c r="J13" s="4">
        <v>1</v>
      </c>
      <c r="K13" s="23">
        <v>0</v>
      </c>
      <c r="L13" s="36">
        <f t="shared" si="3"/>
        <v>0.28499999999999998</v>
      </c>
      <c r="M13" s="37">
        <v>0.27100000000000002</v>
      </c>
      <c r="N13" s="30">
        <f>L13-M13</f>
        <v>1.3999999999999957E-2</v>
      </c>
      <c r="O13" s="37">
        <v>0.30099999999999999</v>
      </c>
      <c r="P13" s="30">
        <f t="shared" si="4"/>
        <v>1.6000000000000014E-2</v>
      </c>
      <c r="Q13" s="37">
        <v>0.27800000000000002</v>
      </c>
      <c r="R13" s="30">
        <f>Q13-L13</f>
        <v>-6.9999999999999507E-3</v>
      </c>
    </row>
    <row r="14" spans="2:18" x14ac:dyDescent="0.35">
      <c r="C14" s="33" t="s">
        <v>50</v>
      </c>
      <c r="D14" s="42"/>
      <c r="E14" s="43">
        <v>0.7</v>
      </c>
      <c r="F14" s="44">
        <v>0.3</v>
      </c>
      <c r="G14" s="3">
        <f t="shared" si="2"/>
        <v>1</v>
      </c>
      <c r="I14" s="22">
        <v>0</v>
      </c>
      <c r="J14" s="4">
        <v>0</v>
      </c>
      <c r="K14" s="23">
        <f>121/(121+28)</f>
        <v>0.81208053691275173</v>
      </c>
      <c r="L14" s="36">
        <f t="shared" si="3"/>
        <v>0.39142281879194629</v>
      </c>
      <c r="M14" s="37">
        <v>0.40300000000000002</v>
      </c>
      <c r="N14" s="30">
        <f>L14-M14</f>
        <v>-1.1577181208053733E-2</v>
      </c>
      <c r="O14" s="37">
        <v>0.39</v>
      </c>
      <c r="P14" s="30">
        <f t="shared" si="4"/>
        <v>-1.4228187919462787E-3</v>
      </c>
      <c r="Q14" s="37">
        <v>0.38100000000000001</v>
      </c>
      <c r="R14" s="30">
        <f>Q14-L14</f>
        <v>-1.0422818791946287E-2</v>
      </c>
    </row>
    <row r="15" spans="2:18" x14ac:dyDescent="0.35">
      <c r="C15" s="33" t="s">
        <v>49</v>
      </c>
      <c r="D15" s="45"/>
      <c r="E15" s="46"/>
      <c r="F15" s="47">
        <v>1</v>
      </c>
      <c r="G15" s="3">
        <f t="shared" si="2"/>
        <v>1</v>
      </c>
      <c r="I15" s="24">
        <v>0</v>
      </c>
      <c r="J15" s="25">
        <v>0</v>
      </c>
      <c r="K15" s="26">
        <f>28/(121+28)</f>
        <v>0.18791946308724833</v>
      </c>
      <c r="L15" s="36">
        <f t="shared" si="3"/>
        <v>9.0577181208053692E-2</v>
      </c>
      <c r="M15" s="37">
        <v>7.5999999999999998E-2</v>
      </c>
      <c r="N15" s="30">
        <f>L15-M15</f>
        <v>1.4577181208053694E-2</v>
      </c>
      <c r="O15" s="37">
        <v>8.7999999999999995E-2</v>
      </c>
      <c r="P15" s="30">
        <f t="shared" si="4"/>
        <v>-2.5771812080536971E-3</v>
      </c>
      <c r="Q15" s="37">
        <v>8.2000000000000003E-2</v>
      </c>
      <c r="R15" s="30">
        <f>Q15-L15</f>
        <v>-8.5771812080536886E-3</v>
      </c>
    </row>
    <row r="16" spans="2:18" x14ac:dyDescent="0.35">
      <c r="C16" s="3"/>
      <c r="D16" s="2"/>
      <c r="E16" s="2"/>
      <c r="F16" s="2"/>
      <c r="G16" s="2"/>
      <c r="I16" s="3">
        <f>SUM(I11:I15)</f>
        <v>1</v>
      </c>
      <c r="J16" s="3">
        <f t="shared" ref="J16:O16" si="5">SUM(J11:J15)</f>
        <v>1</v>
      </c>
      <c r="K16" s="3">
        <f t="shared" si="5"/>
        <v>1</v>
      </c>
      <c r="L16" s="3">
        <f t="shared" si="5"/>
        <v>1</v>
      </c>
      <c r="M16" s="3">
        <f>SUM(M11:M15)</f>
        <v>1</v>
      </c>
      <c r="N16" s="16">
        <f>ABS(N11)+ABS(N12)+ABS(N13)+ABS(N14)+ABS(N15)</f>
        <v>6.3487695749440728E-2</v>
      </c>
      <c r="O16" s="3">
        <f t="shared" si="5"/>
        <v>1</v>
      </c>
      <c r="P16" s="16">
        <f>ABS(P11)+ABS(P12)+ABS(P13)+ABS(P14)+ABS(P15)</f>
        <v>4.433333333333335E-2</v>
      </c>
      <c r="Q16" s="3">
        <f t="shared" ref="Q16" si="6">SUM(Q11:Q15)</f>
        <v>1</v>
      </c>
      <c r="R16" s="16">
        <f>ABS(R11)+ABS(R12)+ABS(R13)+ABS(R14)+ABS(R15)</f>
        <v>5.1999999999999921E-2</v>
      </c>
    </row>
    <row r="17" spans="4:13" x14ac:dyDescent="0.35">
      <c r="D17" s="17" t="s">
        <v>2</v>
      </c>
      <c r="M17" s="1" t="s">
        <v>35</v>
      </c>
    </row>
    <row r="18" spans="4:13" x14ac:dyDescent="0.35">
      <c r="D18" s="1">
        <f t="shared" ref="D18:F22" si="7">D11*$M11*100</f>
        <v>5.8999999999999995</v>
      </c>
      <c r="E18" s="1">
        <f t="shared" si="7"/>
        <v>0</v>
      </c>
      <c r="F18" s="1">
        <f t="shared" si="7"/>
        <v>0</v>
      </c>
      <c r="G18" s="3">
        <f>SUM(D18:F18)</f>
        <v>5.8999999999999995</v>
      </c>
    </row>
    <row r="19" spans="4:13" x14ac:dyDescent="0.35">
      <c r="D19" s="1">
        <f t="shared" si="7"/>
        <v>10.696000000000002</v>
      </c>
      <c r="E19" s="1">
        <f t="shared" si="7"/>
        <v>8.4039999999999981</v>
      </c>
      <c r="F19" s="1">
        <f t="shared" si="7"/>
        <v>0</v>
      </c>
      <c r="G19" s="3">
        <f t="shared" ref="G19:G22" si="8">SUM(D19:F19)</f>
        <v>19.100000000000001</v>
      </c>
    </row>
    <row r="20" spans="4:13" x14ac:dyDescent="0.35">
      <c r="D20" s="1">
        <f t="shared" si="7"/>
        <v>0</v>
      </c>
      <c r="E20" s="1">
        <f t="shared" si="7"/>
        <v>27.1</v>
      </c>
      <c r="F20" s="1">
        <f t="shared" si="7"/>
        <v>0</v>
      </c>
      <c r="G20" s="3">
        <f t="shared" si="8"/>
        <v>27.1</v>
      </c>
    </row>
    <row r="21" spans="4:13" x14ac:dyDescent="0.35">
      <c r="D21" s="1">
        <f t="shared" si="7"/>
        <v>0</v>
      </c>
      <c r="E21" s="1">
        <f t="shared" si="7"/>
        <v>28.21</v>
      </c>
      <c r="F21" s="1">
        <f t="shared" si="7"/>
        <v>12.09</v>
      </c>
      <c r="G21" s="3">
        <f t="shared" si="8"/>
        <v>40.299999999999997</v>
      </c>
    </row>
    <row r="22" spans="4:13" x14ac:dyDescent="0.35">
      <c r="D22" s="1">
        <f t="shared" si="7"/>
        <v>0</v>
      </c>
      <c r="E22" s="1">
        <f t="shared" si="7"/>
        <v>0</v>
      </c>
      <c r="F22" s="1">
        <f t="shared" si="7"/>
        <v>7.6</v>
      </c>
      <c r="G22" s="3">
        <f t="shared" si="8"/>
        <v>7.6</v>
      </c>
    </row>
    <row r="23" spans="4:13" x14ac:dyDescent="0.35">
      <c r="D23" s="3">
        <f>SUM(D18:D22)</f>
        <v>16.596</v>
      </c>
      <c r="E23" s="3">
        <f t="shared" ref="E23:F23" si="9">SUM(E18:E22)</f>
        <v>63.713999999999999</v>
      </c>
      <c r="F23" s="3">
        <f t="shared" si="9"/>
        <v>19.689999999999998</v>
      </c>
      <c r="G23" s="3">
        <f>SUM(G18:G22)</f>
        <v>100</v>
      </c>
    </row>
    <row r="24" spans="4:13" x14ac:dyDescent="0.35">
      <c r="F24" s="3">
        <f>SUM(D23:F23)</f>
        <v>100</v>
      </c>
    </row>
    <row r="26" spans="4:13" x14ac:dyDescent="0.35">
      <c r="D26" s="17" t="s">
        <v>6</v>
      </c>
    </row>
    <row r="27" spans="4:13" x14ac:dyDescent="0.35">
      <c r="D27" s="5">
        <f t="shared" ref="D27:F31" si="10">D18/D$23</f>
        <v>0.35550735116895632</v>
      </c>
      <c r="E27" s="6">
        <f t="shared" si="10"/>
        <v>0</v>
      </c>
      <c r="F27" s="7">
        <f t="shared" si="10"/>
        <v>0</v>
      </c>
    </row>
    <row r="28" spans="4:13" x14ac:dyDescent="0.35">
      <c r="D28" s="8">
        <f t="shared" si="10"/>
        <v>0.64449264883104374</v>
      </c>
      <c r="E28" s="2">
        <f t="shared" si="10"/>
        <v>0.13190193677998555</v>
      </c>
      <c r="F28" s="9">
        <f t="shared" si="10"/>
        <v>0</v>
      </c>
    </row>
    <row r="29" spans="4:13" x14ac:dyDescent="0.35">
      <c r="D29" s="8">
        <f t="shared" si="10"/>
        <v>0</v>
      </c>
      <c r="E29" s="2">
        <f t="shared" si="10"/>
        <v>0.42533823021627903</v>
      </c>
      <c r="F29" s="9">
        <f t="shared" si="10"/>
        <v>0</v>
      </c>
    </row>
    <row r="30" spans="4:13" x14ac:dyDescent="0.35">
      <c r="D30" s="8">
        <f t="shared" si="10"/>
        <v>0</v>
      </c>
      <c r="E30" s="2">
        <f t="shared" si="10"/>
        <v>0.44275983300373545</v>
      </c>
      <c r="F30" s="9">
        <f t="shared" si="10"/>
        <v>0.61401726764855258</v>
      </c>
    </row>
    <row r="31" spans="4:13" x14ac:dyDescent="0.35">
      <c r="D31" s="10">
        <f t="shared" si="10"/>
        <v>0</v>
      </c>
      <c r="E31" s="11">
        <f t="shared" si="10"/>
        <v>0</v>
      </c>
      <c r="F31" s="12">
        <f t="shared" si="10"/>
        <v>0.38598273235144748</v>
      </c>
    </row>
    <row r="32" spans="4:13" x14ac:dyDescent="0.35">
      <c r="D32" s="3">
        <f>SUM(D27:D31)</f>
        <v>1</v>
      </c>
      <c r="E32" s="3">
        <f t="shared" ref="E32:F32" si="11">SUM(E27:E31)</f>
        <v>1</v>
      </c>
      <c r="F32" s="3">
        <f t="shared" si="11"/>
        <v>1</v>
      </c>
    </row>
  </sheetData>
  <mergeCells count="3">
    <mergeCell ref="D9:K9"/>
    <mergeCell ref="L9:N9"/>
    <mergeCell ref="O9:P9"/>
  </mergeCells>
  <conditionalFormatting sqref="D27:F31">
    <cfRule type="cellIs" dxfId="1" priority="2" operator="equal">
      <formula>0</formula>
    </cfRule>
  </conditionalFormatting>
  <conditionalFormatting sqref="I11:K15">
    <cfRule type="cellIs" dxfId="0" priority="1" operator="equal">
      <formula>0</formula>
    </cfRule>
  </conditionalFormatting>
  <pageMargins left="0.7" right="0.7" top="0.75" bottom="0.75" header="0.3" footer="0.3"/>
  <pageSetup orientation="portrait" horizontalDpi="4294967293" verticalDpi="12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A71C3-49D9-49A0-8263-B90183483103}">
  <dimension ref="A1:A22"/>
  <sheetViews>
    <sheetView zoomScale="115" zoomScaleNormal="115" workbookViewId="0">
      <selection activeCell="A6" sqref="A6"/>
    </sheetView>
  </sheetViews>
  <sheetFormatPr defaultColWidth="8.83203125" defaultRowHeight="15.5" x14ac:dyDescent="0.35"/>
  <sheetData>
    <row r="1" spans="1:1" x14ac:dyDescent="0.35">
      <c r="A1" t="s">
        <v>14</v>
      </c>
    </row>
    <row r="2" spans="1:1" x14ac:dyDescent="0.35">
      <c r="A2" t="s">
        <v>17</v>
      </c>
    </row>
    <row r="3" spans="1:1" x14ac:dyDescent="0.35">
      <c r="A3" t="s">
        <v>15</v>
      </c>
    </row>
    <row r="5" spans="1:1" x14ac:dyDescent="0.35">
      <c r="A5" t="s">
        <v>16</v>
      </c>
    </row>
    <row r="6" spans="1:1" x14ac:dyDescent="0.35">
      <c r="A6" t="s">
        <v>28</v>
      </c>
    </row>
    <row r="7" spans="1:1" x14ac:dyDescent="0.35">
      <c r="A7" t="s">
        <v>18</v>
      </c>
    </row>
    <row r="8" spans="1:1" x14ac:dyDescent="0.35">
      <c r="A8" t="s">
        <v>19</v>
      </c>
    </row>
    <row r="9" spans="1:1" x14ac:dyDescent="0.35">
      <c r="A9" t="s">
        <v>20</v>
      </c>
    </row>
    <row r="10" spans="1:1" x14ac:dyDescent="0.35">
      <c r="A10" t="s">
        <v>21</v>
      </c>
    </row>
    <row r="11" spans="1:1" x14ac:dyDescent="0.35">
      <c r="A11" t="s">
        <v>22</v>
      </c>
    </row>
    <row r="12" spans="1:1" x14ac:dyDescent="0.35">
      <c r="A12" t="s">
        <v>23</v>
      </c>
    </row>
    <row r="14" spans="1:1" x14ac:dyDescent="0.35">
      <c r="A14" t="s">
        <v>24</v>
      </c>
    </row>
    <row r="15" spans="1:1" x14ac:dyDescent="0.35">
      <c r="A15" t="s">
        <v>25</v>
      </c>
    </row>
    <row r="16" spans="1:1" x14ac:dyDescent="0.35">
      <c r="A16" t="s">
        <v>26</v>
      </c>
    </row>
    <row r="18" spans="1:1" x14ac:dyDescent="0.35">
      <c r="A18" t="s">
        <v>27</v>
      </c>
    </row>
    <row r="21" spans="1:1" x14ac:dyDescent="0.35">
      <c r="A21" t="s">
        <v>36</v>
      </c>
    </row>
    <row r="22" spans="1:1" x14ac:dyDescent="0.35">
      <c r="A22"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466A6-35F3-4AB2-B6D8-919EDB7D04BD}">
  <dimension ref="A1:AW56"/>
  <sheetViews>
    <sheetView tabSelected="1" topLeftCell="Q1" zoomScale="85" zoomScaleNormal="85" workbookViewId="0">
      <selection activeCell="AR14" sqref="AR14"/>
    </sheetView>
  </sheetViews>
  <sheetFormatPr defaultRowHeight="15.5" x14ac:dyDescent="0.35"/>
  <cols>
    <col min="1" max="1" width="9.9140625" customWidth="1"/>
    <col min="2" max="2" width="12.5" customWidth="1"/>
    <col min="3" max="5" width="12.08203125" customWidth="1"/>
    <col min="6" max="6" width="8.75" customWidth="1"/>
    <col min="9" max="9" width="14.33203125" customWidth="1"/>
    <col min="10" max="15" width="11.1640625" customWidth="1"/>
    <col min="18" max="18" width="14.33203125" hidden="1" customWidth="1"/>
    <col min="19" max="23" width="11.1640625" hidden="1" customWidth="1"/>
    <col min="25" max="25" width="14.33203125" customWidth="1"/>
    <col min="26" max="31" width="11.1640625" customWidth="1"/>
    <col min="35" max="35" width="14.33203125" customWidth="1"/>
    <col min="36" max="41" width="11.1640625" customWidth="1"/>
  </cols>
  <sheetData>
    <row r="1" spans="1:49" x14ac:dyDescent="0.35">
      <c r="A1" t="s">
        <v>38</v>
      </c>
    </row>
    <row r="3" spans="1:49" x14ac:dyDescent="0.35">
      <c r="S3" t="s">
        <v>66</v>
      </c>
      <c r="T3">
        <f>2/52</f>
        <v>3.8461538461538464E-2</v>
      </c>
    </row>
    <row r="4" spans="1:49" x14ac:dyDescent="0.35">
      <c r="A4" t="s">
        <v>39</v>
      </c>
      <c r="Z4" t="s">
        <v>67</v>
      </c>
      <c r="AA4">
        <f>1/52</f>
        <v>1.9230769230769232E-2</v>
      </c>
      <c r="AJ4" t="s">
        <v>67</v>
      </c>
      <c r="AK4">
        <f>1/52</f>
        <v>1.9230769230769232E-2</v>
      </c>
    </row>
    <row r="5" spans="1:49" x14ac:dyDescent="0.35">
      <c r="A5" t="s">
        <v>40</v>
      </c>
    </row>
    <row r="6" spans="1:49" x14ac:dyDescent="0.35">
      <c r="A6" t="s">
        <v>41</v>
      </c>
      <c r="AH6" t="s">
        <v>80</v>
      </c>
    </row>
    <row r="7" spans="1:49" x14ac:dyDescent="0.35">
      <c r="A7" t="s">
        <v>48</v>
      </c>
    </row>
    <row r="10" spans="1:49" ht="43.5" x14ac:dyDescent="0.35">
      <c r="A10" s="129" t="s">
        <v>54</v>
      </c>
      <c r="B10" s="129"/>
      <c r="C10" s="128" t="s">
        <v>47</v>
      </c>
      <c r="D10" s="128"/>
      <c r="E10" s="128"/>
      <c r="F10" s="128"/>
      <c r="I10" s="15" t="s">
        <v>65</v>
      </c>
      <c r="J10" s="83" t="s">
        <v>49</v>
      </c>
      <c r="K10" s="83" t="s">
        <v>50</v>
      </c>
      <c r="L10" s="83" t="s">
        <v>12</v>
      </c>
      <c r="M10" s="83" t="s">
        <v>51</v>
      </c>
      <c r="N10" s="83" t="s">
        <v>52</v>
      </c>
      <c r="O10" s="84" t="s">
        <v>53</v>
      </c>
      <c r="P10" s="50"/>
      <c r="R10" s="98" t="s">
        <v>76</v>
      </c>
      <c r="S10" s="83" t="s">
        <v>49</v>
      </c>
      <c r="T10" s="83" t="s">
        <v>50</v>
      </c>
      <c r="U10" s="83" t="s">
        <v>12</v>
      </c>
      <c r="V10" s="83" t="s">
        <v>51</v>
      </c>
      <c r="W10" s="83" t="s">
        <v>52</v>
      </c>
      <c r="Y10" s="15" t="s">
        <v>75</v>
      </c>
      <c r="Z10" s="83" t="s">
        <v>49</v>
      </c>
      <c r="AA10" s="83" t="s">
        <v>50</v>
      </c>
      <c r="AB10" s="83" t="s">
        <v>12</v>
      </c>
      <c r="AC10" s="83" t="s">
        <v>51</v>
      </c>
      <c r="AD10" s="83" t="s">
        <v>52</v>
      </c>
      <c r="AE10" s="114" t="s">
        <v>71</v>
      </c>
      <c r="AI10" s="118" t="s">
        <v>81</v>
      </c>
      <c r="AJ10" s="83" t="s">
        <v>49</v>
      </c>
      <c r="AK10" s="83" t="s">
        <v>50</v>
      </c>
      <c r="AL10" s="83" t="s">
        <v>12</v>
      </c>
      <c r="AM10" s="83" t="s">
        <v>51</v>
      </c>
      <c r="AN10" s="83" t="s">
        <v>52</v>
      </c>
      <c r="AO10" s="114" t="s">
        <v>71</v>
      </c>
      <c r="AR10">
        <f>0.5^1</f>
        <v>0.5</v>
      </c>
      <c r="AS10">
        <f>1.5^6</f>
        <v>11.390625</v>
      </c>
    </row>
    <row r="11" spans="1:49" ht="31" x14ac:dyDescent="0.35">
      <c r="A11" s="129"/>
      <c r="B11" s="129"/>
      <c r="C11" s="28" t="s">
        <v>43</v>
      </c>
      <c r="D11" s="28" t="s">
        <v>44</v>
      </c>
      <c r="E11" s="28" t="s">
        <v>45</v>
      </c>
      <c r="F11" s="48" t="s">
        <v>46</v>
      </c>
      <c r="G11" s="75" t="s">
        <v>58</v>
      </c>
      <c r="I11" s="80" t="s">
        <v>49</v>
      </c>
      <c r="J11" s="99">
        <f>1-SUM(K11:N11)</f>
        <v>0.43999999999999995</v>
      </c>
      <c r="K11" s="51">
        <v>0.45</v>
      </c>
      <c r="L11" s="51">
        <v>0.05</v>
      </c>
      <c r="M11" s="51">
        <v>0.05</v>
      </c>
      <c r="N11" s="51">
        <v>0.01</v>
      </c>
      <c r="O11" s="55">
        <f>Calibrate2distribution!M15</f>
        <v>7.5999999999999998E-2</v>
      </c>
      <c r="P11" s="36"/>
      <c r="R11" s="80" t="s">
        <v>49</v>
      </c>
      <c r="S11" s="99">
        <f>-LN(1-J11)/$T$3</f>
        <v>15.075280876576493</v>
      </c>
      <c r="T11" s="101">
        <f>-LN(1-K11)/$T$3</f>
        <v>15.543762019646129</v>
      </c>
      <c r="U11" s="101">
        <f t="shared" ref="U11:U15" si="0">-LN(1-L11)/$T$3</f>
        <v>1.3336256540763149</v>
      </c>
      <c r="V11" s="101">
        <f t="shared" ref="V11:V15" si="1">-LN(1-M11)/$T$3</f>
        <v>1.3336256540763149</v>
      </c>
      <c r="W11" s="101">
        <f t="shared" ref="W11:W15" si="2">-LN(1-N11)/$T$3</f>
        <v>0.26130873219103767</v>
      </c>
      <c r="Y11" s="80" t="s">
        <v>49</v>
      </c>
      <c r="Z11" s="106">
        <f>1-SUM(AA11:AD11)</f>
        <v>0.68596615477797895</v>
      </c>
      <c r="AA11" s="107">
        <f t="shared" ref="AA11:AA15" si="3">1-EXP(-T11*$AA$4)</f>
        <v>0.25838015129043368</v>
      </c>
      <c r="AB11" s="107">
        <f t="shared" ref="AB11:AB15" si="4">1-EXP(-U11*$AA$4)</f>
        <v>2.5320565519103666E-2</v>
      </c>
      <c r="AC11" s="107">
        <f t="shared" ref="AC11:AC15" si="5">1-EXP(-V11*$AA$4)</f>
        <v>2.5320565519103666E-2</v>
      </c>
      <c r="AD11" s="107">
        <f t="shared" ref="AD11:AD14" si="6">1-EXP(-W11*$AA$4)</f>
        <v>5.0125628933800348E-3</v>
      </c>
      <c r="AE11" s="55">
        <f>Calibrate2distribution!M15</f>
        <v>7.5999999999999998E-2</v>
      </c>
      <c r="AI11" s="80" t="s">
        <v>49</v>
      </c>
      <c r="AJ11" s="106">
        <f>1-SUM(AK11:AN11)</f>
        <v>0.69130000000000003</v>
      </c>
      <c r="AK11" s="107">
        <v>0.25838</v>
      </c>
      <c r="AL11" s="107">
        <v>2.5319999999999999E-2</v>
      </c>
      <c r="AM11" s="107">
        <v>2.1999999999999999E-2</v>
      </c>
      <c r="AN11" s="107">
        <v>3.0000000000000001E-3</v>
      </c>
      <c r="AO11" s="55">
        <f>Calibrate2distribution!W15</f>
        <v>0</v>
      </c>
      <c r="AR11">
        <f>AR10*AL13</f>
        <v>0.377855</v>
      </c>
      <c r="AS11">
        <f>AS10*AL13</f>
        <v>8.6080092187500004</v>
      </c>
    </row>
    <row r="12" spans="1:49" ht="29" x14ac:dyDescent="0.35">
      <c r="A12" s="128" t="s">
        <v>42</v>
      </c>
      <c r="B12" s="85" t="s">
        <v>43</v>
      </c>
      <c r="C12" s="93">
        <f>1-D12-E12</f>
        <v>0.752</v>
      </c>
      <c r="D12" s="85">
        <v>0.19</v>
      </c>
      <c r="E12" s="86">
        <v>5.8000000000000003E-2</v>
      </c>
      <c r="F12" s="28">
        <v>8.9999999999999998E-4</v>
      </c>
      <c r="G12" s="76">
        <f>SUM(C12:E12)</f>
        <v>1</v>
      </c>
      <c r="I12" s="80" t="s">
        <v>50</v>
      </c>
      <c r="J12" s="51">
        <v>0.05</v>
      </c>
      <c r="K12" s="59">
        <f>1-SUM(J12,L12:N12)</f>
        <v>0.63</v>
      </c>
      <c r="L12" s="51">
        <v>0.15</v>
      </c>
      <c r="M12" s="51">
        <v>0.15</v>
      </c>
      <c r="N12" s="51">
        <v>0.02</v>
      </c>
      <c r="O12" s="55">
        <f>Calibrate2distribution!M14</f>
        <v>0.40300000000000002</v>
      </c>
      <c r="P12" s="36"/>
      <c r="R12" s="80" t="s">
        <v>50</v>
      </c>
      <c r="S12" s="101">
        <f>-LN(1-J12)/$T$3</f>
        <v>1.3336256540763149</v>
      </c>
      <c r="T12" s="99">
        <f>-LN(1-K12)/$T$3</f>
        <v>25.850559106940537</v>
      </c>
      <c r="U12" s="101">
        <f t="shared" si="0"/>
        <v>4.2254921669421481</v>
      </c>
      <c r="V12" s="101">
        <f t="shared" si="1"/>
        <v>4.2254921669421481</v>
      </c>
      <c r="W12" s="101">
        <f t="shared" si="2"/>
        <v>0.52527039025550604</v>
      </c>
      <c r="Y12" s="80" t="s">
        <v>50</v>
      </c>
      <c r="Z12" s="107">
        <f t="shared" ref="Z12:Z15" si="7">1-EXP(-S12*$AA$4)</f>
        <v>2.5320565519103666E-2</v>
      </c>
      <c r="AA12" s="106">
        <f>1-SUM(Z12,AB12:AD12)</f>
        <v>0.80853781960064042</v>
      </c>
      <c r="AB12" s="107">
        <f t="shared" si="4"/>
        <v>7.8045554270711248E-2</v>
      </c>
      <c r="AC12" s="107">
        <f t="shared" si="5"/>
        <v>7.8045554270711248E-2</v>
      </c>
      <c r="AD12" s="107">
        <f t="shared" si="6"/>
        <v>1.005050633883342E-2</v>
      </c>
      <c r="AE12" s="55">
        <f>Calibrate2distribution!M14</f>
        <v>0.40300000000000002</v>
      </c>
      <c r="AI12" s="80" t="s">
        <v>50</v>
      </c>
      <c r="AJ12" s="107">
        <v>2.5319999999999999E-2</v>
      </c>
      <c r="AK12" s="106">
        <f>1-SUM(AJ12,AL12:AN12)</f>
        <v>0.81357999999999997</v>
      </c>
      <c r="AL12" s="107">
        <v>7.8049999999999994E-2</v>
      </c>
      <c r="AM12" s="107">
        <v>7.8049999999999994E-2</v>
      </c>
      <c r="AN12" s="107">
        <v>5.0000000000000001E-3</v>
      </c>
      <c r="AO12" s="55">
        <f>Calibrate2distribution!W14</f>
        <v>0</v>
      </c>
    </row>
    <row r="13" spans="1:49" ht="31" x14ac:dyDescent="0.35">
      <c r="A13" s="128"/>
      <c r="B13" s="87" t="s">
        <v>44</v>
      </c>
      <c r="C13" s="88">
        <f>1-D13-E13</f>
        <v>9.0000000000000024E-2</v>
      </c>
      <c r="D13" s="89">
        <v>0.73</v>
      </c>
      <c r="E13" s="88">
        <v>0.18</v>
      </c>
      <c r="F13" s="28">
        <v>3.4999999999999996E-3</v>
      </c>
      <c r="G13" s="76">
        <f t="shared" ref="G13:G14" si="8">SUM(C13:E13)</f>
        <v>1</v>
      </c>
      <c r="I13" s="81" t="s">
        <v>12</v>
      </c>
      <c r="J13" s="52">
        <v>0.05</v>
      </c>
      <c r="K13" s="52">
        <v>0.25</v>
      </c>
      <c r="L13" s="58">
        <f>1-SUM(J13:K13,M13:N13)</f>
        <v>0.51</v>
      </c>
      <c r="M13" s="52">
        <v>0.15</v>
      </c>
      <c r="N13" s="52">
        <v>0.04</v>
      </c>
      <c r="O13" s="53">
        <f>Calibrate2distribution!M13</f>
        <v>0.27100000000000002</v>
      </c>
      <c r="P13" s="70"/>
      <c r="R13" s="81" t="s">
        <v>12</v>
      </c>
      <c r="S13" s="102">
        <f t="shared" ref="S13:S15" si="9">-LN(1-J13)/$T$3</f>
        <v>1.3336256540763149</v>
      </c>
      <c r="T13" s="102">
        <f t="shared" ref="T13:T15" si="10">-LN(1-K13)/$T$3</f>
        <v>7.4797338837463032</v>
      </c>
      <c r="U13" s="103">
        <f t="shared" si="0"/>
        <v>18.547097084814084</v>
      </c>
      <c r="V13" s="102">
        <f t="shared" si="1"/>
        <v>4.2254921669421481</v>
      </c>
      <c r="W13" s="102">
        <f t="shared" si="2"/>
        <v>1.0613718575266342</v>
      </c>
      <c r="Y13" s="81" t="s">
        <v>12</v>
      </c>
      <c r="Z13" s="108">
        <f t="shared" si="7"/>
        <v>2.5320565519103666E-2</v>
      </c>
      <c r="AA13" s="108">
        <f t="shared" si="3"/>
        <v>0.13397459621556129</v>
      </c>
      <c r="AB13" s="109">
        <f>1-SUM(Z13:AA13,AC13:AD13)</f>
        <v>0.74245518110789499</v>
      </c>
      <c r="AC13" s="108">
        <f t="shared" si="5"/>
        <v>7.8045554270711248E-2</v>
      </c>
      <c r="AD13" s="108">
        <f t="shared" si="6"/>
        <v>2.0204102886728803E-2</v>
      </c>
      <c r="AE13" s="53">
        <f>Calibrate2distribution!M13</f>
        <v>0.27100000000000002</v>
      </c>
      <c r="AI13" s="81" t="s">
        <v>12</v>
      </c>
      <c r="AJ13" s="108">
        <v>2.5319999999999999E-2</v>
      </c>
      <c r="AK13" s="108">
        <v>0.13397000000000001</v>
      </c>
      <c r="AL13" s="109">
        <f>1-SUM(AJ13:AK13,AM13:AN13)</f>
        <v>0.75570999999999999</v>
      </c>
      <c r="AM13" s="108">
        <v>7.0000000000000007E-2</v>
      </c>
      <c r="AN13" s="108">
        <v>1.4999999999999999E-2</v>
      </c>
      <c r="AO13" s="53">
        <f>Calibrate2distribution!W13</f>
        <v>0</v>
      </c>
      <c r="AQ13" s="130"/>
      <c r="AR13" s="130">
        <v>1</v>
      </c>
      <c r="AS13" s="130">
        <v>2</v>
      </c>
      <c r="AT13" s="130">
        <v>3</v>
      </c>
      <c r="AU13" s="130">
        <v>4</v>
      </c>
      <c r="AV13" s="130">
        <v>5</v>
      </c>
      <c r="AW13" s="130"/>
    </row>
    <row r="14" spans="1:49" ht="29" x14ac:dyDescent="0.35">
      <c r="A14" s="128"/>
      <c r="B14" s="90" t="s">
        <v>45</v>
      </c>
      <c r="C14" s="91">
        <f>1-D14-E14</f>
        <v>3.0000000000000027E-2</v>
      </c>
      <c r="D14" s="90">
        <v>0.13</v>
      </c>
      <c r="E14" s="92">
        <v>0.84</v>
      </c>
      <c r="F14" s="28">
        <v>1.1000000000000001E-2</v>
      </c>
      <c r="G14" s="76">
        <f t="shared" si="8"/>
        <v>1</v>
      </c>
      <c r="I14" s="82" t="s">
        <v>51</v>
      </c>
      <c r="J14" s="54">
        <v>0.03</v>
      </c>
      <c r="K14" s="54">
        <v>0.2</v>
      </c>
      <c r="L14" s="54">
        <v>0.3</v>
      </c>
      <c r="M14" s="57">
        <f>1-SUM(J14:L14,N14)</f>
        <v>0.39</v>
      </c>
      <c r="N14" s="54">
        <v>0.08</v>
      </c>
      <c r="O14" s="56">
        <f>Calibrate2distribution!M12</f>
        <v>0.191</v>
      </c>
      <c r="R14" s="82" t="s">
        <v>51</v>
      </c>
      <c r="S14" s="104">
        <f t="shared" si="9"/>
        <v>0.79193939460242291</v>
      </c>
      <c r="T14" s="104">
        <f t="shared" si="10"/>
        <v>5.8017323341694524</v>
      </c>
      <c r="U14" s="104">
        <f t="shared" si="0"/>
        <v>9.2735485424070436</v>
      </c>
      <c r="V14" s="105">
        <f t="shared" si="1"/>
        <v>12.851704367184283</v>
      </c>
      <c r="W14" s="104">
        <f t="shared" si="2"/>
        <v>2.1679218324153262</v>
      </c>
      <c r="Y14" s="82" t="s">
        <v>51</v>
      </c>
      <c r="Z14" s="110">
        <f t="shared" si="7"/>
        <v>1.5114219820389518E-2</v>
      </c>
      <c r="AA14" s="110">
        <f t="shared" si="3"/>
        <v>0.10557280900008414</v>
      </c>
      <c r="AB14" s="110">
        <f t="shared" si="4"/>
        <v>0.16333997346592444</v>
      </c>
      <c r="AC14" s="111">
        <f>1-SUM(Z14:AB14,AD14)</f>
        <v>0.67513930237614583</v>
      </c>
      <c r="AD14" s="110">
        <f t="shared" si="6"/>
        <v>4.0833695337456066E-2</v>
      </c>
      <c r="AE14" s="56">
        <f>Calibrate2distribution!M12</f>
        <v>0.191</v>
      </c>
      <c r="AI14" s="82" t="s">
        <v>51</v>
      </c>
      <c r="AJ14" s="110">
        <v>1.511E-2</v>
      </c>
      <c r="AK14" s="110">
        <v>0.10557</v>
      </c>
      <c r="AL14" s="110">
        <v>0.16334000000000001</v>
      </c>
      <c r="AM14" s="111">
        <f>1-SUM(AJ14:AL14,AN14)</f>
        <v>0.67515000000000003</v>
      </c>
      <c r="AN14" s="110">
        <v>4.0829999999999998E-2</v>
      </c>
      <c r="AO14" s="56">
        <f>Calibrate2distribution!W12</f>
        <v>0</v>
      </c>
      <c r="AQ14" s="130">
        <v>4</v>
      </c>
      <c r="AR14">
        <v>1</v>
      </c>
      <c r="AS14">
        <v>1</v>
      </c>
      <c r="AT14">
        <v>1</v>
      </c>
      <c r="AU14">
        <v>1</v>
      </c>
      <c r="AV14">
        <v>1</v>
      </c>
    </row>
    <row r="15" spans="1:49" ht="29" x14ac:dyDescent="0.35">
      <c r="A15" s="49"/>
      <c r="B15" s="28"/>
      <c r="C15" s="28"/>
      <c r="D15" s="28"/>
      <c r="E15" s="28"/>
      <c r="F15" s="48"/>
      <c r="I15" s="82" t="s">
        <v>52</v>
      </c>
      <c r="J15" s="54">
        <v>0.03</v>
      </c>
      <c r="K15" s="54">
        <v>0.05</v>
      </c>
      <c r="L15" s="54">
        <v>0.25</v>
      </c>
      <c r="M15" s="54">
        <v>0.25</v>
      </c>
      <c r="N15" s="57">
        <f>1-SUM(J15:M15)</f>
        <v>0.41999999999999993</v>
      </c>
      <c r="O15" s="56">
        <f>Calibrate2distribution!M11</f>
        <v>5.8999999999999997E-2</v>
      </c>
      <c r="R15" s="82" t="s">
        <v>52</v>
      </c>
      <c r="S15" s="104">
        <f t="shared" si="9"/>
        <v>0.79193939460242291</v>
      </c>
      <c r="T15" s="104">
        <f t="shared" si="10"/>
        <v>1.3336256540763149</v>
      </c>
      <c r="U15" s="104">
        <f t="shared" si="0"/>
        <v>7.4797338837463032</v>
      </c>
      <c r="V15" s="104">
        <f t="shared" si="1"/>
        <v>7.4797338837463032</v>
      </c>
      <c r="W15" s="105">
        <f t="shared" si="2"/>
        <v>14.162906561483469</v>
      </c>
      <c r="Y15" s="82" t="s">
        <v>52</v>
      </c>
      <c r="Z15" s="110">
        <f t="shared" si="7"/>
        <v>1.5114219820389518E-2</v>
      </c>
      <c r="AA15" s="110">
        <f t="shared" si="3"/>
        <v>2.5320565519103666E-2</v>
      </c>
      <c r="AB15" s="110">
        <f t="shared" si="4"/>
        <v>0.13397459621556129</v>
      </c>
      <c r="AC15" s="110">
        <f t="shared" si="5"/>
        <v>0.13397459621556129</v>
      </c>
      <c r="AD15" s="111">
        <f>1-SUM(Z15:AC15)</f>
        <v>0.69161602222938423</v>
      </c>
      <c r="AE15" s="56">
        <f>Calibrate2distribution!M11</f>
        <v>5.8999999999999997E-2</v>
      </c>
      <c r="AI15" s="82" t="s">
        <v>52</v>
      </c>
      <c r="AJ15" s="110">
        <v>0.03</v>
      </c>
      <c r="AK15" s="110">
        <v>0.04</v>
      </c>
      <c r="AL15" s="110">
        <v>0.16</v>
      </c>
      <c r="AM15" s="110">
        <v>0.13397000000000001</v>
      </c>
      <c r="AN15" s="111">
        <f>1-SUM(AJ15:AM15)</f>
        <v>0.63602999999999998</v>
      </c>
      <c r="AO15" s="56">
        <f>Calibrate2distribution!W11</f>
        <v>0</v>
      </c>
      <c r="AQ15" s="130">
        <v>5</v>
      </c>
      <c r="AR15">
        <v>1</v>
      </c>
      <c r="AS15">
        <v>1</v>
      </c>
      <c r="AT15">
        <v>1</v>
      </c>
      <c r="AU15">
        <v>1</v>
      </c>
      <c r="AV15">
        <v>1</v>
      </c>
    </row>
    <row r="16" spans="1:49" x14ac:dyDescent="0.35">
      <c r="A16" s="60"/>
      <c r="B16" s="60"/>
      <c r="C16" s="49"/>
      <c r="D16" s="49"/>
      <c r="E16" s="49"/>
      <c r="I16" s="62"/>
      <c r="J16" s="62"/>
      <c r="K16" s="62"/>
      <c r="L16" s="62"/>
      <c r="M16" s="62"/>
      <c r="N16" s="62"/>
      <c r="O16" s="62"/>
      <c r="P16" s="65"/>
      <c r="R16" s="95"/>
      <c r="S16" s="95"/>
      <c r="T16" s="95"/>
      <c r="U16" s="95"/>
      <c r="V16" s="95"/>
      <c r="W16" s="95"/>
      <c r="Y16" s="95"/>
      <c r="Z16" s="95"/>
      <c r="AA16" s="95"/>
      <c r="AB16" s="95"/>
      <c r="AC16" s="95"/>
      <c r="AD16" s="95"/>
      <c r="AE16" s="95"/>
      <c r="AI16" s="116"/>
      <c r="AJ16" s="116"/>
      <c r="AK16" s="116"/>
      <c r="AL16" s="116"/>
      <c r="AM16" s="116"/>
      <c r="AN16" s="116"/>
      <c r="AO16" s="116"/>
      <c r="AQ16" s="130"/>
    </row>
    <row r="17" spans="1:42" ht="46.5" x14ac:dyDescent="0.35">
      <c r="A17" s="67" t="s">
        <v>64</v>
      </c>
      <c r="B17" s="68"/>
      <c r="C17" s="68" t="str">
        <f>C11</f>
        <v>Controlled</v>
      </c>
      <c r="D17" s="68" t="str">
        <f t="shared" ref="D17:E17" si="11">D11</f>
        <v>Partly controlled</v>
      </c>
      <c r="E17" s="68" t="str">
        <f t="shared" si="11"/>
        <v>Uncontrolled</v>
      </c>
      <c r="F17" s="67" t="s">
        <v>58</v>
      </c>
      <c r="G17" s="68"/>
      <c r="H17" s="64" t="s">
        <v>64</v>
      </c>
      <c r="I17" s="63"/>
      <c r="J17" s="63" t="str">
        <f>J10</f>
        <v>1 - completely controlled</v>
      </c>
      <c r="K17" s="68" t="str">
        <f t="shared" ref="K17:N17" si="12">K10</f>
        <v>2 - well-controlled</v>
      </c>
      <c r="L17" s="68" t="str">
        <f t="shared" si="12"/>
        <v>3 - somewhat controlled</v>
      </c>
      <c r="M17" s="68" t="str">
        <f t="shared" si="12"/>
        <v>4 - Poorly controlled</v>
      </c>
      <c r="N17" s="68" t="str">
        <f t="shared" si="12"/>
        <v>5 - Not controlled at all</v>
      </c>
      <c r="O17" s="67" t="s">
        <v>58</v>
      </c>
      <c r="Q17" s="66"/>
      <c r="R17" s="96"/>
      <c r="S17" s="96"/>
      <c r="T17" s="96"/>
      <c r="U17" s="96"/>
      <c r="V17" s="96"/>
      <c r="W17" s="96"/>
      <c r="X17" s="64" t="s">
        <v>64</v>
      </c>
      <c r="Y17" s="96"/>
      <c r="Z17" s="96" t="str">
        <f>Z10</f>
        <v>1 - completely controlled</v>
      </c>
      <c r="AA17" s="96" t="str">
        <f t="shared" ref="AA17:AD17" si="13">AA10</f>
        <v>2 - well-controlled</v>
      </c>
      <c r="AB17" s="96" t="str">
        <f t="shared" si="13"/>
        <v>3 - somewhat controlled</v>
      </c>
      <c r="AC17" s="96" t="str">
        <f t="shared" si="13"/>
        <v>4 - Poorly controlled</v>
      </c>
      <c r="AD17" s="96" t="str">
        <f t="shared" si="13"/>
        <v>5 - Not controlled at all</v>
      </c>
      <c r="AE17" s="67" t="s">
        <v>58</v>
      </c>
      <c r="AI17" s="117"/>
      <c r="AJ17" s="117" t="str">
        <f>AJ10</f>
        <v>1 - completely controlled</v>
      </c>
      <c r="AK17" s="117" t="str">
        <f t="shared" ref="AK17:AN17" si="14">AK10</f>
        <v>2 - well-controlled</v>
      </c>
      <c r="AL17" s="117" t="str">
        <f t="shared" si="14"/>
        <v>3 - somewhat controlled</v>
      </c>
      <c r="AM17" s="117" t="str">
        <f t="shared" si="14"/>
        <v>4 - Poorly controlled</v>
      </c>
      <c r="AN17" s="117" t="str">
        <f t="shared" si="14"/>
        <v>5 - Not controlled at all</v>
      </c>
      <c r="AO17" s="67" t="s">
        <v>58</v>
      </c>
    </row>
    <row r="18" spans="1:42" x14ac:dyDescent="0.35">
      <c r="A18" s="67">
        <v>0</v>
      </c>
      <c r="B18" s="68" t="s">
        <v>55</v>
      </c>
      <c r="C18" s="94">
        <v>0</v>
      </c>
      <c r="D18" s="94">
        <v>1</v>
      </c>
      <c r="E18" s="94">
        <v>0</v>
      </c>
      <c r="F18" s="61">
        <f>SUM(C18:E18)</f>
        <v>1</v>
      </c>
      <c r="G18" s="71"/>
      <c r="H18" s="77">
        <v>0</v>
      </c>
      <c r="I18" s="63" t="s">
        <v>55</v>
      </c>
      <c r="J18" s="37">
        <v>0</v>
      </c>
      <c r="K18" s="94">
        <v>0</v>
      </c>
      <c r="L18" s="94">
        <v>1</v>
      </c>
      <c r="M18" s="94">
        <v>0</v>
      </c>
      <c r="N18" s="37">
        <v>0</v>
      </c>
      <c r="O18" s="61">
        <f>SUM(J18:N18)</f>
        <v>1</v>
      </c>
      <c r="Q18" s="66"/>
      <c r="R18" s="96"/>
      <c r="S18" s="100"/>
      <c r="T18" s="79"/>
      <c r="U18" s="79"/>
      <c r="V18" s="79"/>
      <c r="W18" s="100"/>
      <c r="X18" s="77">
        <v>0</v>
      </c>
      <c r="Y18" s="96" t="s">
        <v>55</v>
      </c>
      <c r="Z18" s="37">
        <v>0</v>
      </c>
      <c r="AA18" s="94">
        <v>0</v>
      </c>
      <c r="AB18" s="94">
        <v>1</v>
      </c>
      <c r="AC18" s="94">
        <v>0</v>
      </c>
      <c r="AD18" s="37">
        <v>0</v>
      </c>
      <c r="AE18" s="61">
        <f>SUM(Z18:AD18)</f>
        <v>1</v>
      </c>
      <c r="AH18">
        <v>-1</v>
      </c>
      <c r="AI18" s="117" t="s">
        <v>55</v>
      </c>
      <c r="AJ18" s="37">
        <f>Calibrate2distribution!L15</f>
        <v>9.0577181208053692E-2</v>
      </c>
      <c r="AK18" s="94">
        <f>Calibrate2distribution!L14</f>
        <v>0.39142281879194629</v>
      </c>
      <c r="AL18" s="94">
        <f>Calibrate2distribution!L13</f>
        <v>0.28499999999999998</v>
      </c>
      <c r="AM18" s="94">
        <f>Calibrate2distribution!L12</f>
        <v>0.19416666666666668</v>
      </c>
      <c r="AN18" s="37">
        <f>Calibrate2distribution!L11</f>
        <v>3.8833333333333331E-2</v>
      </c>
      <c r="AO18" s="61">
        <f>SUM(AJ18:AN18)</f>
        <v>1</v>
      </c>
    </row>
    <row r="19" spans="1:42" x14ac:dyDescent="0.35">
      <c r="A19" s="67">
        <v>1</v>
      </c>
      <c r="B19" s="68" t="s">
        <v>60</v>
      </c>
      <c r="C19" s="61">
        <f>$C18*C$12 + $D18*C$13 + $E18*C$14</f>
        <v>9.0000000000000024E-2</v>
      </c>
      <c r="D19" s="61">
        <f t="shared" ref="D19:E19" si="15">$C18*D$12 + $D18*D$13 + $E18*D$14</f>
        <v>0.73</v>
      </c>
      <c r="E19" s="61">
        <f t="shared" si="15"/>
        <v>0.18</v>
      </c>
      <c r="F19" s="61">
        <f t="shared" ref="F19:F21" si="16">SUM(C19:E19)</f>
        <v>1</v>
      </c>
      <c r="G19" s="71"/>
      <c r="H19" s="78">
        <v>1</v>
      </c>
      <c r="I19" s="63" t="s">
        <v>56</v>
      </c>
      <c r="J19" s="36">
        <f>$J18*J$11 + $K18*J$12 + $L18*J$13 + $M18*J$14 + $N18*J$15</f>
        <v>0.05</v>
      </c>
      <c r="K19" s="36">
        <f t="shared" ref="K19:N19" si="17">$J18*K$11 + $K18*K$12 + $L18*K$13 + $M18*K$14 + $N18*K$15</f>
        <v>0.25</v>
      </c>
      <c r="L19" s="36">
        <f t="shared" si="17"/>
        <v>0.51</v>
      </c>
      <c r="M19" s="36">
        <f t="shared" si="17"/>
        <v>0.15</v>
      </c>
      <c r="N19" s="36">
        <f t="shared" si="17"/>
        <v>0.04</v>
      </c>
      <c r="O19" s="61">
        <f t="shared" ref="O19:O20" si="18">SUM(J19:N19)</f>
        <v>1</v>
      </c>
      <c r="P19" s="62"/>
      <c r="R19" s="96"/>
      <c r="S19" s="100"/>
      <c r="T19" s="100"/>
      <c r="U19" s="100"/>
      <c r="V19" s="100"/>
      <c r="W19" s="100"/>
      <c r="X19" s="78">
        <v>1</v>
      </c>
      <c r="Y19" s="96" t="s">
        <v>60</v>
      </c>
      <c r="Z19" s="36">
        <f>$Z18*Z$11 + $AA18*Z$12 + $AB18*Z$13 + $AC18*Z$14 + $AD18*Z$15</f>
        <v>2.5320565519103666E-2</v>
      </c>
      <c r="AA19" s="36">
        <f t="shared" ref="AA19:AD19" si="19">$Z18*AA$11 + $AA18*AA$12 + $AB18*AA$13 + $AC18*AA$14 + $AD18*AA$15</f>
        <v>0.13397459621556129</v>
      </c>
      <c r="AB19" s="36">
        <f t="shared" si="19"/>
        <v>0.74245518110789499</v>
      </c>
      <c r="AC19" s="36">
        <f t="shared" si="19"/>
        <v>7.8045554270711248E-2</v>
      </c>
      <c r="AD19" s="36">
        <f t="shared" si="19"/>
        <v>2.0204102886728803E-2</v>
      </c>
      <c r="AE19" s="61">
        <f t="shared" ref="AE19:AE22" si="20">SUM(Z19:AD19)</f>
        <v>1</v>
      </c>
      <c r="AH19">
        <v>0</v>
      </c>
      <c r="AI19" s="117" t="s">
        <v>60</v>
      </c>
      <c r="AJ19" s="36">
        <v>0</v>
      </c>
      <c r="AK19" s="36">
        <v>0</v>
      </c>
      <c r="AL19" s="36">
        <v>0</v>
      </c>
      <c r="AM19" s="36">
        <v>1</v>
      </c>
      <c r="AN19" s="36">
        <v>0</v>
      </c>
      <c r="AO19" s="61">
        <f t="shared" ref="AO19:AO22" si="21">SUM(AJ19:AN19)</f>
        <v>1</v>
      </c>
      <c r="AP19">
        <v>6</v>
      </c>
    </row>
    <row r="20" spans="1:42" x14ac:dyDescent="0.35">
      <c r="A20" s="67">
        <v>2</v>
      </c>
      <c r="B20" s="69" t="s">
        <v>56</v>
      </c>
      <c r="C20" s="79">
        <f t="shared" ref="C20:C48" si="22">$C19*C$12 + $D19*C$13 + $E19*C$14</f>
        <v>0.13878000000000007</v>
      </c>
      <c r="D20" s="79">
        <f t="shared" ref="D20:D48" si="23">$C19*D$12 + $D19*D$13 + $E19*D$14</f>
        <v>0.57339999999999991</v>
      </c>
      <c r="E20" s="79">
        <f t="shared" ref="E20:E48" si="24">$C19*E$12 + $D19*E$13 + $E19*E$14</f>
        <v>0.28781999999999996</v>
      </c>
      <c r="F20" s="61">
        <f t="shared" si="16"/>
        <v>1</v>
      </c>
      <c r="G20" s="71"/>
      <c r="H20" s="78">
        <v>2</v>
      </c>
      <c r="I20" s="69" t="s">
        <v>57</v>
      </c>
      <c r="J20" s="36">
        <f>$J19*J$11 + $K19*J$12 + $L19*J$13 + $M19*J$14 + $N19*J$15</f>
        <v>6.5700000000000008E-2</v>
      </c>
      <c r="K20" s="36">
        <f t="shared" ref="K20:K48" si="25">$J19*K$11 + $K19*K$12 + $L19*K$13 + $M19*K$14 + $N19*K$15</f>
        <v>0.33950000000000002</v>
      </c>
      <c r="L20" s="36">
        <f t="shared" ref="L20:L48" si="26">$J19*L$11 + $K19*L$12 + $L19*L$13 + $M19*L$14 + $N19*L$15</f>
        <v>0.35509999999999997</v>
      </c>
      <c r="M20" s="36">
        <f t="shared" ref="M20:M48" si="27">$J19*M$11 + $K19*M$12 + $L19*M$13 + $M19*M$14 + $N19*M$15</f>
        <v>0.185</v>
      </c>
      <c r="N20" s="36">
        <f t="shared" ref="N20:N48" si="28">$J19*N$11 + $K19*N$12 + $L19*N$13 + $M19*N$14 + $N19*N$15</f>
        <v>5.4699999999999999E-2</v>
      </c>
      <c r="O20" s="61">
        <f t="shared" si="18"/>
        <v>1</v>
      </c>
      <c r="P20" s="62"/>
      <c r="R20" s="69"/>
      <c r="S20" s="36"/>
      <c r="T20" s="36"/>
      <c r="U20" s="36"/>
      <c r="V20" s="36"/>
      <c r="W20" s="36"/>
      <c r="X20" s="78">
        <v>2</v>
      </c>
      <c r="Y20" s="69" t="s">
        <v>56</v>
      </c>
      <c r="Z20" s="36">
        <f t="shared" ref="Z20:Z48" si="29">$Z19*Z$11 + $AA19*Z$12 + $AB19*Z$13 + $AC19*Z$14 + $AD19*Z$15</f>
        <v>4.1045715481110898E-2</v>
      </c>
      <c r="AA20" s="36">
        <f t="shared" ref="AA20:AA48" si="30">$Z19*AA$11 + $AA19*AA$12 + $AB19*AA$13 + $AC19*AA$14 + $AD19*AA$15</f>
        <v>0.22308706025789879</v>
      </c>
      <c r="AB20" s="36">
        <f t="shared" ref="AB20:AB48" si="31">$Z19*AB$11 + $AA19*AB$12 + $AB19*AB$13 + $AC19*AB$14 + $AD19*AB$15</f>
        <v>0.57779174390186105</v>
      </c>
      <c r="AC20" s="36">
        <f t="shared" ref="AC20:AC48" si="32">$Z19*AC$11 + $AA19*AC$12 + $AB19*AC$13 + $AC19*AC$14 + $AD19*AC$15</f>
        <v>0.12444103637880716</v>
      </c>
      <c r="AD20" s="36">
        <f t="shared" ref="AD20:AD48" si="33">$Z19*AD$11 + $AA19*AD$12 + $AB19*AD$13 + $AC19*AD$14 + $AD19*AD$15</f>
        <v>3.3634443980322094E-2</v>
      </c>
      <c r="AE20" s="61">
        <f t="shared" si="20"/>
        <v>0.99999999999999989</v>
      </c>
      <c r="AH20">
        <v>1</v>
      </c>
      <c r="AI20" s="69" t="s">
        <v>56</v>
      </c>
      <c r="AJ20" s="36">
        <f>$AJ19*AJ$11 + $AK19*AJ$12 + $AL19*AJ$13 + $AM19*AJ$14*(AR$14^$AP19) + $AN19*AJ$15*(AR$15^$AP19)</f>
        <v>1.511E-2</v>
      </c>
      <c r="AK20" s="36">
        <f t="shared" ref="AK20:AN35" si="34">$AJ19*AK$11 + $AK19*AK$12 + $AL19*AK$13 + $AM19*AK$14*(AS$14^$AP19) + $AN19*AK$15*(AS$15^$AP19)</f>
        <v>0.10557</v>
      </c>
      <c r="AL20" s="36">
        <f t="shared" si="34"/>
        <v>0.16334000000000001</v>
      </c>
      <c r="AM20" s="36">
        <f t="shared" ref="AM20:AM48" si="35">1-SUM(AJ20:AL20,AN20)</f>
        <v>0.67515000000000003</v>
      </c>
      <c r="AN20" s="36">
        <f t="shared" si="34"/>
        <v>4.0829999999999998E-2</v>
      </c>
      <c r="AO20" s="61">
        <f t="shared" si="21"/>
        <v>1</v>
      </c>
      <c r="AP20">
        <v>5</v>
      </c>
    </row>
    <row r="21" spans="1:42" x14ac:dyDescent="0.35">
      <c r="A21" s="67">
        <v>3</v>
      </c>
      <c r="B21" s="68" t="s">
        <v>61</v>
      </c>
      <c r="C21" s="61">
        <f t="shared" si="22"/>
        <v>0.16460316000000008</v>
      </c>
      <c r="D21" s="61">
        <f t="shared" si="23"/>
        <v>0.48236679999999987</v>
      </c>
      <c r="E21" s="61">
        <f t="shared" si="24"/>
        <v>0.35303003999999993</v>
      </c>
      <c r="F21" s="61">
        <f t="shared" si="16"/>
        <v>0.99999999999999989</v>
      </c>
      <c r="G21" s="68"/>
      <c r="H21" s="78">
        <v>3</v>
      </c>
      <c r="I21" s="69" t="s">
        <v>62</v>
      </c>
      <c r="J21" s="36">
        <f t="shared" ref="J21:J48" si="36">$J20*J$11 + $K20*J$12 + $L20*J$13 + $M20*J$14 + $N20*J$15</f>
        <v>7.0829000000000003E-2</v>
      </c>
      <c r="K21" s="36">
        <f t="shared" si="25"/>
        <v>0.37195999999999996</v>
      </c>
      <c r="L21" s="36">
        <f t="shared" si="26"/>
        <v>0.30448599999999998</v>
      </c>
      <c r="M21" s="36">
        <f t="shared" si="27"/>
        <v>0.1933</v>
      </c>
      <c r="N21" s="36">
        <f t="shared" si="28"/>
        <v>5.9424999999999992E-2</v>
      </c>
      <c r="O21" s="61">
        <f t="shared" ref="O21:O22" si="37">SUM(J21:N21)</f>
        <v>0.99999999999999989</v>
      </c>
      <c r="P21" s="62"/>
      <c r="R21" s="69"/>
      <c r="S21" s="36"/>
      <c r="T21" s="36"/>
      <c r="U21" s="36"/>
      <c r="V21" s="36"/>
      <c r="W21" s="36"/>
      <c r="X21" s="78">
        <v>3</v>
      </c>
      <c r="Y21" s="96" t="s">
        <v>61</v>
      </c>
      <c r="Z21" s="36">
        <f t="shared" si="29"/>
        <v>5.0823863410638742E-2</v>
      </c>
      <c r="AA21" s="36">
        <f t="shared" si="30"/>
        <v>0.28237837195170323</v>
      </c>
      <c r="AB21" s="36">
        <f t="shared" si="31"/>
        <v>0.47226708448925703</v>
      </c>
      <c r="AC21" s="36">
        <f t="shared" si="32"/>
        <v>0.15206552644138185</v>
      </c>
      <c r="AD21" s="36">
        <f t="shared" si="33"/>
        <v>4.2465153707019157E-2</v>
      </c>
      <c r="AE21" s="61">
        <f t="shared" si="20"/>
        <v>1</v>
      </c>
      <c r="AH21">
        <v>2</v>
      </c>
      <c r="AI21" s="117" t="s">
        <v>61</v>
      </c>
      <c r="AJ21" s="36">
        <f t="shared" ref="AJ21:AJ48" si="38">$AJ20*AJ$11 + $AK20*AJ$12 + $AL20*AJ$13 + $AM20*AJ$14*(AR$14^$AP20) + $AN20*AJ$15*(AR$15^$AP20)</f>
        <v>2.8680760700000002E-2</v>
      </c>
      <c r="AK21" s="36">
        <f t="shared" ref="AK21:AK48" si="39">$AJ20*AK$11 + $AK20*AK$12 + $AL20*AK$13 + $AM20*AK$14*(AS$14^$AP20) + $AN20*AK$15*(AS$15^$AP20)</f>
        <v>0.18458520769999998</v>
      </c>
      <c r="AL21" s="36">
        <f t="shared" ref="AL21:AN48" si="40">$AJ20*AL$11 + $AK20*AL$12 + $AL20*AL$13 + $AM20*AL$14*(AT$14^$AP20) + $AN20*AL$15*(AT$15^$AP20)</f>
        <v>0.24887179610000001</v>
      </c>
      <c r="AM21" s="36">
        <f t="shared" si="35"/>
        <v>0.48130347610000002</v>
      </c>
      <c r="AN21" s="36">
        <f t="shared" si="34"/>
        <v>5.6558759399999999E-2</v>
      </c>
      <c r="AO21" s="61">
        <f t="shared" si="21"/>
        <v>1</v>
      </c>
      <c r="AP21">
        <v>4</v>
      </c>
    </row>
    <row r="22" spans="1:42" x14ac:dyDescent="0.35">
      <c r="A22" s="67">
        <v>4</v>
      </c>
      <c r="B22" s="68" t="s">
        <v>57</v>
      </c>
      <c r="C22" s="61">
        <f t="shared" si="22"/>
        <v>0.17778548952000006</v>
      </c>
      <c r="D22" s="61">
        <f t="shared" si="23"/>
        <v>0.42929626959999989</v>
      </c>
      <c r="E22" s="61">
        <f t="shared" si="24"/>
        <v>0.39291824087999994</v>
      </c>
      <c r="F22" s="61">
        <f>SUM(C22:E22)</f>
        <v>0.99999999999999989</v>
      </c>
      <c r="G22" s="68"/>
      <c r="H22" s="78">
        <v>4</v>
      </c>
      <c r="I22" s="69" t="s">
        <v>63</v>
      </c>
      <c r="J22" s="36">
        <f t="shared" si="36"/>
        <v>7.2568809999999997E-2</v>
      </c>
      <c r="K22" s="36">
        <f t="shared" si="25"/>
        <v>0.38396059999999999</v>
      </c>
      <c r="L22" s="36">
        <f t="shared" si="26"/>
        <v>0.28746956000000001</v>
      </c>
      <c r="M22" s="36">
        <f t="shared" si="27"/>
        <v>0.19525159999999997</v>
      </c>
      <c r="N22" s="36">
        <f t="shared" si="28"/>
        <v>6.0749429999999993E-2</v>
      </c>
      <c r="O22" s="61">
        <f t="shared" si="37"/>
        <v>1</v>
      </c>
      <c r="R22" s="69"/>
      <c r="S22" s="36"/>
      <c r="T22" s="36"/>
      <c r="U22" s="36"/>
      <c r="V22" s="36"/>
      <c r="W22" s="36"/>
      <c r="X22" s="78">
        <v>4</v>
      </c>
      <c r="Y22" s="96" t="s">
        <v>57</v>
      </c>
      <c r="Z22" s="36">
        <f t="shared" si="29"/>
        <v>5.6911679339837117E-2</v>
      </c>
      <c r="AA22" s="36">
        <f t="shared" si="30"/>
        <v>0.3218464891129732</v>
      </c>
      <c r="AB22" s="36">
        <f t="shared" si="31"/>
        <v>0.40449004013737044</v>
      </c>
      <c r="AC22" s="36">
        <f t="shared" si="32"/>
        <v>0.16853827714745723</v>
      </c>
      <c r="AD22" s="36">
        <f t="shared" si="33"/>
        <v>4.8213514262362069E-2</v>
      </c>
      <c r="AE22" s="61">
        <f t="shared" si="20"/>
        <v>1</v>
      </c>
      <c r="AH22">
        <v>3</v>
      </c>
      <c r="AI22" s="117" t="s">
        <v>57</v>
      </c>
      <c r="AJ22" s="36">
        <f t="shared" si="38"/>
        <v>3.9771399513996997E-2</v>
      </c>
      <c r="AK22" s="36">
        <f t="shared" si="39"/>
        <v>0.24400028110162597</v>
      </c>
      <c r="AL22" s="36">
        <f t="shared" si="40"/>
        <v>0.29087348864281404</v>
      </c>
      <c r="AM22" s="36">
        <f t="shared" si="35"/>
        <v>0.36498809680911803</v>
      </c>
      <c r="AN22" s="36">
        <f t="shared" si="34"/>
        <v>6.0366733932444995E-2</v>
      </c>
      <c r="AO22" s="61">
        <f t="shared" si="21"/>
        <v>1</v>
      </c>
      <c r="AP22">
        <v>3</v>
      </c>
    </row>
    <row r="23" spans="1:42" x14ac:dyDescent="0.35">
      <c r="A23" s="67">
        <v>5</v>
      </c>
      <c r="B23" s="68"/>
      <c r="C23" s="61">
        <f t="shared" si="22"/>
        <v>0.18411889960944006</v>
      </c>
      <c r="D23" s="61">
        <f t="shared" si="23"/>
        <v>0.39824489113119993</v>
      </c>
      <c r="E23" s="61">
        <f t="shared" si="24"/>
        <v>0.4176362092593599</v>
      </c>
      <c r="F23" s="61">
        <f t="shared" ref="F23:F28" si="41">SUM(C23:E23)</f>
        <v>1</v>
      </c>
      <c r="G23" s="68"/>
      <c r="H23" s="77">
        <v>5</v>
      </c>
      <c r="J23" s="36">
        <f t="shared" si="36"/>
        <v>7.3181815299999994E-2</v>
      </c>
      <c r="K23" s="36">
        <f t="shared" si="25"/>
        <v>0.38850632399999996</v>
      </c>
      <c r="L23" s="36">
        <f t="shared" si="26"/>
        <v>0.28159484359999998</v>
      </c>
      <c r="M23" s="36">
        <f t="shared" si="27"/>
        <v>0.19567844600000001</v>
      </c>
      <c r="N23" s="36">
        <f t="shared" si="28"/>
        <v>6.1038571099999987E-2</v>
      </c>
      <c r="O23" s="61">
        <f t="shared" ref="O23:O28" si="42">SUM(J23:N23)</f>
        <v>0.99999999999999989</v>
      </c>
      <c r="S23" s="36"/>
      <c r="T23" s="36"/>
      <c r="U23" s="36"/>
      <c r="V23" s="36"/>
      <c r="W23" s="36"/>
      <c r="X23" s="77">
        <v>5</v>
      </c>
      <c r="Y23" s="96" t="s">
        <v>68</v>
      </c>
      <c r="Z23" s="36">
        <f t="shared" si="29"/>
        <v>6.0706771738338321E-2</v>
      </c>
      <c r="AA23" s="36">
        <f t="shared" si="30"/>
        <v>0.34813514946144292</v>
      </c>
      <c r="AB23" s="36">
        <f t="shared" si="31"/>
        <v>0.36086387336765358</v>
      </c>
      <c r="AC23" s="36">
        <f t="shared" si="32"/>
        <v>0.17837457388037928</v>
      </c>
      <c r="AD23" s="36">
        <f t="shared" si="33"/>
        <v>5.1919631552186069E-2</v>
      </c>
      <c r="AE23" s="61">
        <f t="shared" ref="AE23:AE48" si="43">SUM(Z23:AD23)</f>
        <v>1.0000000000000002</v>
      </c>
      <c r="AH23">
        <v>4</v>
      </c>
      <c r="AI23" s="117" t="s">
        <v>68</v>
      </c>
      <c r="AJ23" s="36">
        <f t="shared" si="38"/>
        <v>4.8362944494714469E-2</v>
      </c>
      <c r="AK23" s="36">
        <f t="shared" si="39"/>
        <v>0.28870466691600155</v>
      </c>
      <c r="AL23" s="36">
        <f t="shared" si="40"/>
        <v>0.30914307103992983</v>
      </c>
      <c r="AM23" s="36">
        <f t="shared" si="35"/>
        <v>0.29478938183989256</v>
      </c>
      <c r="AN23" s="36">
        <f t="shared" si="34"/>
        <v>5.8999935709461611E-2</v>
      </c>
      <c r="AO23" s="61">
        <f t="shared" ref="AO23:AO48" si="44">SUM(AJ23:AN23)</f>
        <v>1</v>
      </c>
      <c r="AP23">
        <v>2</v>
      </c>
    </row>
    <row r="24" spans="1:42" x14ac:dyDescent="0.35">
      <c r="A24" s="67">
        <v>6</v>
      </c>
      <c r="C24" s="61">
        <f t="shared" si="22"/>
        <v>0.18682853898588775</v>
      </c>
      <c r="D24" s="61">
        <f t="shared" si="23"/>
        <v>0.37999406865528629</v>
      </c>
      <c r="E24" s="61">
        <f t="shared" si="24"/>
        <v>0.4331773923588258</v>
      </c>
      <c r="F24" s="61">
        <f t="shared" si="41"/>
        <v>0.99999999999999978</v>
      </c>
      <c r="H24" s="78">
        <v>6</v>
      </c>
      <c r="J24" s="36">
        <f t="shared" si="36"/>
        <v>7.3406567625000002E-2</v>
      </c>
      <c r="K24" s="36">
        <f t="shared" si="25"/>
        <v>0.39027712965999994</v>
      </c>
      <c r="L24" s="36">
        <f t="shared" si="26"/>
        <v>0.27951158617599992</v>
      </c>
      <c r="M24" s="36">
        <f t="shared" si="27"/>
        <v>0.19574850261999999</v>
      </c>
      <c r="N24" s="36">
        <f t="shared" si="28"/>
        <v>6.1056213918999992E-2</v>
      </c>
      <c r="O24" s="61">
        <f t="shared" si="42"/>
        <v>0.99999999999999978</v>
      </c>
      <c r="S24" s="36"/>
      <c r="T24" s="36"/>
      <c r="U24" s="36"/>
      <c r="V24" s="36"/>
      <c r="W24" s="36"/>
      <c r="X24" s="78">
        <v>6</v>
      </c>
      <c r="Z24" s="36">
        <f t="shared" si="29"/>
        <v>6.3075764233126774E-2</v>
      </c>
      <c r="AA24" s="36">
        <f t="shared" si="30"/>
        <v>0.36565859051240812</v>
      </c>
      <c r="AB24" s="36">
        <f t="shared" si="31"/>
        <v>0.33272439278604843</v>
      </c>
      <c r="AC24" s="36">
        <f t="shared" si="32"/>
        <v>0.18425494854944977</v>
      </c>
      <c r="AD24" s="36">
        <f t="shared" si="33"/>
        <v>5.4286303918967105E-2</v>
      </c>
      <c r="AE24" s="61">
        <f t="shared" si="43"/>
        <v>1.0000000000000002</v>
      </c>
      <c r="AH24">
        <v>5</v>
      </c>
      <c r="AJ24" s="36">
        <f t="shared" si="38"/>
        <v>5.4795073885124931E-2</v>
      </c>
      <c r="AK24" s="36">
        <f t="shared" si="39"/>
        <v>0.3222771702045002</v>
      </c>
      <c r="AL24" s="36">
        <f t="shared" si="40"/>
        <v>0.31497134656622738</v>
      </c>
      <c r="AM24" s="36">
        <f t="shared" si="35"/>
        <v>0.25216867154067268</v>
      </c>
      <c r="AN24" s="36">
        <f t="shared" si="34"/>
        <v>5.5787737803474784E-2</v>
      </c>
      <c r="AO24" s="61">
        <f t="shared" si="44"/>
        <v>1</v>
      </c>
      <c r="AP24">
        <v>1</v>
      </c>
    </row>
    <row r="25" spans="1:42" x14ac:dyDescent="0.35">
      <c r="A25" s="67">
        <v>7</v>
      </c>
      <c r="C25" s="61">
        <f t="shared" si="22"/>
        <v>0.18768984926712817</v>
      </c>
      <c r="D25" s="61">
        <f t="shared" si="23"/>
        <v>0.369206153532325</v>
      </c>
      <c r="E25" s="61">
        <f t="shared" si="24"/>
        <v>0.44310399720054666</v>
      </c>
      <c r="F25" s="61">
        <f t="shared" si="41"/>
        <v>0.99999999999999978</v>
      </c>
      <c r="H25" s="78">
        <v>7</v>
      </c>
      <c r="J25" s="36">
        <f t="shared" si="36"/>
        <v>7.3492467042969994E-2</v>
      </c>
      <c r="K25" s="36">
        <f t="shared" si="25"/>
        <v>0.39098795488099991</v>
      </c>
      <c r="L25" s="36">
        <f t="shared" si="26"/>
        <v>0.27875141104575996</v>
      </c>
      <c r="M25" s="36">
        <f t="shared" si="27"/>
        <v>0.19574460525819995</v>
      </c>
      <c r="N25" s="36">
        <f t="shared" si="28"/>
        <v>6.1023561772069988E-2</v>
      </c>
      <c r="O25" s="61">
        <f t="shared" si="42"/>
        <v>0.99999999999999978</v>
      </c>
      <c r="S25" s="36"/>
      <c r="T25" s="36"/>
      <c r="U25" s="36"/>
      <c r="V25" s="36"/>
      <c r="W25" s="36"/>
      <c r="X25" s="78">
        <v>7</v>
      </c>
      <c r="Z25" s="36">
        <f t="shared" si="29"/>
        <v>6.4556656462754686E-2</v>
      </c>
      <c r="AA25" s="36">
        <f t="shared" si="30"/>
        <v>0.37734981357674108</v>
      </c>
      <c r="AB25" s="36">
        <f t="shared" si="31"/>
        <v>0.31453727475091153</v>
      </c>
      <c r="AC25" s="36">
        <f t="shared" si="32"/>
        <v>0.18777354411630034</v>
      </c>
      <c r="AD25" s="36">
        <f t="shared" si="33"/>
        <v>5.5782711093292442E-2</v>
      </c>
      <c r="AE25" s="61">
        <f t="shared" si="43"/>
        <v>1</v>
      </c>
      <c r="AH25">
        <v>6</v>
      </c>
      <c r="AJ25" s="36">
        <f t="shared" si="38"/>
        <v>5.9498867782505495E-2</v>
      </c>
      <c r="AK25" s="36">
        <f t="shared" si="39"/>
        <v>0.34740587879158114</v>
      </c>
      <c r="AL25" s="36">
        <f t="shared" si="40"/>
        <v>0.31468340957680574</v>
      </c>
      <c r="AM25" s="36">
        <f t="shared" si="35"/>
        <v>0.22613278084378663</v>
      </c>
      <c r="AN25" s="36">
        <f t="shared" si="34"/>
        <v>5.2279063005321022E-2</v>
      </c>
      <c r="AO25" s="61">
        <f t="shared" si="44"/>
        <v>1</v>
      </c>
      <c r="AP25">
        <v>0</v>
      </c>
    </row>
    <row r="26" spans="1:42" x14ac:dyDescent="0.35">
      <c r="A26" s="67">
        <v>8</v>
      </c>
      <c r="C26" s="61">
        <f t="shared" si="22"/>
        <v>0.18766444038280608</v>
      </c>
      <c r="D26" s="61">
        <f t="shared" si="23"/>
        <v>0.36278508307542268</v>
      </c>
      <c r="E26" s="61">
        <f t="shared" si="24"/>
        <v>0.4495504765417711</v>
      </c>
      <c r="F26" s="61">
        <f t="shared" si="41"/>
        <v>0.99999999999999978</v>
      </c>
      <c r="H26" s="78">
        <v>8</v>
      </c>
      <c r="J26" s="36">
        <f t="shared" si="36"/>
        <v>7.3526698806152896E-2</v>
      </c>
      <c r="K26" s="36">
        <f t="shared" si="25"/>
        <v>0.39128197364604989</v>
      </c>
      <c r="L26" s="36">
        <f t="shared" si="26"/>
        <v>0.27846530823811355</v>
      </c>
      <c r="M26" s="36">
        <f t="shared" si="27"/>
        <v>0.19573181473487794</v>
      </c>
      <c r="N26" s="36">
        <f t="shared" si="28"/>
        <v>6.0994204574805484E-2</v>
      </c>
      <c r="O26" s="61">
        <f t="shared" si="42"/>
        <v>0.99999999999999978</v>
      </c>
      <c r="S26" s="36"/>
      <c r="T26" s="36"/>
      <c r="U26" s="36"/>
      <c r="V26" s="36"/>
      <c r="W26" s="36"/>
      <c r="X26" s="78">
        <v>8</v>
      </c>
      <c r="Z26" s="36">
        <f t="shared" si="29"/>
        <v>6.5483816530769665E-2</v>
      </c>
      <c r="AA26" s="36">
        <f t="shared" si="30"/>
        <v>0.38515798883852398</v>
      </c>
      <c r="AB26" s="36">
        <f t="shared" si="31"/>
        <v>0.30275930760266978</v>
      </c>
      <c r="AC26" s="36">
        <f t="shared" si="32"/>
        <v>0.1898800881248483</v>
      </c>
      <c r="AD26" s="36">
        <f t="shared" si="33"/>
        <v>5.6718798903188476E-2</v>
      </c>
      <c r="AE26" s="61">
        <f t="shared" si="43"/>
        <v>1.0000000000000002</v>
      </c>
      <c r="AH26">
        <v>7</v>
      </c>
      <c r="AJ26" s="36">
        <f t="shared" si="38"/>
        <v>6.2880906288242847E-2</v>
      </c>
      <c r="AK26" s="36">
        <f t="shared" si="39"/>
        <v>0.36613792889979441</v>
      </c>
      <c r="AL26" s="36">
        <f t="shared" si="40"/>
        <v>0.31173211812709928</v>
      </c>
      <c r="AM26" s="36">
        <f t="shared" si="35"/>
        <v>0.21012921565877984</v>
      </c>
      <c r="AN26" s="36">
        <f t="shared" si="34"/>
        <v>4.9119831026083645E-2</v>
      </c>
      <c r="AO26" s="61">
        <f t="shared" si="44"/>
        <v>1</v>
      </c>
      <c r="AP26">
        <v>0</v>
      </c>
    </row>
    <row r="27" spans="1:42" x14ac:dyDescent="0.35">
      <c r="A27" s="67">
        <v>9</v>
      </c>
      <c r="C27" s="61">
        <f t="shared" si="22"/>
        <v>0.18726083094091137</v>
      </c>
      <c r="D27" s="61">
        <f t="shared" si="23"/>
        <v>0.35893091626822199</v>
      </c>
      <c r="E27" s="61">
        <f t="shared" si="24"/>
        <v>0.45380825279086656</v>
      </c>
      <c r="F27" s="61">
        <f t="shared" si="41"/>
        <v>0.99999999999999989</v>
      </c>
      <c r="H27" s="78">
        <v>9</v>
      </c>
      <c r="J27" s="36">
        <f t="shared" si="36"/>
        <v>7.3540892148205958E-2</v>
      </c>
      <c r="K27" s="36">
        <f t="shared" si="25"/>
        <v>0.39140705809502446</v>
      </c>
      <c r="L27" s="36">
        <f t="shared" si="26"/>
        <v>0.27835403375281781</v>
      </c>
      <c r="M27" s="36">
        <f t="shared" si="27"/>
        <v>0.19572238611323595</v>
      </c>
      <c r="N27" s="36">
        <f t="shared" si="28"/>
        <v>6.0975629890715602E-2</v>
      </c>
      <c r="O27" s="61">
        <f t="shared" si="42"/>
        <v>0.99999999999999978</v>
      </c>
      <c r="S27" s="36"/>
      <c r="T27" s="36"/>
      <c r="U27" s="36"/>
      <c r="V27" s="36"/>
      <c r="W27" s="36"/>
      <c r="X27" s="78">
        <v>9</v>
      </c>
      <c r="Z27" s="36">
        <f t="shared" si="29"/>
        <v>6.6065286588067776E-2</v>
      </c>
      <c r="AA27" s="36">
        <f t="shared" si="30"/>
        <v>0.39037890124645069</v>
      </c>
      <c r="AB27" s="36">
        <f t="shared" si="31"/>
        <v>0.29511705928275084</v>
      </c>
      <c r="AC27" s="36">
        <f t="shared" si="32"/>
        <v>0.19114136237268795</v>
      </c>
      <c r="AD27" s="36">
        <f t="shared" si="33"/>
        <v>5.7297390510043011E-2</v>
      </c>
      <c r="AE27" s="61">
        <f t="shared" si="43"/>
        <v>1.0000000000000002</v>
      </c>
      <c r="AH27">
        <v>8</v>
      </c>
      <c r="AJ27" s="36">
        <f t="shared" si="38"/>
        <v>6.5281887487169912E-2</v>
      </c>
      <c r="AK27" s="36">
        <f t="shared" si="39"/>
        <v>0.38004055116467916</v>
      </c>
      <c r="AL27" s="36">
        <f t="shared" si="40"/>
        <v>0.30792996793755589</v>
      </c>
      <c r="AM27" s="36">
        <f t="shared" si="35"/>
        <v>0.20023101727245685</v>
      </c>
      <c r="AN27" s="36">
        <f t="shared" si="34"/>
        <v>4.6516576138138151E-2</v>
      </c>
      <c r="AO27" s="61">
        <f t="shared" si="44"/>
        <v>1</v>
      </c>
      <c r="AP27">
        <v>0</v>
      </c>
    </row>
    <row r="28" spans="1:42" x14ac:dyDescent="0.35">
      <c r="A28" s="67">
        <v>10</v>
      </c>
      <c r="B28" s="64"/>
      <c r="C28" s="61">
        <f t="shared" si="22"/>
        <v>0.18673817491543135</v>
      </c>
      <c r="D28" s="61">
        <f t="shared" si="23"/>
        <v>0.35659419961738781</v>
      </c>
      <c r="E28" s="61">
        <f t="shared" si="24"/>
        <v>0.4566676254671807</v>
      </c>
      <c r="F28" s="61">
        <f t="shared" si="41"/>
        <v>0.99999999999999978</v>
      </c>
      <c r="H28" s="77">
        <v>10</v>
      </c>
      <c r="J28" s="36">
        <f t="shared" si="36"/>
        <v>7.3546987617721271E-2</v>
      </c>
      <c r="K28" s="36">
        <f t="shared" si="25"/>
        <v>0.39146161522194556</v>
      </c>
      <c r="L28" s="36">
        <f t="shared" si="26"/>
        <v>0.27830928384225073</v>
      </c>
      <c r="M28" s="36">
        <f t="shared" si="27"/>
        <v>0.19571684644142756</v>
      </c>
      <c r="N28" s="36">
        <f t="shared" si="28"/>
        <v>6.0965266876654683E-2</v>
      </c>
      <c r="O28" s="61">
        <f t="shared" si="42"/>
        <v>0.99999999999999978</v>
      </c>
      <c r="S28" s="36"/>
      <c r="T28" s="36"/>
      <c r="U28" s="36"/>
      <c r="V28" s="36"/>
      <c r="W28" s="36"/>
      <c r="X28" s="77">
        <v>10</v>
      </c>
      <c r="Z28" s="36">
        <f t="shared" si="29"/>
        <v>6.6430653909755596E-2</v>
      </c>
      <c r="AA28" s="36">
        <f t="shared" si="30"/>
        <v>0.39387438610157105</v>
      </c>
      <c r="AB28" s="36">
        <f t="shared" si="31"/>
        <v>0.29014875765475007</v>
      </c>
      <c r="AC28" s="36">
        <f t="shared" si="32"/>
        <v>0.19189616341273763</v>
      </c>
      <c r="AD28" s="36">
        <f t="shared" si="33"/>
        <v>5.7650038921185934E-2</v>
      </c>
      <c r="AE28" s="61">
        <f t="shared" si="43"/>
        <v>1.0000000000000004</v>
      </c>
      <c r="AH28">
        <v>9</v>
      </c>
      <c r="AJ28" s="36">
        <f t="shared" si="38"/>
        <v>6.6969770318680122E-2</v>
      </c>
      <c r="AK28" s="36">
        <f t="shared" si="39"/>
        <v>0.39031335504906783</v>
      </c>
      <c r="AL28" s="36">
        <f t="shared" si="40"/>
        <v>0.30416924502305392</v>
      </c>
      <c r="AM28" s="36">
        <f t="shared" si="35"/>
        <v>0.19407126131547547</v>
      </c>
      <c r="AN28" s="36">
        <f t="shared" si="34"/>
        <v>4.447636829372266E-2</v>
      </c>
      <c r="AO28" s="61">
        <f t="shared" si="44"/>
        <v>1</v>
      </c>
      <c r="AP28">
        <v>0</v>
      </c>
    </row>
    <row r="29" spans="1:42" x14ac:dyDescent="0.35">
      <c r="A29" s="67">
        <v>11</v>
      </c>
      <c r="B29" s="36"/>
      <c r="C29" s="61">
        <f t="shared" si="22"/>
        <v>0.18622061426598471</v>
      </c>
      <c r="D29" s="61">
        <f t="shared" si="23"/>
        <v>0.35516081026535851</v>
      </c>
      <c r="E29" s="61">
        <f t="shared" si="24"/>
        <v>0.45861857546865659</v>
      </c>
      <c r="F29" s="61">
        <f t="shared" ref="F29:F36" si="45">SUM(C29:E29)</f>
        <v>0.99999999999999978</v>
      </c>
      <c r="H29" s="77">
        <v>11</v>
      </c>
      <c r="J29" s="36">
        <f t="shared" si="36"/>
        <v>7.3549682904549649E-2</v>
      </c>
      <c r="K29" s="36">
        <f t="shared" si="25"/>
        <v>0.39148591561048124</v>
      </c>
      <c r="L29" s="36">
        <f t="shared" si="26"/>
        <v>0.27829069707531773</v>
      </c>
      <c r="M29" s="36">
        <f t="shared" si="27"/>
        <v>0.19571387107183594</v>
      </c>
      <c r="N29" s="36">
        <f t="shared" si="28"/>
        <v>6.0959833337815322E-2</v>
      </c>
      <c r="O29" s="61">
        <f t="shared" ref="O29:O47" si="46">SUM(J29:N29)</f>
        <v>0.99999999999999978</v>
      </c>
      <c r="S29" s="36"/>
      <c r="T29" s="36"/>
      <c r="U29" s="36"/>
      <c r="V29" s="36"/>
      <c r="W29" s="36"/>
      <c r="X29" s="77">
        <v>11</v>
      </c>
      <c r="Z29" s="36">
        <f t="shared" si="29"/>
        <v>6.6660729207345282E-2</v>
      </c>
      <c r="AA29" s="36">
        <f t="shared" si="30"/>
        <v>0.39621801098737669</v>
      </c>
      <c r="AB29" s="36">
        <f t="shared" si="31"/>
        <v>0.28691260984024686</v>
      </c>
      <c r="AC29" s="36">
        <f t="shared" si="32"/>
        <v>0.19234730969466723</v>
      </c>
      <c r="AD29" s="36">
        <f t="shared" si="33"/>
        <v>5.7861340270364298E-2</v>
      </c>
      <c r="AE29" s="61">
        <f t="shared" si="43"/>
        <v>1.0000000000000004</v>
      </c>
      <c r="AH29">
        <v>10</v>
      </c>
      <c r="AJ29" s="36">
        <f t="shared" si="38"/>
        <v>6.8147209462418201E-2</v>
      </c>
      <c r="AK29" s="36">
        <f t="shared" si="39"/>
        <v>0.3978715002003233</v>
      </c>
      <c r="AL29" s="36">
        <f t="shared" si="40"/>
        <v>0.30083919085268618</v>
      </c>
      <c r="AM29" s="36">
        <f t="shared" si="35"/>
        <v>0.19021485059765786</v>
      </c>
      <c r="AN29" s="36">
        <f t="shared" si="34"/>
        <v>4.2927248886914474E-2</v>
      </c>
      <c r="AO29" s="61">
        <f t="shared" si="44"/>
        <v>1</v>
      </c>
      <c r="AP29">
        <v>0</v>
      </c>
    </row>
    <row r="30" spans="1:42" x14ac:dyDescent="0.35">
      <c r="A30" s="67">
        <v>12</v>
      </c>
      <c r="C30" s="61">
        <f t="shared" si="22"/>
        <v>0.18576093211596251</v>
      </c>
      <c r="D30" s="61">
        <f t="shared" si="23"/>
        <v>0.35426972301517412</v>
      </c>
      <c r="E30" s="61">
        <f t="shared" si="24"/>
        <v>0.45996934486886315</v>
      </c>
      <c r="F30" s="61">
        <f t="shared" si="45"/>
        <v>0.99999999999999978</v>
      </c>
      <c r="H30" s="77">
        <v>12</v>
      </c>
      <c r="J30" s="36">
        <f t="shared" si="36"/>
        <v>7.3550902244581329E-2</v>
      </c>
      <c r="K30" s="36">
        <f t="shared" si="25"/>
        <v>0.39149692429173794</v>
      </c>
      <c r="L30" s="36">
        <f t="shared" si="26"/>
        <v>0.27828274665121633</v>
      </c>
      <c r="M30" s="36">
        <f t="shared" si="27"/>
        <v>0.19571234410056718</v>
      </c>
      <c r="N30" s="36">
        <f t="shared" si="28"/>
        <v>6.0957082711897134E-2</v>
      </c>
      <c r="O30" s="61">
        <f t="shared" si="46"/>
        <v>0.99999999999999989</v>
      </c>
      <c r="S30" s="36"/>
      <c r="T30" s="36"/>
      <c r="U30" s="36"/>
      <c r="V30" s="36"/>
      <c r="W30" s="36"/>
      <c r="X30" s="77">
        <v>12</v>
      </c>
      <c r="Z30" s="36">
        <f t="shared" si="29"/>
        <v>6.6805966268364936E-2</v>
      </c>
      <c r="AA30" s="36">
        <f t="shared" si="30"/>
        <v>0.39779178468587462</v>
      </c>
      <c r="AB30" s="36">
        <f t="shared" si="31"/>
        <v>0.28480064950305584</v>
      </c>
      <c r="AC30" s="36">
        <f t="shared" si="32"/>
        <v>0.19261637348363214</v>
      </c>
      <c r="AD30" s="36">
        <f t="shared" si="33"/>
        <v>5.798522605907281E-2</v>
      </c>
      <c r="AE30" s="61">
        <f t="shared" si="43"/>
        <v>1.0000000000000002</v>
      </c>
      <c r="AJ30" s="36">
        <f t="shared" si="38"/>
        <v>6.8963484457969945E-2</v>
      </c>
      <c r="AK30" s="36">
        <f t="shared" si="39"/>
        <v>0.40340966924548438</v>
      </c>
      <c r="AL30" s="36">
        <f t="shared" si="40"/>
        <v>0.29806459637203486</v>
      </c>
      <c r="AM30" s="36">
        <f t="shared" si="35"/>
        <v>0.1877863724728851</v>
      </c>
      <c r="AN30" s="36">
        <f t="shared" si="34"/>
        <v>4.1775877451625747E-2</v>
      </c>
      <c r="AO30" s="61">
        <f t="shared" si="44"/>
        <v>1</v>
      </c>
      <c r="AP30">
        <v>0</v>
      </c>
    </row>
    <row r="31" spans="1:42" x14ac:dyDescent="0.35">
      <c r="A31" s="67">
        <v>13</v>
      </c>
      <c r="C31" s="61">
        <f t="shared" si="22"/>
        <v>0.18537557636863541</v>
      </c>
      <c r="D31" s="61">
        <f t="shared" si="23"/>
        <v>0.3537074897360622</v>
      </c>
      <c r="E31" s="61">
        <f t="shared" si="24"/>
        <v>0.46091693389530219</v>
      </c>
      <c r="F31" s="61">
        <f t="shared" si="45"/>
        <v>0.99999999999999978</v>
      </c>
      <c r="H31" s="77">
        <v>13</v>
      </c>
      <c r="J31" s="36">
        <f t="shared" si="36"/>
        <v>7.3551463339137424E-2</v>
      </c>
      <c r="K31" s="36">
        <f t="shared" si="25"/>
        <v>0.39150197793236885</v>
      </c>
      <c r="L31" s="36">
        <f t="shared" si="26"/>
        <v>0.27827925845625451</v>
      </c>
      <c r="M31" s="36">
        <f t="shared" si="27"/>
        <v>0.19571158063086772</v>
      </c>
      <c r="N31" s="36">
        <f t="shared" si="28"/>
        <v>6.0955719641371392E-2</v>
      </c>
      <c r="O31" s="61">
        <f t="shared" si="46"/>
        <v>0.99999999999999978</v>
      </c>
      <c r="S31" s="36"/>
      <c r="T31" s="36"/>
      <c r="U31" s="36"/>
      <c r="V31" s="36"/>
      <c r="W31" s="36"/>
      <c r="X31" s="77">
        <v>13</v>
      </c>
      <c r="Z31" s="36">
        <f t="shared" si="29"/>
        <v>6.6897905912892602E-2</v>
      </c>
      <c r="AA31" s="36">
        <f t="shared" si="30"/>
        <v>0.39885036025923487</v>
      </c>
      <c r="AB31" s="36">
        <f t="shared" si="31"/>
        <v>0.28341966355419851</v>
      </c>
      <c r="AC31" s="36">
        <f t="shared" si="32"/>
        <v>0.1927763009809291</v>
      </c>
      <c r="AD31" s="36">
        <f t="shared" si="33"/>
        <v>5.8055769292745238E-2</v>
      </c>
      <c r="AE31" s="61">
        <f t="shared" si="43"/>
        <v>1.0000000000000004</v>
      </c>
      <c r="AJ31" s="36">
        <f t="shared" si="38"/>
        <v>6.9526513622844274E-2</v>
      </c>
      <c r="AK31" s="36">
        <f t="shared" si="39"/>
        <v>0.40745218023498048</v>
      </c>
      <c r="AL31" s="36">
        <f t="shared" si="40"/>
        <v>0.29583984270737751</v>
      </c>
      <c r="AM31" s="36">
        <f t="shared" si="35"/>
        <v>0.18624852676599046</v>
      </c>
      <c r="AN31" s="36">
        <f t="shared" si="34"/>
        <v>4.0932936668807277E-2</v>
      </c>
      <c r="AO31" s="61">
        <f t="shared" si="44"/>
        <v>1</v>
      </c>
      <c r="AP31">
        <v>0</v>
      </c>
    </row>
    <row r="32" spans="1:42" x14ac:dyDescent="0.35">
      <c r="A32" s="67">
        <v>14</v>
      </c>
      <c r="C32" s="61">
        <f t="shared" si="22"/>
        <v>0.18506361552231851</v>
      </c>
      <c r="D32" s="61">
        <f t="shared" si="23"/>
        <v>0.35334702842375543</v>
      </c>
      <c r="E32" s="61">
        <f t="shared" si="24"/>
        <v>0.46158935605392593</v>
      </c>
      <c r="F32" s="61">
        <f t="shared" si="45"/>
        <v>0.99999999999999989</v>
      </c>
      <c r="H32" s="77">
        <v>14</v>
      </c>
      <c r="J32" s="36">
        <f t="shared" si="36"/>
        <v>7.355172469681881E-2</v>
      </c>
      <c r="K32" s="36">
        <f t="shared" si="25"/>
        <v>0.39150432132230994</v>
      </c>
      <c r="L32" s="36">
        <f t="shared" si="26"/>
        <v>0.27827769576910516</v>
      </c>
      <c r="M32" s="36">
        <f t="shared" si="27"/>
        <v>0.19571120498163161</v>
      </c>
      <c r="N32" s="36">
        <f t="shared" si="28"/>
        <v>6.095505323013433E-2</v>
      </c>
      <c r="O32" s="61">
        <f t="shared" si="46"/>
        <v>0.99999999999999989</v>
      </c>
      <c r="S32" s="36"/>
      <c r="T32" s="36"/>
      <c r="U32" s="36"/>
      <c r="V32" s="36"/>
      <c r="W32" s="36"/>
      <c r="X32" s="77">
        <v>14</v>
      </c>
      <c r="Z32" s="36">
        <f t="shared" si="29"/>
        <v>6.6956293169574119E-2</v>
      </c>
      <c r="AA32" s="36">
        <f t="shared" si="30"/>
        <v>0.39956366717928338</v>
      </c>
      <c r="AB32" s="36">
        <f t="shared" si="31"/>
        <v>0.28251486201699755</v>
      </c>
      <c r="AC32" s="36">
        <f t="shared" si="32"/>
        <v>0.19287089058846671</v>
      </c>
      <c r="AD32" s="36">
        <f t="shared" si="33"/>
        <v>5.8094287045678608E-2</v>
      </c>
      <c r="AE32" s="61">
        <f t="shared" si="43"/>
        <v>1.0000000000000004</v>
      </c>
      <c r="AJ32" s="36">
        <f t="shared" si="38"/>
        <v>6.9913236227871087E-2</v>
      </c>
      <c r="AK32" s="36">
        <f t="shared" si="39"/>
        <v>0.41039244355039117</v>
      </c>
      <c r="AL32" s="36">
        <f t="shared" si="40"/>
        <v>0.29410228575362896</v>
      </c>
      <c r="AM32" s="36">
        <f t="shared" si="35"/>
        <v>0.1852694933281378</v>
      </c>
      <c r="AN32" s="36">
        <f t="shared" si="34"/>
        <v>4.0322541139970976E-2</v>
      </c>
      <c r="AO32" s="61">
        <f t="shared" si="44"/>
        <v>1</v>
      </c>
      <c r="AP32">
        <v>0</v>
      </c>
    </row>
    <row r="33" spans="1:42" x14ac:dyDescent="0.35">
      <c r="A33" s="67">
        <v>15</v>
      </c>
      <c r="C33" s="61">
        <f t="shared" si="22"/>
        <v>0.18481675211253931</v>
      </c>
      <c r="D33" s="61">
        <f t="shared" si="23"/>
        <v>0.35311203398559232</v>
      </c>
      <c r="E33" s="61">
        <f t="shared" si="24"/>
        <v>0.46207121390186823</v>
      </c>
      <c r="F33" s="61">
        <f t="shared" si="45"/>
        <v>0.99999999999999989</v>
      </c>
      <c r="H33" s="77">
        <v>15</v>
      </c>
      <c r="J33" s="36">
        <f t="shared" si="36"/>
        <v>7.3551847467523995E-2</v>
      </c>
      <c r="K33" s="36">
        <f t="shared" si="25"/>
        <v>0.39150541614673307</v>
      </c>
      <c r="L33" s="36">
        <f t="shared" si="26"/>
        <v>0.27827698407745416</v>
      </c>
      <c r="M33" s="36">
        <f t="shared" si="27"/>
        <v>0.19571102204892313</v>
      </c>
      <c r="N33" s="36">
        <f t="shared" si="28"/>
        <v>6.0954730259365542E-2</v>
      </c>
      <c r="O33" s="61">
        <f t="shared" si="46"/>
        <v>0.99999999999999978</v>
      </c>
      <c r="S33" s="36"/>
      <c r="T33" s="36"/>
      <c r="U33" s="36"/>
      <c r="V33" s="36"/>
      <c r="W33" s="36"/>
      <c r="X33" s="77">
        <v>15</v>
      </c>
      <c r="Z33" s="36">
        <f t="shared" si="29"/>
        <v>6.6993507913433684E-2</v>
      </c>
      <c r="AA33" s="36">
        <f t="shared" si="30"/>
        <v>0.40004522987059521</v>
      </c>
      <c r="AB33" s="36">
        <f t="shared" si="31"/>
        <v>0.28192084692450858</v>
      </c>
      <c r="AC33" s="36">
        <f t="shared" si="32"/>
        <v>0.19292644524533084</v>
      </c>
      <c r="AD33" s="36">
        <f t="shared" si="33"/>
        <v>5.811397004613196E-2</v>
      </c>
      <c r="AE33" s="61">
        <f t="shared" si="43"/>
        <v>1.0000000000000004</v>
      </c>
      <c r="AJ33" s="36">
        <f t="shared" si="38"/>
        <v>7.017792502869237E-2</v>
      </c>
      <c r="AK33" s="36">
        <f t="shared" si="39"/>
        <v>0.41252395147894866</v>
      </c>
      <c r="AL33" s="36">
        <f t="shared" si="40"/>
        <v>0.29277089734988604</v>
      </c>
      <c r="AM33" s="36">
        <f t="shared" si="35"/>
        <v>0.18464309067588924</v>
      </c>
      <c r="AN33" s="36">
        <f t="shared" si="34"/>
        <v>3.9884135466583606E-2</v>
      </c>
      <c r="AO33" s="61">
        <f t="shared" si="44"/>
        <v>1</v>
      </c>
      <c r="AP33">
        <v>0</v>
      </c>
    </row>
    <row r="34" spans="1:42" x14ac:dyDescent="0.35">
      <c r="A34" s="67">
        <v>16</v>
      </c>
      <c r="C34" s="61">
        <f t="shared" si="22"/>
        <v>0.18462441706438895</v>
      </c>
      <c r="D34" s="61">
        <f t="shared" si="23"/>
        <v>0.35295622551810774</v>
      </c>
      <c r="E34" s="61">
        <f t="shared" si="24"/>
        <v>0.46241935741750317</v>
      </c>
      <c r="F34" s="61">
        <f t="shared" si="45"/>
        <v>0.99999999999999989</v>
      </c>
      <c r="H34" s="77">
        <v>16</v>
      </c>
      <c r="J34" s="36">
        <f t="shared" si="36"/>
        <v>7.3551905466168577E-2</v>
      </c>
      <c r="K34" s="36">
        <f t="shared" si="25"/>
        <v>0.39150593047494409</v>
      </c>
      <c r="L34" s="36">
        <f t="shared" si="26"/>
        <v>0.27827665585440614</v>
      </c>
      <c r="M34" s="36">
        <f t="shared" si="27"/>
        <v>0.19571093357092567</v>
      </c>
      <c r="N34" s="36">
        <f t="shared" si="28"/>
        <v>6.0954574633555435E-2</v>
      </c>
      <c r="O34" s="61">
        <f t="shared" si="46"/>
        <v>0.99999999999999989</v>
      </c>
      <c r="S34" s="36"/>
      <c r="T34" s="36"/>
      <c r="U34" s="36"/>
      <c r="V34" s="36"/>
      <c r="W34" s="36"/>
      <c r="X34" s="77">
        <v>16</v>
      </c>
      <c r="Z34" s="36">
        <f t="shared" si="29"/>
        <v>6.7017325768279762E-2</v>
      </c>
      <c r="AA34" s="36">
        <f t="shared" si="30"/>
        <v>0.40037098758389683</v>
      </c>
      <c r="AB34" s="36">
        <f t="shared" si="31"/>
        <v>0.28153005478516974</v>
      </c>
      <c r="AC34" s="36">
        <f t="shared" si="32"/>
        <v>0.19295875528802908</v>
      </c>
      <c r="AD34" s="36">
        <f t="shared" si="33"/>
        <v>5.8122876574624831E-2</v>
      </c>
      <c r="AE34" s="61">
        <f t="shared" si="43"/>
        <v>1.0000000000000002</v>
      </c>
      <c r="AJ34" s="36">
        <f t="shared" si="38"/>
        <v>7.0358546308791334E-2</v>
      </c>
      <c r="AK34" s="36">
        <f t="shared" si="39"/>
        <v>0.41406446233243771</v>
      </c>
      <c r="AL34" s="36">
        <f t="shared" si="40"/>
        <v>0.2917653584165939</v>
      </c>
      <c r="AM34" s="36">
        <f t="shared" si="35"/>
        <v>0.1842404318763402</v>
      </c>
      <c r="AN34" s="36">
        <f t="shared" si="34"/>
        <v>3.9571201065836836E-2</v>
      </c>
      <c r="AO34" s="61">
        <f t="shared" si="44"/>
        <v>1</v>
      </c>
      <c r="AP34">
        <v>0</v>
      </c>
    </row>
    <row r="35" spans="1:42" x14ac:dyDescent="0.35">
      <c r="A35" s="67">
        <v>17</v>
      </c>
      <c r="C35" s="61">
        <f t="shared" si="22"/>
        <v>0.18447620265157533</v>
      </c>
      <c r="D35" s="61">
        <f t="shared" si="23"/>
        <v>0.35285120033472794</v>
      </c>
      <c r="E35" s="61">
        <f t="shared" si="24"/>
        <v>0.46267259701369656</v>
      </c>
      <c r="F35" s="61">
        <f t="shared" si="45"/>
        <v>0.99999999999999989</v>
      </c>
      <c r="H35" s="77">
        <v>17</v>
      </c>
      <c r="J35" s="36">
        <f t="shared" si="36"/>
        <v>7.3551932967716116E-2</v>
      </c>
      <c r="K35" s="36">
        <f t="shared" si="25"/>
        <v>0.39150617306845503</v>
      </c>
      <c r="L35" s="36">
        <f t="shared" si="26"/>
        <v>0.27827650305996371</v>
      </c>
      <c r="M35" s="36">
        <f t="shared" si="27"/>
        <v>0.19571089097376085</v>
      </c>
      <c r="N35" s="36">
        <f t="shared" si="28"/>
        <v>6.0954499930104142E-2</v>
      </c>
      <c r="O35" s="61">
        <f t="shared" si="46"/>
        <v>0.99999999999999978</v>
      </c>
      <c r="S35" s="36"/>
      <c r="T35" s="36"/>
      <c r="U35" s="36"/>
      <c r="V35" s="36"/>
      <c r="W35" s="36"/>
      <c r="X35" s="77">
        <v>17</v>
      </c>
      <c r="Z35" s="36">
        <f t="shared" si="29"/>
        <v>6.7032640258455331E-2</v>
      </c>
      <c r="AA35" s="36">
        <f t="shared" si="30"/>
        <v>0.40059180943729905</v>
      </c>
      <c r="AB35" s="36">
        <f t="shared" si="31"/>
        <v>0.28127240692950367</v>
      </c>
      <c r="AC35" s="36">
        <f t="shared" si="32"/>
        <v>0.19297728975000206</v>
      </c>
      <c r="AD35" s="36">
        <f t="shared" si="33"/>
        <v>5.8125853624740161E-2</v>
      </c>
      <c r="AE35" s="61">
        <f t="shared" si="43"/>
        <v>1.0000000000000002</v>
      </c>
      <c r="AJ35" s="36">
        <f t="shared" si="38"/>
        <v>7.0481483082259544E-2</v>
      </c>
      <c r="AK35" s="36">
        <f t="shared" si="39"/>
        <v>0.41517472196257998</v>
      </c>
      <c r="AL35" s="36">
        <f t="shared" si="40"/>
        <v>0.29101443299980484</v>
      </c>
      <c r="AM35" s="36">
        <f t="shared" si="35"/>
        <v>0.18398047578110299</v>
      </c>
      <c r="AN35" s="36">
        <f t="shared" si="34"/>
        <v>3.934888617425264E-2</v>
      </c>
      <c r="AO35" s="61">
        <f t="shared" si="44"/>
        <v>1</v>
      </c>
      <c r="AP35">
        <v>0</v>
      </c>
    </row>
    <row r="36" spans="1:42" x14ac:dyDescent="0.35">
      <c r="A36" s="67">
        <v>18</v>
      </c>
      <c r="C36" s="61">
        <f t="shared" si="22"/>
        <v>0.18436289033452108</v>
      </c>
      <c r="D36" s="61">
        <f t="shared" si="23"/>
        <v>0.35277929235993127</v>
      </c>
      <c r="E36" s="61">
        <f t="shared" si="24"/>
        <v>0.46285781730554754</v>
      </c>
      <c r="F36" s="61">
        <f t="shared" si="45"/>
        <v>0.99999999999999989</v>
      </c>
      <c r="H36" s="77">
        <v>18</v>
      </c>
      <c r="J36" s="36">
        <f t="shared" si="36"/>
        <v>7.3551946039331975E-2</v>
      </c>
      <c r="K36" s="36">
        <f t="shared" si="25"/>
        <v>0.3915062878248472</v>
      </c>
      <c r="L36" s="36">
        <f t="shared" si="26"/>
        <v>0.2782764314438898</v>
      </c>
      <c r="M36" s="36">
        <f t="shared" si="27"/>
        <v>0.19571087052994141</v>
      </c>
      <c r="N36" s="36">
        <f t="shared" si="28"/>
        <v>6.0954464161989408E-2</v>
      </c>
      <c r="O36" s="61">
        <f t="shared" si="46"/>
        <v>0.99999999999999978</v>
      </c>
      <c r="S36" s="36"/>
      <c r="T36" s="36"/>
      <c r="U36" s="36"/>
      <c r="V36" s="36"/>
      <c r="W36" s="36"/>
      <c r="X36" s="77">
        <v>18</v>
      </c>
      <c r="Z36" s="36">
        <f t="shared" si="29"/>
        <v>6.7042538154912693E-2</v>
      </c>
      <c r="AA36" s="36">
        <f t="shared" si="30"/>
        <v>0.40074182306583517</v>
      </c>
      <c r="AB36" s="36">
        <f t="shared" si="31"/>
        <v>0.28110216314727277</v>
      </c>
      <c r="AC36" s="36">
        <f t="shared" si="32"/>
        <v>0.19298771560860914</v>
      </c>
      <c r="AD36" s="36">
        <f t="shared" si="33"/>
        <v>5.8125760023370485E-2</v>
      </c>
      <c r="AE36" s="61">
        <f t="shared" si="43"/>
        <v>1.0000000000000002</v>
      </c>
      <c r="AJ36" s="36">
        <f t="shared" si="38"/>
        <v>7.0564970232693661E-2</v>
      </c>
      <c r="AK36" s="36">
        <f t="shared" si="39"/>
        <v>0.41597283375727501</v>
      </c>
      <c r="AL36" s="36">
        <f t="shared" si="40"/>
        <v>0.29045868806507047</v>
      </c>
      <c r="AM36" s="36">
        <f t="shared" si="35"/>
        <v>0.18381197849135167</v>
      </c>
      <c r="AN36" s="36">
        <f t="shared" si="40"/>
        <v>3.9191529453609097E-2</v>
      </c>
      <c r="AO36" s="61">
        <f t="shared" si="44"/>
        <v>1</v>
      </c>
      <c r="AP36">
        <v>0</v>
      </c>
    </row>
    <row r="37" spans="1:42" x14ac:dyDescent="0.35">
      <c r="A37" s="67">
        <v>19</v>
      </c>
      <c r="C37" s="61">
        <f t="shared" si="22"/>
        <v>0.1842767643631201</v>
      </c>
      <c r="D37" s="61">
        <f t="shared" si="23"/>
        <v>0.35272934883603002</v>
      </c>
      <c r="E37" s="61">
        <f t="shared" si="24"/>
        <v>0.46299388680084974</v>
      </c>
      <c r="F37" s="61">
        <f t="shared" ref="F37:F47" si="47">SUM(C37:E37)</f>
        <v>0.99999999999999989</v>
      </c>
      <c r="H37" s="77">
        <v>19</v>
      </c>
      <c r="J37" s="36">
        <f t="shared" si="36"/>
        <v>7.3551952261500853E-2</v>
      </c>
      <c r="K37" s="36">
        <f t="shared" si="25"/>
        <v>0.39150634222241337</v>
      </c>
      <c r="L37" s="36">
        <f t="shared" si="26"/>
        <v>0.27827639771155727</v>
      </c>
      <c r="M37" s="36">
        <f t="shared" si="27"/>
        <v>0.19571086073945165</v>
      </c>
      <c r="N37" s="36">
        <f t="shared" si="28"/>
        <v>6.0954447065076717E-2</v>
      </c>
      <c r="O37" s="61">
        <f t="shared" si="46"/>
        <v>0.99999999999999989</v>
      </c>
      <c r="S37" s="36"/>
      <c r="T37" s="36"/>
      <c r="U37" s="36"/>
      <c r="V37" s="36"/>
      <c r="W37" s="36"/>
      <c r="X37" s="77">
        <v>19</v>
      </c>
      <c r="Z37" s="36">
        <f t="shared" si="29"/>
        <v>6.7048971701960988E-2</v>
      </c>
      <c r="AA37" s="36">
        <f t="shared" si="30"/>
        <v>0.40084396215310336</v>
      </c>
      <c r="AB37" s="36">
        <f t="shared" si="31"/>
        <v>0.28098941370548963</v>
      </c>
      <c r="AC37" s="36">
        <f t="shared" si="32"/>
        <v>0.19299341372208775</v>
      </c>
      <c r="AD37" s="36">
        <f t="shared" si="33"/>
        <v>5.8124238717358508E-2</v>
      </c>
      <c r="AE37" s="61">
        <f t="shared" si="43"/>
        <v>1.0000000000000002</v>
      </c>
      <c r="AJ37" s="36">
        <f t="shared" si="38"/>
        <v>7.0621554933015515E-2</v>
      </c>
      <c r="AK37" s="36">
        <f t="shared" si="39"/>
        <v>0.41654519728452105</v>
      </c>
      <c r="AL37" s="36">
        <f t="shared" si="40"/>
        <v>0.29005041315805635</v>
      </c>
      <c r="AM37" s="36">
        <f t="shared" si="35"/>
        <v>0.18370236366376569</v>
      </c>
      <c r="AN37" s="36">
        <f t="shared" si="40"/>
        <v>3.9080470960641392E-2</v>
      </c>
      <c r="AO37" s="61">
        <f t="shared" si="44"/>
        <v>1</v>
      </c>
      <c r="AP37">
        <v>0</v>
      </c>
    </row>
    <row r="38" spans="1:42" x14ac:dyDescent="0.35">
      <c r="A38" s="67">
        <v>20</v>
      </c>
      <c r="C38" s="61">
        <f t="shared" si="22"/>
        <v>0.18421158480033453</v>
      </c>
      <c r="D38" s="61">
        <f t="shared" si="23"/>
        <v>0.35269421516340521</v>
      </c>
      <c r="E38" s="61">
        <f t="shared" si="24"/>
        <v>0.46309420003626012</v>
      </c>
      <c r="F38" s="61">
        <f t="shared" si="47"/>
        <v>0.99999999999999989</v>
      </c>
      <c r="H38" s="77">
        <v>20</v>
      </c>
      <c r="J38" s="36">
        <f t="shared" si="36"/>
        <v>7.3551955225894763E-2</v>
      </c>
      <c r="K38" s="36">
        <f t="shared" si="25"/>
        <v>0.39150636804682931</v>
      </c>
      <c r="L38" s="36">
        <f t="shared" si="26"/>
        <v>0.27827638176743591</v>
      </c>
      <c r="M38" s="36">
        <f t="shared" si="27"/>
        <v>0.19571085605782595</v>
      </c>
      <c r="N38" s="36">
        <f t="shared" si="28"/>
        <v>6.0954438902013915E-2</v>
      </c>
      <c r="O38" s="61">
        <f t="shared" si="46"/>
        <v>0.99999999999999989</v>
      </c>
      <c r="S38" s="36"/>
      <c r="T38" s="36"/>
      <c r="U38" s="36"/>
      <c r="V38" s="36"/>
      <c r="W38" s="36"/>
      <c r="X38" s="77">
        <v>20</v>
      </c>
      <c r="Z38" s="36">
        <f t="shared" si="29"/>
        <v>6.7053179366500806E-2</v>
      </c>
      <c r="AA38" s="36">
        <f t="shared" si="30"/>
        <v>0.40091366525345989</v>
      </c>
      <c r="AB38" s="36">
        <f t="shared" si="31"/>
        <v>0.28091456361434453</v>
      </c>
      <c r="AC38" s="36">
        <f t="shared" si="32"/>
        <v>0.19299639173613833</v>
      </c>
      <c r="AD38" s="36">
        <f t="shared" si="33"/>
        <v>5.8122200029556724E-2</v>
      </c>
      <c r="AE38" s="61">
        <f t="shared" si="43"/>
        <v>1.0000000000000002</v>
      </c>
      <c r="AJ38" s="36">
        <f t="shared" si="38"/>
        <v>7.0659838625378432E-2</v>
      </c>
      <c r="AK38" s="36">
        <f t="shared" si="39"/>
        <v>0.41695477019152738</v>
      </c>
      <c r="AL38" s="36">
        <f t="shared" si="40"/>
        <v>0.2897523075811777</v>
      </c>
      <c r="AM38" s="36">
        <f t="shared" si="35"/>
        <v>0.18363081729983566</v>
      </c>
      <c r="AN38" s="36">
        <f t="shared" si="40"/>
        <v>3.9002266302080792E-2</v>
      </c>
      <c r="AO38" s="61">
        <f t="shared" si="44"/>
        <v>1</v>
      </c>
      <c r="AP38">
        <v>0</v>
      </c>
    </row>
    <row r="39" spans="1:42" x14ac:dyDescent="0.35">
      <c r="A39" s="67">
        <v>21</v>
      </c>
      <c r="C39" s="61">
        <f t="shared" si="22"/>
        <v>0.18416241713564588</v>
      </c>
      <c r="D39" s="61">
        <f t="shared" si="23"/>
        <v>0.35266922418606317</v>
      </c>
      <c r="E39" s="61">
        <f t="shared" si="24"/>
        <v>0.46316835867829087</v>
      </c>
      <c r="F39" s="61">
        <f t="shared" si="47"/>
        <v>0.99999999999999989</v>
      </c>
      <c r="H39" s="77">
        <v>21</v>
      </c>
      <c r="J39" s="36">
        <f t="shared" si="36"/>
        <v>7.3551956638902141E-2</v>
      </c>
      <c r="K39" s="36">
        <f t="shared" si="25"/>
        <v>0.39150638031967999</v>
      </c>
      <c r="L39" s="36">
        <f t="shared" si="26"/>
        <v>0.27827637421256274</v>
      </c>
      <c r="M39" s="36">
        <f t="shared" si="27"/>
        <v>0.19571085382149012</v>
      </c>
      <c r="N39" s="36">
        <f t="shared" si="28"/>
        <v>6.0954435007364888E-2</v>
      </c>
      <c r="O39" s="61">
        <f t="shared" si="46"/>
        <v>0.99999999999999978</v>
      </c>
      <c r="S39" s="36"/>
      <c r="T39" s="36"/>
      <c r="U39" s="36"/>
      <c r="V39" s="36"/>
      <c r="W39" s="36"/>
      <c r="X39" s="77">
        <v>21</v>
      </c>
      <c r="Z39" s="36">
        <f t="shared" si="29"/>
        <v>6.7055949554431699E-2</v>
      </c>
      <c r="AA39" s="36">
        <f t="shared" si="30"/>
        <v>0.40096134478908452</v>
      </c>
      <c r="AB39" s="36">
        <f t="shared" si="31"/>
        <v>0.28086475063027577</v>
      </c>
      <c r="AC39" s="36">
        <f t="shared" si="32"/>
        <v>0.19299783401878859</v>
      </c>
      <c r="AD39" s="36">
        <f t="shared" si="33"/>
        <v>5.8120121007419673E-2</v>
      </c>
      <c r="AE39" s="61">
        <f t="shared" si="43"/>
        <v>1.0000000000000002</v>
      </c>
      <c r="AJ39" s="36">
        <f t="shared" si="38"/>
        <v>7.0685699289391946E-2</v>
      </c>
      <c r="AK39" s="36">
        <f t="shared" si="39"/>
        <v>0.41724726371752535</v>
      </c>
      <c r="AL39" s="36">
        <f t="shared" si="40"/>
        <v>0.28953576359570321</v>
      </c>
      <c r="AM39" s="36">
        <f t="shared" si="35"/>
        <v>0.18358397771036328</v>
      </c>
      <c r="AN39" s="36">
        <f t="shared" si="40"/>
        <v>3.8947295687016173E-2</v>
      </c>
      <c r="AO39" s="61">
        <f t="shared" si="44"/>
        <v>1</v>
      </c>
      <c r="AP39">
        <v>0</v>
      </c>
    </row>
    <row r="40" spans="1:42" x14ac:dyDescent="0.35">
      <c r="A40" s="67">
        <v>22</v>
      </c>
      <c r="C40" s="61">
        <f t="shared" si="22"/>
        <v>0.18412541862310017</v>
      </c>
      <c r="D40" s="61">
        <f t="shared" si="23"/>
        <v>0.35265127953977665</v>
      </c>
      <c r="E40" s="61">
        <f t="shared" si="24"/>
        <v>0.46322330183712318</v>
      </c>
      <c r="F40" s="61">
        <f t="shared" si="47"/>
        <v>1</v>
      </c>
      <c r="H40" s="77">
        <v>22</v>
      </c>
      <c r="J40" s="36">
        <f t="shared" si="36"/>
        <v>7.3551957312594729E-2</v>
      </c>
      <c r="K40" s="36">
        <f t="shared" si="25"/>
        <v>0.39150638615671135</v>
      </c>
      <c r="L40" s="36">
        <f t="shared" si="26"/>
        <v>0.27827637062659238</v>
      </c>
      <c r="M40" s="36">
        <f t="shared" si="27"/>
        <v>0.19571085275400388</v>
      </c>
      <c r="N40" s="36">
        <f t="shared" si="28"/>
        <v>6.0954433150097589E-2</v>
      </c>
      <c r="O40" s="61">
        <f t="shared" si="46"/>
        <v>1</v>
      </c>
      <c r="S40" s="36"/>
      <c r="T40" s="36"/>
      <c r="U40" s="36"/>
      <c r="V40" s="36"/>
      <c r="W40" s="36"/>
      <c r="X40" s="77">
        <v>22</v>
      </c>
      <c r="Z40" s="36">
        <f t="shared" si="29"/>
        <v>6.7057786165652986E-2</v>
      </c>
      <c r="AA40" s="36">
        <f t="shared" si="30"/>
        <v>0.4009940372078224</v>
      </c>
      <c r="AB40" s="36">
        <f t="shared" si="31"/>
        <v>0.28083151508693616</v>
      </c>
      <c r="AC40" s="36">
        <f t="shared" si="32"/>
        <v>0.19299843286089824</v>
      </c>
      <c r="AD40" s="36">
        <f t="shared" si="33"/>
        <v>5.8118228678690487E-2</v>
      </c>
      <c r="AE40" s="61">
        <f t="shared" si="43"/>
        <v>1.0000000000000002</v>
      </c>
      <c r="AJ40" s="36">
        <f t="shared" si="38"/>
        <v>7.0703142944141678E-2</v>
      </c>
      <c r="AK40" s="36">
        <f t="shared" si="39"/>
        <v>0.41745575840097737</v>
      </c>
      <c r="AL40" s="36">
        <f t="shared" si="40"/>
        <v>0.28937915697520245</v>
      </c>
      <c r="AM40" s="36">
        <f t="shared" si="35"/>
        <v>0.18355322952356012</v>
      </c>
      <c r="AN40" s="36">
        <f t="shared" si="40"/>
        <v>3.890871215611838E-2</v>
      </c>
      <c r="AO40" s="61">
        <f t="shared" si="44"/>
        <v>1</v>
      </c>
      <c r="AP40">
        <v>0</v>
      </c>
    </row>
    <row r="41" spans="1:42" x14ac:dyDescent="0.35">
      <c r="A41" s="67">
        <v>23</v>
      </c>
      <c r="C41" s="61">
        <f t="shared" si="22"/>
        <v>0.18409762901826493</v>
      </c>
      <c r="D41" s="61">
        <f t="shared" si="23"/>
        <v>0.35263829284125198</v>
      </c>
      <c r="E41" s="61">
        <f t="shared" si="24"/>
        <v>0.46326407814048309</v>
      </c>
      <c r="F41" s="61">
        <f t="shared" si="47"/>
        <v>1</v>
      </c>
      <c r="H41" s="77">
        <v>23</v>
      </c>
      <c r="J41" s="36">
        <f t="shared" si="36"/>
        <v>7.3551957633829906E-2</v>
      </c>
      <c r="K41" s="36">
        <f t="shared" si="25"/>
        <v>0.39150638893434958</v>
      </c>
      <c r="L41" s="36">
        <f t="shared" si="26"/>
        <v>0.27827636892242413</v>
      </c>
      <c r="M41" s="36">
        <f t="shared" si="27"/>
        <v>0.19571085224471121</v>
      </c>
      <c r="N41" s="36">
        <f t="shared" si="28"/>
        <v>6.0954432264685166E-2</v>
      </c>
      <c r="O41" s="61">
        <f t="shared" si="46"/>
        <v>1</v>
      </c>
      <c r="S41" s="36"/>
      <c r="T41" s="36"/>
      <c r="U41" s="36"/>
      <c r="V41" s="36"/>
      <c r="W41" s="36"/>
      <c r="X41" s="77">
        <v>23</v>
      </c>
      <c r="Z41" s="36">
        <f t="shared" si="29"/>
        <v>6.7059012716527117E-2</v>
      </c>
      <c r="AA41" s="36">
        <f t="shared" si="30"/>
        <v>0.40101650739678252</v>
      </c>
      <c r="AB41" s="36">
        <f t="shared" si="31"/>
        <v>0.28080928147843925</v>
      </c>
      <c r="AC41" s="36">
        <f t="shared" si="32"/>
        <v>0.19299858775433917</v>
      </c>
      <c r="AD41" s="36">
        <f t="shared" si="33"/>
        <v>5.8116610653912201E-2</v>
      </c>
      <c r="AE41" s="61">
        <f t="shared" si="43"/>
        <v>1.0000000000000002</v>
      </c>
      <c r="AJ41" s="36">
        <f t="shared" si="38"/>
        <v>7.0714893437394552E-2</v>
      </c>
      <c r="AK41" s="36">
        <f t="shared" si="39"/>
        <v>0.41760412258078933</v>
      </c>
      <c r="AL41" s="36">
        <f t="shared" si="40"/>
        <v>0.28926632669562946</v>
      </c>
      <c r="AM41" s="36">
        <f t="shared" si="35"/>
        <v>0.18353299515661847</v>
      </c>
      <c r="AN41" s="36">
        <f t="shared" si="40"/>
        <v>3.8881662129568277E-2</v>
      </c>
      <c r="AO41" s="61">
        <f t="shared" si="44"/>
        <v>1</v>
      </c>
      <c r="AP41">
        <v>0</v>
      </c>
    </row>
    <row r="42" spans="1:42" x14ac:dyDescent="0.35">
      <c r="A42" s="67">
        <v>24</v>
      </c>
      <c r="C42" s="61">
        <f t="shared" si="22"/>
        <v>0.18407678572166242</v>
      </c>
      <c r="D42" s="61">
        <f t="shared" si="23"/>
        <v>0.35262883344584706</v>
      </c>
      <c r="E42" s="61">
        <f t="shared" si="24"/>
        <v>0.46329438083249053</v>
      </c>
      <c r="F42" s="61">
        <f t="shared" si="47"/>
        <v>1</v>
      </c>
      <c r="H42" s="77">
        <v>24</v>
      </c>
      <c r="J42" s="36">
        <f t="shared" si="36"/>
        <v>7.3551957787005739E-2</v>
      </c>
      <c r="K42" s="36">
        <f t="shared" si="25"/>
        <v>0.39150639025664624</v>
      </c>
      <c r="L42" s="36">
        <f t="shared" si="26"/>
        <v>0.2782763681118649</v>
      </c>
      <c r="M42" s="36">
        <f t="shared" si="27"/>
        <v>0.1957108520018162</v>
      </c>
      <c r="N42" s="36">
        <f t="shared" si="28"/>
        <v>6.0954431842666919E-2</v>
      </c>
      <c r="O42" s="61">
        <f t="shared" si="46"/>
        <v>1</v>
      </c>
      <c r="S42" s="36"/>
      <c r="T42" s="36"/>
      <c r="U42" s="36"/>
      <c r="V42" s="36"/>
      <c r="W42" s="36"/>
      <c r="X42" s="77">
        <v>24</v>
      </c>
      <c r="Z42" s="36">
        <f t="shared" si="29"/>
        <v>6.7059837965176353E-2</v>
      </c>
      <c r="AA42" s="36">
        <f t="shared" si="30"/>
        <v>0.4010319889552833</v>
      </c>
      <c r="AB42" s="36">
        <f t="shared" si="31"/>
        <v>0.28079436730200391</v>
      </c>
      <c r="AC42" s="36">
        <f t="shared" si="32"/>
        <v>0.19299852507578766</v>
      </c>
      <c r="AD42" s="36">
        <f t="shared" si="33"/>
        <v>5.8115280701749115E-2</v>
      </c>
      <c r="AE42" s="61">
        <f t="shared" si="43"/>
        <v>1.0000000000000004</v>
      </c>
      <c r="AJ42" s="36">
        <f t="shared" si="38"/>
        <v>7.0722799029653338E-2</v>
      </c>
      <c r="AK42" s="36">
        <f t="shared" si="39"/>
        <v>0.41770953078691297</v>
      </c>
      <c r="AL42" s="36">
        <f t="shared" si="40"/>
        <v>0.28918530398603259</v>
      </c>
      <c r="AM42" s="36">
        <f t="shared" si="35"/>
        <v>0.18351965024723649</v>
      </c>
      <c r="AN42" s="36">
        <f t="shared" si="40"/>
        <v>3.8862715950164613E-2</v>
      </c>
      <c r="AO42" s="61">
        <f t="shared" si="44"/>
        <v>1</v>
      </c>
      <c r="AP42">
        <v>0</v>
      </c>
    </row>
    <row r="43" spans="1:42" x14ac:dyDescent="0.35">
      <c r="A43" s="67">
        <v>25</v>
      </c>
      <c r="C43" s="61">
        <f t="shared" si="22"/>
        <v>0.18406116929779109</v>
      </c>
      <c r="D43" s="61">
        <f t="shared" si="23"/>
        <v>0.35262190721080799</v>
      </c>
      <c r="E43" s="61">
        <f t="shared" si="24"/>
        <v>0.46331692349140091</v>
      </c>
      <c r="F43" s="61">
        <f t="shared" si="47"/>
        <v>1</v>
      </c>
      <c r="H43" s="77">
        <v>25</v>
      </c>
      <c r="J43" s="36">
        <f t="shared" si="36"/>
        <v>7.3551957860042566E-2</v>
      </c>
      <c r="K43" s="36">
        <f t="shared" si="25"/>
        <v>0.39150639088630251</v>
      </c>
      <c r="L43" s="36">
        <f t="shared" si="26"/>
        <v>0.27827636772610992</v>
      </c>
      <c r="M43" s="36">
        <f t="shared" si="27"/>
        <v>0.19571085188600201</v>
      </c>
      <c r="N43" s="36">
        <f t="shared" si="28"/>
        <v>6.0954431641542975E-2</v>
      </c>
      <c r="O43" s="61">
        <f t="shared" si="46"/>
        <v>1</v>
      </c>
      <c r="S43" s="36"/>
      <c r="T43" s="36"/>
      <c r="U43" s="36"/>
      <c r="V43" s="36"/>
      <c r="W43" s="36"/>
      <c r="X43" s="77">
        <v>25</v>
      </c>
      <c r="Z43" s="36">
        <f t="shared" si="29"/>
        <v>6.7060397375726999E-2</v>
      </c>
      <c r="AA43" s="36">
        <f t="shared" si="30"/>
        <v>0.4010426811956509</v>
      </c>
      <c r="AB43" s="36">
        <f t="shared" si="31"/>
        <v>0.28078433493929722</v>
      </c>
      <c r="AC43" s="36">
        <f t="shared" si="32"/>
        <v>0.19299836975664034</v>
      </c>
      <c r="AD43" s="36">
        <f t="shared" si="33"/>
        <v>5.8114216732684881E-2</v>
      </c>
      <c r="AE43" s="61">
        <f t="shared" si="43"/>
        <v>1.0000000000000002</v>
      </c>
      <c r="AJ43" s="36">
        <f t="shared" si="38"/>
        <v>7.0728111579391018E-2</v>
      </c>
      <c r="AK43" s="36">
        <f t="shared" si="39"/>
        <v>0.41778431016051465</v>
      </c>
      <c r="AL43" s="36">
        <f t="shared" si="40"/>
        <v>0.28912729044804403</v>
      </c>
      <c r="AM43" s="36">
        <f t="shared" si="35"/>
        <v>0.18351083165585846</v>
      </c>
      <c r="AN43" s="36">
        <f t="shared" si="40"/>
        <v>3.8849456156191883E-2</v>
      </c>
      <c r="AO43" s="61">
        <f t="shared" si="44"/>
        <v>1</v>
      </c>
      <c r="AP43">
        <v>0</v>
      </c>
    </row>
    <row r="44" spans="1:42" x14ac:dyDescent="0.35">
      <c r="A44" s="67">
        <v>26</v>
      </c>
      <c r="C44" s="61">
        <f t="shared" si="22"/>
        <v>0.18404947866565369</v>
      </c>
      <c r="D44" s="61">
        <f t="shared" si="23"/>
        <v>0.35261681448435223</v>
      </c>
      <c r="E44" s="61">
        <f t="shared" si="24"/>
        <v>0.46333370684999403</v>
      </c>
      <c r="F44" s="61">
        <f t="shared" si="47"/>
        <v>1</v>
      </c>
      <c r="H44" s="77">
        <v>26</v>
      </c>
      <c r="J44" s="36">
        <f t="shared" si="36"/>
        <v>7.3551957894865697E-2</v>
      </c>
      <c r="K44" s="36">
        <f t="shared" si="25"/>
        <v>0.39150639118619485</v>
      </c>
      <c r="L44" s="36">
        <f t="shared" si="26"/>
        <v>0.27827636754244989</v>
      </c>
      <c r="M44" s="36">
        <f t="shared" si="27"/>
        <v>0.19571085183079054</v>
      </c>
      <c r="N44" s="36">
        <f t="shared" si="28"/>
        <v>6.095443154569908E-2</v>
      </c>
      <c r="O44" s="61">
        <f t="shared" si="46"/>
        <v>1</v>
      </c>
      <c r="S44" s="36"/>
      <c r="T44" s="36"/>
      <c r="U44" s="36"/>
      <c r="V44" s="36"/>
      <c r="W44" s="36"/>
      <c r="X44" s="77">
        <v>26</v>
      </c>
      <c r="Z44" s="36">
        <f t="shared" si="29"/>
        <v>6.706077939231686E-2</v>
      </c>
      <c r="AA44" s="36">
        <f t="shared" si="30"/>
        <v>0.40105008339742731</v>
      </c>
      <c r="AB44" s="36">
        <f t="shared" si="31"/>
        <v>0.28077756709139312</v>
      </c>
      <c r="AC44" s="36">
        <f t="shared" si="32"/>
        <v>0.19299818801486313</v>
      </c>
      <c r="AD44" s="36">
        <f t="shared" si="33"/>
        <v>5.8113382104000001E-2</v>
      </c>
      <c r="AE44" s="61">
        <f t="shared" si="43"/>
        <v>1.0000000000000004</v>
      </c>
      <c r="AJ44" s="36">
        <f t="shared" si="38"/>
        <v>7.0731677613247501E-2</v>
      </c>
      <c r="AK44" s="36">
        <f t="shared" si="39"/>
        <v>0.41783728837575562</v>
      </c>
      <c r="AL44" s="36">
        <f t="shared" si="40"/>
        <v>0.2890858580853683</v>
      </c>
      <c r="AM44" s="36">
        <f t="shared" si="35"/>
        <v>0.18350499382783569</v>
      </c>
      <c r="AN44" s="36">
        <f t="shared" si="40"/>
        <v>3.884018209779283E-2</v>
      </c>
      <c r="AO44" s="61">
        <f t="shared" si="44"/>
        <v>1</v>
      </c>
      <c r="AP44">
        <v>0</v>
      </c>
    </row>
    <row r="45" spans="1:42" x14ac:dyDescent="0.35">
      <c r="A45" s="67">
        <v>27</v>
      </c>
      <c r="C45" s="61">
        <f t="shared" si="22"/>
        <v>0.1840407324656631</v>
      </c>
      <c r="D45" s="61">
        <f t="shared" si="23"/>
        <v>0.35261305741055055</v>
      </c>
      <c r="E45" s="61">
        <f t="shared" si="24"/>
        <v>0.4633462101237863</v>
      </c>
      <c r="F45" s="61">
        <f t="shared" si="47"/>
        <v>0.99999999999999989</v>
      </c>
      <c r="H45" s="77">
        <v>27</v>
      </c>
      <c r="J45" s="36">
        <f t="shared" si="36"/>
        <v>7.3551957911467833E-2</v>
      </c>
      <c r="K45" s="36">
        <f t="shared" si="25"/>
        <v>0.39150639132904785</v>
      </c>
      <c r="L45" s="36">
        <f t="shared" si="26"/>
        <v>0.27827636745498391</v>
      </c>
      <c r="M45" s="36">
        <f t="shared" si="27"/>
        <v>0.19571085180447306</v>
      </c>
      <c r="N45" s="36">
        <f t="shared" si="28"/>
        <v>6.0954431500027398E-2</v>
      </c>
      <c r="O45" s="61">
        <f t="shared" si="46"/>
        <v>1</v>
      </c>
      <c r="S45" s="36"/>
      <c r="T45" s="36"/>
      <c r="U45" s="36"/>
      <c r="V45" s="36"/>
      <c r="W45" s="36"/>
      <c r="X45" s="77">
        <v>27</v>
      </c>
      <c r="Z45" s="36">
        <f t="shared" si="29"/>
        <v>6.7061042143320274E-2</v>
      </c>
      <c r="AA45" s="36">
        <f t="shared" si="30"/>
        <v>0.40105522002306571</v>
      </c>
      <c r="AB45" s="36">
        <f t="shared" si="31"/>
        <v>0.28077298814473017</v>
      </c>
      <c r="AC45" s="36">
        <f t="shared" si="32"/>
        <v>0.19299801267618105</v>
      </c>
      <c r="AD45" s="36">
        <f t="shared" si="33"/>
        <v>5.8112737012703246E-2</v>
      </c>
      <c r="AE45" s="61">
        <f t="shared" si="43"/>
        <v>1.0000000000000004</v>
      </c>
      <c r="AJ45" s="36">
        <f t="shared" si="38"/>
        <v>7.0734068722106039E-2</v>
      </c>
      <c r="AK45" s="36">
        <f t="shared" si="39"/>
        <v>0.41787477382847132</v>
      </c>
      <c r="AL45" s="36">
        <f t="shared" si="40"/>
        <v>0.28905633507607431</v>
      </c>
      <c r="AM45" s="36">
        <f t="shared" si="35"/>
        <v>0.18350112310969957</v>
      </c>
      <c r="AN45" s="36">
        <f t="shared" si="40"/>
        <v>3.8833699263648748E-2</v>
      </c>
      <c r="AO45" s="61">
        <f t="shared" si="44"/>
        <v>1</v>
      </c>
      <c r="AP45">
        <v>0</v>
      </c>
    </row>
    <row r="46" spans="1:42" x14ac:dyDescent="0.35">
      <c r="A46" s="67">
        <v>28</v>
      </c>
      <c r="C46" s="61">
        <f t="shared" si="22"/>
        <v>0.1840341922848418</v>
      </c>
      <c r="D46" s="61">
        <f t="shared" si="23"/>
        <v>0.35261027839427012</v>
      </c>
      <c r="E46" s="61">
        <f t="shared" si="24"/>
        <v>0.46335552932088803</v>
      </c>
      <c r="F46" s="61">
        <f t="shared" si="47"/>
        <v>1</v>
      </c>
      <c r="H46" s="77">
        <v>28</v>
      </c>
      <c r="J46" s="36">
        <f t="shared" si="36"/>
        <v>7.3551957919382446E-2</v>
      </c>
      <c r="K46" s="36">
        <f t="shared" si="25"/>
        <v>0.39150639139710264</v>
      </c>
      <c r="L46" s="36">
        <f t="shared" si="26"/>
        <v>0.27827636741332118</v>
      </c>
      <c r="M46" s="36">
        <f t="shared" si="27"/>
        <v>0.19571085179192951</v>
      </c>
      <c r="N46" s="36">
        <f t="shared" si="28"/>
        <v>6.0954431478264334E-2</v>
      </c>
      <c r="O46" s="61">
        <f t="shared" si="46"/>
        <v>1.0000000000000002</v>
      </c>
      <c r="S46" s="36"/>
      <c r="T46" s="36"/>
      <c r="U46" s="36"/>
      <c r="V46" s="36"/>
      <c r="W46" s="36"/>
      <c r="X46" s="77">
        <v>28</v>
      </c>
      <c r="Z46" s="36">
        <f t="shared" si="29"/>
        <v>6.7061224102203748E-2</v>
      </c>
      <c r="AA46" s="36">
        <f t="shared" si="30"/>
        <v>0.40105879276119949</v>
      </c>
      <c r="AB46" s="36">
        <f t="shared" si="31"/>
        <v>0.28076988096019356</v>
      </c>
      <c r="AC46" s="36">
        <f t="shared" si="32"/>
        <v>0.19299785804966826</v>
      </c>
      <c r="AD46" s="36">
        <f t="shared" si="33"/>
        <v>5.8112244126735255E-2</v>
      </c>
      <c r="AE46" s="61">
        <f t="shared" si="43"/>
        <v>1.0000000000000002</v>
      </c>
      <c r="AJ46" s="36">
        <f t="shared" si="38"/>
        <v>7.073567033315202E-2</v>
      </c>
      <c r="AK46" s="36">
        <f t="shared" si="39"/>
        <v>0.41790126591516408</v>
      </c>
      <c r="AL46" s="36">
        <f t="shared" si="40"/>
        <v>0.28903534102861816</v>
      </c>
      <c r="AM46" s="36">
        <f t="shared" si="35"/>
        <v>0.18349855302238849</v>
      </c>
      <c r="AN46" s="36">
        <f t="shared" si="40"/>
        <v>3.8829169700677332E-2</v>
      </c>
      <c r="AO46" s="61">
        <f t="shared" si="44"/>
        <v>1</v>
      </c>
      <c r="AP46">
        <v>0</v>
      </c>
    </row>
    <row r="47" spans="1:42" x14ac:dyDescent="0.35">
      <c r="A47" s="67">
        <v>29</v>
      </c>
      <c r="C47" s="61">
        <f t="shared" si="22"/>
        <v>0.18402930353331201</v>
      </c>
      <c r="D47" s="61">
        <f t="shared" si="23"/>
        <v>0.35260821857365254</v>
      </c>
      <c r="E47" s="61">
        <f t="shared" si="24"/>
        <v>0.46336247789303536</v>
      </c>
      <c r="F47" s="61">
        <f t="shared" si="47"/>
        <v>1</v>
      </c>
      <c r="H47" s="77">
        <v>29</v>
      </c>
      <c r="J47" s="36">
        <f t="shared" si="36"/>
        <v>7.3551957923155276E-2</v>
      </c>
      <c r="K47" s="36">
        <f t="shared" si="25"/>
        <v>0.3915063914295262</v>
      </c>
      <c r="L47" s="36">
        <f t="shared" si="26"/>
        <v>0.27827636739347328</v>
      </c>
      <c r="M47" s="36">
        <f t="shared" si="27"/>
        <v>0.1957108517859513</v>
      </c>
      <c r="N47" s="36">
        <f t="shared" si="28"/>
        <v>6.0954431467894102E-2</v>
      </c>
      <c r="O47" s="61">
        <f t="shared" si="46"/>
        <v>1.0000000000000002</v>
      </c>
      <c r="S47" s="36"/>
      <c r="T47" s="36"/>
      <c r="U47" s="36"/>
      <c r="V47" s="36"/>
      <c r="W47" s="36"/>
      <c r="X47" s="77">
        <v>29</v>
      </c>
      <c r="Z47" s="36">
        <f t="shared" si="29"/>
        <v>6.7061350921273744E-2</v>
      </c>
      <c r="AA47" s="36">
        <f t="shared" si="30"/>
        <v>0.40106128338136365</v>
      </c>
      <c r="AB47" s="36">
        <f t="shared" si="31"/>
        <v>0.28076776616767646</v>
      </c>
      <c r="AC47" s="36">
        <f t="shared" si="32"/>
        <v>0.19299772856272412</v>
      </c>
      <c r="AD47" s="36">
        <f t="shared" si="33"/>
        <v>5.8111870966962298E-2</v>
      </c>
      <c r="AE47" s="61">
        <f t="shared" si="43"/>
        <v>1.0000000000000002</v>
      </c>
      <c r="AJ47" s="36">
        <f t="shared" si="38"/>
        <v>7.0736742016313178E-2</v>
      </c>
      <c r="AK47" s="36">
        <f t="shared" si="39"/>
        <v>0.4179199680921436</v>
      </c>
      <c r="AL47" s="36">
        <f t="shared" si="40"/>
        <v>0.28902043934903632</v>
      </c>
      <c r="AM47" s="36">
        <f t="shared" si="35"/>
        <v>0.18349684436187641</v>
      </c>
      <c r="AN47" s="36">
        <f t="shared" si="40"/>
        <v>3.8826006180630479E-2</v>
      </c>
      <c r="AO47" s="61">
        <f t="shared" si="44"/>
        <v>1</v>
      </c>
      <c r="AP47">
        <v>0</v>
      </c>
    </row>
    <row r="48" spans="1:42" x14ac:dyDescent="0.35">
      <c r="A48" s="67">
        <v>30</v>
      </c>
      <c r="C48" s="61">
        <f t="shared" si="22"/>
        <v>0.18402565026547044</v>
      </c>
      <c r="D48" s="61">
        <f t="shared" si="23"/>
        <v>0.35260668935619027</v>
      </c>
      <c r="E48" s="61">
        <f t="shared" si="24"/>
        <v>0.46336766037833926</v>
      </c>
      <c r="F48" s="61">
        <f t="shared" ref="F48" si="48">SUM(C48:E48)</f>
        <v>1</v>
      </c>
      <c r="H48" s="77">
        <v>30</v>
      </c>
      <c r="J48" s="36">
        <f t="shared" si="36"/>
        <v>7.3551957924953656E-2</v>
      </c>
      <c r="K48" s="36">
        <f t="shared" si="25"/>
        <v>0.39150639144497468</v>
      </c>
      <c r="L48" s="36">
        <f t="shared" si="26"/>
        <v>0.27827636738401695</v>
      </c>
      <c r="M48" s="36">
        <f t="shared" si="27"/>
        <v>0.19571085178310224</v>
      </c>
      <c r="N48" s="36">
        <f t="shared" si="28"/>
        <v>6.0954431462952624E-2</v>
      </c>
      <c r="O48" s="61">
        <f t="shared" ref="O48" si="49">SUM(J48:N48)</f>
        <v>1</v>
      </c>
      <c r="S48" s="36"/>
      <c r="T48" s="36"/>
      <c r="U48" s="36"/>
      <c r="V48" s="36"/>
      <c r="W48" s="36"/>
      <c r="X48" s="77">
        <v>30</v>
      </c>
      <c r="Z48" s="36">
        <f t="shared" si="29"/>
        <v>6.7061439833919143E-2</v>
      </c>
      <c r="AA48" s="36">
        <f t="shared" si="30"/>
        <v>0.40106302346210071</v>
      </c>
      <c r="AB48" s="36">
        <f t="shared" si="31"/>
        <v>0.28076632247765299</v>
      </c>
      <c r="AC48" s="36">
        <f t="shared" si="32"/>
        <v>0.19299762368987672</v>
      </c>
      <c r="AD48" s="36">
        <f t="shared" si="33"/>
        <v>5.811159053645075E-2</v>
      </c>
      <c r="AE48" s="61">
        <f t="shared" si="43"/>
        <v>1.0000000000000002</v>
      </c>
      <c r="AJ48" s="36">
        <f t="shared" si="38"/>
        <v>7.0737458376014847E-2</v>
      </c>
      <c r="AK48" s="36">
        <f t="shared" si="39"/>
        <v>0.41793315740868014</v>
      </c>
      <c r="AL48" s="36">
        <f t="shared" si="40"/>
        <v>0.28900987958487484</v>
      </c>
      <c r="AM48" s="36">
        <f t="shared" si="35"/>
        <v>0.1834957071073231</v>
      </c>
      <c r="AN48" s="36">
        <f t="shared" si="40"/>
        <v>3.8823797523107016E-2</v>
      </c>
      <c r="AO48" s="61">
        <f t="shared" si="44"/>
        <v>1</v>
      </c>
      <c r="AP48">
        <v>0</v>
      </c>
    </row>
    <row r="52" spans="9:41" x14ac:dyDescent="0.35">
      <c r="I52" s="69" t="s">
        <v>59</v>
      </c>
      <c r="J52" s="126">
        <f>J48+K48</f>
        <v>0.46505834936992835</v>
      </c>
      <c r="K52" s="126"/>
      <c r="L52" s="36">
        <f>L48</f>
        <v>0.27827636738401695</v>
      </c>
      <c r="M52" s="126">
        <f>M48+N48</f>
        <v>0.25666528324605486</v>
      </c>
      <c r="N52" s="126"/>
      <c r="O52" s="61">
        <f>SUM(J52:N52)</f>
        <v>1</v>
      </c>
      <c r="R52" s="69"/>
      <c r="S52" s="126"/>
      <c r="T52" s="126"/>
      <c r="U52" s="36"/>
      <c r="V52" s="126"/>
      <c r="W52" s="126"/>
      <c r="Y52" s="69" t="s">
        <v>59</v>
      </c>
      <c r="Z52" s="126">
        <f>Z48+AA48</f>
        <v>0.46812446329601987</v>
      </c>
      <c r="AA52" s="126"/>
      <c r="AB52" s="36">
        <f>AB48</f>
        <v>0.28076632247765299</v>
      </c>
      <c r="AC52" s="126">
        <f>AC48+AD48</f>
        <v>0.25110921422632748</v>
      </c>
      <c r="AD52" s="126"/>
      <c r="AE52" s="61">
        <f>SUM(Z52:AD52)</f>
        <v>1.0000000000000004</v>
      </c>
      <c r="AI52" s="69" t="s">
        <v>59</v>
      </c>
      <c r="AJ52" s="126">
        <f>AJ48+AK48</f>
        <v>0.48867061578469501</v>
      </c>
      <c r="AK52" s="126"/>
      <c r="AL52" s="36">
        <f>AL48</f>
        <v>0.28900987958487484</v>
      </c>
      <c r="AM52" s="126">
        <f>AM48+AN48</f>
        <v>0.22231950463043013</v>
      </c>
      <c r="AN52" s="126"/>
      <c r="AO52" s="61">
        <f>SUM(AJ52:AN52)</f>
        <v>1</v>
      </c>
    </row>
    <row r="54" spans="9:41" x14ac:dyDescent="0.35">
      <c r="I54" s="72" t="s">
        <v>32</v>
      </c>
      <c r="J54" s="127">
        <f>ABS(J52-C36)</f>
        <v>0.28069545903540727</v>
      </c>
      <c r="K54" s="127"/>
      <c r="L54" s="73">
        <f>ABS(L52-D36)</f>
        <v>7.450292497591432E-2</v>
      </c>
      <c r="M54" s="127">
        <f>ABS(M52-E36)</f>
        <v>0.20619253405949267</v>
      </c>
      <c r="N54" s="127"/>
      <c r="O54" s="74">
        <f>SUM(J54:N54)</f>
        <v>0.56139091807081432</v>
      </c>
      <c r="R54" s="72"/>
      <c r="S54" s="127"/>
      <c r="T54" s="127"/>
      <c r="U54" s="97"/>
      <c r="V54" s="127"/>
      <c r="W54" s="127"/>
      <c r="Y54" s="72" t="s">
        <v>69</v>
      </c>
      <c r="Z54" s="127">
        <f>ABS(Z52-J52)</f>
        <v>3.0661139260915182E-3</v>
      </c>
      <c r="AA54" s="127"/>
      <c r="AB54" s="97">
        <f>ABS(AB52-L52)</f>
        <v>2.4899550936360315E-3</v>
      </c>
      <c r="AC54" s="127">
        <f>ABS(AC52-M52)</f>
        <v>5.5560690197273832E-3</v>
      </c>
      <c r="AD54" s="127"/>
      <c r="AE54" s="74">
        <f>SUM(Z54:AD54)</f>
        <v>1.1112138039454933E-2</v>
      </c>
      <c r="AI54" s="72" t="s">
        <v>69</v>
      </c>
      <c r="AJ54" s="127">
        <f>ABS(AJ52-T52)</f>
        <v>0.48867061578469501</v>
      </c>
      <c r="AK54" s="127"/>
      <c r="AL54" s="119">
        <f>ABS(AL52-V52)</f>
        <v>0.28900987958487484</v>
      </c>
      <c r="AM54" s="127">
        <f>ABS(AM52-W52)</f>
        <v>0.22231950463043013</v>
      </c>
      <c r="AN54" s="127"/>
      <c r="AO54" s="74">
        <f>SUM(AJ54:AN54)</f>
        <v>1</v>
      </c>
    </row>
    <row r="55" spans="9:41" x14ac:dyDescent="0.35">
      <c r="Y55" s="112" t="s">
        <v>70</v>
      </c>
      <c r="Z55" s="113">
        <f>ABS(Z48-AE11)</f>
        <v>8.9385601660808556E-3</v>
      </c>
      <c r="AA55" s="113">
        <f>ABS(AA48-AE12)</f>
        <v>1.9369765378993153E-3</v>
      </c>
      <c r="AB55" s="113">
        <f>ABS(AB48-AE13)</f>
        <v>9.7663224776529667E-3</v>
      </c>
      <c r="AC55" s="113">
        <f>ABS(AC48-AE14)</f>
        <v>1.9976236898767152E-3</v>
      </c>
      <c r="AD55" s="113">
        <f>ABS(AD48-AE15)</f>
        <v>8.8840946354924732E-4</v>
      </c>
      <c r="AE55" s="74">
        <f>SUM(Z55:AD55)</f>
        <v>2.35278923350591E-2</v>
      </c>
      <c r="AI55" s="112" t="s">
        <v>70</v>
      </c>
      <c r="AJ55" s="113">
        <f>ABS(AJ48-AO11)</f>
        <v>7.0737458376014847E-2</v>
      </c>
      <c r="AK55" s="113">
        <f>ABS(AK48-AO12)</f>
        <v>0.41793315740868014</v>
      </c>
      <c r="AL55" s="113">
        <f>ABS(AL48-AO13)</f>
        <v>0.28900987958487484</v>
      </c>
      <c r="AM55" s="113">
        <f>ABS(AM48-AO14)</f>
        <v>0.1834957071073231</v>
      </c>
      <c r="AN55" s="113">
        <f>ABS(AN48-AO15)</f>
        <v>3.8823797523107016E-2</v>
      </c>
      <c r="AO55" s="74">
        <f>SUM(AJ55:AN55)</f>
        <v>1</v>
      </c>
    </row>
    <row r="56" spans="9:41" x14ac:dyDescent="0.35">
      <c r="Z56" s="113"/>
      <c r="AA56" s="113"/>
      <c r="AB56" s="113"/>
      <c r="AC56" s="113"/>
      <c r="AD56" s="113"/>
      <c r="AJ56" s="113"/>
      <c r="AK56" s="113"/>
      <c r="AL56" s="113"/>
      <c r="AM56" s="113"/>
      <c r="AN56" s="113"/>
    </row>
  </sheetData>
  <mergeCells count="19">
    <mergeCell ref="AJ52:AK52"/>
    <mergeCell ref="AM52:AN52"/>
    <mergeCell ref="AJ54:AK54"/>
    <mergeCell ref="AM54:AN54"/>
    <mergeCell ref="A12:A14"/>
    <mergeCell ref="A10:B11"/>
    <mergeCell ref="J52:K52"/>
    <mergeCell ref="M52:N52"/>
    <mergeCell ref="J54:K54"/>
    <mergeCell ref="M54:N54"/>
    <mergeCell ref="C10:F10"/>
    <mergeCell ref="AC52:AD52"/>
    <mergeCell ref="Z54:AA54"/>
    <mergeCell ref="AC54:AD54"/>
    <mergeCell ref="S52:T52"/>
    <mergeCell ref="V52:W52"/>
    <mergeCell ref="S54:T54"/>
    <mergeCell ref="V54:W54"/>
    <mergeCell ref="Z52:AA52"/>
  </mergeCells>
  <pageMargins left="0.7" right="0.7" top="0.75" bottom="0.75" header="0.3" footer="0.3"/>
  <pageSetup orientation="portrait" horizontalDpi="1200" verticalDpi="1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Calibrate2distribution</vt:lpstr>
      <vt:lpstr>Methodology</vt:lpstr>
      <vt:lpstr>Check-calib2transprob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G. Kahn</dc:creator>
  <cp:lastModifiedBy>Maya, Sigal</cp:lastModifiedBy>
  <dcterms:created xsi:type="dcterms:W3CDTF">2023-01-31T20:26:56Z</dcterms:created>
  <dcterms:modified xsi:type="dcterms:W3CDTF">2023-12-22T20:48:39Z</dcterms:modified>
</cp:coreProperties>
</file>