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Healthcare use\"/>
    </mc:Choice>
  </mc:AlternateContent>
  <xr:revisionPtr revIDLastSave="0" documentId="13_ncr:1_{E584B02A-B74B-4911-B139-5F121B4A517A}" xr6:coauthVersionLast="47" xr6:coauthVersionMax="47" xr10:uidLastSave="{00000000-0000-0000-0000-000000000000}"/>
  <bookViews>
    <workbookView xWindow="24240" yWindow="-168" windowWidth="19176" windowHeight="10200" activeTab="2" xr2:uid="{00000000-000D-0000-FFFF-FFFF00000000}"/>
  </bookViews>
  <sheets>
    <sheet name="Healthcare use by asthma contro" sheetId="1" r:id="rId1"/>
    <sheet name="Calibration" sheetId="2" r:id="rId2"/>
    <sheet name="Final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G17" i="2"/>
  <c r="G16" i="2"/>
  <c r="G15" i="2"/>
  <c r="G14" i="2"/>
  <c r="G13" i="2"/>
  <c r="G12" i="2" l="1"/>
  <c r="G11" i="2"/>
  <c r="G10" i="2"/>
  <c r="G9" i="2"/>
  <c r="G8" i="2"/>
  <c r="G22" i="2" l="1"/>
  <c r="G21" i="2"/>
  <c r="G20" i="2"/>
  <c r="G19" i="2"/>
  <c r="G4" i="2"/>
  <c r="G5" i="2"/>
  <c r="G6" i="2"/>
  <c r="G7" i="2"/>
  <c r="G3" i="2"/>
  <c r="P17" i="2"/>
  <c r="P16" i="2"/>
  <c r="P15" i="2"/>
  <c r="P14" i="2"/>
  <c r="P13" i="2"/>
  <c r="P12" i="2"/>
  <c r="P11" i="2"/>
  <c r="P10" i="2"/>
  <c r="P9" i="2"/>
  <c r="P8" i="2"/>
  <c r="N8" i="2"/>
  <c r="N9" i="2"/>
  <c r="N10" i="2"/>
  <c r="N11" i="2"/>
  <c r="N12" i="2"/>
  <c r="N14" i="2"/>
  <c r="N15" i="2"/>
  <c r="N16" i="2"/>
  <c r="N17" i="2"/>
  <c r="N13" i="2"/>
  <c r="L17" i="2"/>
  <c r="L16" i="2"/>
  <c r="L15" i="2"/>
  <c r="L14" i="2"/>
  <c r="L13" i="2"/>
  <c r="L12" i="2"/>
  <c r="L11" i="2"/>
  <c r="L10" i="2"/>
  <c r="L9" i="2"/>
  <c r="L8" i="2"/>
  <c r="P4" i="2" l="1"/>
  <c r="P19" i="2" s="1"/>
  <c r="P5" i="2"/>
  <c r="P20" i="2" s="1"/>
  <c r="P6" i="2"/>
  <c r="P21" i="2" s="1"/>
  <c r="P7" i="2"/>
  <c r="P22" i="2" s="1"/>
  <c r="P3" i="2"/>
  <c r="N4" i="2"/>
  <c r="N19" i="2" s="1"/>
  <c r="N5" i="2"/>
  <c r="N20" i="2" s="1"/>
  <c r="N6" i="2"/>
  <c r="N21" i="2" s="1"/>
  <c r="N7" i="2"/>
  <c r="N22" i="2" s="1"/>
  <c r="N3" i="2"/>
  <c r="L4" i="2"/>
  <c r="L19" i="2" s="1"/>
  <c r="L5" i="2"/>
  <c r="L20" i="2" s="1"/>
  <c r="L6" i="2"/>
  <c r="L21" i="2" s="1"/>
  <c r="L7" i="2"/>
  <c r="L22" i="2" s="1"/>
  <c r="L3" i="2"/>
  <c r="I17" i="2"/>
  <c r="I16" i="2"/>
  <c r="I15" i="2"/>
  <c r="I14" i="2"/>
  <c r="I13" i="2"/>
  <c r="I12" i="2"/>
  <c r="I11" i="2"/>
  <c r="I10" i="2"/>
  <c r="I9" i="2"/>
  <c r="I8" i="2"/>
  <c r="S29" i="1"/>
  <c r="W28" i="1"/>
  <c r="V28" i="1"/>
  <c r="T28" i="1"/>
  <c r="V27" i="1"/>
  <c r="S40" i="1"/>
  <c r="V21" i="1"/>
  <c r="W21" i="1"/>
  <c r="V22" i="1"/>
  <c r="W22" i="1"/>
  <c r="U21" i="1"/>
  <c r="U22" i="1"/>
  <c r="T21" i="1"/>
  <c r="T22" i="1"/>
  <c r="S23" i="1"/>
  <c r="U9" i="1"/>
  <c r="V9" i="1"/>
  <c r="W9" i="1"/>
  <c r="U10" i="1"/>
  <c r="V10" i="1"/>
  <c r="V11" i="1" s="1"/>
  <c r="W10" i="1"/>
  <c r="T9" i="1"/>
  <c r="T10" i="1"/>
  <c r="W11" i="1"/>
  <c r="S11" i="1"/>
  <c r="I4" i="2"/>
  <c r="I19" i="2" s="1"/>
  <c r="I5" i="2"/>
  <c r="I6" i="2"/>
  <c r="I21" i="2" s="1"/>
  <c r="I7" i="2"/>
  <c r="I3" i="2"/>
  <c r="L38" i="1"/>
  <c r="L39" i="1"/>
  <c r="M38" i="1"/>
  <c r="M39" i="1"/>
  <c r="P32" i="1"/>
  <c r="K38" i="1"/>
  <c r="N38" i="1"/>
  <c r="O38" i="1"/>
  <c r="K39" i="1"/>
  <c r="N39" i="1"/>
  <c r="O39" i="1"/>
  <c r="L32" i="1"/>
  <c r="M32" i="1"/>
  <c r="N32" i="1"/>
  <c r="O32" i="1"/>
  <c r="T20" i="1"/>
  <c r="U20" i="1"/>
  <c r="V20" i="1"/>
  <c r="W20" i="1"/>
  <c r="T17" i="1"/>
  <c r="U17" i="1"/>
  <c r="V17" i="1"/>
  <c r="W17" i="1"/>
  <c r="T18" i="1"/>
  <c r="U18" i="1"/>
  <c r="V18" i="1"/>
  <c r="W18" i="1"/>
  <c r="T19" i="1"/>
  <c r="U19" i="1"/>
  <c r="V19" i="1"/>
  <c r="W19" i="1"/>
  <c r="U16" i="1"/>
  <c r="V16" i="1"/>
  <c r="W16" i="1"/>
  <c r="T16" i="1"/>
  <c r="I22" i="2" l="1"/>
  <c r="I20" i="2"/>
  <c r="V23" i="1"/>
  <c r="T23" i="1"/>
  <c r="W23" i="1"/>
  <c r="T11" i="1"/>
  <c r="P39" i="1"/>
  <c r="P38" i="1"/>
  <c r="L4" i="1"/>
  <c r="M4" i="1"/>
  <c r="U4" i="1" s="1"/>
  <c r="N4" i="1"/>
  <c r="V4" i="1" s="1"/>
  <c r="F4" i="1"/>
  <c r="F7" i="1" s="1"/>
  <c r="E7" i="1"/>
  <c r="N7" i="1" s="1"/>
  <c r="V7" i="1" s="1"/>
  <c r="E6" i="1"/>
  <c r="N6" i="1" s="1"/>
  <c r="V6" i="1" s="1"/>
  <c r="E5" i="1"/>
  <c r="N5" i="1" s="1"/>
  <c r="V5" i="1" s="1"/>
  <c r="D7" i="1"/>
  <c r="D8" i="1" s="1"/>
  <c r="M8" i="1" s="1"/>
  <c r="U8" i="1" s="1"/>
  <c r="D6" i="1"/>
  <c r="M6" i="1" s="1"/>
  <c r="U6" i="1" s="1"/>
  <c r="D5" i="1"/>
  <c r="M5" i="1" s="1"/>
  <c r="U5" i="1" s="1"/>
  <c r="C7" i="1"/>
  <c r="L7" i="1" s="1"/>
  <c r="T7" i="1" s="1"/>
  <c r="C6" i="1"/>
  <c r="L6" i="1" s="1"/>
  <c r="T6" i="1" s="1"/>
  <c r="C5" i="1"/>
  <c r="L5" i="1" s="1"/>
  <c r="T5" i="1" s="1"/>
  <c r="T4" i="1" l="1"/>
  <c r="M7" i="1"/>
  <c r="U7" i="1" s="1"/>
  <c r="E8" i="1"/>
  <c r="N8" i="1" s="1"/>
  <c r="V8" i="1" s="1"/>
  <c r="C8" i="1"/>
  <c r="L8" i="1" s="1"/>
  <c r="O7" i="1"/>
  <c r="W7" i="1" s="1"/>
  <c r="F8" i="1"/>
  <c r="O8" i="1" s="1"/>
  <c r="W8" i="1" s="1"/>
  <c r="O4" i="1"/>
  <c r="W4" i="1" s="1"/>
  <c r="F5" i="1"/>
  <c r="O5" i="1" s="1"/>
  <c r="W5" i="1" s="1"/>
  <c r="F6" i="1"/>
  <c r="O6" i="1" s="1"/>
  <c r="W6" i="1" s="1"/>
  <c r="V26" i="1" l="1"/>
  <c r="V24" i="1"/>
  <c r="K7" i="1"/>
  <c r="K8" i="1"/>
  <c r="T8" i="1"/>
  <c r="K4" i="1"/>
  <c r="K6" i="1"/>
  <c r="K5" i="1"/>
  <c r="T26" i="1" l="1"/>
  <c r="T27" i="1" s="1"/>
  <c r="M33" i="1" s="1"/>
  <c r="U33" i="1" s="1"/>
  <c r="T24" i="1"/>
  <c r="L36" i="1"/>
  <c r="T36" i="1" s="1"/>
  <c r="N34" i="1"/>
  <c r="V34" i="1" s="1"/>
  <c r="N35" i="1"/>
  <c r="V35" i="1" s="1"/>
  <c r="N36" i="1"/>
  <c r="V36" i="1" s="1"/>
  <c r="N37" i="1"/>
  <c r="V37" i="1" s="1"/>
  <c r="N33" i="1"/>
  <c r="L35" i="1" l="1"/>
  <c r="T35" i="1" s="1"/>
  <c r="L33" i="1"/>
  <c r="T33" i="1" s="1"/>
  <c r="M35" i="1"/>
  <c r="U35" i="1" s="1"/>
  <c r="M36" i="1"/>
  <c r="U36" i="1" s="1"/>
  <c r="M37" i="1"/>
  <c r="U37" i="1" s="1"/>
  <c r="L34" i="1"/>
  <c r="T34" i="1" s="1"/>
  <c r="M34" i="1"/>
  <c r="U34" i="1" s="1"/>
  <c r="L37" i="1"/>
  <c r="T37" i="1" s="1"/>
  <c r="V33" i="1"/>
  <c r="V40" i="1" s="1"/>
  <c r="V41" i="1" s="1"/>
  <c r="V43" i="1" s="1"/>
  <c r="W24" i="1"/>
  <c r="W26" i="1"/>
  <c r="W27" i="1" s="1"/>
  <c r="T40" i="1" l="1"/>
  <c r="T41" i="1" s="1"/>
  <c r="T43" i="1" s="1"/>
  <c r="O36" i="1"/>
  <c r="O33" i="1"/>
  <c r="O34" i="1"/>
  <c r="O37" i="1"/>
  <c r="O35" i="1"/>
  <c r="K35" i="1" l="1"/>
  <c r="P35" i="1" s="1"/>
  <c r="W35" i="1"/>
  <c r="W37" i="1"/>
  <c r="K37" i="1"/>
  <c r="P37" i="1" s="1"/>
  <c r="W33" i="1"/>
  <c r="K33" i="1"/>
  <c r="P33" i="1" s="1"/>
  <c r="W34" i="1"/>
  <c r="K34" i="1"/>
  <c r="P34" i="1" s="1"/>
  <c r="W36" i="1"/>
  <c r="K36" i="1"/>
  <c r="P36" i="1" s="1"/>
  <c r="W40" i="1" l="1"/>
  <c r="W41" i="1" s="1"/>
  <c r="W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S29" authorId="0" shapeId="0" xr:uid="{D672AEFE-F486-4394-A4EE-289D3C003898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We captured about 1/3 of the change by only taking into account the impact of fire on control status</t>
        </r>
      </text>
    </comment>
  </commentList>
</comments>
</file>

<file path=xl/sharedStrings.xml><?xml version="1.0" encoding="utf-8"?>
<sst xmlns="http://schemas.openxmlformats.org/spreadsheetml/2006/main" count="122" uniqueCount="56">
  <si>
    <t>none</t>
  </si>
  <si>
    <t>ocs</t>
  </si>
  <si>
    <t>ugt</t>
  </si>
  <si>
    <t>ed</t>
  </si>
  <si>
    <t>hosp</t>
  </si>
  <si>
    <t>sum</t>
  </si>
  <si>
    <t>OLD VERSION</t>
  </si>
  <si>
    <t>Source=</t>
  </si>
  <si>
    <t>https://onlinelibrary.wiley.com/doi/10.1111/j.1398-9995.2007.01383.x</t>
  </si>
  <si>
    <t xml:space="preserve">Hosp assumes average stay of 2 nights. </t>
  </si>
  <si>
    <t>RATES PER PERSON-YEAR</t>
  </si>
  <si>
    <t>How did they define hospitalizations? Eg if you get admitted from ED?</t>
  </si>
  <si>
    <t>Look at the change in dist of states. Take the 2 week values an</t>
  </si>
  <si>
    <t>% in state - 2 weeks of fire</t>
  </si>
  <si>
    <t>Fire related utilization adjustment factor</t>
  </si>
  <si>
    <t>OCS</t>
  </si>
  <si>
    <t>UGT</t>
  </si>
  <si>
    <t>ED</t>
  </si>
  <si>
    <t>HOSP</t>
  </si>
  <si>
    <t>NONE</t>
  </si>
  <si>
    <t>NO FIRE</t>
  </si>
  <si>
    <t>PROPORTIONS ON CYCLE 2</t>
  </si>
  <si>
    <t>FIRE - NO WITHIN STATE ADJUSTMENT</t>
  </si>
  <si>
    <t>LIT RATES</t>
  </si>
  <si>
    <t>% Change in HRU</t>
  </si>
  <si>
    <t>FIRE - WITHIN STATE ADJUSTMENT</t>
  </si>
  <si>
    <t>Change from no fire</t>
  </si>
  <si>
    <t>PROBABILITIES PER WEEK - NO FIRE</t>
  </si>
  <si>
    <t>BASELINE - NO FIRE</t>
  </si>
  <si>
    <t>% in state</t>
  </si>
  <si>
    <t>% OCS</t>
  </si>
  <si>
    <t>% UGT</t>
  </si>
  <si>
    <t>% ED</t>
  </si>
  <si>
    <t>% HOSP</t>
  </si>
  <si>
    <t>STATE</t>
  </si>
  <si>
    <t>SUM</t>
  </si>
  <si>
    <t>Target increase</t>
  </si>
  <si>
    <t>Target proportions</t>
  </si>
  <si>
    <t>Adj. Observed increase</t>
  </si>
  <si>
    <t>PROBABILITIES PER WEEK - FIRE</t>
  </si>
  <si>
    <t>Match?</t>
  </si>
  <si>
    <t>FIRE - AFTER WITHIN STATE ADJUSTMENT</t>
  </si>
  <si>
    <t>Predicted increase</t>
  </si>
  <si>
    <t>Target increase from literature</t>
  </si>
  <si>
    <t xml:space="preserve">Adjustment factor </t>
  </si>
  <si>
    <t>Proportion of increase captured by predicted</t>
  </si>
  <si>
    <t>Weighted mean</t>
  </si>
  <si>
    <t>seed=12345</t>
  </si>
  <si>
    <t>seed=55555</t>
  </si>
  <si>
    <t>seed=10101</t>
  </si>
  <si>
    <t>FIRE - LOADED FIRE ORs (col wise)</t>
  </si>
  <si>
    <t>AVERAGE</t>
  </si>
  <si>
    <t>FIRE - NO ADJUSTMENT</t>
  </si>
  <si>
    <t>FIRE - LOADED FIRE ORs (both-ways)</t>
  </si>
  <si>
    <t>FIRE - LOADED FIRE ORs (row-wise)</t>
  </si>
  <si>
    <t>Mean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</si>
</sst>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00"/>
    <numFmt numFmtId="166" formatCode="0.000000000000000"/>
    <numFmt numFmtId="167" formatCode="_(* #,##0.0000000_);_(* \(#,##0.0000000\);_(* &quot;-&quot;??_);_(@_)"/>
    <numFmt numFmtId="168" formatCode="0.00000000"/>
    <numFmt numFmtId="169" formatCode="0.0000"/>
    <numFmt numFmtId="170" formatCode="_(* #,##0.0000_);_(* \(#,##0.0000\);_(* &quot;-&quot;??_);_(@_)"/>
    <numFmt numFmtId="171" formatCode="_(* #,##0.00000_);_(* \(#,##0.00000\);_(* &quot;-&quot;??_);_(@_)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18" fillId="0" borderId="0" xfId="42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43" applyNumberFormat="1" applyFont="1"/>
    <xf numFmtId="167" fontId="0" fillId="0" borderId="0" xfId="0" applyNumberFormat="1"/>
    <xf numFmtId="168" fontId="0" fillId="0" borderId="0" xfId="43" applyNumberFormat="1" applyFont="1"/>
    <xf numFmtId="168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9" fillId="0" borderId="18" xfId="44" applyNumberFormat="1" applyFont="1" applyBorder="1" applyAlignment="1">
      <alignment horizontal="center" vertical="center"/>
    </xf>
    <xf numFmtId="9" fontId="19" fillId="0" borderId="19" xfId="44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19" fillId="0" borderId="12" xfId="44" applyNumberFormat="1" applyFont="1" applyFill="1" applyBorder="1" applyAlignment="1">
      <alignment horizontal="center" vertical="center"/>
    </xf>
    <xf numFmtId="169" fontId="0" fillId="0" borderId="23" xfId="0" applyNumberFormat="1" applyFill="1" applyBorder="1" applyAlignment="1">
      <alignment horizontal="center" vertical="center"/>
    </xf>
    <xf numFmtId="9" fontId="19" fillId="0" borderId="13" xfId="44" applyNumberFormat="1" applyFont="1" applyFill="1" applyBorder="1" applyAlignment="1">
      <alignment horizontal="center" vertical="center"/>
    </xf>
    <xf numFmtId="169" fontId="0" fillId="0" borderId="24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9" fontId="19" fillId="0" borderId="26" xfId="44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9" fontId="0" fillId="0" borderId="22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0" fillId="0" borderId="0" xfId="0" applyNumberFormat="1"/>
    <xf numFmtId="0" fontId="0" fillId="0" borderId="27" xfId="0" applyFill="1" applyBorder="1" applyAlignment="1">
      <alignment horizontal="center" vertical="center"/>
    </xf>
    <xf numFmtId="9" fontId="19" fillId="0" borderId="28" xfId="44" applyNumberFormat="1" applyFont="1" applyFill="1" applyBorder="1" applyAlignment="1">
      <alignment horizontal="center" vertical="center"/>
    </xf>
    <xf numFmtId="9" fontId="19" fillId="0" borderId="30" xfId="44" applyNumberFormat="1" applyFont="1" applyFill="1" applyBorder="1" applyAlignment="1">
      <alignment horizontal="center" vertical="center"/>
    </xf>
    <xf numFmtId="9" fontId="19" fillId="0" borderId="33" xfId="44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9" fontId="19" fillId="0" borderId="36" xfId="44" applyNumberFormat="1" applyFont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169" fontId="0" fillId="0" borderId="39" xfId="0" applyNumberFormat="1" applyBorder="1" applyAlignment="1">
      <alignment horizontal="center" vertical="center"/>
    </xf>
    <xf numFmtId="9" fontId="19" fillId="0" borderId="40" xfId="44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9" fontId="0" fillId="0" borderId="43" xfId="0" applyNumberFormat="1" applyBorder="1" applyAlignment="1">
      <alignment horizontal="center" vertical="center"/>
    </xf>
    <xf numFmtId="9" fontId="19" fillId="0" borderId="18" xfId="44" applyFont="1" applyBorder="1" applyAlignment="1">
      <alignment horizontal="center" vertical="center"/>
    </xf>
    <xf numFmtId="169" fontId="0" fillId="0" borderId="44" xfId="0" applyNumberFormat="1" applyBorder="1" applyAlignment="1">
      <alignment horizontal="center" vertical="center"/>
    </xf>
    <xf numFmtId="9" fontId="19" fillId="0" borderId="40" xfId="44" applyFont="1" applyBorder="1" applyAlignment="1">
      <alignment horizontal="center" vertical="center"/>
    </xf>
    <xf numFmtId="9" fontId="19" fillId="0" borderId="36" xfId="44" applyFont="1" applyBorder="1" applyAlignment="1">
      <alignment horizontal="center" vertical="center"/>
    </xf>
    <xf numFmtId="9" fontId="19" fillId="0" borderId="19" xfId="44" applyFont="1" applyBorder="1" applyAlignment="1">
      <alignment horizontal="center" vertical="center"/>
    </xf>
    <xf numFmtId="169" fontId="0" fillId="0" borderId="45" xfId="0" applyNumberFormat="1" applyBorder="1" applyAlignment="1">
      <alignment horizontal="center" vertical="center"/>
    </xf>
    <xf numFmtId="169" fontId="0" fillId="0" borderId="46" xfId="0" applyNumberFormat="1" applyBorder="1" applyAlignment="1">
      <alignment horizontal="center" vertical="center"/>
    </xf>
    <xf numFmtId="9" fontId="16" fillId="34" borderId="16" xfId="0" applyNumberFormat="1" applyFont="1" applyFill="1" applyBorder="1" applyAlignment="1">
      <alignment horizontal="center" vertical="center"/>
    </xf>
    <xf numFmtId="9" fontId="16" fillId="34" borderId="17" xfId="0" applyNumberFormat="1" applyFont="1" applyFill="1" applyBorder="1" applyAlignment="1">
      <alignment horizontal="center" vertical="center"/>
    </xf>
    <xf numFmtId="9" fontId="16" fillId="35" borderId="0" xfId="0" applyNumberFormat="1" applyFont="1" applyFill="1"/>
    <xf numFmtId="169" fontId="0" fillId="0" borderId="22" xfId="0" applyNumberFormat="1" applyBorder="1" applyAlignment="1">
      <alignment horizontal="center" vertical="center"/>
    </xf>
    <xf numFmtId="169" fontId="0" fillId="0" borderId="23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34" xfId="0" applyNumberFormat="1" applyBorder="1" applyAlignment="1">
      <alignment horizontal="center" vertical="center"/>
    </xf>
    <xf numFmtId="169" fontId="0" fillId="0" borderId="35" xfId="0" applyNumberFormat="1" applyBorder="1" applyAlignment="1">
      <alignment horizontal="center" vertical="center"/>
    </xf>
    <xf numFmtId="169" fontId="0" fillId="0" borderId="29" xfId="0" applyNumberFormat="1" applyFill="1" applyBorder="1" applyAlignment="1">
      <alignment horizontal="center" vertical="center"/>
    </xf>
    <xf numFmtId="169" fontId="0" fillId="0" borderId="31" xfId="0" applyNumberFormat="1" applyFill="1" applyBorder="1" applyAlignment="1">
      <alignment horizontal="center" vertical="center"/>
    </xf>
    <xf numFmtId="169" fontId="0" fillId="0" borderId="32" xfId="0" applyNumberFormat="1" applyFill="1" applyBorder="1" applyAlignment="1">
      <alignment horizontal="center" vertical="center"/>
    </xf>
    <xf numFmtId="0" fontId="22" fillId="0" borderId="0" xfId="0" applyFont="1"/>
    <xf numFmtId="0" fontId="22" fillId="33" borderId="0" xfId="0" applyFont="1" applyFill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16" fillId="34" borderId="20" xfId="0" applyNumberFormat="1" applyFont="1" applyFill="1" applyBorder="1" applyAlignment="1">
      <alignment horizontal="center" vertical="center"/>
    </xf>
    <xf numFmtId="9" fontId="16" fillId="34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169" fontId="0" fillId="0" borderId="16" xfId="0" applyNumberFormat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doi/10.1111/j.1398-9995.2007.01383.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zoomScale="130" zoomScaleNormal="130" workbookViewId="0">
      <selection activeCell="H14" sqref="H14"/>
    </sheetView>
  </sheetViews>
  <sheetFormatPr defaultRowHeight="14.5" x14ac:dyDescent="0.35"/>
  <cols>
    <col min="8" max="8" width="11.90625" customWidth="1"/>
    <col min="17" max="17" width="9.6328125" bestFit="1" customWidth="1"/>
    <col min="18" max="18" width="10.90625" customWidth="1"/>
    <col min="19" max="19" width="11.81640625" bestFit="1" customWidth="1"/>
    <col min="20" max="22" width="11.81640625" customWidth="1"/>
    <col min="23" max="23" width="12.08984375" bestFit="1" customWidth="1"/>
    <col min="24" max="24" width="11.81640625" bestFit="1" customWidth="1"/>
    <col min="25" max="25" width="12.08984375" bestFit="1" customWidth="1"/>
  </cols>
  <sheetData>
    <row r="1" spans="1:26" x14ac:dyDescent="0.35">
      <c r="A1" s="79" t="s">
        <v>10</v>
      </c>
      <c r="B1" s="79"/>
      <c r="C1" s="79"/>
      <c r="D1" s="79"/>
      <c r="E1" s="79"/>
      <c r="F1" s="79"/>
      <c r="J1" s="79" t="s">
        <v>27</v>
      </c>
      <c r="K1" s="79"/>
      <c r="L1" s="79"/>
      <c r="M1" s="79"/>
      <c r="N1" s="79"/>
      <c r="O1" s="79"/>
      <c r="P1" s="79"/>
      <c r="S1" s="77" t="s">
        <v>28</v>
      </c>
      <c r="T1" s="77"/>
      <c r="U1" s="77"/>
      <c r="V1" s="77"/>
      <c r="W1" s="77"/>
    </row>
    <row r="2" spans="1:26" s="9" customFormat="1" x14ac:dyDescent="0.3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K2" s="13" t="s">
        <v>0</v>
      </c>
      <c r="L2" s="13" t="s">
        <v>1</v>
      </c>
      <c r="M2" s="13" t="s">
        <v>2</v>
      </c>
      <c r="N2" s="13" t="s">
        <v>3</v>
      </c>
      <c r="O2" s="13" t="s">
        <v>4</v>
      </c>
      <c r="P2" s="13" t="s">
        <v>5</v>
      </c>
      <c r="R2" s="9" t="s">
        <v>34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</row>
    <row r="3" spans="1:26" x14ac:dyDescent="0.35">
      <c r="A3" s="14">
        <v>0</v>
      </c>
      <c r="J3" s="14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R3">
        <v>0</v>
      </c>
      <c r="S3">
        <v>0</v>
      </c>
    </row>
    <row r="4" spans="1:26" x14ac:dyDescent="0.35">
      <c r="A4" s="14">
        <v>1</v>
      </c>
      <c r="C4" s="2">
        <v>1.038</v>
      </c>
      <c r="D4" s="2">
        <v>1.0740000000000001</v>
      </c>
      <c r="E4" s="2">
        <v>0.114</v>
      </c>
      <c r="F4" s="2">
        <f>0.05/2</f>
        <v>2.5000000000000001E-2</v>
      </c>
      <c r="H4" s="4"/>
      <c r="J4" s="14">
        <v>1</v>
      </c>
      <c r="K4" s="3">
        <f>1-(SUM(L4:O4))</f>
        <v>0.95712379761328958</v>
      </c>
      <c r="L4" s="3">
        <f t="shared" ref="L4:O8" si="0">1-EXP(-C4/52)</f>
        <v>1.976362601926307E-2</v>
      </c>
      <c r="M4" s="3">
        <f t="shared" si="0"/>
        <v>2.0442016346733149E-2</v>
      </c>
      <c r="N4" s="3">
        <f t="shared" si="0"/>
        <v>2.1899063409530628E-3</v>
      </c>
      <c r="O4" s="3">
        <f t="shared" si="0"/>
        <v>4.8065367976113382E-4</v>
      </c>
      <c r="P4">
        <v>1</v>
      </c>
      <c r="R4">
        <v>1</v>
      </c>
      <c r="S4">
        <v>7.3800000000000004E-2</v>
      </c>
      <c r="T4" s="5">
        <f t="shared" ref="T4:W10" si="1">$S4*L4</f>
        <v>1.4585556002216146E-3</v>
      </c>
      <c r="U4" s="5">
        <f t="shared" si="1"/>
        <v>1.5086208063889066E-3</v>
      </c>
      <c r="V4" s="5">
        <f t="shared" si="1"/>
        <v>1.6161508796233605E-4</v>
      </c>
      <c r="W4" s="5">
        <f t="shared" si="1"/>
        <v>3.5472241566371678E-5</v>
      </c>
      <c r="Y4" s="7"/>
      <c r="Z4" s="10"/>
    </row>
    <row r="5" spans="1:26" x14ac:dyDescent="0.35">
      <c r="A5" s="14">
        <v>2</v>
      </c>
      <c r="C5" s="2">
        <f>C4*1.1</f>
        <v>1.1418000000000001</v>
      </c>
      <c r="D5" s="2">
        <f>D4*1.1</f>
        <v>1.1814000000000002</v>
      </c>
      <c r="E5" s="2">
        <f>E4*1.2</f>
        <v>0.1368</v>
      </c>
      <c r="F5" s="2">
        <f>F4*3.5</f>
        <v>8.7500000000000008E-2</v>
      </c>
      <c r="J5" s="14">
        <v>2</v>
      </c>
      <c r="K5" s="3">
        <f>1-(SUM(L5:O5))</f>
        <v>0.95150994138105749</v>
      </c>
      <c r="L5" s="3">
        <f t="shared" si="0"/>
        <v>2.171837698641399E-2</v>
      </c>
      <c r="M5" s="3">
        <f t="shared" si="0"/>
        <v>2.2463092467823187E-2</v>
      </c>
      <c r="N5" s="3">
        <f t="shared" si="0"/>
        <v>2.6273117899706655E-3</v>
      </c>
      <c r="O5" s="3">
        <f t="shared" si="0"/>
        <v>1.6812773747346688E-3</v>
      </c>
      <c r="P5">
        <v>1</v>
      </c>
      <c r="R5">
        <v>2</v>
      </c>
      <c r="S5">
        <v>0.3896</v>
      </c>
      <c r="T5" s="5">
        <f t="shared" si="1"/>
        <v>8.4614796739068913E-3</v>
      </c>
      <c r="U5" s="5">
        <f t="shared" si="1"/>
        <v>8.7516208254639141E-3</v>
      </c>
      <c r="V5" s="5">
        <f t="shared" si="1"/>
        <v>1.0236006733725712E-3</v>
      </c>
      <c r="W5" s="5">
        <f t="shared" si="1"/>
        <v>6.55025665196627E-4</v>
      </c>
      <c r="Y5" s="8"/>
      <c r="Z5" s="10"/>
    </row>
    <row r="6" spans="1:26" x14ac:dyDescent="0.35">
      <c r="A6" s="14">
        <v>3</v>
      </c>
      <c r="C6" s="2">
        <f>C4*1.8</f>
        <v>1.8684000000000001</v>
      </c>
      <c r="D6" s="2">
        <f>D4*1.6</f>
        <v>1.7184000000000001</v>
      </c>
      <c r="E6" s="2">
        <f>E4*2.7</f>
        <v>0.30780000000000002</v>
      </c>
      <c r="F6" s="2">
        <f>F4*7</f>
        <v>0.17500000000000002</v>
      </c>
      <c r="J6" s="14">
        <v>3</v>
      </c>
      <c r="K6" s="3">
        <f>1-(SUM(L6:O6))</f>
        <v>0.92293950888495391</v>
      </c>
      <c r="L6" s="3">
        <f t="shared" si="0"/>
        <v>3.5292921415562839E-2</v>
      </c>
      <c r="M6" s="3">
        <f t="shared" si="0"/>
        <v>3.2506095006296643E-2</v>
      </c>
      <c r="N6" s="3">
        <f t="shared" si="0"/>
        <v>5.9017466373281202E-3</v>
      </c>
      <c r="O6" s="3">
        <f t="shared" si="0"/>
        <v>3.3597280558584908E-3</v>
      </c>
      <c r="P6">
        <v>1</v>
      </c>
      <c r="R6">
        <v>3</v>
      </c>
      <c r="S6">
        <v>0.29139999999999999</v>
      </c>
      <c r="T6" s="5">
        <f t="shared" si="1"/>
        <v>1.0284357300495012E-2</v>
      </c>
      <c r="U6" s="5">
        <f t="shared" si="1"/>
        <v>9.4722760848348422E-3</v>
      </c>
      <c r="V6" s="5">
        <f t="shared" si="1"/>
        <v>1.7197689701174141E-3</v>
      </c>
      <c r="W6" s="5">
        <f t="shared" si="1"/>
        <v>9.7902475547716411E-4</v>
      </c>
      <c r="Y6" s="8"/>
    </row>
    <row r="7" spans="1:26" x14ac:dyDescent="0.35">
      <c r="A7" s="14">
        <v>4</v>
      </c>
      <c r="C7" s="2">
        <f>C4*3.8</f>
        <v>3.9443999999999999</v>
      </c>
      <c r="D7" s="2">
        <f>D4*2.9</f>
        <v>3.1146000000000003</v>
      </c>
      <c r="E7" s="2">
        <f>E4*4</f>
        <v>0.45600000000000002</v>
      </c>
      <c r="F7" s="2">
        <f>F4*13.5</f>
        <v>0.33750000000000002</v>
      </c>
      <c r="J7" s="14">
        <v>4</v>
      </c>
      <c r="K7" s="3">
        <f>1-(SUM(L7:O7))</f>
        <v>0.85361375072514878</v>
      </c>
      <c r="L7" s="3">
        <f t="shared" si="0"/>
        <v>7.304832578803333E-2</v>
      </c>
      <c r="M7" s="3">
        <f t="shared" si="0"/>
        <v>5.8137662712928528E-2</v>
      </c>
      <c r="N7" s="3">
        <f t="shared" si="0"/>
        <v>8.730893210566526E-3</v>
      </c>
      <c r="O7" s="3">
        <f t="shared" si="0"/>
        <v>6.4693675633228365E-3</v>
      </c>
      <c r="P7">
        <v>1</v>
      </c>
      <c r="R7">
        <v>4</v>
      </c>
      <c r="S7">
        <v>0.19020000000000001</v>
      </c>
      <c r="T7" s="5">
        <f t="shared" si="1"/>
        <v>1.3893791564883941E-2</v>
      </c>
      <c r="U7" s="5">
        <f t="shared" si="1"/>
        <v>1.1057783447999006E-2</v>
      </c>
      <c r="V7" s="5">
        <f t="shared" si="1"/>
        <v>1.6606158886497532E-3</v>
      </c>
      <c r="W7" s="5">
        <f t="shared" si="1"/>
        <v>1.2304737105440036E-3</v>
      </c>
      <c r="Y7" s="8"/>
    </row>
    <row r="8" spans="1:26" x14ac:dyDescent="0.35">
      <c r="A8" s="14">
        <v>5</v>
      </c>
      <c r="C8" s="2">
        <f>C7</f>
        <v>3.9443999999999999</v>
      </c>
      <c r="D8" s="2">
        <f>D7</f>
        <v>3.1146000000000003</v>
      </c>
      <c r="E8" s="2">
        <f>E7</f>
        <v>0.45600000000000002</v>
      </c>
      <c r="F8" s="2">
        <f>F7</f>
        <v>0.33750000000000002</v>
      </c>
      <c r="H8" s="2"/>
      <c r="J8" s="14">
        <v>5</v>
      </c>
      <c r="K8" s="3">
        <f>1-(SUM(L8:O8))</f>
        <v>0.85361375072514878</v>
      </c>
      <c r="L8" s="3">
        <f t="shared" si="0"/>
        <v>7.304832578803333E-2</v>
      </c>
      <c r="M8" s="3">
        <f t="shared" si="0"/>
        <v>5.8137662712928528E-2</v>
      </c>
      <c r="N8" s="3">
        <f t="shared" si="0"/>
        <v>8.730893210566526E-3</v>
      </c>
      <c r="O8" s="3">
        <f t="shared" si="0"/>
        <v>6.4693675633228365E-3</v>
      </c>
      <c r="P8">
        <v>1</v>
      </c>
      <c r="Q8" s="3"/>
      <c r="R8">
        <v>5</v>
      </c>
      <c r="S8">
        <v>4.9200000000000001E-2</v>
      </c>
      <c r="T8" s="5">
        <f t="shared" si="1"/>
        <v>3.5939776287712399E-3</v>
      </c>
      <c r="U8" s="5">
        <f t="shared" si="1"/>
        <v>2.8603730054760838E-3</v>
      </c>
      <c r="V8" s="5">
        <f t="shared" si="1"/>
        <v>4.2955994595987308E-4</v>
      </c>
      <c r="W8" s="5">
        <f t="shared" si="1"/>
        <v>3.1829288411548354E-4</v>
      </c>
      <c r="Y8" s="8"/>
    </row>
    <row r="9" spans="1:26" x14ac:dyDescent="0.35">
      <c r="A9" s="14">
        <v>50</v>
      </c>
      <c r="J9" s="14">
        <v>50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R9">
        <v>50</v>
      </c>
      <c r="S9">
        <v>0</v>
      </c>
      <c r="T9" s="5">
        <f t="shared" si="1"/>
        <v>0</v>
      </c>
      <c r="U9" s="5">
        <f t="shared" ref="U9:W10" si="2">$S9*M9</f>
        <v>0</v>
      </c>
      <c r="V9" s="5">
        <f t="shared" si="2"/>
        <v>0</v>
      </c>
      <c r="W9" s="5">
        <f t="shared" si="2"/>
        <v>0</v>
      </c>
    </row>
    <row r="10" spans="1:26" x14ac:dyDescent="0.35">
      <c r="A10" s="14">
        <v>100</v>
      </c>
      <c r="J10" s="14">
        <v>100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R10">
        <v>100</v>
      </c>
      <c r="S10">
        <v>5.7999999999999996E-3</v>
      </c>
      <c r="T10" s="5">
        <f t="shared" si="1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</row>
    <row r="11" spans="1:26" x14ac:dyDescent="0.35">
      <c r="R11" t="s">
        <v>35</v>
      </c>
      <c r="S11" s="6">
        <f>SUM(S3:S10)</f>
        <v>1</v>
      </c>
      <c r="T11" s="76">
        <f>SUM(T3:U10)</f>
        <v>7.1342835938441443E-2</v>
      </c>
      <c r="U11" s="76"/>
      <c r="V11" s="6">
        <f>SUM(V3:V10)</f>
        <v>4.9951605660619484E-3</v>
      </c>
      <c r="W11" s="6">
        <f>SUM(W3:W10)</f>
        <v>3.21828925689965E-3</v>
      </c>
      <c r="X11" s="6"/>
      <c r="Y11" s="6"/>
    </row>
    <row r="12" spans="1:26" x14ac:dyDescent="0.35">
      <c r="A12" t="s">
        <v>7</v>
      </c>
      <c r="J12" s="74"/>
      <c r="K12" s="74"/>
      <c r="L12" s="74"/>
      <c r="M12" s="74"/>
      <c r="N12" s="74"/>
      <c r="O12" s="74"/>
      <c r="Y12" s="6"/>
    </row>
    <row r="13" spans="1:26" x14ac:dyDescent="0.35">
      <c r="A13" s="1" t="s">
        <v>8</v>
      </c>
      <c r="J13" s="75" t="s">
        <v>6</v>
      </c>
      <c r="K13" s="74" t="s">
        <v>0</v>
      </c>
      <c r="L13" s="74" t="s">
        <v>1</v>
      </c>
      <c r="M13" s="74" t="s">
        <v>2</v>
      </c>
      <c r="N13" s="74" t="s">
        <v>3</v>
      </c>
      <c r="O13" s="74" t="s">
        <v>4</v>
      </c>
      <c r="S13" s="77" t="s">
        <v>22</v>
      </c>
      <c r="T13" s="77"/>
      <c r="U13" s="77"/>
      <c r="V13" s="77"/>
      <c r="W13" s="77"/>
    </row>
    <row r="14" spans="1:26" ht="29" x14ac:dyDescent="0.35">
      <c r="J14" s="74">
        <v>0</v>
      </c>
      <c r="K14" s="74">
        <v>1</v>
      </c>
      <c r="L14" s="74">
        <v>0</v>
      </c>
      <c r="M14" s="74">
        <v>0</v>
      </c>
      <c r="N14" s="74">
        <v>0</v>
      </c>
      <c r="O14" s="74">
        <v>0</v>
      </c>
      <c r="S14" s="9" t="s">
        <v>13</v>
      </c>
      <c r="T14" s="9" t="s">
        <v>30</v>
      </c>
      <c r="U14" s="9" t="s">
        <v>31</v>
      </c>
      <c r="V14" s="9" t="s">
        <v>32</v>
      </c>
      <c r="W14" s="9" t="s">
        <v>33</v>
      </c>
      <c r="X14" s="9"/>
    </row>
    <row r="15" spans="1:26" x14ac:dyDescent="0.35">
      <c r="A15" t="s">
        <v>9</v>
      </c>
      <c r="J15" s="74">
        <v>1</v>
      </c>
      <c r="K15" s="74">
        <v>0.91410094600000003</v>
      </c>
      <c r="L15" s="74">
        <v>3.9136651000000001E-2</v>
      </c>
      <c r="M15" s="74">
        <v>4.0466157000000003E-2</v>
      </c>
      <c r="N15" s="74">
        <v>4.3750170000000001E-3</v>
      </c>
      <c r="O15" s="74">
        <v>1.921229E-3</v>
      </c>
      <c r="R15">
        <v>0</v>
      </c>
    </row>
    <row r="16" spans="1:26" x14ac:dyDescent="0.35">
      <c r="J16" s="74">
        <v>2</v>
      </c>
      <c r="K16" s="74">
        <v>0.88382786199999996</v>
      </c>
      <c r="L16" s="74">
        <v>4.9502009E-2</v>
      </c>
      <c r="M16" s="74">
        <v>5.0963188999999999E-2</v>
      </c>
      <c r="N16" s="74">
        <v>7.3192370000000001E-3</v>
      </c>
      <c r="O16" s="74">
        <v>8.3877020000000004E-3</v>
      </c>
      <c r="R16">
        <v>1</v>
      </c>
      <c r="S16">
        <v>5.4800000000000001E-2</v>
      </c>
      <c r="T16" s="5">
        <f t="shared" ref="T16:W22" si="3">$S16*L4</f>
        <v>1.0830467058556162E-3</v>
      </c>
      <c r="U16" s="5">
        <f t="shared" si="3"/>
        <v>1.1202224958009766E-3</v>
      </c>
      <c r="V16" s="5">
        <f t="shared" si="3"/>
        <v>1.2000686748422785E-4</v>
      </c>
      <c r="W16" s="5">
        <f t="shared" si="3"/>
        <v>2.6339821650910135E-5</v>
      </c>
    </row>
    <row r="17" spans="1:23" x14ac:dyDescent="0.35">
      <c r="A17" t="s">
        <v>11</v>
      </c>
      <c r="J17" s="74">
        <v>3</v>
      </c>
      <c r="K17" s="74">
        <v>0.80730704200000003</v>
      </c>
      <c r="L17" s="74">
        <v>8.0922303000000001E-2</v>
      </c>
      <c r="M17" s="74">
        <v>7.6244352000000001E-2</v>
      </c>
      <c r="N17" s="74">
        <v>1.7045363000000001E-2</v>
      </c>
      <c r="O17" s="74">
        <v>1.8480940000000001E-2</v>
      </c>
      <c r="R17">
        <v>2</v>
      </c>
      <c r="S17">
        <v>0.30780000000000002</v>
      </c>
      <c r="T17" s="5">
        <f t="shared" si="3"/>
        <v>6.6849164364182262E-3</v>
      </c>
      <c r="U17" s="5">
        <f t="shared" si="3"/>
        <v>6.9141398615959774E-3</v>
      </c>
      <c r="V17" s="5">
        <f t="shared" si="3"/>
        <v>8.0868656895297087E-4</v>
      </c>
      <c r="W17" s="5">
        <f t="shared" si="3"/>
        <v>5.1749717594333109E-4</v>
      </c>
    </row>
    <row r="18" spans="1:23" x14ac:dyDescent="0.35">
      <c r="A18" t="s">
        <v>12</v>
      </c>
      <c r="J18" s="74">
        <v>4</v>
      </c>
      <c r="K18" s="74">
        <v>0.61261256600000003</v>
      </c>
      <c r="L18" s="74">
        <v>0.170907108</v>
      </c>
      <c r="M18" s="74">
        <v>0.136274268</v>
      </c>
      <c r="N18" s="74">
        <v>3.5211289E-2</v>
      </c>
      <c r="O18" s="74">
        <v>4.4994768999999997E-2</v>
      </c>
      <c r="R18">
        <v>3</v>
      </c>
      <c r="S18">
        <v>0.29799999999999999</v>
      </c>
      <c r="T18" s="5">
        <f t="shared" si="3"/>
        <v>1.0517290581837726E-2</v>
      </c>
      <c r="U18" s="5">
        <f t="shared" si="3"/>
        <v>9.6868163118763988E-3</v>
      </c>
      <c r="V18" s="5">
        <f t="shared" si="3"/>
        <v>1.7587204979237798E-3</v>
      </c>
      <c r="W18" s="5">
        <f t="shared" si="3"/>
        <v>1.0011989606458303E-3</v>
      </c>
    </row>
    <row r="19" spans="1:23" x14ac:dyDescent="0.35">
      <c r="J19" s="74">
        <v>5</v>
      </c>
      <c r="K19" s="74">
        <v>0.61261256600000003</v>
      </c>
      <c r="L19" s="74">
        <v>0.170907108</v>
      </c>
      <c r="M19" s="74">
        <v>0.136274268</v>
      </c>
      <c r="N19" s="74">
        <v>3.5211289E-2</v>
      </c>
      <c r="O19" s="74">
        <v>4.4994768999999997E-2</v>
      </c>
      <c r="R19">
        <v>4</v>
      </c>
      <c r="S19">
        <v>0.25700000000000001</v>
      </c>
      <c r="T19" s="5">
        <f t="shared" si="3"/>
        <v>1.8773419727524568E-2</v>
      </c>
      <c r="U19" s="5">
        <f t="shared" si="3"/>
        <v>1.4941379317222633E-2</v>
      </c>
      <c r="V19" s="5">
        <f t="shared" si="3"/>
        <v>2.2438395551155972E-3</v>
      </c>
      <c r="W19" s="5">
        <f t="shared" si="3"/>
        <v>1.662627463773969E-3</v>
      </c>
    </row>
    <row r="20" spans="1:23" x14ac:dyDescent="0.35">
      <c r="A20" t="s">
        <v>14</v>
      </c>
      <c r="J20" s="74">
        <v>50</v>
      </c>
      <c r="K20" s="74">
        <v>1</v>
      </c>
      <c r="L20" s="74">
        <v>0</v>
      </c>
      <c r="M20" s="74">
        <v>0</v>
      </c>
      <c r="N20" s="74">
        <v>0</v>
      </c>
      <c r="O20" s="74">
        <v>0</v>
      </c>
      <c r="R20">
        <v>5</v>
      </c>
      <c r="S20">
        <v>7.6999999999999999E-2</v>
      </c>
      <c r="T20" s="5">
        <f t="shared" si="3"/>
        <v>5.6247210856785667E-3</v>
      </c>
      <c r="U20" s="5">
        <f t="shared" si="3"/>
        <v>4.476600028895497E-3</v>
      </c>
      <c r="V20" s="5">
        <f t="shared" si="3"/>
        <v>6.7227877721362246E-4</v>
      </c>
      <c r="W20" s="5">
        <f t="shared" si="3"/>
        <v>4.9814130237585841E-4</v>
      </c>
    </row>
    <row r="21" spans="1:23" x14ac:dyDescent="0.35">
      <c r="J21" s="74">
        <v>100</v>
      </c>
      <c r="K21" s="74">
        <v>1</v>
      </c>
      <c r="L21" s="74">
        <v>0</v>
      </c>
      <c r="M21" s="74">
        <v>0</v>
      </c>
      <c r="N21" s="74">
        <v>0</v>
      </c>
      <c r="O21" s="74">
        <v>0</v>
      </c>
      <c r="R21">
        <v>50</v>
      </c>
      <c r="T21" s="5">
        <f t="shared" si="3"/>
        <v>0</v>
      </c>
      <c r="U21" s="5">
        <f t="shared" si="3"/>
        <v>0</v>
      </c>
      <c r="V21" s="5">
        <f t="shared" si="3"/>
        <v>0</v>
      </c>
      <c r="W21" s="5">
        <f t="shared" si="3"/>
        <v>0</v>
      </c>
    </row>
    <row r="22" spans="1:23" x14ac:dyDescent="0.35">
      <c r="J22" s="74"/>
      <c r="K22" s="74"/>
      <c r="L22" s="74"/>
      <c r="M22" s="74"/>
      <c r="N22" s="74"/>
      <c r="O22" s="74"/>
      <c r="R22">
        <v>100</v>
      </c>
      <c r="S22">
        <v>5.4000000000000003E-3</v>
      </c>
      <c r="T22" s="5">
        <f t="shared" si="3"/>
        <v>0</v>
      </c>
      <c r="U22" s="5">
        <f t="shared" si="3"/>
        <v>0</v>
      </c>
      <c r="V22" s="5">
        <f t="shared" si="3"/>
        <v>0</v>
      </c>
      <c r="W22" s="5">
        <f t="shared" si="3"/>
        <v>0</v>
      </c>
    </row>
    <row r="23" spans="1:23" x14ac:dyDescent="0.35">
      <c r="R23" t="s">
        <v>35</v>
      </c>
      <c r="S23" s="6">
        <f>SUM(S15:S22)</f>
        <v>1</v>
      </c>
      <c r="T23" s="80">
        <f>SUM(T16:U20)</f>
        <v>7.9822552552706177E-2</v>
      </c>
      <c r="U23" s="80"/>
      <c r="V23" s="6">
        <f>SUM(V16:V20)</f>
        <v>5.6035322666901982E-3</v>
      </c>
      <c r="W23" s="6">
        <f>SUM(W16:W20)</f>
        <v>3.7058047243898988E-3</v>
      </c>
    </row>
    <row r="24" spans="1:23" ht="29" x14ac:dyDescent="0.35">
      <c r="R24" s="9" t="s">
        <v>42</v>
      </c>
      <c r="T24" s="77">
        <f>T23/T11</f>
        <v>1.1188586983223026</v>
      </c>
      <c r="U24" s="77"/>
      <c r="V24">
        <f>V23/V11</f>
        <v>1.1217922212073903</v>
      </c>
      <c r="W24">
        <f>W23/W11</f>
        <v>1.1514827998897459</v>
      </c>
    </row>
    <row r="25" spans="1:23" ht="58" x14ac:dyDescent="0.35">
      <c r="O25" s="10"/>
      <c r="R25" s="9" t="s">
        <v>43</v>
      </c>
      <c r="T25" s="77">
        <v>1.3</v>
      </c>
      <c r="U25" s="77"/>
      <c r="V25">
        <v>2.1</v>
      </c>
      <c r="W25">
        <v>1.5</v>
      </c>
    </row>
    <row r="26" spans="1:23" ht="29" x14ac:dyDescent="0.35">
      <c r="O26" s="10"/>
      <c r="R26" s="9" t="s">
        <v>37</v>
      </c>
      <c r="T26" s="78">
        <f>T11*T25</f>
        <v>9.274568671997388E-2</v>
      </c>
      <c r="U26" s="78"/>
      <c r="V26" s="11">
        <f>V11*V25</f>
        <v>1.0489837188730092E-2</v>
      </c>
      <c r="W26" s="11">
        <f>W11*W25</f>
        <v>4.8274338853494751E-3</v>
      </c>
    </row>
    <row r="27" spans="1:23" ht="29" x14ac:dyDescent="0.35">
      <c r="R27" s="9" t="s">
        <v>44</v>
      </c>
      <c r="T27" s="77">
        <f>T26/T23</f>
        <v>1.1618982825528494</v>
      </c>
      <c r="U27" s="77"/>
      <c r="V27">
        <f>V26/V23</f>
        <v>1.8720044231896706</v>
      </c>
      <c r="W27">
        <f>W26/W23</f>
        <v>1.3026681771917257</v>
      </c>
    </row>
    <row r="28" spans="1:23" ht="58" x14ac:dyDescent="0.35">
      <c r="R28" s="9" t="s">
        <v>45</v>
      </c>
      <c r="T28" s="77">
        <f>(T24 -1) / (T25-1)</f>
        <v>0.39619566107434179</v>
      </c>
      <c r="U28" s="77"/>
      <c r="V28">
        <f>(V24-1)/(V25-1)</f>
        <v>0.11072020109762754</v>
      </c>
      <c r="W28">
        <f>(W24-1)/(W25-1)</f>
        <v>0.30296559977949178</v>
      </c>
    </row>
    <row r="29" spans="1:23" ht="29" x14ac:dyDescent="0.35">
      <c r="R29" s="9" t="s">
        <v>46</v>
      </c>
      <c r="S29">
        <f>(5*T28 + V28+W28)/7</f>
        <v>0.34209487232126118</v>
      </c>
    </row>
    <row r="30" spans="1:23" x14ac:dyDescent="0.35">
      <c r="J30" s="79" t="s">
        <v>39</v>
      </c>
      <c r="K30" s="79"/>
      <c r="L30" s="79"/>
      <c r="M30" s="79"/>
      <c r="N30" s="79"/>
      <c r="O30" s="79"/>
      <c r="P30" s="79"/>
      <c r="S30" s="77" t="s">
        <v>25</v>
      </c>
      <c r="T30" s="77"/>
      <c r="U30" s="77"/>
      <c r="V30" s="77"/>
      <c r="W30" s="77"/>
    </row>
    <row r="31" spans="1:23" ht="29" x14ac:dyDescent="0.35">
      <c r="J31" s="9"/>
      <c r="K31" s="13" t="s">
        <v>0</v>
      </c>
      <c r="L31" s="13" t="s">
        <v>1</v>
      </c>
      <c r="M31" s="13" t="s">
        <v>2</v>
      </c>
      <c r="N31" s="13" t="s">
        <v>3</v>
      </c>
      <c r="O31" s="13" t="s">
        <v>4</v>
      </c>
      <c r="P31" s="13" t="s">
        <v>5</v>
      </c>
      <c r="S31" s="9" t="s">
        <v>13</v>
      </c>
      <c r="T31" s="9" t="s">
        <v>30</v>
      </c>
      <c r="U31" s="9" t="s">
        <v>31</v>
      </c>
      <c r="V31" s="9" t="s">
        <v>32</v>
      </c>
      <c r="W31" s="9" t="s">
        <v>33</v>
      </c>
    </row>
    <row r="32" spans="1:23" x14ac:dyDescent="0.35">
      <c r="J32" s="14">
        <v>0</v>
      </c>
      <c r="K32" s="3">
        <v>1</v>
      </c>
      <c r="L32" s="3">
        <f>L3</f>
        <v>0</v>
      </c>
      <c r="M32" s="3">
        <f>M3</f>
        <v>0</v>
      </c>
      <c r="N32" s="3">
        <f>N3</f>
        <v>0</v>
      </c>
      <c r="O32" s="3">
        <f>O3</f>
        <v>0</v>
      </c>
      <c r="P32" s="2">
        <f>SUM(K32:O32)</f>
        <v>1</v>
      </c>
      <c r="R32">
        <v>0</v>
      </c>
    </row>
    <row r="33" spans="10:24" x14ac:dyDescent="0.35">
      <c r="J33" s="14">
        <v>1</v>
      </c>
      <c r="K33" s="3">
        <f>1-SUM(L33:O33)</f>
        <v>0.9485594865765048</v>
      </c>
      <c r="L33" s="3">
        <f>L4 *$T$27</f>
        <v>2.296332312879857E-2</v>
      </c>
      <c r="M33" s="3">
        <f>M4 *$T$27</f>
        <v>2.3751543685186519E-2</v>
      </c>
      <c r="N33" s="3">
        <f>N4 *$V$27</f>
        <v>4.0995143566352407E-3</v>
      </c>
      <c r="O33" s="3">
        <f>O4 *$W$27</f>
        <v>6.2613225287493166E-4</v>
      </c>
      <c r="P33" s="2">
        <f t="shared" ref="P33:P39" si="4">SUM(K33:O33)</f>
        <v>1</v>
      </c>
      <c r="R33">
        <v>1</v>
      </c>
      <c r="S33">
        <v>5.4800000000000001E-2</v>
      </c>
      <c r="T33" s="5">
        <f t="shared" ref="T33:W37" si="5">$S33*L33</f>
        <v>1.2583901074581616E-3</v>
      </c>
      <c r="U33" s="5">
        <f t="shared" si="5"/>
        <v>1.3015845939482213E-3</v>
      </c>
      <c r="V33" s="5">
        <f t="shared" si="5"/>
        <v>2.2465338674361121E-4</v>
      </c>
      <c r="W33" s="5">
        <f t="shared" si="5"/>
        <v>3.4312047457546254E-5</v>
      </c>
    </row>
    <row r="34" spans="10:24" x14ac:dyDescent="0.35">
      <c r="J34" s="14">
        <v>2</v>
      </c>
      <c r="K34" s="3">
        <f>1-SUM(L34:O34)</f>
        <v>0.94155714069543794</v>
      </c>
      <c r="L34" s="3">
        <f t="shared" ref="L34:M37" si="6">L5 *$T$27</f>
        <v>2.5234544920349745E-2</v>
      </c>
      <c r="M34" s="3">
        <f t="shared" si="6"/>
        <v>2.609982855918961E-2</v>
      </c>
      <c r="N34" s="3">
        <f>N5 *$V$27</f>
        <v>4.9183392919234566E-3</v>
      </c>
      <c r="O34" s="3">
        <f>O5 *$W$27</f>
        <v>2.1901465330993008E-3</v>
      </c>
      <c r="P34" s="2">
        <f t="shared" si="4"/>
        <v>1</v>
      </c>
      <c r="R34">
        <v>2</v>
      </c>
      <c r="S34">
        <v>0.30780000000000002</v>
      </c>
      <c r="T34" s="5">
        <f t="shared" si="5"/>
        <v>7.767192926483652E-3</v>
      </c>
      <c r="U34" s="5">
        <f t="shared" si="5"/>
        <v>8.0335272305185629E-3</v>
      </c>
      <c r="V34" s="5">
        <f t="shared" si="5"/>
        <v>1.51386483405404E-3</v>
      </c>
      <c r="W34" s="5">
        <f t="shared" si="5"/>
        <v>6.7412710288796481E-4</v>
      </c>
    </row>
    <row r="35" spans="10:24" x14ac:dyDescent="0.35">
      <c r="J35" s="14">
        <v>3</v>
      </c>
      <c r="K35" s="3">
        <f>1-SUM(L35:O35)</f>
        <v>0.90579973262866098</v>
      </c>
      <c r="L35" s="3">
        <f t="shared" si="6"/>
        <v>4.1006784779015142E-2</v>
      </c>
      <c r="M35" s="3">
        <f t="shared" si="6"/>
        <v>3.7768775960315824E-2</v>
      </c>
      <c r="N35" s="3">
        <f>N6 *$V$27</f>
        <v>1.1048095809623007E-2</v>
      </c>
      <c r="O35" s="3">
        <f>O6 *$W$27</f>
        <v>4.3766108223850806E-3</v>
      </c>
      <c r="P35" s="2">
        <f t="shared" si="4"/>
        <v>0.99999999999999989</v>
      </c>
      <c r="R35">
        <v>3</v>
      </c>
      <c r="S35">
        <v>0.29799999999999999</v>
      </c>
      <c r="T35" s="5">
        <f t="shared" si="5"/>
        <v>1.2220021864146512E-2</v>
      </c>
      <c r="U35" s="5">
        <f t="shared" si="5"/>
        <v>1.1255095236174115E-2</v>
      </c>
      <c r="V35" s="5">
        <f t="shared" si="5"/>
        <v>3.2923325512676559E-3</v>
      </c>
      <c r="W35" s="5">
        <f t="shared" si="5"/>
        <v>1.304230025070754E-3</v>
      </c>
    </row>
    <row r="36" spans="10:24" x14ac:dyDescent="0.35">
      <c r="J36" s="14">
        <v>4</v>
      </c>
      <c r="K36" s="3">
        <f>1-SUM(L36:O36)</f>
        <v>0.82280351530586038</v>
      </c>
      <c r="L36" s="3">
        <f t="shared" si="6"/>
        <v>8.4874724276476951E-2</v>
      </c>
      <c r="M36" s="3">
        <f t="shared" si="6"/>
        <v>6.7550050457788488E-2</v>
      </c>
      <c r="N36" s="3">
        <f>N7 *$V$27</f>
        <v>1.6344270708577201E-2</v>
      </c>
      <c r="O36" s="3">
        <f>O7 *$W$27</f>
        <v>8.4274392512970354E-3</v>
      </c>
      <c r="P36" s="2">
        <f t="shared" si="4"/>
        <v>1</v>
      </c>
      <c r="R36">
        <v>4</v>
      </c>
      <c r="S36">
        <v>0.25700000000000001</v>
      </c>
      <c r="T36" s="5">
        <f t="shared" si="5"/>
        <v>2.1812804139054578E-2</v>
      </c>
      <c r="U36" s="5">
        <f t="shared" si="5"/>
        <v>1.7360362967651644E-2</v>
      </c>
      <c r="V36" s="5">
        <f t="shared" si="5"/>
        <v>4.2004775721043407E-3</v>
      </c>
      <c r="W36" s="5">
        <f t="shared" si="5"/>
        <v>2.1658518875833383E-3</v>
      </c>
    </row>
    <row r="37" spans="10:24" x14ac:dyDescent="0.35">
      <c r="J37" s="14">
        <v>5</v>
      </c>
      <c r="K37" s="3">
        <f>1-SUM(L37:O37)</f>
        <v>0.82280351530586038</v>
      </c>
      <c r="L37" s="3">
        <f t="shared" si="6"/>
        <v>8.4874724276476951E-2</v>
      </c>
      <c r="M37" s="3">
        <f t="shared" si="6"/>
        <v>6.7550050457788488E-2</v>
      </c>
      <c r="N37" s="3">
        <f>N8 *$V$27</f>
        <v>1.6344270708577201E-2</v>
      </c>
      <c r="O37" s="3">
        <f>O8 *$W$27</f>
        <v>8.4274392512970354E-3</v>
      </c>
      <c r="P37" s="2">
        <f t="shared" si="4"/>
        <v>1</v>
      </c>
      <c r="R37">
        <v>5</v>
      </c>
      <c r="S37">
        <v>7.6999999999999999E-2</v>
      </c>
      <c r="T37" s="5">
        <f t="shared" si="5"/>
        <v>6.5353537692887254E-3</v>
      </c>
      <c r="U37" s="5">
        <f t="shared" si="5"/>
        <v>5.2013538852497135E-3</v>
      </c>
      <c r="V37" s="5">
        <f t="shared" si="5"/>
        <v>1.2585088445604446E-3</v>
      </c>
      <c r="W37" s="5">
        <f t="shared" si="5"/>
        <v>6.4891282234987176E-4</v>
      </c>
    </row>
    <row r="38" spans="10:24" x14ac:dyDescent="0.35">
      <c r="J38" s="14">
        <v>50</v>
      </c>
      <c r="K38" s="3">
        <f t="shared" ref="K38:O39" si="7">K9</f>
        <v>1</v>
      </c>
      <c r="L38" s="3">
        <f t="shared" si="7"/>
        <v>0</v>
      </c>
      <c r="M38" s="3">
        <f t="shared" si="7"/>
        <v>0</v>
      </c>
      <c r="N38" s="3">
        <f t="shared" si="7"/>
        <v>0</v>
      </c>
      <c r="O38" s="3">
        <f t="shared" si="7"/>
        <v>0</v>
      </c>
      <c r="P38" s="2">
        <f t="shared" si="4"/>
        <v>1</v>
      </c>
      <c r="R38">
        <v>50</v>
      </c>
    </row>
    <row r="39" spans="10:24" x14ac:dyDescent="0.35">
      <c r="J39" s="14">
        <v>100</v>
      </c>
      <c r="K39" s="3">
        <f t="shared" si="7"/>
        <v>1</v>
      </c>
      <c r="L39" s="3">
        <f t="shared" si="7"/>
        <v>0</v>
      </c>
      <c r="M39" s="3">
        <f t="shared" si="7"/>
        <v>0</v>
      </c>
      <c r="N39" s="3">
        <f t="shared" si="7"/>
        <v>0</v>
      </c>
      <c r="O39" s="3">
        <f t="shared" si="7"/>
        <v>0</v>
      </c>
      <c r="P39" s="2">
        <f t="shared" si="4"/>
        <v>1</v>
      </c>
      <c r="R39">
        <v>100</v>
      </c>
      <c r="S39">
        <v>5.4000000000000003E-3</v>
      </c>
    </row>
    <row r="40" spans="10:24" x14ac:dyDescent="0.35">
      <c r="R40" t="s">
        <v>35</v>
      </c>
      <c r="S40" s="6">
        <f>SUM(S33:S37)</f>
        <v>0.99460000000000004</v>
      </c>
      <c r="T40" s="80">
        <f>SUM(T33:U37)</f>
        <v>9.274568671997388E-2</v>
      </c>
      <c r="U40" s="80"/>
      <c r="V40" s="6">
        <f>SUM(V33:V37)</f>
        <v>1.0489837188730092E-2</v>
      </c>
      <c r="W40" s="6">
        <f>SUM(W33:W37)</f>
        <v>4.8274338853494751E-3</v>
      </c>
    </row>
    <row r="41" spans="10:24" ht="43.5" x14ac:dyDescent="0.35">
      <c r="R41" s="9" t="s">
        <v>38</v>
      </c>
      <c r="T41" s="81">
        <f>T40/T11</f>
        <v>1.3</v>
      </c>
      <c r="U41" s="81"/>
      <c r="V41" s="12">
        <f>V40/V11</f>
        <v>2.1</v>
      </c>
      <c r="W41" s="12">
        <f>W40/W11</f>
        <v>1.5</v>
      </c>
      <c r="X41" s="12"/>
    </row>
    <row r="42" spans="10:24" ht="29" x14ac:dyDescent="0.35">
      <c r="R42" s="9" t="s">
        <v>36</v>
      </c>
      <c r="T42" s="82">
        <v>1.3</v>
      </c>
      <c r="U42" s="82"/>
      <c r="V42" s="14">
        <v>2.1</v>
      </c>
      <c r="W42" s="14">
        <v>1.5</v>
      </c>
    </row>
    <row r="43" spans="10:24" x14ac:dyDescent="0.35">
      <c r="R43" s="9" t="s">
        <v>40</v>
      </c>
      <c r="T43" s="83" t="b">
        <f>T41=T42</f>
        <v>1</v>
      </c>
      <c r="U43" s="77"/>
      <c r="V43" s="11" t="b">
        <f>V42=V41</f>
        <v>1</v>
      </c>
      <c r="W43" s="11" t="b">
        <f>W42=W41</f>
        <v>1</v>
      </c>
    </row>
    <row r="44" spans="10:24" x14ac:dyDescent="0.35">
      <c r="R44" s="9"/>
      <c r="T44" s="77"/>
      <c r="U44" s="77"/>
    </row>
  </sheetData>
  <mergeCells count="18">
    <mergeCell ref="T42:U42"/>
    <mergeCell ref="T43:U43"/>
    <mergeCell ref="T44:U44"/>
    <mergeCell ref="J30:P30"/>
    <mergeCell ref="T28:U28"/>
    <mergeCell ref="T27:U27"/>
    <mergeCell ref="S30:W30"/>
    <mergeCell ref="T40:U40"/>
    <mergeCell ref="T41:U41"/>
    <mergeCell ref="T23:U23"/>
    <mergeCell ref="T24:U24"/>
    <mergeCell ref="T11:U11"/>
    <mergeCell ref="T25:U25"/>
    <mergeCell ref="T26:U26"/>
    <mergeCell ref="A1:F1"/>
    <mergeCell ref="J1:P1"/>
    <mergeCell ref="S1:W1"/>
    <mergeCell ref="S13:W13"/>
  </mergeCells>
  <hyperlinks>
    <hyperlink ref="A13" r:id="rId1" xr:uid="{00000000-0004-0000-0000-000000000000}"/>
  </hyperlinks>
  <pageMargins left="0.7" right="0.7" top="0.75" bottom="0.75" header="0.3" footer="0.3"/>
  <pageSetup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5BEA-8F53-4533-8F93-063B86792D52}">
  <dimension ref="B1:Q22"/>
  <sheetViews>
    <sheetView zoomScale="145" zoomScaleNormal="145" workbookViewId="0">
      <selection activeCell="I7" sqref="I7"/>
    </sheetView>
  </sheetViews>
  <sheetFormatPr defaultRowHeight="14.5" x14ac:dyDescent="0.35"/>
  <cols>
    <col min="13" max="13" width="0" style="22" hidden="1" customWidth="1"/>
    <col min="14" max="16" width="0" hidden="1" customWidth="1"/>
  </cols>
  <sheetData>
    <row r="1" spans="2:16" s="9" customFormat="1" ht="43.5" customHeight="1" x14ac:dyDescent="0.35">
      <c r="C1" s="15"/>
      <c r="D1" s="16" t="s">
        <v>23</v>
      </c>
      <c r="E1" s="34" t="s">
        <v>20</v>
      </c>
      <c r="F1" s="88" t="s">
        <v>52</v>
      </c>
      <c r="G1" s="85"/>
      <c r="H1" s="84" t="s">
        <v>41</v>
      </c>
      <c r="I1" s="85"/>
      <c r="K1" s="88" t="s">
        <v>54</v>
      </c>
      <c r="L1" s="85"/>
      <c r="M1" s="89" t="s">
        <v>50</v>
      </c>
      <c r="N1" s="90"/>
      <c r="O1" s="89" t="s">
        <v>53</v>
      </c>
      <c r="P1" s="90"/>
    </row>
    <row r="2" spans="2:16" s="9" customFormat="1" ht="43.5" x14ac:dyDescent="0.35">
      <c r="C2" s="15"/>
      <c r="D2" s="17" t="s">
        <v>24</v>
      </c>
      <c r="E2" s="19" t="s">
        <v>21</v>
      </c>
      <c r="F2" s="42" t="s">
        <v>21</v>
      </c>
      <c r="G2" s="18" t="s">
        <v>26</v>
      </c>
      <c r="H2" s="19" t="s">
        <v>21</v>
      </c>
      <c r="I2" s="18" t="s">
        <v>26</v>
      </c>
      <c r="K2" s="42" t="s">
        <v>21</v>
      </c>
      <c r="L2" s="18" t="s">
        <v>26</v>
      </c>
      <c r="M2" s="42" t="s">
        <v>21</v>
      </c>
      <c r="N2" s="18" t="s">
        <v>26</v>
      </c>
      <c r="O2" s="42" t="s">
        <v>21</v>
      </c>
      <c r="P2" s="18" t="s">
        <v>26</v>
      </c>
    </row>
    <row r="3" spans="2:16" x14ac:dyDescent="0.35">
      <c r="B3" t="s">
        <v>47</v>
      </c>
      <c r="C3" s="20" t="s">
        <v>19</v>
      </c>
      <c r="D3" s="21"/>
      <c r="E3" s="50">
        <v>0.92300000000000004</v>
      </c>
      <c r="F3" s="55">
        <v>0.91300000000000003</v>
      </c>
      <c r="G3" s="56">
        <f>(F3-E3)/E3</f>
        <v>-1.0834236186348871E-2</v>
      </c>
      <c r="H3" s="53">
        <v>0.89219999999999999</v>
      </c>
      <c r="I3" s="23">
        <f t="shared" ref="I3:I17" si="0">(H3-E3)/E3</f>
        <v>-3.3369447453954551E-2</v>
      </c>
      <c r="K3" s="69">
        <v>0.90900000000000003</v>
      </c>
      <c r="L3" s="23">
        <f>(K3-E3)/E3</f>
        <v>-1.516793066088842E-2</v>
      </c>
      <c r="M3" s="43">
        <v>0.90580000000000005</v>
      </c>
      <c r="N3" s="23">
        <f>(M3-E3)/E3</f>
        <v>-1.8634886240520034E-2</v>
      </c>
      <c r="O3" s="43">
        <v>0.91300000000000003</v>
      </c>
      <c r="P3" s="23">
        <f>(O3-E3)/E3</f>
        <v>-1.0834236186348871E-2</v>
      </c>
    </row>
    <row r="4" spans="2:16" x14ac:dyDescent="0.35">
      <c r="C4" s="20" t="s">
        <v>15</v>
      </c>
      <c r="D4" s="86">
        <v>0.3</v>
      </c>
      <c r="E4" s="50">
        <v>3.2599999999999997E-2</v>
      </c>
      <c r="F4" s="55">
        <v>3.6400000000000002E-2</v>
      </c>
      <c r="G4" s="56">
        <f t="shared" ref="G4:G12" si="1">(F4-E4)/E4</f>
        <v>0.11656441717791427</v>
      </c>
      <c r="H4" s="53">
        <v>4.5199999999999997E-2</v>
      </c>
      <c r="I4" s="23">
        <f t="shared" si="0"/>
        <v>0.38650306748466262</v>
      </c>
      <c r="K4" s="69">
        <v>3.9199999999999999E-2</v>
      </c>
      <c r="L4" s="23">
        <f t="shared" ref="L4:L17" si="2">(K4-E4)/E4</f>
        <v>0.20245398773006143</v>
      </c>
      <c r="M4" s="43">
        <v>4.1799999999999997E-2</v>
      </c>
      <c r="N4" s="23">
        <f t="shared" ref="N4:N12" si="3">(M4-E4)/E4</f>
        <v>0.28220858895705525</v>
      </c>
      <c r="O4" s="43">
        <v>3.5999999999999997E-2</v>
      </c>
      <c r="P4" s="23">
        <f t="shared" ref="P4:P17" si="4">(O4-E4)/E4</f>
        <v>0.10429447852760738</v>
      </c>
    </row>
    <row r="5" spans="2:16" x14ac:dyDescent="0.35">
      <c r="C5" s="20" t="s">
        <v>16</v>
      </c>
      <c r="D5" s="87"/>
      <c r="E5" s="50">
        <v>3.6200000000000003E-2</v>
      </c>
      <c r="F5" s="55">
        <v>4.1000000000000002E-2</v>
      </c>
      <c r="G5" s="56">
        <f t="shared" si="1"/>
        <v>0.13259668508287289</v>
      </c>
      <c r="H5" s="53">
        <v>4.6800000000000001E-2</v>
      </c>
      <c r="I5" s="23">
        <f t="shared" si="0"/>
        <v>0.29281767955801097</v>
      </c>
      <c r="K5" s="69">
        <v>4.1599999999999998E-2</v>
      </c>
      <c r="L5" s="23">
        <f t="shared" si="2"/>
        <v>0.14917127071823189</v>
      </c>
      <c r="M5" s="43">
        <v>4.24E-2</v>
      </c>
      <c r="N5" s="23">
        <f t="shared" si="3"/>
        <v>0.17127071823204409</v>
      </c>
      <c r="O5" s="43">
        <v>4.1599999999999998E-2</v>
      </c>
      <c r="P5" s="23">
        <f t="shared" si="4"/>
        <v>0.14917127071823189</v>
      </c>
    </row>
    <row r="6" spans="2:16" x14ac:dyDescent="0.35">
      <c r="C6" s="20" t="s">
        <v>17</v>
      </c>
      <c r="D6" s="63">
        <v>1.1200000000000001</v>
      </c>
      <c r="E6" s="50">
        <v>5.4000000000000003E-3</v>
      </c>
      <c r="F6" s="55">
        <v>6.6E-3</v>
      </c>
      <c r="G6" s="56">
        <f t="shared" si="1"/>
        <v>0.22222222222222215</v>
      </c>
      <c r="H6" s="53">
        <v>1.18E-2</v>
      </c>
      <c r="I6" s="23">
        <f t="shared" si="0"/>
        <v>1.1851851851851851</v>
      </c>
      <c r="K6" s="69">
        <v>7.4000000000000003E-3</v>
      </c>
      <c r="L6" s="23">
        <f t="shared" si="2"/>
        <v>0.37037037037037035</v>
      </c>
      <c r="M6" s="43">
        <v>6.4000000000000003E-3</v>
      </c>
      <c r="N6" s="23">
        <f t="shared" si="3"/>
        <v>0.18518518518518517</v>
      </c>
      <c r="O6" s="43">
        <v>6.4000000000000003E-3</v>
      </c>
      <c r="P6" s="23">
        <f t="shared" si="4"/>
        <v>0.18518518518518517</v>
      </c>
    </row>
    <row r="7" spans="2:16" ht="15" thickBot="1" x14ac:dyDescent="0.4">
      <c r="C7" s="20" t="s">
        <v>18</v>
      </c>
      <c r="D7" s="64">
        <v>0.53</v>
      </c>
      <c r="E7" s="51">
        <v>3.2000000000000002E-3</v>
      </c>
      <c r="F7" s="57">
        <v>3.3999999999999998E-3</v>
      </c>
      <c r="G7" s="58">
        <f t="shared" si="1"/>
        <v>6.2499999999999889E-2</v>
      </c>
      <c r="H7" s="54">
        <v>4.4000000000000003E-3</v>
      </c>
      <c r="I7" s="52">
        <f t="shared" si="0"/>
        <v>0.375</v>
      </c>
      <c r="K7" s="70">
        <v>3.2000000000000002E-3</v>
      </c>
      <c r="L7" s="24">
        <f t="shared" si="2"/>
        <v>0</v>
      </c>
      <c r="M7" s="44">
        <v>4.0000000000000001E-3</v>
      </c>
      <c r="N7" s="24">
        <f t="shared" si="3"/>
        <v>0.24999999999999997</v>
      </c>
      <c r="O7" s="44">
        <v>3.3999999999999998E-3</v>
      </c>
      <c r="P7" s="24">
        <f t="shared" si="4"/>
        <v>6.2499999999999889E-2</v>
      </c>
    </row>
    <row r="8" spans="2:16" x14ac:dyDescent="0.35">
      <c r="B8" t="s">
        <v>48</v>
      </c>
      <c r="C8" s="20" t="s">
        <v>19</v>
      </c>
      <c r="D8" s="22"/>
      <c r="E8" s="26">
        <v>0.91579999999999995</v>
      </c>
      <c r="F8" s="66">
        <v>0.91149999999999998</v>
      </c>
      <c r="G8" s="59">
        <f t="shared" si="1"/>
        <v>-4.6953483293295161E-3</v>
      </c>
      <c r="H8" s="27">
        <v>0.88880000000000003</v>
      </c>
      <c r="I8" s="28">
        <f t="shared" si="0"/>
        <v>-2.9482419742301719E-2</v>
      </c>
      <c r="K8" s="71">
        <v>0.90380000000000005</v>
      </c>
      <c r="L8" s="40">
        <f t="shared" si="2"/>
        <v>-1.3103297663245141E-2</v>
      </c>
      <c r="M8" s="26">
        <v>0.90059999999999996</v>
      </c>
      <c r="N8" s="45">
        <f t="shared" si="3"/>
        <v>-1.6597510373443976E-2</v>
      </c>
      <c r="O8" s="46">
        <v>0.90780000000000005</v>
      </c>
      <c r="P8" s="40">
        <f t="shared" si="4"/>
        <v>-8.7355317754967202E-3</v>
      </c>
    </row>
    <row r="9" spans="2:16" x14ac:dyDescent="0.35">
      <c r="C9" s="20" t="s">
        <v>15</v>
      </c>
      <c r="E9" s="29">
        <v>4.1399999999999999E-2</v>
      </c>
      <c r="F9" s="67">
        <v>4.2799999999999998E-2</v>
      </c>
      <c r="G9" s="56">
        <f t="shared" si="1"/>
        <v>3.381642512077291E-2</v>
      </c>
      <c r="H9" s="25">
        <v>5.1200000000000002E-2</v>
      </c>
      <c r="I9" s="30">
        <f t="shared" si="0"/>
        <v>0.23671497584541071</v>
      </c>
      <c r="K9" s="72">
        <v>4.6399999999999997E-2</v>
      </c>
      <c r="L9" s="39">
        <f t="shared" si="2"/>
        <v>0.12077294685990332</v>
      </c>
      <c r="M9" s="47">
        <v>4.6800000000000001E-2</v>
      </c>
      <c r="N9" s="23">
        <f t="shared" si="3"/>
        <v>0.1304347826086957</v>
      </c>
      <c r="O9" s="38">
        <v>4.3799999999999999E-2</v>
      </c>
      <c r="P9" s="39">
        <f t="shared" si="4"/>
        <v>5.797101449275361E-2</v>
      </c>
    </row>
    <row r="10" spans="2:16" x14ac:dyDescent="0.35">
      <c r="C10" s="20" t="s">
        <v>16</v>
      </c>
      <c r="E10" s="29">
        <v>3.4599999999999999E-2</v>
      </c>
      <c r="F10" s="67">
        <v>3.6400000000000002E-2</v>
      </c>
      <c r="G10" s="56">
        <f t="shared" si="1"/>
        <v>5.2023121387283322E-2</v>
      </c>
      <c r="H10" s="25">
        <v>4.3799999999999999E-2</v>
      </c>
      <c r="I10" s="30">
        <f t="shared" si="0"/>
        <v>0.26589595375722541</v>
      </c>
      <c r="K10" s="72">
        <v>3.8800000000000001E-2</v>
      </c>
      <c r="L10" s="39">
        <f t="shared" si="2"/>
        <v>0.1213872832369943</v>
      </c>
      <c r="M10" s="47">
        <v>4.1399999999999999E-2</v>
      </c>
      <c r="N10" s="23">
        <f t="shared" si="3"/>
        <v>0.19653179190751446</v>
      </c>
      <c r="O10" s="38">
        <v>3.8800000000000001E-2</v>
      </c>
      <c r="P10" s="39">
        <f t="shared" si="4"/>
        <v>0.1213872832369943</v>
      </c>
    </row>
    <row r="11" spans="2:16" x14ac:dyDescent="0.35">
      <c r="C11" s="20" t="s">
        <v>17</v>
      </c>
      <c r="E11" s="29">
        <v>4.1999999999999997E-3</v>
      </c>
      <c r="F11" s="67">
        <v>5.0000000000000001E-3</v>
      </c>
      <c r="G11" s="56">
        <f t="shared" si="1"/>
        <v>0.19047619047619058</v>
      </c>
      <c r="H11" s="25">
        <v>1.04E-2</v>
      </c>
      <c r="I11" s="30">
        <f t="shared" si="0"/>
        <v>1.4761904761904763</v>
      </c>
      <c r="K11" s="72">
        <v>6.0000000000000001E-3</v>
      </c>
      <c r="L11" s="39">
        <f t="shared" si="2"/>
        <v>0.42857142857142871</v>
      </c>
      <c r="M11" s="47">
        <v>5.7999999999999996E-3</v>
      </c>
      <c r="N11" s="23">
        <f t="shared" si="3"/>
        <v>0.38095238095238093</v>
      </c>
      <c r="O11" s="38">
        <v>4.7999999999999996E-3</v>
      </c>
      <c r="P11" s="39">
        <f t="shared" si="4"/>
        <v>0.14285714285714282</v>
      </c>
    </row>
    <row r="12" spans="2:16" ht="15" thickBot="1" x14ac:dyDescent="0.4">
      <c r="C12" s="20" t="s">
        <v>18</v>
      </c>
      <c r="E12" s="31">
        <v>4.4000000000000003E-3</v>
      </c>
      <c r="F12" s="68">
        <v>5.1999999999999998E-3</v>
      </c>
      <c r="G12" s="60">
        <f t="shared" si="1"/>
        <v>0.18181818181818168</v>
      </c>
      <c r="H12" s="32">
        <v>6.1999999999999998E-3</v>
      </c>
      <c r="I12" s="33">
        <f t="shared" si="0"/>
        <v>0.40909090909090895</v>
      </c>
      <c r="K12" s="73">
        <v>5.4000000000000003E-3</v>
      </c>
      <c r="L12" s="41">
        <f t="shared" si="2"/>
        <v>0.22727272727272727</v>
      </c>
      <c r="M12" s="48">
        <v>5.7999999999999996E-3</v>
      </c>
      <c r="N12" s="24">
        <f t="shared" si="3"/>
        <v>0.31818181818181801</v>
      </c>
      <c r="O12" s="49">
        <v>5.1999999999999998E-3</v>
      </c>
      <c r="P12" s="41">
        <f t="shared" si="4"/>
        <v>0.18181818181818168</v>
      </c>
    </row>
    <row r="13" spans="2:16" x14ac:dyDescent="0.35">
      <c r="B13" t="s">
        <v>49</v>
      </c>
      <c r="C13" s="20" t="s">
        <v>19</v>
      </c>
      <c r="E13" s="35">
        <v>0.91969999999999996</v>
      </c>
      <c r="F13" s="61">
        <v>0.91149999999999998</v>
      </c>
      <c r="G13" s="59">
        <f>(F13-E13)/E13</f>
        <v>-8.9159508535391809E-3</v>
      </c>
      <c r="H13" s="36">
        <v>0.89090000000000003</v>
      </c>
      <c r="I13" s="28">
        <f t="shared" si="0"/>
        <v>-3.1314559095357117E-2</v>
      </c>
      <c r="K13" s="71">
        <v>0.90469999999999995</v>
      </c>
      <c r="L13" s="40">
        <f t="shared" si="2"/>
        <v>-1.6309666195498548E-2</v>
      </c>
      <c r="M13" s="26">
        <v>0.90190000000000003</v>
      </c>
      <c r="N13" s="45">
        <f>(M13-E13)/E13</f>
        <v>-1.9354137218658179E-2</v>
      </c>
      <c r="O13" s="46">
        <v>0.91390000000000005</v>
      </c>
      <c r="P13" s="40">
        <f t="shared" si="4"/>
        <v>-6.3064042622593417E-3</v>
      </c>
    </row>
    <row r="14" spans="2:16" x14ac:dyDescent="0.35">
      <c r="C14" s="20" t="s">
        <v>15</v>
      </c>
      <c r="E14" s="29">
        <v>3.9199999999999999E-2</v>
      </c>
      <c r="F14" s="55">
        <v>4.2799999999999998E-2</v>
      </c>
      <c r="G14" s="56">
        <f>(F14-E14)/E14</f>
        <v>9.1836734693877528E-2</v>
      </c>
      <c r="H14" s="25">
        <v>5.0299999999999997E-2</v>
      </c>
      <c r="I14" s="30">
        <f t="shared" si="0"/>
        <v>0.2831632653061224</v>
      </c>
      <c r="K14" s="72">
        <v>4.9200000000000001E-2</v>
      </c>
      <c r="L14" s="39">
        <f t="shared" si="2"/>
        <v>0.25510204081632659</v>
      </c>
      <c r="M14" s="47">
        <v>4.9200000000000001E-2</v>
      </c>
      <c r="N14" s="23">
        <f>(M14-E14)/E14</f>
        <v>0.25510204081632659</v>
      </c>
      <c r="O14" s="38">
        <v>4.1599999999999998E-2</v>
      </c>
      <c r="P14" s="39">
        <f t="shared" si="4"/>
        <v>6.1224489795918352E-2</v>
      </c>
    </row>
    <row r="15" spans="2:16" x14ac:dyDescent="0.35">
      <c r="C15" s="20" t="s">
        <v>16</v>
      </c>
      <c r="E15" s="29">
        <v>3.2599999999999997E-2</v>
      </c>
      <c r="F15" s="55">
        <v>3.6400000000000002E-2</v>
      </c>
      <c r="G15" s="56">
        <f>(F15-E15)/E15</f>
        <v>0.11656441717791427</v>
      </c>
      <c r="H15" s="25">
        <v>4.4200000000000003E-2</v>
      </c>
      <c r="I15" s="30">
        <f t="shared" si="0"/>
        <v>0.35582822085889593</v>
      </c>
      <c r="K15" s="72">
        <v>3.6799999999999999E-2</v>
      </c>
      <c r="L15" s="39">
        <f t="shared" si="2"/>
        <v>0.12883435582822095</v>
      </c>
      <c r="M15" s="47">
        <v>3.8600000000000002E-2</v>
      </c>
      <c r="N15" s="23">
        <f>(M15-E15)/E15</f>
        <v>0.18404907975460141</v>
      </c>
      <c r="O15" s="38">
        <v>3.5799999999999998E-2</v>
      </c>
      <c r="P15" s="39">
        <f t="shared" si="4"/>
        <v>9.8159509202454046E-2</v>
      </c>
    </row>
    <row r="16" spans="2:16" x14ac:dyDescent="0.35">
      <c r="C16" s="20" t="s">
        <v>17</v>
      </c>
      <c r="E16" s="29">
        <v>5.5999999999999999E-3</v>
      </c>
      <c r="F16" s="55">
        <v>5.0000000000000001E-3</v>
      </c>
      <c r="G16" s="56">
        <f>(F16-E16)/E16</f>
        <v>-0.10714285714285711</v>
      </c>
      <c r="H16" s="25">
        <v>9.1999999999999998E-3</v>
      </c>
      <c r="I16" s="30">
        <f t="shared" si="0"/>
        <v>0.64285714285714279</v>
      </c>
      <c r="K16" s="72">
        <v>5.1999999999999998E-3</v>
      </c>
      <c r="L16" s="39">
        <f t="shared" si="2"/>
        <v>-7.1428571428571466E-2</v>
      </c>
      <c r="M16" s="47">
        <v>5.1999999999999998E-3</v>
      </c>
      <c r="N16" s="23">
        <f>(M16-E16)/E16</f>
        <v>-7.1428571428571466E-2</v>
      </c>
      <c r="O16" s="38">
        <v>4.7999999999999996E-3</v>
      </c>
      <c r="P16" s="39">
        <f t="shared" si="4"/>
        <v>-0.14285714285714293</v>
      </c>
    </row>
    <row r="17" spans="2:17" ht="15" thickBot="1" x14ac:dyDescent="0.4">
      <c r="C17" s="20" t="s">
        <v>18</v>
      </c>
      <c r="E17" s="31">
        <v>3.5999999999999999E-3</v>
      </c>
      <c r="F17" s="62">
        <v>5.1999999999999998E-3</v>
      </c>
      <c r="G17" s="60">
        <f>(F17-E17)/E17</f>
        <v>0.44444444444444442</v>
      </c>
      <c r="H17" s="32">
        <v>6.4000000000000003E-3</v>
      </c>
      <c r="I17" s="33">
        <f t="shared" si="0"/>
        <v>0.7777777777777779</v>
      </c>
      <c r="K17" s="73">
        <v>5.0000000000000001E-3</v>
      </c>
      <c r="L17" s="41">
        <f t="shared" si="2"/>
        <v>0.38888888888888895</v>
      </c>
      <c r="M17" s="48">
        <v>6.0000000000000001E-3</v>
      </c>
      <c r="N17" s="24">
        <f>(M17-E17)/E17</f>
        <v>0.66666666666666674</v>
      </c>
      <c r="O17" s="49">
        <v>5.0000000000000001E-3</v>
      </c>
      <c r="P17" s="41">
        <f t="shared" si="4"/>
        <v>0.38888888888888895</v>
      </c>
    </row>
    <row r="18" spans="2:17" x14ac:dyDescent="0.35">
      <c r="B18" t="s">
        <v>51</v>
      </c>
    </row>
    <row r="19" spans="2:17" x14ac:dyDescent="0.35">
      <c r="C19" s="20" t="s">
        <v>15</v>
      </c>
      <c r="G19" s="37">
        <f>AVERAGE(G4,G9,G14)</f>
        <v>8.07391923308549E-2</v>
      </c>
      <c r="I19" s="37">
        <f>AVERAGE(I4,I9,I14)</f>
        <v>0.30212710287873196</v>
      </c>
      <c r="K19" s="20" t="s">
        <v>15</v>
      </c>
      <c r="L19" s="65">
        <f>AVERAGE(L4,L9,L14)</f>
        <v>0.19277632513543044</v>
      </c>
      <c r="N19" s="37">
        <f>AVERAGE(N4,N9,N14)</f>
        <v>0.22258180412735917</v>
      </c>
      <c r="P19" s="37">
        <f>AVERAGE(P4,P9,P14)</f>
        <v>7.4496660938759784E-2</v>
      </c>
      <c r="Q19">
        <v>26</v>
      </c>
    </row>
    <row r="20" spans="2:17" x14ac:dyDescent="0.35">
      <c r="C20" s="20" t="s">
        <v>16</v>
      </c>
      <c r="G20" s="37">
        <f>AVERAGE(G5,G10,G15)</f>
        <v>0.1003947412160235</v>
      </c>
      <c r="I20" s="37">
        <f>AVERAGE(I5,I10,I15)</f>
        <v>0.30484728472471079</v>
      </c>
      <c r="K20" s="20" t="s">
        <v>16</v>
      </c>
      <c r="L20" s="65">
        <f t="shared" ref="L20:N21" si="5">AVERAGE(L5,L10,L15)</f>
        <v>0.13313096992781573</v>
      </c>
      <c r="N20" s="37">
        <f t="shared" si="5"/>
        <v>0.18395052996471997</v>
      </c>
      <c r="P20" s="37">
        <f>AVERAGE(P5,P10,P15)</f>
        <v>0.12290602105256009</v>
      </c>
      <c r="Q20">
        <v>15</v>
      </c>
    </row>
    <row r="21" spans="2:17" x14ac:dyDescent="0.35">
      <c r="C21" s="20" t="s">
        <v>17</v>
      </c>
      <c r="G21" s="37">
        <f>AVERAGE(G6,G11,G16)</f>
        <v>0.10185185185185187</v>
      </c>
      <c r="I21" s="37">
        <f>AVERAGE(I6,I11,I16)</f>
        <v>1.101410934744268</v>
      </c>
      <c r="K21" s="20" t="s">
        <v>17</v>
      </c>
      <c r="L21" s="65">
        <f t="shared" si="5"/>
        <v>0.24250440917107585</v>
      </c>
      <c r="N21" s="37">
        <f t="shared" si="5"/>
        <v>0.16490299823633153</v>
      </c>
      <c r="P21" s="37">
        <f>AVERAGE(P6,P11,P16)</f>
        <v>6.1728395061728364E-2</v>
      </c>
      <c r="Q21">
        <v>43</v>
      </c>
    </row>
    <row r="22" spans="2:17" x14ac:dyDescent="0.35">
      <c r="C22" s="20" t="s">
        <v>18</v>
      </c>
      <c r="G22" s="37">
        <f>AVERAGE(G7,G12,G17)</f>
        <v>0.22958754208754198</v>
      </c>
      <c r="I22" s="37">
        <f>AVERAGE(I7,I12,I17)</f>
        <v>0.52062289562289565</v>
      </c>
      <c r="K22" s="20" t="s">
        <v>18</v>
      </c>
      <c r="L22" s="65">
        <f>AVERAGE(L7,L12,L17)</f>
        <v>0.20538720538720542</v>
      </c>
      <c r="N22" s="37">
        <f>AVERAGE(N7,N12,N17)</f>
        <v>0.4116161616161616</v>
      </c>
      <c r="P22" s="37">
        <f>AVERAGE(P7,P12,P17)</f>
        <v>0.21106902356902349</v>
      </c>
      <c r="Q22">
        <v>39</v>
      </c>
    </row>
  </sheetData>
  <mergeCells count="6">
    <mergeCell ref="H1:I1"/>
    <mergeCell ref="D4:D5"/>
    <mergeCell ref="K1:L1"/>
    <mergeCell ref="M1:N1"/>
    <mergeCell ref="O1:P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1B4E-D3F9-4C83-8878-D0FC1CFA8CEE}">
  <dimension ref="A1:F7"/>
  <sheetViews>
    <sheetView tabSelected="1" workbookViewId="0">
      <selection activeCell="G11" sqref="G11"/>
    </sheetView>
  </sheetViews>
  <sheetFormatPr defaultRowHeight="14.5" x14ac:dyDescent="0.35"/>
  <cols>
    <col min="4" max="4" width="11.26953125" customWidth="1"/>
  </cols>
  <sheetData>
    <row r="1" spans="1:6" ht="29" x14ac:dyDescent="0.35">
      <c r="A1" s="9"/>
      <c r="B1" s="15"/>
      <c r="C1" s="16" t="s">
        <v>23</v>
      </c>
      <c r="D1" s="16" t="s">
        <v>20</v>
      </c>
      <c r="E1" s="88" t="s">
        <v>41</v>
      </c>
      <c r="F1" s="85"/>
    </row>
    <row r="2" spans="1:6" ht="43.5" x14ac:dyDescent="0.35">
      <c r="A2" s="9"/>
      <c r="B2" s="15"/>
      <c r="C2" s="17" t="s">
        <v>24</v>
      </c>
      <c r="D2" s="17" t="s">
        <v>55</v>
      </c>
      <c r="E2" s="42" t="s">
        <v>21</v>
      </c>
      <c r="F2" s="18" t="s">
        <v>26</v>
      </c>
    </row>
    <row r="3" spans="1:6" x14ac:dyDescent="0.35">
      <c r="A3" t="s">
        <v>47</v>
      </c>
      <c r="B3" s="20" t="s">
        <v>19</v>
      </c>
      <c r="C3" s="21"/>
      <c r="D3" s="91">
        <v>0.92</v>
      </c>
      <c r="E3" s="43">
        <v>0.88619999999999999</v>
      </c>
      <c r="F3" s="23">
        <f>(E3-D3)/D3</f>
        <v>-3.6739130434782663E-2</v>
      </c>
    </row>
    <row r="4" spans="1:6" x14ac:dyDescent="0.35">
      <c r="B4" s="20" t="s">
        <v>15</v>
      </c>
      <c r="C4" s="86">
        <v>0.3</v>
      </c>
      <c r="D4" s="91">
        <v>3.7999999999999999E-2</v>
      </c>
      <c r="E4" s="43">
        <v>5.2999999999999999E-2</v>
      </c>
      <c r="F4" s="23">
        <f>(E4-D4)/D4</f>
        <v>0.39473684210526316</v>
      </c>
    </row>
    <row r="5" spans="1:6" x14ac:dyDescent="0.35">
      <c r="B5" s="20" t="s">
        <v>16</v>
      </c>
      <c r="C5" s="87"/>
      <c r="D5" s="91">
        <v>3.3799999999999997E-2</v>
      </c>
      <c r="E5" s="43">
        <v>4.3999999999999997E-2</v>
      </c>
      <c r="F5" s="23">
        <f>(E5-D5)/D5</f>
        <v>0.30177514792899413</v>
      </c>
    </row>
    <row r="6" spans="1:6" x14ac:dyDescent="0.35">
      <c r="B6" s="20" t="s">
        <v>17</v>
      </c>
      <c r="C6" s="63">
        <v>1.1200000000000001</v>
      </c>
      <c r="D6" s="91">
        <v>5.1999999999999998E-3</v>
      </c>
      <c r="E6" s="43">
        <v>1.14E-2</v>
      </c>
      <c r="F6" s="23">
        <f>(E6-D6)/D6</f>
        <v>1.1923076923076925</v>
      </c>
    </row>
    <row r="7" spans="1:6" ht="15" thickBot="1" x14ac:dyDescent="0.4">
      <c r="B7" s="20" t="s">
        <v>18</v>
      </c>
      <c r="C7" s="64">
        <v>0.53</v>
      </c>
      <c r="D7" s="92">
        <v>3.2000000000000002E-3</v>
      </c>
      <c r="E7" s="44">
        <v>5.4000000000000003E-3</v>
      </c>
      <c r="F7" s="24">
        <f>(E7-D7)/D7</f>
        <v>0.6875</v>
      </c>
    </row>
  </sheetData>
  <mergeCells count="2">
    <mergeCell ref="E1:F1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Healthcare use by asthma contro</vt:lpstr>
      <vt:lpstr>Calibration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2023-11-09T00:35:02Z</dcterms:created>
  <dcterms:modified xsi:type="dcterms:W3CDTF">2024-01-03T19:53:23Z</dcterms:modified>
</cp:coreProperties>
</file>