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maya\Box\AA_Sigal_Documents\Climate - Health\Modeling\Calibration\Asthma states\"/>
    </mc:Choice>
  </mc:AlternateContent>
  <xr:revisionPtr revIDLastSave="0" documentId="13_ncr:1_{468717BB-80F6-4CB7-B67D-143F5DEF58DC}" xr6:coauthVersionLast="47" xr6:coauthVersionMax="47" xr10:uidLastSave="{00000000-0000-0000-0000-000000000000}"/>
  <bookViews>
    <workbookView xWindow="-110" yWindow="-110" windowWidth="19420" windowHeight="10420" activeTab="2" xr2:uid="{95115A8E-B4AD-A141-83E3-2764AA2AD3E5}"/>
  </bookViews>
  <sheets>
    <sheet name="Calibrate2distribution" sheetId="1" r:id="rId1"/>
    <sheet name="Methodology" sheetId="2" r:id="rId2"/>
    <sheet name="Check-calib2transprob"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6" i="4" l="1"/>
  <c r="L26" i="4"/>
  <c r="J26" i="4"/>
  <c r="M24" i="4"/>
  <c r="L24" i="4"/>
  <c r="J24" i="4"/>
  <c r="J21" i="4"/>
  <c r="K21" i="4"/>
  <c r="L21" i="4"/>
  <c r="M21" i="4"/>
  <c r="N21" i="4"/>
  <c r="O21" i="4"/>
  <c r="J22" i="4"/>
  <c r="O22" i="4" s="1"/>
  <c r="K22" i="4"/>
  <c r="L22" i="4"/>
  <c r="M22" i="4"/>
  <c r="N22" i="4"/>
  <c r="C20" i="4"/>
  <c r="C21" i="4" s="1"/>
  <c r="D20" i="4"/>
  <c r="E20" i="4"/>
  <c r="D21" i="4"/>
  <c r="D19" i="4"/>
  <c r="E19" i="4"/>
  <c r="C19" i="4"/>
  <c r="F19" i="4" s="1"/>
  <c r="F20" i="4"/>
  <c r="F18" i="4"/>
  <c r="D17" i="4"/>
  <c r="E17" i="4"/>
  <c r="C17" i="4"/>
  <c r="J20" i="4"/>
  <c r="K20" i="4"/>
  <c r="L20" i="4"/>
  <c r="M20" i="4"/>
  <c r="N20" i="4"/>
  <c r="K19" i="4"/>
  <c r="L19" i="4"/>
  <c r="M19" i="4"/>
  <c r="N19" i="4"/>
  <c r="J19" i="4"/>
  <c r="K18" i="4"/>
  <c r="J18" i="4"/>
  <c r="O20" i="4"/>
  <c r="K17" i="4"/>
  <c r="L17" i="4"/>
  <c r="M17" i="4"/>
  <c r="N17" i="4"/>
  <c r="J17" i="4"/>
  <c r="C14" i="4"/>
  <c r="G14" i="4" s="1"/>
  <c r="C13" i="4"/>
  <c r="G13" i="4" s="1"/>
  <c r="E12" i="4"/>
  <c r="G12" i="4"/>
  <c r="O15" i="4"/>
  <c r="O14" i="4"/>
  <c r="O13" i="4"/>
  <c r="O12" i="4"/>
  <c r="O11" i="4"/>
  <c r="N15" i="4"/>
  <c r="M14" i="4"/>
  <c r="L13" i="4"/>
  <c r="K12" i="4"/>
  <c r="J11" i="4"/>
  <c r="O24" i="4" l="1"/>
  <c r="E21" i="4"/>
  <c r="E22" i="4" s="1"/>
  <c r="O19" i="4"/>
  <c r="O18" i="4"/>
  <c r="C22" i="4" l="1"/>
  <c r="D22" i="4"/>
  <c r="F21" i="4"/>
  <c r="K5" i="1"/>
  <c r="J5" i="1"/>
  <c r="I5" i="1"/>
  <c r="O16" i="1"/>
  <c r="J16" i="1"/>
  <c r="K15" i="1"/>
  <c r="K14" i="1"/>
  <c r="K16" i="1" s="1"/>
  <c r="I12" i="1"/>
  <c r="I11" i="1"/>
  <c r="E12" i="1"/>
  <c r="G12" i="1" s="1"/>
  <c r="E18" i="1"/>
  <c r="F18" i="1"/>
  <c r="F19" i="1"/>
  <c r="E20" i="1"/>
  <c r="F20" i="1"/>
  <c r="E21" i="1"/>
  <c r="F21" i="1"/>
  <c r="E22" i="1"/>
  <c r="F22" i="1"/>
  <c r="D19" i="1"/>
  <c r="D20" i="1"/>
  <c r="D21" i="1"/>
  <c r="D22" i="1"/>
  <c r="D18" i="1"/>
  <c r="F6" i="1"/>
  <c r="F7" i="1" s="1"/>
  <c r="D6" i="1"/>
  <c r="D7" i="1" s="1"/>
  <c r="M16" i="1"/>
  <c r="G5" i="1"/>
  <c r="L5" i="1" s="1"/>
  <c r="G13" i="1"/>
  <c r="G14" i="1"/>
  <c r="G15" i="1"/>
  <c r="G11" i="1"/>
  <c r="F22" i="4" l="1"/>
  <c r="L13" i="1"/>
  <c r="L12" i="1"/>
  <c r="E19" i="1"/>
  <c r="G19" i="1" s="1"/>
  <c r="I16" i="1"/>
  <c r="E6" i="1"/>
  <c r="E7" i="1" s="1"/>
  <c r="G7" i="1" s="1"/>
  <c r="L14" i="1"/>
  <c r="L11" i="1"/>
  <c r="P11" i="1" s="1"/>
  <c r="L15" i="1"/>
  <c r="G22" i="1"/>
  <c r="G21" i="1"/>
  <c r="G18" i="1"/>
  <c r="F23" i="1"/>
  <c r="F28" i="1" s="1"/>
  <c r="G20" i="1"/>
  <c r="D23" i="1"/>
  <c r="D30" i="1" s="1"/>
  <c r="O26" i="4" l="1"/>
  <c r="E23" i="1"/>
  <c r="E29" i="1" s="1"/>
  <c r="G6" i="1"/>
  <c r="N15" i="1"/>
  <c r="P15" i="1"/>
  <c r="N14" i="1"/>
  <c r="P14" i="1"/>
  <c r="N12" i="1"/>
  <c r="P12" i="1"/>
  <c r="N13" i="1"/>
  <c r="P13" i="1"/>
  <c r="L16" i="1"/>
  <c r="N11" i="1"/>
  <c r="G23" i="1"/>
  <c r="F27" i="1"/>
  <c r="F29" i="1"/>
  <c r="F31" i="1"/>
  <c r="F30" i="1"/>
  <c r="D27" i="1"/>
  <c r="D28" i="1"/>
  <c r="D29" i="1"/>
  <c r="D31" i="1"/>
  <c r="E30" i="1" l="1"/>
  <c r="F24" i="1"/>
  <c r="E31" i="1"/>
  <c r="E28" i="1"/>
  <c r="E27" i="1"/>
  <c r="P16" i="1"/>
  <c r="N16" i="1"/>
  <c r="F32" i="1"/>
  <c r="D32" i="1"/>
  <c r="E3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Maya, Sigal</author>
    <author>James G. Kahn</author>
  </authors>
  <commentList>
    <comment ref="I4" authorId="0" shapeId="0" xr:uid="{D54D6780-D81B-40E9-97CB-545D4B4275F3}">
      <text>
        <r>
          <rPr>
            <b/>
            <sz val="9"/>
            <color indexed="81"/>
            <rFont val="Tahoma"/>
            <family val="2"/>
          </rPr>
          <t>Maya, Sigal:</t>
        </r>
        <r>
          <rPr>
            <sz val="9"/>
            <color indexed="81"/>
            <rFont val="Tahoma"/>
            <family val="2"/>
          </rPr>
          <t xml:space="preserve">
LOOK AT OTHER MODEL STUDIES FOR THIS!</t>
        </r>
      </text>
    </comment>
    <comment ref="C5" authorId="0" shapeId="0" xr:uid="{55FF8238-7534-4AD3-94E5-602CC4918628}">
      <text>
        <r>
          <rPr>
            <b/>
            <sz val="9"/>
            <color indexed="81"/>
            <rFont val="Tahoma"/>
            <family val="2"/>
          </rPr>
          <t>Maya, Sigal:</t>
        </r>
        <r>
          <rPr>
            <sz val="9"/>
            <color indexed="81"/>
            <rFont val="Tahoma"/>
            <family val="2"/>
          </rPr>
          <t xml:space="preserve">
See Methodology tab for sources</t>
        </r>
      </text>
    </comment>
    <comment ref="M10" authorId="1" shapeId="0" xr:uid="{3FD835AC-A493-044C-A2E3-9D862BFC543E}">
      <text>
        <r>
          <rPr>
            <sz val="10"/>
            <color rgb="FF000000"/>
            <rFont val="Tahoma"/>
            <family val="2"/>
          </rPr>
          <t xml:space="preserve">Determined by transition probabilities.
</t>
        </r>
        <r>
          <rPr>
            <sz val="10"/>
            <color rgb="FF000000"/>
            <rFont val="Tahoma"/>
            <family val="2"/>
          </rPr>
          <t xml:space="preserve">
</t>
        </r>
        <r>
          <rPr>
            <sz val="10"/>
            <color rgb="FF000000"/>
            <rFont val="Tahoma"/>
            <family val="2"/>
          </rPr>
          <t>i.e., internal targets for calibration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Maya, Sigal</author>
  </authors>
  <commentList>
    <comment ref="K11" authorId="0" shapeId="0" xr:uid="{E2357095-D010-430C-887E-4139A3AC79B1}">
      <text>
        <r>
          <rPr>
            <b/>
            <sz val="9"/>
            <color indexed="81"/>
            <rFont val="Tahoma"/>
            <family val="2"/>
          </rPr>
          <t>Maya, Sigal:</t>
        </r>
        <r>
          <rPr>
            <sz val="9"/>
            <color indexed="81"/>
            <rFont val="Tahoma"/>
            <family val="2"/>
          </rPr>
          <t xml:space="preserve">
p.1.212, value A</t>
        </r>
      </text>
    </comment>
    <comment ref="L11" authorId="0" shapeId="0" xr:uid="{42C63862-EDE6-4A62-A365-E57A3853007A}">
      <text>
        <r>
          <rPr>
            <b/>
            <sz val="9"/>
            <color indexed="81"/>
            <rFont val="Tahoma"/>
            <family val="2"/>
          </rPr>
          <t>Maya, Sigal:</t>
        </r>
        <r>
          <rPr>
            <sz val="9"/>
            <color indexed="81"/>
            <rFont val="Tahoma"/>
            <family val="2"/>
          </rPr>
          <t xml:space="preserve">
p.1.212, value B</t>
        </r>
      </text>
    </comment>
  </commentList>
</comments>
</file>

<file path=xl/sharedStrings.xml><?xml version="1.0" encoding="utf-8"?>
<sst xmlns="http://schemas.openxmlformats.org/spreadsheetml/2006/main" count="91" uniqueCount="72">
  <si>
    <t>calculated based on 1-5 values + co-distrib</t>
  </si>
  <si>
    <t>CHARM 5 to 3 state calibration</t>
  </si>
  <si>
    <t>Dividing 100 individuals</t>
  </si>
  <si>
    <t>Probabilities of 12345 given ABC</t>
  </si>
  <si>
    <t>inputs</t>
  </si>
  <si>
    <t>delta (want to minimize)</t>
  </si>
  <si>
    <t>Probabilities of 12345 given ABC (calculated)</t>
  </si>
  <si>
    <t>Co-distribution aka crosswalks (expert opinion) Choose method based on direction</t>
  </si>
  <si>
    <t>Method I - Specify ABC given 12345</t>
  </si>
  <si>
    <t>Method II - Specify 12345 given ABC</t>
  </si>
  <si>
    <t>A - uncontrolled</t>
  </si>
  <si>
    <t>B - partly controlled</t>
  </si>
  <si>
    <t>1 - not controlled at all</t>
  </si>
  <si>
    <t>2 - poorly controlled</t>
  </si>
  <si>
    <t>3 - somewhat controlled</t>
  </si>
  <si>
    <t>5 - completely controlled</t>
  </si>
  <si>
    <t>4 - well-controlled</t>
  </si>
  <si>
    <t>C - controlled</t>
  </si>
  <si>
    <t xml:space="preserve">This calibration worksheet converts the distribution of asthma across 3 health states into distribution across 5 health states. </t>
  </si>
  <si>
    <t>In Method 2, the 3-way prevalence is known, and the probability of the 5 states given occupying one of the 3 states is used to calculate 5-way prevalence.</t>
  </si>
  <si>
    <t>As of 2/28/2023, we are using Method 2.</t>
  </si>
  <si>
    <t>In Method 1, the 3-way prevalence is known, and the probability (co-distribution) of the 3 states given occupying one of 5 states is used to calculate 5-way prevalence.</t>
  </si>
  <si>
    <t>The ACT uses 3 categories to describe asthma patients: well-controlled, not well-controlled, very poorly controlled)</t>
  </si>
  <si>
    <t xml:space="preserve">The physician global assessment scores used 5 categories: not controlled, poorly controlled, somewhat controlled, well controlled, and completely controlled. </t>
  </si>
  <si>
    <t>In order to compare the two measures, Soler et al collapsed the physician assessment scores into 3 groups:</t>
  </si>
  <si>
    <t>Not controlled or poorly controlled was grouped together as "poorly controlled"</t>
  </si>
  <si>
    <t>Somewhat controlled remained the same</t>
  </si>
  <si>
    <t xml:space="preserve">Well-controlled and completely controlled were grouped together as "good control". </t>
  </si>
  <si>
    <t>The manuscript did not report the distribution of dissagregated physician assessment scores, thus we relied on Schatz et al. (2007) to obtain the distribution.</t>
  </si>
  <si>
    <t>Schatz et al. conducted a similar study to Soler et al., and while they did not collapse the 5-category physician assessment into 3 groups, they did report the distribution across the 5 categories at baseline (Table I).</t>
  </si>
  <si>
    <t xml:space="preserve">We then applied the grouping from Soler et al. to the prevalence distribution in Schatz et al in order to populate the calculation table for Method 2, as well as the distribution of 3-way prevalences. </t>
  </si>
  <si>
    <t>We then plugged in the 5-way prevalence into the model and iteratively adjusted the state transition probability matrix to achieve equilibrium while minimizing the "delta" (difference between model-derived prevalence and Method 2-calculated prevalence).</t>
  </si>
  <si>
    <t xml:space="preserve">To obtain the co-distribution of prevalence, we followed the example set in Soler et al (2019). Their study aimed to validate the Asthma Control Test (ACT) questionnaire, and compared ACT scores to physician global assessment scores for a sample of smoking asthmatics. </t>
  </si>
  <si>
    <t>Model at Initiation</t>
  </si>
  <si>
    <t>Model @ Equilibrium</t>
  </si>
  <si>
    <t>target 3-way prevalence @ Equilibrium</t>
  </si>
  <si>
    <t>Main Calibra</t>
  </si>
  <si>
    <t>Lit.</t>
  </si>
  <si>
    <t>Delta</t>
  </si>
  <si>
    <t>Delta vs Lit.</t>
  </si>
  <si>
    <t>Probabilities of ABC given 12345 (placeholder values)</t>
  </si>
  <si>
    <t>use mean of all cycles</t>
  </si>
  <si>
    <t xml:space="preserve">Note: Schatz et al. studied individuals with asthma who had not been in care, which might have biased the sample towards more controlled asthma.  </t>
  </si>
  <si>
    <t>To confirm, we identified another study (Garcia-Marcos 2023) who analyzed asthma control in 25 countries. The 3-way prevalence was similar in high-income countries to that in Schatz et al. (uncontrolled: 0.233, partly controlled: 0.249, controlled: 0.518)</t>
  </si>
  <si>
    <t>Check calibrated 5-state model transition probabilities against published 3-state transition probabilities</t>
  </si>
  <si>
    <t>3-state model from Bateman 2010, Table 2</t>
  </si>
  <si>
    <t>Note: This is actually a 4-state model, the 4th being "exacerbation". However, the transition probability into this state (from any index state) is negligible, therefore we treat is as a 3-state model.</t>
  </si>
  <si>
    <t>Note 2: Table 2 provides transition probability matrices for different treatment groups, but they are no significant differences between any group. Here, I use the "same maintenance dose ICS/LABA + SABA" group</t>
  </si>
  <si>
    <t>Control status in index week</t>
  </si>
  <si>
    <t>Controlled</t>
  </si>
  <si>
    <t>Partly controlled</t>
  </si>
  <si>
    <t>Uncontrolled</t>
  </si>
  <si>
    <t>Ex</t>
  </si>
  <si>
    <t>Control status in the following week</t>
  </si>
  <si>
    <t>Note 3: These are weekly probabilities. Our model is two-weeks. Converted version is below the original.</t>
  </si>
  <si>
    <t>1 - completely controlled</t>
  </si>
  <si>
    <t>2 - well-controlled</t>
  </si>
  <si>
    <t>4 - Poorly controlled</t>
  </si>
  <si>
    <t>5 - Not controlled at all</t>
  </si>
  <si>
    <t>Prevalence at steady-state</t>
  </si>
  <si>
    <t>Weekly probs</t>
  </si>
  <si>
    <t>Week 0 dist'n</t>
  </si>
  <si>
    <t>Week 2 dist'n</t>
  </si>
  <si>
    <t>Week 4 dist'n</t>
  </si>
  <si>
    <t>sum</t>
  </si>
  <si>
    <t>Collapse groups:</t>
  </si>
  <si>
    <t>Week 1 dist'n</t>
  </si>
  <si>
    <t>Week 3 dist'n</t>
  </si>
  <si>
    <t>Week 6 dist'n</t>
  </si>
  <si>
    <t>Week 8 dist'n</t>
  </si>
  <si>
    <t>Iter.</t>
  </si>
  <si>
    <t>2-weekly probs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</si>
</sst>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16" x14ac:knownFonts="1">
    <font>
      <sz val="12"/>
      <color theme="1"/>
      <name val="Calibri"/>
      <family val="2"/>
      <scheme val="minor"/>
    </font>
    <font>
      <sz val="11"/>
      <color theme="1"/>
      <name val="Calibri"/>
      <family val="2"/>
      <scheme val="minor"/>
    </font>
    <font>
      <sz val="12"/>
      <color rgb="FFFF0000"/>
      <name val="Calibri"/>
      <family val="2"/>
      <scheme val="minor"/>
    </font>
    <font>
      <b/>
      <sz val="12"/>
      <color theme="1"/>
      <name val="Calibri"/>
      <family val="2"/>
      <scheme val="minor"/>
    </font>
    <font>
      <i/>
      <sz val="12"/>
      <color theme="1"/>
      <name val="Calibri"/>
      <family val="2"/>
      <scheme val="minor"/>
    </font>
    <font>
      <i/>
      <sz val="12"/>
      <color rgb="FF000AFF"/>
      <name val="Calibri"/>
      <family val="2"/>
      <scheme val="minor"/>
    </font>
    <font>
      <sz val="10"/>
      <color rgb="FF000000"/>
      <name val="Tahoma"/>
      <family val="2"/>
    </font>
    <font>
      <u/>
      <sz val="12"/>
      <color theme="10"/>
      <name val="Calibri"/>
      <family val="2"/>
      <scheme val="minor"/>
    </font>
    <font>
      <sz val="9"/>
      <color indexed="81"/>
      <name val="Tahoma"/>
      <family val="2"/>
    </font>
    <font>
      <b/>
      <sz val="9"/>
      <color indexed="81"/>
      <name val="Tahoma"/>
      <family val="2"/>
    </font>
    <font>
      <b/>
      <sz val="11"/>
      <color theme="1"/>
      <name val="Calibri"/>
      <family val="2"/>
      <scheme val="minor"/>
    </font>
    <font>
      <sz val="11"/>
      <name val="Calibri"/>
      <family val="2"/>
      <scheme val="minor"/>
    </font>
    <font>
      <b/>
      <sz val="11"/>
      <name val="Calibri"/>
      <family val="2"/>
      <scheme val="minor"/>
    </font>
    <font>
      <i/>
      <sz val="12"/>
      <color theme="2" tint="-0.89999084444715716"/>
      <name val="Calibri"/>
      <family val="2"/>
      <scheme val="minor"/>
    </font>
    <font>
      <b/>
      <i/>
      <sz val="12"/>
      <color theme="1"/>
      <name val="Calibri"/>
      <family val="2"/>
      <scheme val="minor"/>
    </font>
    <font>
      <sz val="12"/>
      <color theme="2" tint="-0.499984740745262"/>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CCCC"/>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7" fillId="0" borderId="0" applyNumberFormat="0" applyFill="0" applyBorder="0" applyAlignment="0" applyProtection="0"/>
  </cellStyleXfs>
  <cellXfs count="106">
    <xf numFmtId="0" fontId="0" fillId="0" borderId="0" xfId="0"/>
    <xf numFmtId="0" fontId="0" fillId="0" borderId="0" xfId="0" applyAlignment="1">
      <alignment horizontal="center" vertical="center"/>
    </xf>
    <xf numFmtId="2" fontId="0" fillId="0" borderId="0" xfId="0" applyNumberFormat="1" applyAlignment="1">
      <alignment horizontal="center" vertical="center"/>
    </xf>
    <xf numFmtId="2" fontId="2" fillId="0" borderId="0" xfId="0" applyNumberFormat="1" applyFont="1" applyAlignment="1">
      <alignment horizontal="center" vertical="center"/>
    </xf>
    <xf numFmtId="2" fontId="0" fillId="2" borderId="0" xfId="0" applyNumberFormat="1" applyFill="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2" fontId="0" fillId="0" borderId="5" xfId="0" applyNumberFormat="1" applyBorder="1" applyAlignment="1">
      <alignment horizontal="center" vertical="center"/>
    </xf>
    <xf numFmtId="2" fontId="0" fillId="0" borderId="6" xfId="0" applyNumberFormat="1" applyBorder="1" applyAlignment="1">
      <alignment horizontal="center" vertical="center"/>
    </xf>
    <xf numFmtId="2" fontId="0" fillId="0" borderId="7" xfId="0" applyNumberFormat="1" applyBorder="1" applyAlignment="1">
      <alignment horizontal="center" vertical="center"/>
    </xf>
    <xf numFmtId="2" fontId="0" fillId="0" borderId="8" xfId="0" applyNumberFormat="1" applyBorder="1" applyAlignment="1">
      <alignment horizontal="center" vertical="center"/>
    </xf>
    <xf numFmtId="2" fontId="0" fillId="0" borderId="9" xfId="0" applyNumberFormat="1" applyBorder="1" applyAlignment="1">
      <alignment horizontal="center" vertical="center"/>
    </xf>
    <xf numFmtId="0" fontId="0" fillId="0" borderId="0" xfId="0" applyAlignment="1">
      <alignment horizontal="right" vertical="center"/>
    </xf>
    <xf numFmtId="0" fontId="4" fillId="0" borderId="0" xfId="0" applyFont="1" applyAlignment="1">
      <alignment horizontal="right" vertical="center"/>
    </xf>
    <xf numFmtId="0" fontId="4" fillId="0" borderId="0" xfId="0" applyFont="1" applyAlignment="1">
      <alignment horizontal="center" vertical="center"/>
    </xf>
    <xf numFmtId="164" fontId="5" fillId="0" borderId="0" xfId="0" applyNumberFormat="1" applyFont="1" applyAlignment="1">
      <alignment horizontal="center" vertical="center"/>
    </xf>
    <xf numFmtId="0" fontId="4" fillId="0" borderId="0" xfId="0" applyFont="1" applyAlignment="1">
      <alignment horizontal="left" vertical="center"/>
    </xf>
    <xf numFmtId="0" fontId="3" fillId="0" borderId="0" xfId="0" applyFont="1" applyAlignment="1">
      <alignment horizontal="left" vertical="center"/>
    </xf>
    <xf numFmtId="2" fontId="0" fillId="2" borderId="2" xfId="0" applyNumberFormat="1" applyFill="1" applyBorder="1" applyAlignment="1">
      <alignment horizontal="center" vertical="center"/>
    </xf>
    <xf numFmtId="2" fontId="0" fillId="2" borderId="3" xfId="0" applyNumberFormat="1" applyFill="1" applyBorder="1" applyAlignment="1">
      <alignment horizontal="center" vertical="center"/>
    </xf>
    <xf numFmtId="2" fontId="0" fillId="2" borderId="4" xfId="0" applyNumberFormat="1" applyFill="1" applyBorder="1" applyAlignment="1">
      <alignment horizontal="center" vertical="center"/>
    </xf>
    <xf numFmtId="2" fontId="0" fillId="2" borderId="5" xfId="0" applyNumberFormat="1" applyFill="1" applyBorder="1" applyAlignment="1">
      <alignment horizontal="center" vertical="center"/>
    </xf>
    <xf numFmtId="2" fontId="0" fillId="2" borderId="6" xfId="0" applyNumberFormat="1" applyFill="1" applyBorder="1" applyAlignment="1">
      <alignment horizontal="center" vertical="center"/>
    </xf>
    <xf numFmtId="2" fontId="0" fillId="2" borderId="7" xfId="0" applyNumberFormat="1" applyFill="1" applyBorder="1" applyAlignment="1">
      <alignment horizontal="center" vertical="center"/>
    </xf>
    <xf numFmtId="2" fontId="0" fillId="2" borderId="8" xfId="0" applyNumberFormat="1" applyFill="1" applyBorder="1" applyAlignment="1">
      <alignment horizontal="center" vertical="center"/>
    </xf>
    <xf numFmtId="2" fontId="0" fillId="2" borderId="9" xfId="0" applyNumberFormat="1" applyFill="1" applyBorder="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164" fontId="4" fillId="0" borderId="0" xfId="0" applyNumberFormat="1" applyFont="1" applyAlignment="1">
      <alignment horizontal="center" vertical="center"/>
    </xf>
    <xf numFmtId="0" fontId="3" fillId="2" borderId="1" xfId="0" applyFont="1" applyFill="1" applyBorder="1" applyAlignment="1">
      <alignment horizontal="center" vertical="center"/>
    </xf>
    <xf numFmtId="0" fontId="7" fillId="0" borderId="0" xfId="1" applyAlignment="1">
      <alignment horizontal="center" vertical="center"/>
    </xf>
    <xf numFmtId="0" fontId="3" fillId="0" borderId="0" xfId="0" applyFont="1" applyAlignment="1">
      <alignment horizontal="right" vertical="center"/>
    </xf>
    <xf numFmtId="0" fontId="3" fillId="3" borderId="0" xfId="0" applyFont="1" applyFill="1" applyAlignment="1">
      <alignment horizontal="left" vertical="center"/>
    </xf>
    <xf numFmtId="0" fontId="0" fillId="3" borderId="0" xfId="0" applyFill="1" applyAlignment="1">
      <alignment horizontal="center" vertical="center"/>
    </xf>
    <xf numFmtId="165" fontId="0" fillId="0" borderId="0" xfId="0" applyNumberFormat="1" applyAlignment="1">
      <alignment horizontal="center" vertical="center"/>
    </xf>
    <xf numFmtId="165" fontId="0" fillId="2" borderId="0" xfId="0" applyNumberFormat="1" applyFill="1" applyAlignment="1">
      <alignment horizontal="center" vertical="center"/>
    </xf>
    <xf numFmtId="15" fontId="3" fillId="0" borderId="0" xfId="0" applyNumberFormat="1" applyFont="1" applyAlignment="1">
      <alignment horizontal="center" vertical="center"/>
    </xf>
    <xf numFmtId="2" fontId="4" fillId="2" borderId="2" xfId="0" applyNumberFormat="1" applyFont="1" applyFill="1" applyBorder="1" applyAlignment="1">
      <alignment horizontal="center" vertical="center"/>
    </xf>
    <xf numFmtId="2" fontId="4" fillId="2" borderId="3" xfId="0" applyNumberFormat="1" applyFont="1" applyFill="1" applyBorder="1" applyAlignment="1">
      <alignment horizontal="center" vertical="center"/>
    </xf>
    <xf numFmtId="2" fontId="4" fillId="2" borderId="4" xfId="0" applyNumberFormat="1" applyFont="1" applyFill="1" applyBorder="1" applyAlignment="1">
      <alignment horizontal="center" vertical="center"/>
    </xf>
    <xf numFmtId="2" fontId="4" fillId="2" borderId="5" xfId="0" applyNumberFormat="1" applyFont="1" applyFill="1" applyBorder="1" applyAlignment="1">
      <alignment horizontal="center" vertical="center"/>
    </xf>
    <xf numFmtId="2" fontId="4" fillId="2" borderId="0" xfId="0" applyNumberFormat="1" applyFont="1" applyFill="1" applyAlignment="1">
      <alignment horizontal="center" vertical="center"/>
    </xf>
    <xf numFmtId="2" fontId="4" fillId="2" borderId="6" xfId="0" applyNumberFormat="1" applyFont="1" applyFill="1" applyBorder="1" applyAlignment="1">
      <alignment horizontal="center" vertical="center"/>
    </xf>
    <xf numFmtId="2" fontId="4" fillId="2" borderId="7" xfId="0" applyNumberFormat="1" applyFont="1" applyFill="1" applyBorder="1" applyAlignment="1">
      <alignment horizontal="center" vertical="center"/>
    </xf>
    <xf numFmtId="2" fontId="4" fillId="2" borderId="8" xfId="0" applyNumberFormat="1" applyFont="1" applyFill="1" applyBorder="1" applyAlignment="1">
      <alignment horizontal="center" vertical="center"/>
    </xf>
    <xf numFmtId="2" fontId="4" fillId="2" borderId="9" xfId="0"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10" fillId="0" borderId="13" xfId="0" applyFont="1" applyFill="1" applyBorder="1" applyAlignment="1">
      <alignment horizontal="center" vertical="center" wrapText="1"/>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0" fillId="5" borderId="0" xfId="0" applyFill="1" applyAlignment="1">
      <alignment horizontal="center" vertical="center"/>
    </xf>
    <xf numFmtId="0" fontId="11" fillId="6" borderId="1" xfId="0" applyFont="1" applyFill="1" applyBorder="1" applyAlignment="1">
      <alignment horizontal="center" vertical="center"/>
    </xf>
    <xf numFmtId="0" fontId="0" fillId="4" borderId="0" xfId="0" applyFill="1" applyAlignment="1">
      <alignment horizontal="center" vertical="center"/>
    </xf>
    <xf numFmtId="0" fontId="0" fillId="6" borderId="0" xfId="0" applyFill="1" applyAlignment="1">
      <alignment horizontal="center" vertical="center"/>
    </xf>
    <xf numFmtId="0" fontId="12" fillId="6"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4" borderId="1" xfId="0" applyFont="1" applyFill="1" applyBorder="1" applyAlignment="1">
      <alignment horizontal="center" vertical="center"/>
    </xf>
    <xf numFmtId="0" fontId="4" fillId="0" borderId="0" xfId="0" applyFont="1" applyAlignment="1">
      <alignment vertical="center" wrapText="1"/>
    </xf>
    <xf numFmtId="165" fontId="0" fillId="0" borderId="0" xfId="0" applyNumberFormat="1" applyAlignment="1">
      <alignment horizontal="center" vertical="center" wrapText="1"/>
    </xf>
    <xf numFmtId="0" fontId="0" fillId="0" borderId="0" xfId="0" applyAlignment="1">
      <alignment wrapText="1"/>
    </xf>
    <xf numFmtId="0" fontId="0" fillId="0" borderId="0" xfId="0" applyAlignment="1">
      <alignment horizontal="center" vertical="center"/>
    </xf>
    <xf numFmtId="0" fontId="3" fillId="0" borderId="0" xfId="0" applyFont="1" applyAlignment="1">
      <alignment horizontal="center" vertical="center" wrapText="1"/>
    </xf>
    <xf numFmtId="0" fontId="0" fillId="0" borderId="0" xfId="0" applyAlignment="1">
      <alignment horizontal="center" vertical="center" wrapText="1"/>
    </xf>
    <xf numFmtId="0" fontId="3" fillId="0" borderId="0" xfId="0" applyFont="1" applyAlignment="1">
      <alignment horizontal="center" vertical="center"/>
    </xf>
    <xf numFmtId="0" fontId="0" fillId="0" borderId="0" xfId="0" applyAlignment="1">
      <alignment horizontal="left" vertical="center"/>
    </xf>
    <xf numFmtId="0" fontId="0" fillId="0" borderId="0" xfId="0" applyAlignment="1">
      <alignment vertical="center"/>
    </xf>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11" fillId="0" borderId="5" xfId="0" applyFont="1" applyFill="1" applyBorder="1" applyAlignment="1">
      <alignment horizontal="center" vertical="center"/>
    </xf>
    <xf numFmtId="2" fontId="13" fillId="0" borderId="0" xfId="0" applyNumberFormat="1" applyFont="1" applyAlignment="1">
      <alignment horizontal="center" vertical="center" wrapText="1"/>
    </xf>
    <xf numFmtId="0" fontId="14" fillId="0" borderId="0" xfId="0" applyFont="1" applyFill="1" applyAlignment="1">
      <alignment horizontal="center" vertical="center" wrapText="1"/>
    </xf>
    <xf numFmtId="165" fontId="4" fillId="0" borderId="0" xfId="0" applyNumberFormat="1" applyFont="1" applyFill="1" applyAlignment="1">
      <alignment horizontal="center" vertical="center" wrapText="1"/>
    </xf>
    <xf numFmtId="165" fontId="5" fillId="0" borderId="0" xfId="0" applyNumberFormat="1" applyFont="1" applyFill="1" applyAlignment="1">
      <alignment horizontal="center" vertical="center" wrapText="1"/>
    </xf>
    <xf numFmtId="0" fontId="15" fillId="0" borderId="0" xfId="0" applyFont="1" applyAlignment="1">
      <alignment horizontal="center" vertical="center" wrapText="1"/>
    </xf>
    <xf numFmtId="0" fontId="15" fillId="0" borderId="0" xfId="0" applyFont="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3" borderId="5" xfId="0" applyFont="1" applyFill="1" applyBorder="1" applyAlignment="1">
      <alignment horizontal="center" vertical="center"/>
    </xf>
    <xf numFmtId="0" fontId="3" fillId="3" borderId="0" xfId="0" applyFont="1" applyFill="1" applyAlignment="1">
      <alignment horizontal="center" vertical="center"/>
    </xf>
    <xf numFmtId="0" fontId="0" fillId="0" borderId="0" xfId="0" applyAlignment="1">
      <alignment horizontal="center" vertical="center"/>
    </xf>
    <xf numFmtId="165" fontId="0" fillId="0" borderId="0" xfId="0" applyNumberFormat="1" applyAlignment="1">
      <alignment horizontal="center"/>
    </xf>
    <xf numFmtId="165" fontId="4" fillId="0" borderId="0" xfId="0" applyNumberFormat="1" applyFont="1" applyFill="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center" wrapText="1"/>
    </xf>
    <xf numFmtId="1" fontId="3" fillId="0" borderId="0" xfId="0" applyNumberFormat="1" applyFont="1" applyAlignment="1">
      <alignment horizontal="center" vertical="center" wrapText="1"/>
    </xf>
    <xf numFmtId="0" fontId="3" fillId="0" borderId="0" xfId="0" applyFont="1" applyAlignment="1">
      <alignment horizontal="center"/>
    </xf>
    <xf numFmtId="165" fontId="0" fillId="0" borderId="0" xfId="0" applyNumberFormat="1" applyFill="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3"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ont="1" applyFill="1" applyBorder="1" applyAlignment="1">
      <alignment horizontal="center" vertical="center" wrapText="1"/>
    </xf>
    <xf numFmtId="165" fontId="0" fillId="4" borderId="1" xfId="0" applyNumberFormat="1" applyFill="1" applyBorder="1" applyAlignment="1">
      <alignment horizontal="center" vertical="center" wrapText="1"/>
    </xf>
    <xf numFmtId="0" fontId="0" fillId="5" borderId="1" xfId="0" applyFill="1" applyBorder="1" applyAlignment="1">
      <alignment horizontal="center" vertical="center" wrapText="1"/>
    </xf>
    <xf numFmtId="165" fontId="0" fillId="5" borderId="1" xfId="0" applyNumberFormat="1" applyFill="1" applyBorder="1" applyAlignment="1">
      <alignment horizontal="center" vertical="center" wrapText="1"/>
    </xf>
    <xf numFmtId="0" fontId="0" fillId="5" borderId="1" xfId="0" applyFont="1" applyFill="1" applyBorder="1" applyAlignment="1">
      <alignment horizontal="center" vertical="center" wrapText="1"/>
    </xf>
    <xf numFmtId="0" fontId="0" fillId="6" borderId="1" xfId="0" applyFill="1" applyBorder="1" applyAlignment="1">
      <alignment horizontal="center" vertical="center" wrapText="1"/>
    </xf>
    <xf numFmtId="165" fontId="0" fillId="6" borderId="1" xfId="0" applyNumberFormat="1" applyFill="1" applyBorder="1" applyAlignment="1">
      <alignment horizontal="center" vertical="center" wrapText="1"/>
    </xf>
    <xf numFmtId="0" fontId="0" fillId="6" borderId="1" xfId="0" applyFont="1" applyFill="1" applyBorder="1" applyAlignment="1">
      <alignment horizontal="center" vertical="center" wrapText="1"/>
    </xf>
  </cellXfs>
  <cellStyles count="2">
    <cellStyle name="Hyperlink" xfId="1" builtinId="8"/>
    <cellStyle name="Normal" xfId="0" builtinId="0"/>
  </cellStyles>
  <dxfs count="2">
    <dxf>
      <font>
        <color theme="2" tint="-9.9948118533890809E-2"/>
      </font>
    </dxf>
    <dxf>
      <font>
        <color theme="2" tint="-9.9948118533890809E-2"/>
      </font>
    </dxf>
  </dxfs>
  <tableStyles count="0" defaultTableStyle="TableStyleMedium2" defaultPivotStyle="PivotStyleLight16"/>
  <colors>
    <mruColors>
      <color rgb="FFFFCCCC"/>
      <color rgb="FF000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195383</xdr:colOff>
      <xdr:row>16</xdr:row>
      <xdr:rowOff>195385</xdr:rowOff>
    </xdr:from>
    <xdr:to>
      <xdr:col>15</xdr:col>
      <xdr:colOff>283307</xdr:colOff>
      <xdr:row>25</xdr:row>
      <xdr:rowOff>19538</xdr:rowOff>
    </xdr:to>
    <xdr:sp macro="" textlink="">
      <xdr:nvSpPr>
        <xdr:cNvPr id="4" name="TextBox 3">
          <a:extLst>
            <a:ext uri="{FF2B5EF4-FFF2-40B4-BE49-F238E27FC236}">
              <a16:creationId xmlns:a16="http://schemas.microsoft.com/office/drawing/2014/main" id="{442C1A37-A535-6EFD-59DE-80B382667D1B}"/>
            </a:ext>
          </a:extLst>
        </xdr:cNvPr>
        <xdr:cNvSpPr txBox="1"/>
      </xdr:nvSpPr>
      <xdr:spPr>
        <a:xfrm>
          <a:off x="6750537" y="3683000"/>
          <a:ext cx="5890847" cy="167053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Steps</a:t>
          </a:r>
          <a:r>
            <a:rPr lang="en-US" sz="1200" b="1" baseline="0"/>
            <a:t> for Method II:</a:t>
          </a:r>
          <a:endParaRPr lang="en-US" sz="1200" b="1"/>
        </a:p>
        <a:p>
          <a:r>
            <a:rPr lang="en-US" sz="1200" b="0"/>
            <a:t>1)</a:t>
          </a:r>
          <a:r>
            <a:rPr lang="en-US" sz="1200" b="0" baseline="0"/>
            <a:t> Enter or check values for 3-way split and 12345 x ABC grid. </a:t>
          </a:r>
          <a:r>
            <a:rPr lang="en-US" sz="1200" b="0" i="1" baseline="0"/>
            <a:t>(We need a worksheet documenting these values, with cites, copied tables and/or text from sources, calcs &amp; comments.)</a:t>
          </a:r>
          <a:r>
            <a:rPr lang="en-US" sz="1200" b="0" baseline="0"/>
            <a:t> Resulting calculated literature-based targets 12345 are in column L. </a:t>
          </a:r>
        </a:p>
        <a:p>
          <a:r>
            <a:rPr lang="en-US" sz="1200" b="0" baseline="0"/>
            <a:t>2) Enter model results for Equilibrium. Check Delta total -- is it low enough to deem calibrated? E.g., &lt; 0.10.</a:t>
          </a:r>
        </a:p>
        <a:p>
          <a:r>
            <a:rPr lang="en-US" sz="1200" b="0" baseline="0"/>
            <a:t>3) If not, fiddle with transition probabilities and repeat step 2.</a:t>
          </a:r>
          <a:endParaRPr lang="en-US" sz="12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54E13-E3C1-3E46-8368-D2DB362951ED}">
  <dimension ref="B1:P32"/>
  <sheetViews>
    <sheetView topLeftCell="A7" zoomScale="115" zoomScaleNormal="115" workbookViewId="0">
      <selection activeCell="N16" sqref="N16"/>
    </sheetView>
  </sheetViews>
  <sheetFormatPr defaultColWidth="10.83203125" defaultRowHeight="15.5" x14ac:dyDescent="0.35"/>
  <cols>
    <col min="1" max="1" width="1.6640625" style="1" customWidth="1"/>
    <col min="2" max="2" width="22" style="1" customWidth="1"/>
    <col min="3" max="3" width="13.6640625" style="1" customWidth="1"/>
    <col min="4" max="4" width="12" style="1" hidden="1" customWidth="1"/>
    <col min="5" max="7" width="0" style="1" hidden="1" customWidth="1"/>
    <col min="8" max="8" width="3.83203125" style="1" customWidth="1"/>
    <col min="9" max="9" width="12.6640625" style="1" customWidth="1"/>
    <col min="10" max="11" width="10.83203125" style="1"/>
    <col min="12" max="12" width="9.83203125" style="1" customWidth="1"/>
    <col min="13" max="13" width="11" style="1" customWidth="1"/>
    <col min="14" max="14" width="9.83203125" style="1" customWidth="1"/>
    <col min="15" max="16384" width="10.83203125" style="1"/>
  </cols>
  <sheetData>
    <row r="1" spans="2:16" x14ac:dyDescent="0.35">
      <c r="B1" s="18" t="s">
        <v>1</v>
      </c>
      <c r="D1" s="38">
        <v>44995</v>
      </c>
    </row>
    <row r="2" spans="2:16" ht="8" customHeight="1" x14ac:dyDescent="0.35">
      <c r="B2" s="18"/>
      <c r="D2" s="38"/>
    </row>
    <row r="3" spans="2:16" x14ac:dyDescent="0.35">
      <c r="B3" s="27" t="s">
        <v>4</v>
      </c>
      <c r="D3" s="18" t="s">
        <v>8</v>
      </c>
      <c r="I3" s="34" t="s">
        <v>9</v>
      </c>
      <c r="J3" s="35"/>
      <c r="K3" s="35"/>
    </row>
    <row r="4" spans="2:16" s="28" customFormat="1" ht="34" customHeight="1" x14ac:dyDescent="0.35">
      <c r="D4" s="29" t="s">
        <v>10</v>
      </c>
      <c r="E4" s="29" t="s">
        <v>11</v>
      </c>
      <c r="F4" s="29" t="s">
        <v>17</v>
      </c>
      <c r="I4" s="29" t="s">
        <v>10</v>
      </c>
      <c r="J4" s="29" t="s">
        <v>11</v>
      </c>
      <c r="K4" s="29" t="s">
        <v>17</v>
      </c>
    </row>
    <row r="5" spans="2:16" x14ac:dyDescent="0.35">
      <c r="C5" s="13" t="s">
        <v>35</v>
      </c>
      <c r="D5" s="31">
        <v>0.23300000000000001</v>
      </c>
      <c r="E5" s="31">
        <v>0.28499999999999998</v>
      </c>
      <c r="F5" s="31">
        <v>0.48199999999999998</v>
      </c>
      <c r="G5" s="3">
        <f>SUM(D5:F5)</f>
        <v>1</v>
      </c>
      <c r="I5" s="31">
        <f>D5</f>
        <v>0.23300000000000001</v>
      </c>
      <c r="J5" s="31">
        <f t="shared" ref="J5:L5" si="0">E5</f>
        <v>0.28499999999999998</v>
      </c>
      <c r="K5" s="31">
        <f t="shared" si="0"/>
        <v>0.48199999999999998</v>
      </c>
      <c r="L5" s="3">
        <f t="shared" si="0"/>
        <v>1</v>
      </c>
      <c r="M5" s="3"/>
    </row>
    <row r="6" spans="2:16" x14ac:dyDescent="0.35">
      <c r="C6" s="13" t="s">
        <v>0</v>
      </c>
      <c r="D6" s="1">
        <f>$M11*D11+$M12*D12+$M13*D13+$M14*D14+$M15*D15</f>
        <v>0.16596</v>
      </c>
      <c r="E6" s="1">
        <f>$M11*E11+$M12*E12+$M13*E13+$M14*E14+$M15*E15</f>
        <v>0.63714000000000004</v>
      </c>
      <c r="F6" s="1">
        <f>$M11*F11+$M12*F12+$M13*F13+$M14*F14+$M15*F15</f>
        <v>0.19690000000000002</v>
      </c>
      <c r="G6" s="3">
        <f>SUM(D6:F6)</f>
        <v>1</v>
      </c>
      <c r="L6" s="3"/>
      <c r="M6" s="3"/>
    </row>
    <row r="7" spans="2:16" x14ac:dyDescent="0.35">
      <c r="C7" s="14" t="s">
        <v>5</v>
      </c>
      <c r="D7" s="15">
        <f>D6-D5</f>
        <v>-6.7040000000000016E-2</v>
      </c>
      <c r="E7" s="15">
        <f t="shared" ref="E7:F7" si="1">E6-E5</f>
        <v>0.35214000000000006</v>
      </c>
      <c r="F7" s="15">
        <f t="shared" si="1"/>
        <v>-0.28509999999999996</v>
      </c>
      <c r="G7" s="16">
        <f>ABS(D7)+ABS(E7)+ABS(F7)</f>
        <v>0.70428000000000002</v>
      </c>
      <c r="H7" s="17"/>
      <c r="I7" s="15"/>
      <c r="J7" s="15"/>
      <c r="K7" s="15"/>
      <c r="L7" s="16"/>
      <c r="M7" s="16"/>
      <c r="P7" s="32"/>
    </row>
    <row r="8" spans="2:16" x14ac:dyDescent="0.35">
      <c r="G8" s="2"/>
    </row>
    <row r="9" spans="2:16" x14ac:dyDescent="0.35">
      <c r="D9" s="79" t="s">
        <v>7</v>
      </c>
      <c r="E9" s="80"/>
      <c r="F9" s="80"/>
      <c r="G9" s="80"/>
      <c r="H9" s="80"/>
      <c r="I9" s="80"/>
      <c r="J9" s="80"/>
      <c r="K9" s="81"/>
      <c r="L9" s="82" t="s">
        <v>36</v>
      </c>
      <c r="M9" s="83"/>
      <c r="N9" s="83"/>
      <c r="O9" s="84"/>
      <c r="P9" s="84"/>
    </row>
    <row r="10" spans="2:16" ht="31" customHeight="1" x14ac:dyDescent="0.35">
      <c r="D10" s="17" t="s">
        <v>40</v>
      </c>
      <c r="G10" s="2"/>
      <c r="I10" s="17" t="s">
        <v>3</v>
      </c>
      <c r="L10" s="1" t="s">
        <v>37</v>
      </c>
      <c r="M10" s="28" t="s">
        <v>34</v>
      </c>
      <c r="N10" s="15" t="s">
        <v>38</v>
      </c>
      <c r="O10" s="28" t="s">
        <v>33</v>
      </c>
      <c r="P10" s="15" t="s">
        <v>39</v>
      </c>
    </row>
    <row r="11" spans="2:16" x14ac:dyDescent="0.35">
      <c r="C11" s="33" t="s">
        <v>12</v>
      </c>
      <c r="D11" s="39">
        <v>1</v>
      </c>
      <c r="E11" s="40"/>
      <c r="F11" s="41"/>
      <c r="G11" s="3">
        <f>SUM(D11:F11)</f>
        <v>1</v>
      </c>
      <c r="I11" s="19">
        <f>12/(12+60)</f>
        <v>0.16666666666666666</v>
      </c>
      <c r="J11" s="20">
        <v>0</v>
      </c>
      <c r="K11" s="21">
        <v>0</v>
      </c>
      <c r="L11" s="36">
        <f>I$5*I11+J$5*J11+K$5*K11</f>
        <v>3.8833333333333331E-2</v>
      </c>
      <c r="M11" s="37">
        <v>5.8999999999999997E-2</v>
      </c>
      <c r="N11" s="30">
        <f>L11-M11</f>
        <v>-2.0166666666666666E-2</v>
      </c>
      <c r="O11" s="37">
        <v>3.6999999999999998E-2</v>
      </c>
      <c r="P11" s="30">
        <f>O11-L11</f>
        <v>-1.8333333333333326E-3</v>
      </c>
    </row>
    <row r="12" spans="2:16" x14ac:dyDescent="0.35">
      <c r="C12" s="33" t="s">
        <v>13</v>
      </c>
      <c r="D12" s="42">
        <v>0.56000000000000005</v>
      </c>
      <c r="E12" s="43">
        <f>1-D12</f>
        <v>0.43999999999999995</v>
      </c>
      <c r="F12" s="44"/>
      <c r="G12" s="3">
        <f t="shared" ref="G12:G15" si="2">SUM(D12:F12)</f>
        <v>1</v>
      </c>
      <c r="I12" s="22">
        <f>60/(12+60)</f>
        <v>0.83333333333333337</v>
      </c>
      <c r="J12" s="4">
        <v>0</v>
      </c>
      <c r="K12" s="23">
        <v>0</v>
      </c>
      <c r="L12" s="36">
        <f t="shared" ref="L12:L15" si="3">I$5*I12+J$5*J12+K$5*K12</f>
        <v>0.19416666666666668</v>
      </c>
      <c r="M12" s="37">
        <v>0.191</v>
      </c>
      <c r="N12" s="30">
        <f>L12-M12</f>
        <v>3.1666666666666787E-3</v>
      </c>
      <c r="O12" s="37">
        <v>0.19500000000000001</v>
      </c>
      <c r="P12" s="30">
        <f t="shared" ref="P12:P15" si="4">O12-L12</f>
        <v>8.3333333333332482E-4</v>
      </c>
    </row>
    <row r="13" spans="2:16" x14ac:dyDescent="0.35">
      <c r="C13" s="33" t="s">
        <v>14</v>
      </c>
      <c r="D13" s="42"/>
      <c r="E13" s="43">
        <v>1</v>
      </c>
      <c r="F13" s="44"/>
      <c r="G13" s="3">
        <f t="shared" si="2"/>
        <v>1</v>
      </c>
      <c r="I13" s="22">
        <v>0</v>
      </c>
      <c r="J13" s="4">
        <v>1</v>
      </c>
      <c r="K13" s="23">
        <v>0</v>
      </c>
      <c r="L13" s="36">
        <f t="shared" si="3"/>
        <v>0.28499999999999998</v>
      </c>
      <c r="M13" s="37">
        <v>0.27100000000000002</v>
      </c>
      <c r="N13" s="30">
        <f>L13-M13</f>
        <v>1.3999999999999957E-2</v>
      </c>
      <c r="O13" s="37">
        <v>0.29599999999999999</v>
      </c>
      <c r="P13" s="30">
        <f t="shared" si="4"/>
        <v>1.100000000000001E-2</v>
      </c>
    </row>
    <row r="14" spans="2:16" x14ac:dyDescent="0.35">
      <c r="C14" s="33" t="s">
        <v>16</v>
      </c>
      <c r="D14" s="42"/>
      <c r="E14" s="43">
        <v>0.7</v>
      </c>
      <c r="F14" s="44">
        <v>0.3</v>
      </c>
      <c r="G14" s="3">
        <f t="shared" si="2"/>
        <v>1</v>
      </c>
      <c r="I14" s="22">
        <v>0</v>
      </c>
      <c r="J14" s="4">
        <v>0</v>
      </c>
      <c r="K14" s="23">
        <f>121/(121+28)</f>
        <v>0.81208053691275173</v>
      </c>
      <c r="L14" s="36">
        <f t="shared" si="3"/>
        <v>0.39142281879194629</v>
      </c>
      <c r="M14" s="37">
        <v>0.40300000000000002</v>
      </c>
      <c r="N14" s="30">
        <f>L14-M14</f>
        <v>-1.1577181208053733E-2</v>
      </c>
      <c r="O14" s="37">
        <v>0.39500000000000002</v>
      </c>
      <c r="P14" s="30">
        <f t="shared" si="4"/>
        <v>3.5771812080537257E-3</v>
      </c>
    </row>
    <row r="15" spans="2:16" x14ac:dyDescent="0.35">
      <c r="C15" s="33" t="s">
        <v>15</v>
      </c>
      <c r="D15" s="45"/>
      <c r="E15" s="46"/>
      <c r="F15" s="47">
        <v>1</v>
      </c>
      <c r="G15" s="3">
        <f t="shared" si="2"/>
        <v>1</v>
      </c>
      <c r="I15" s="24">
        <v>0</v>
      </c>
      <c r="J15" s="25">
        <v>0</v>
      </c>
      <c r="K15" s="26">
        <f>28/(121+28)</f>
        <v>0.18791946308724833</v>
      </c>
      <c r="L15" s="36">
        <f t="shared" si="3"/>
        <v>9.0577181208053692E-2</v>
      </c>
      <c r="M15" s="37">
        <v>7.5999999999999998E-2</v>
      </c>
      <c r="N15" s="30">
        <f>L15-M15</f>
        <v>1.4577181208053694E-2</v>
      </c>
      <c r="O15" s="37">
        <v>7.8E-2</v>
      </c>
      <c r="P15" s="30">
        <f t="shared" si="4"/>
        <v>-1.2577181208053692E-2</v>
      </c>
    </row>
    <row r="16" spans="2:16" x14ac:dyDescent="0.35">
      <c r="C16" s="3"/>
      <c r="D16" s="2"/>
      <c r="E16" s="2"/>
      <c r="F16" s="2"/>
      <c r="G16" s="2"/>
      <c r="I16" s="3">
        <f>SUM(I11:I15)</f>
        <v>1</v>
      </c>
      <c r="J16" s="3">
        <f t="shared" ref="J16:O16" si="5">SUM(J11:J15)</f>
        <v>1</v>
      </c>
      <c r="K16" s="3">
        <f t="shared" si="5"/>
        <v>1</v>
      </c>
      <c r="L16" s="3">
        <f t="shared" si="5"/>
        <v>1</v>
      </c>
      <c r="M16" s="3">
        <f>SUM(M11:M15)</f>
        <v>1</v>
      </c>
      <c r="N16" s="16">
        <f>ABS(N11)+ABS(N12)+ABS(N13)+ABS(N14)+ABS(N15)</f>
        <v>6.3487695749440728E-2</v>
      </c>
      <c r="O16" s="3">
        <f t="shared" si="5"/>
        <v>1.0010000000000001</v>
      </c>
      <c r="P16" s="16">
        <f>ABS(P11)+ABS(P12)+ABS(P13)+ABS(P14)+ABS(P15)</f>
        <v>2.9821029082774085E-2</v>
      </c>
    </row>
    <row r="17" spans="4:13" x14ac:dyDescent="0.35">
      <c r="D17" s="17" t="s">
        <v>2</v>
      </c>
      <c r="M17" s="1" t="s">
        <v>41</v>
      </c>
    </row>
    <row r="18" spans="4:13" x14ac:dyDescent="0.35">
      <c r="D18" s="1">
        <f t="shared" ref="D18:F22" si="6">D11*$M11*100</f>
        <v>5.8999999999999995</v>
      </c>
      <c r="E18" s="1">
        <f t="shared" si="6"/>
        <v>0</v>
      </c>
      <c r="F18" s="1">
        <f t="shared" si="6"/>
        <v>0</v>
      </c>
      <c r="G18" s="3">
        <f>SUM(D18:F18)</f>
        <v>5.8999999999999995</v>
      </c>
    </row>
    <row r="19" spans="4:13" x14ac:dyDescent="0.35">
      <c r="D19" s="1">
        <f t="shared" si="6"/>
        <v>10.696000000000002</v>
      </c>
      <c r="E19" s="1">
        <f t="shared" si="6"/>
        <v>8.4039999999999981</v>
      </c>
      <c r="F19" s="1">
        <f t="shared" si="6"/>
        <v>0</v>
      </c>
      <c r="G19" s="3">
        <f t="shared" ref="G19:G22" si="7">SUM(D19:F19)</f>
        <v>19.100000000000001</v>
      </c>
    </row>
    <row r="20" spans="4:13" x14ac:dyDescent="0.35">
      <c r="D20" s="1">
        <f t="shared" si="6"/>
        <v>0</v>
      </c>
      <c r="E20" s="1">
        <f t="shared" si="6"/>
        <v>27.1</v>
      </c>
      <c r="F20" s="1">
        <f t="shared" si="6"/>
        <v>0</v>
      </c>
      <c r="G20" s="3">
        <f t="shared" si="7"/>
        <v>27.1</v>
      </c>
    </row>
    <row r="21" spans="4:13" x14ac:dyDescent="0.35">
      <c r="D21" s="1">
        <f t="shared" si="6"/>
        <v>0</v>
      </c>
      <c r="E21" s="1">
        <f t="shared" si="6"/>
        <v>28.21</v>
      </c>
      <c r="F21" s="1">
        <f t="shared" si="6"/>
        <v>12.09</v>
      </c>
      <c r="G21" s="3">
        <f t="shared" si="7"/>
        <v>40.299999999999997</v>
      </c>
    </row>
    <row r="22" spans="4:13" x14ac:dyDescent="0.35">
      <c r="D22" s="1">
        <f t="shared" si="6"/>
        <v>0</v>
      </c>
      <c r="E22" s="1">
        <f t="shared" si="6"/>
        <v>0</v>
      </c>
      <c r="F22" s="1">
        <f t="shared" si="6"/>
        <v>7.6</v>
      </c>
      <c r="G22" s="3">
        <f t="shared" si="7"/>
        <v>7.6</v>
      </c>
    </row>
    <row r="23" spans="4:13" x14ac:dyDescent="0.35">
      <c r="D23" s="3">
        <f>SUM(D18:D22)</f>
        <v>16.596</v>
      </c>
      <c r="E23" s="3">
        <f t="shared" ref="E23:F23" si="8">SUM(E18:E22)</f>
        <v>63.713999999999999</v>
      </c>
      <c r="F23" s="3">
        <f t="shared" si="8"/>
        <v>19.689999999999998</v>
      </c>
      <c r="G23" s="3">
        <f>SUM(G18:G22)</f>
        <v>100</v>
      </c>
    </row>
    <row r="24" spans="4:13" x14ac:dyDescent="0.35">
      <c r="F24" s="3">
        <f>SUM(D23:F23)</f>
        <v>100</v>
      </c>
    </row>
    <row r="26" spans="4:13" x14ac:dyDescent="0.35">
      <c r="D26" s="17" t="s">
        <v>6</v>
      </c>
    </row>
    <row r="27" spans="4:13" x14ac:dyDescent="0.35">
      <c r="D27" s="5">
        <f t="shared" ref="D27:F31" si="9">D18/D$23</f>
        <v>0.35550735116895632</v>
      </c>
      <c r="E27" s="6">
        <f t="shared" si="9"/>
        <v>0</v>
      </c>
      <c r="F27" s="7">
        <f t="shared" si="9"/>
        <v>0</v>
      </c>
    </row>
    <row r="28" spans="4:13" x14ac:dyDescent="0.35">
      <c r="D28" s="8">
        <f t="shared" si="9"/>
        <v>0.64449264883104374</v>
      </c>
      <c r="E28" s="2">
        <f t="shared" si="9"/>
        <v>0.13190193677998555</v>
      </c>
      <c r="F28" s="9">
        <f t="shared" si="9"/>
        <v>0</v>
      </c>
    </row>
    <row r="29" spans="4:13" x14ac:dyDescent="0.35">
      <c r="D29" s="8">
        <f t="shared" si="9"/>
        <v>0</v>
      </c>
      <c r="E29" s="2">
        <f t="shared" si="9"/>
        <v>0.42533823021627903</v>
      </c>
      <c r="F29" s="9">
        <f t="shared" si="9"/>
        <v>0</v>
      </c>
    </row>
    <row r="30" spans="4:13" x14ac:dyDescent="0.35">
      <c r="D30" s="8">
        <f t="shared" si="9"/>
        <v>0</v>
      </c>
      <c r="E30" s="2">
        <f t="shared" si="9"/>
        <v>0.44275983300373545</v>
      </c>
      <c r="F30" s="9">
        <f t="shared" si="9"/>
        <v>0.61401726764855258</v>
      </c>
    </row>
    <row r="31" spans="4:13" x14ac:dyDescent="0.35">
      <c r="D31" s="10">
        <f t="shared" si="9"/>
        <v>0</v>
      </c>
      <c r="E31" s="11">
        <f t="shared" si="9"/>
        <v>0</v>
      </c>
      <c r="F31" s="12">
        <f t="shared" si="9"/>
        <v>0.38598273235144748</v>
      </c>
    </row>
    <row r="32" spans="4:13" x14ac:dyDescent="0.35">
      <c r="D32" s="3">
        <f>SUM(D27:D31)</f>
        <v>1</v>
      </c>
      <c r="E32" s="3">
        <f t="shared" ref="E32:F32" si="10">SUM(E27:E31)</f>
        <v>1</v>
      </c>
      <c r="F32" s="3">
        <f t="shared" si="10"/>
        <v>1</v>
      </c>
    </row>
  </sheetData>
  <mergeCells count="3">
    <mergeCell ref="D9:K9"/>
    <mergeCell ref="L9:N9"/>
    <mergeCell ref="O9:P9"/>
  </mergeCells>
  <conditionalFormatting sqref="D27:F31">
    <cfRule type="cellIs" dxfId="1" priority="2" operator="equal">
      <formula>0</formula>
    </cfRule>
  </conditionalFormatting>
  <conditionalFormatting sqref="I11:K15">
    <cfRule type="cellIs" dxfId="0" priority="1" operator="equal">
      <formula>0</formula>
    </cfRule>
  </conditionalFormatting>
  <pageMargins left="0.7" right="0.7" top="0.75" bottom="0.75" header="0.3" footer="0.3"/>
  <pageSetup orientation="portrait" horizontalDpi="4294967293" verticalDpi="12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A71C3-49D9-49A0-8263-B90183483103}">
  <dimension ref="A1:A22"/>
  <sheetViews>
    <sheetView zoomScale="115" zoomScaleNormal="115" workbookViewId="0">
      <selection activeCell="K6" sqref="K6"/>
    </sheetView>
  </sheetViews>
  <sheetFormatPr defaultColWidth="8.83203125" defaultRowHeight="15.5" x14ac:dyDescent="0.35"/>
  <sheetData>
    <row r="1" spans="1:1" x14ac:dyDescent="0.35">
      <c r="A1" t="s">
        <v>18</v>
      </c>
    </row>
    <row r="2" spans="1:1" x14ac:dyDescent="0.35">
      <c r="A2" t="s">
        <v>21</v>
      </c>
    </row>
    <row r="3" spans="1:1" x14ac:dyDescent="0.35">
      <c r="A3" t="s">
        <v>19</v>
      </c>
    </row>
    <row r="5" spans="1:1" x14ac:dyDescent="0.35">
      <c r="A5" t="s">
        <v>20</v>
      </c>
    </row>
    <row r="6" spans="1:1" x14ac:dyDescent="0.35">
      <c r="A6" t="s">
        <v>32</v>
      </c>
    </row>
    <row r="7" spans="1:1" x14ac:dyDescent="0.35">
      <c r="A7" t="s">
        <v>22</v>
      </c>
    </row>
    <row r="8" spans="1:1" x14ac:dyDescent="0.35">
      <c r="A8" t="s">
        <v>23</v>
      </c>
    </row>
    <row r="9" spans="1:1" x14ac:dyDescent="0.35">
      <c r="A9" t="s">
        <v>24</v>
      </c>
    </row>
    <row r="10" spans="1:1" x14ac:dyDescent="0.35">
      <c r="A10" t="s">
        <v>25</v>
      </c>
    </row>
    <row r="11" spans="1:1" x14ac:dyDescent="0.35">
      <c r="A11" t="s">
        <v>26</v>
      </c>
    </row>
    <row r="12" spans="1:1" x14ac:dyDescent="0.35">
      <c r="A12" t="s">
        <v>27</v>
      </c>
    </row>
    <row r="14" spans="1:1" x14ac:dyDescent="0.35">
      <c r="A14" t="s">
        <v>28</v>
      </c>
    </row>
    <row r="15" spans="1:1" x14ac:dyDescent="0.35">
      <c r="A15" t="s">
        <v>29</v>
      </c>
    </row>
    <row r="16" spans="1:1" x14ac:dyDescent="0.35">
      <c r="A16" t="s">
        <v>30</v>
      </c>
    </row>
    <row r="18" spans="1:1" x14ac:dyDescent="0.35">
      <c r="A18" t="s">
        <v>31</v>
      </c>
    </row>
    <row r="21" spans="1:1" x14ac:dyDescent="0.35">
      <c r="A21" t="s">
        <v>42</v>
      </c>
    </row>
    <row r="22" spans="1:1" x14ac:dyDescent="0.35">
      <c r="A22" t="s">
        <v>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466A6-35F3-4AB2-B6D8-919EDB7D04BD}">
  <dimension ref="A1:Q29"/>
  <sheetViews>
    <sheetView tabSelected="1" zoomScale="80" zoomScaleNormal="80" workbookViewId="0">
      <selection activeCell="G32" sqref="G32"/>
    </sheetView>
  </sheetViews>
  <sheetFormatPr defaultRowHeight="15.5" x14ac:dyDescent="0.35"/>
  <cols>
    <col min="1" max="1" width="9.9140625" customWidth="1"/>
    <col min="2" max="2" width="12.5" customWidth="1"/>
    <col min="3" max="5" width="12.08203125" customWidth="1"/>
    <col min="6" max="6" width="8.75" customWidth="1"/>
    <col min="9" max="9" width="14.33203125" customWidth="1"/>
    <col min="10" max="15" width="11.1640625" customWidth="1"/>
  </cols>
  <sheetData>
    <row r="1" spans="1:16" x14ac:dyDescent="0.35">
      <c r="A1" t="s">
        <v>44</v>
      </c>
    </row>
    <row r="4" spans="1:16" x14ac:dyDescent="0.35">
      <c r="A4" t="s">
        <v>45</v>
      </c>
    </row>
    <row r="5" spans="1:16" x14ac:dyDescent="0.35">
      <c r="A5" t="s">
        <v>46</v>
      </c>
    </row>
    <row r="6" spans="1:16" x14ac:dyDescent="0.35">
      <c r="A6" t="s">
        <v>47</v>
      </c>
    </row>
    <row r="7" spans="1:16" x14ac:dyDescent="0.35">
      <c r="A7" t="s">
        <v>54</v>
      </c>
    </row>
    <row r="10" spans="1:16" ht="43.5" x14ac:dyDescent="0.35">
      <c r="A10" s="88" t="s">
        <v>60</v>
      </c>
      <c r="B10" s="88"/>
      <c r="C10" s="87" t="s">
        <v>53</v>
      </c>
      <c r="D10" s="87"/>
      <c r="E10" s="87"/>
      <c r="F10" s="87"/>
      <c r="I10" s="15" t="s">
        <v>71</v>
      </c>
      <c r="J10" s="95" t="s">
        <v>55</v>
      </c>
      <c r="K10" s="95" t="s">
        <v>56</v>
      </c>
      <c r="L10" s="95" t="s">
        <v>14</v>
      </c>
      <c r="M10" s="95" t="s">
        <v>57</v>
      </c>
      <c r="N10" s="95" t="s">
        <v>58</v>
      </c>
      <c r="O10" s="96" t="s">
        <v>59</v>
      </c>
      <c r="P10" s="50"/>
    </row>
    <row r="11" spans="1:16" ht="31" x14ac:dyDescent="0.35">
      <c r="A11" s="88"/>
      <c r="B11" s="88"/>
      <c r="C11" s="28" t="s">
        <v>49</v>
      </c>
      <c r="D11" s="28" t="s">
        <v>50</v>
      </c>
      <c r="E11" s="28" t="s">
        <v>51</v>
      </c>
      <c r="F11" s="48" t="s">
        <v>52</v>
      </c>
      <c r="G11" s="77" t="s">
        <v>64</v>
      </c>
      <c r="I11" s="92" t="s">
        <v>55</v>
      </c>
      <c r="J11" s="59">
        <f>1-SUM(K11:N11)</f>
        <v>0.43999999999999995</v>
      </c>
      <c r="K11" s="51">
        <v>0.45</v>
      </c>
      <c r="L11" s="51">
        <v>0.05</v>
      </c>
      <c r="M11" s="51">
        <v>0.05</v>
      </c>
      <c r="N11" s="51">
        <v>0.01</v>
      </c>
      <c r="O11" s="55">
        <f>Calibrate2distribution!M15</f>
        <v>7.5999999999999998E-2</v>
      </c>
      <c r="P11" s="36"/>
    </row>
    <row r="12" spans="1:16" ht="29" x14ac:dyDescent="0.35">
      <c r="A12" s="87" t="s">
        <v>48</v>
      </c>
      <c r="B12" s="97" t="s">
        <v>49</v>
      </c>
      <c r="C12" s="98">
        <v>0.75</v>
      </c>
      <c r="D12" s="97">
        <v>0.19</v>
      </c>
      <c r="E12" s="99">
        <f>1-SUM(C12,D12,F12)</f>
        <v>5.9100000000000041E-2</v>
      </c>
      <c r="F12" s="28">
        <v>8.9999999999999998E-4</v>
      </c>
      <c r="G12" s="78">
        <f>SUM(C12:E12)</f>
        <v>0.99909999999999999</v>
      </c>
      <c r="I12" s="92" t="s">
        <v>56</v>
      </c>
      <c r="J12" s="51">
        <v>0.05</v>
      </c>
      <c r="K12" s="59">
        <f>1-SUM(J12,L12:N12)</f>
        <v>0.63</v>
      </c>
      <c r="L12" s="51">
        <v>0.15</v>
      </c>
      <c r="M12" s="51">
        <v>0.15</v>
      </c>
      <c r="N12" s="51">
        <v>0.02</v>
      </c>
      <c r="O12" s="55">
        <f>Calibrate2distribution!M14</f>
        <v>0.40300000000000002</v>
      </c>
      <c r="P12" s="36"/>
    </row>
    <row r="13" spans="1:16" ht="31" x14ac:dyDescent="0.35">
      <c r="A13" s="87"/>
      <c r="B13" s="100" t="s">
        <v>50</v>
      </c>
      <c r="C13" s="101">
        <f>1-SUM(D13:F13)</f>
        <v>8.6500000000000132E-2</v>
      </c>
      <c r="D13" s="102">
        <v>0.73</v>
      </c>
      <c r="E13" s="100">
        <v>0.18</v>
      </c>
      <c r="F13" s="28">
        <v>3.4999999999999996E-3</v>
      </c>
      <c r="G13" s="78">
        <f t="shared" ref="G13:G14" si="0">SUM(C13:E13)</f>
        <v>0.99650000000000016</v>
      </c>
      <c r="I13" s="93" t="s">
        <v>14</v>
      </c>
      <c r="J13" s="52">
        <v>0.05</v>
      </c>
      <c r="K13" s="52">
        <v>0.25</v>
      </c>
      <c r="L13" s="58">
        <f>1-SUM(J13:K13,M13:N13)</f>
        <v>0.51</v>
      </c>
      <c r="M13" s="52">
        <v>0.15</v>
      </c>
      <c r="N13" s="52">
        <v>0.04</v>
      </c>
      <c r="O13" s="53">
        <f>Calibrate2distribution!M13</f>
        <v>0.27100000000000002</v>
      </c>
      <c r="P13" s="72"/>
    </row>
    <row r="14" spans="1:16" ht="29" x14ac:dyDescent="0.35">
      <c r="A14" s="87"/>
      <c r="B14" s="103" t="s">
        <v>51</v>
      </c>
      <c r="C14" s="104">
        <f>1-SUM(D14:F14)</f>
        <v>1.9000000000000017E-2</v>
      </c>
      <c r="D14" s="103">
        <v>0.13</v>
      </c>
      <c r="E14" s="105">
        <v>0.84</v>
      </c>
      <c r="F14" s="28">
        <v>1.1000000000000001E-2</v>
      </c>
      <c r="G14" s="78">
        <f t="shared" si="0"/>
        <v>0.98899999999999999</v>
      </c>
      <c r="I14" s="94" t="s">
        <v>57</v>
      </c>
      <c r="J14" s="54">
        <v>0.03</v>
      </c>
      <c r="K14" s="54">
        <v>0.2</v>
      </c>
      <c r="L14" s="54">
        <v>0.3</v>
      </c>
      <c r="M14" s="57">
        <f>1-SUM(J14:L14,N14)</f>
        <v>0.39</v>
      </c>
      <c r="N14" s="54">
        <v>0.08</v>
      </c>
      <c r="O14" s="56">
        <f>Calibrate2distribution!M12</f>
        <v>0.191</v>
      </c>
    </row>
    <row r="15" spans="1:16" ht="29" x14ac:dyDescent="0.35">
      <c r="A15" s="49"/>
      <c r="B15" s="28"/>
      <c r="C15" s="28"/>
      <c r="D15" s="28"/>
      <c r="E15" s="28"/>
      <c r="F15" s="48"/>
      <c r="I15" s="94" t="s">
        <v>58</v>
      </c>
      <c r="J15" s="54">
        <v>0.03</v>
      </c>
      <c r="K15" s="54">
        <v>0.05</v>
      </c>
      <c r="L15" s="54">
        <v>0.25</v>
      </c>
      <c r="M15" s="54">
        <v>0.25</v>
      </c>
      <c r="N15" s="57">
        <f>1-SUM(J15:M15)</f>
        <v>0.41999999999999993</v>
      </c>
      <c r="O15" s="56">
        <f>Calibrate2distribution!M11</f>
        <v>5.8999999999999997E-2</v>
      </c>
    </row>
    <row r="16" spans="1:16" x14ac:dyDescent="0.35">
      <c r="A16" s="60"/>
      <c r="B16" s="60"/>
      <c r="C16" s="49"/>
      <c r="D16" s="49"/>
      <c r="E16" s="49"/>
      <c r="I16" s="63"/>
      <c r="J16" s="63"/>
      <c r="K16" s="63"/>
      <c r="L16" s="63"/>
      <c r="M16" s="63"/>
      <c r="N16" s="63"/>
      <c r="O16" s="63"/>
      <c r="P16" s="67"/>
    </row>
    <row r="17" spans="1:17" ht="46.5" x14ac:dyDescent="0.35">
      <c r="A17" s="69" t="s">
        <v>70</v>
      </c>
      <c r="B17" s="70"/>
      <c r="C17" s="70" t="str">
        <f>C11</f>
        <v>Controlled</v>
      </c>
      <c r="D17" s="70" t="str">
        <f t="shared" ref="D17:E17" si="1">D11</f>
        <v>Partly controlled</v>
      </c>
      <c r="E17" s="70" t="str">
        <f t="shared" si="1"/>
        <v>Uncontrolled</v>
      </c>
      <c r="F17" s="69" t="s">
        <v>64</v>
      </c>
      <c r="G17" s="70"/>
      <c r="H17" s="66" t="s">
        <v>70</v>
      </c>
      <c r="I17" s="65"/>
      <c r="J17" s="65" t="str">
        <f>J10</f>
        <v>1 - completely controlled</v>
      </c>
      <c r="K17" s="70" t="str">
        <f t="shared" ref="K17:N17" si="2">K10</f>
        <v>2 - well-controlled</v>
      </c>
      <c r="L17" s="70" t="str">
        <f t="shared" si="2"/>
        <v>3 - somewhat controlled</v>
      </c>
      <c r="M17" s="70" t="str">
        <f t="shared" si="2"/>
        <v>4 - Poorly controlled</v>
      </c>
      <c r="N17" s="70" t="str">
        <f t="shared" si="2"/>
        <v>5 - Not controlled at all</v>
      </c>
      <c r="O17" s="69" t="s">
        <v>64</v>
      </c>
      <c r="Q17" s="68"/>
    </row>
    <row r="18" spans="1:17" x14ac:dyDescent="0.35">
      <c r="A18" s="69">
        <v>0</v>
      </c>
      <c r="B18" s="70" t="s">
        <v>61</v>
      </c>
      <c r="C18" s="61">
        <v>1</v>
      </c>
      <c r="D18" s="61">
        <v>0</v>
      </c>
      <c r="E18" s="61">
        <v>0</v>
      </c>
      <c r="F18" s="61">
        <f>SUM(C18:E18)</f>
        <v>1</v>
      </c>
      <c r="G18" s="73"/>
      <c r="H18" s="89">
        <v>0</v>
      </c>
      <c r="I18" s="65" t="s">
        <v>61</v>
      </c>
      <c r="J18" s="36">
        <f>O11/(O11+O12)</f>
        <v>0.15866388308977034</v>
      </c>
      <c r="K18" s="61">
        <f>O12/(O11+O12)</f>
        <v>0.84133611691022958</v>
      </c>
      <c r="L18" s="61">
        <v>0</v>
      </c>
      <c r="M18" s="61">
        <v>0</v>
      </c>
      <c r="N18" s="36">
        <v>0</v>
      </c>
      <c r="O18" s="61">
        <f>SUM(J18:N18)</f>
        <v>0.99999999999999989</v>
      </c>
      <c r="Q18" s="68"/>
    </row>
    <row r="19" spans="1:17" x14ac:dyDescent="0.35">
      <c r="A19" s="69">
        <v>1</v>
      </c>
      <c r="B19" s="70" t="s">
        <v>66</v>
      </c>
      <c r="C19" s="61">
        <f>$C18*C$12 + $D18*C$13 + $E18*C$14</f>
        <v>0.75</v>
      </c>
      <c r="D19" s="61">
        <f t="shared" ref="D19:E19" si="3">$C18*D$12 + $D18*D$13 + $E18*D$14</f>
        <v>0.19</v>
      </c>
      <c r="E19" s="61">
        <f t="shared" si="3"/>
        <v>5.9100000000000041E-2</v>
      </c>
      <c r="F19" s="61">
        <f t="shared" ref="F19:F21" si="4">SUM(C19:E19)</f>
        <v>0.99909999999999999</v>
      </c>
      <c r="G19" s="73"/>
      <c r="H19" s="90">
        <v>1</v>
      </c>
      <c r="I19" s="65" t="s">
        <v>62</v>
      </c>
      <c r="J19" s="36">
        <f>$J18*J$11 + $K18*J$12 + $L18*J$13 + $M18*J$14 + $N18*J$15</f>
        <v>0.11187891440501042</v>
      </c>
      <c r="K19" s="36">
        <f t="shared" ref="K19:N19" si="5">$J18*K$11 + $K18*K$12 + $L18*K$13 + $M18*K$14 + $N18*K$15</f>
        <v>0.60144050104384128</v>
      </c>
      <c r="L19" s="36">
        <f t="shared" si="5"/>
        <v>0.13413361169102295</v>
      </c>
      <c r="M19" s="36">
        <f t="shared" si="5"/>
        <v>0.13413361169102295</v>
      </c>
      <c r="N19" s="36">
        <f t="shared" si="5"/>
        <v>1.8413361169102294E-2</v>
      </c>
      <c r="O19" s="61">
        <f t="shared" ref="O19:O21" si="6">SUM(J19:N19)</f>
        <v>0.99999999999999989</v>
      </c>
      <c r="P19" s="63"/>
    </row>
    <row r="20" spans="1:17" x14ac:dyDescent="0.35">
      <c r="A20" s="69">
        <v>2</v>
      </c>
      <c r="B20" s="71" t="s">
        <v>62</v>
      </c>
      <c r="C20" s="91">
        <f t="shared" ref="C20:C22" si="7">$C19*C$12 + $D19*C$13 + $E19*C$14</f>
        <v>0.58005790000000002</v>
      </c>
      <c r="D20" s="91">
        <f t="shared" ref="D20:D22" si="8">$C19*D$12 + $D19*D$13 + $E19*D$14</f>
        <v>0.288883</v>
      </c>
      <c r="E20" s="91">
        <f t="shared" ref="E20:E22" si="9">$C19*E$12 + $D19*E$13 + $E19*E$14</f>
        <v>0.12816900000000009</v>
      </c>
      <c r="F20" s="61">
        <f t="shared" si="4"/>
        <v>0.9971099000000001</v>
      </c>
      <c r="G20" s="73"/>
      <c r="H20" s="90">
        <v>2</v>
      </c>
      <c r="I20" s="71" t="s">
        <v>63</v>
      </c>
      <c r="J20" s="36">
        <f>$J19*J$11 + $K19*J$12 + $L19*J$13 + $M19*J$14 + $N19*J$15</f>
        <v>9.0581837160751563E-2</v>
      </c>
      <c r="K20" s="36">
        <f t="shared" ref="K20:K22" si="10">$J19*K$11 + $K19*K$12 + $L19*K$13 + $M19*K$14 + $N19*K$15</f>
        <v>0.49053382045929012</v>
      </c>
      <c r="L20" s="36">
        <f t="shared" ref="L20:L22" si="11">$J19*L$11 + $K19*L$12 + $L19*L$13 + $M19*L$14 + $N19*L$15</f>
        <v>0.20906158663883087</v>
      </c>
      <c r="M20" s="36">
        <f t="shared" ref="M20:M22" si="12">$J19*M$11 + $K19*M$12 + $L19*M$13 + $M19*M$14 + $N19*M$15</f>
        <v>0.17284551148225469</v>
      </c>
      <c r="N20" s="36">
        <f t="shared" ref="N20:N22" si="13">$J19*N$11 + $K19*N$12 + $L19*N$13 + $M19*N$14 + $N19*N$15</f>
        <v>3.6977244258872652E-2</v>
      </c>
      <c r="O20" s="61">
        <f t="shared" si="6"/>
        <v>0.99999999999999989</v>
      </c>
      <c r="P20" s="63"/>
    </row>
    <row r="21" spans="1:17" x14ac:dyDescent="0.35">
      <c r="A21" s="69">
        <v>3</v>
      </c>
      <c r="B21" s="70" t="s">
        <v>67</v>
      </c>
      <c r="C21" s="61">
        <f t="shared" si="7"/>
        <v>0.46246701550000008</v>
      </c>
      <c r="D21" s="61">
        <f t="shared" si="8"/>
        <v>0.33775756099999998</v>
      </c>
      <c r="E21" s="61">
        <f t="shared" si="9"/>
        <v>0.1939423218900001</v>
      </c>
      <c r="F21" s="61">
        <f t="shared" si="4"/>
        <v>0.99416689839000005</v>
      </c>
      <c r="G21" s="70"/>
      <c r="H21" s="90">
        <v>3</v>
      </c>
      <c r="I21" s="71" t="s">
        <v>68</v>
      </c>
      <c r="J21" s="36">
        <f t="shared" ref="J21:J22" si="14">$J20*J$11 + $K20*J$12 + $L20*J$13 + $M20*J$14 + $N20*J$15</f>
        <v>8.1130461377870569E-2</v>
      </c>
      <c r="K21" s="36">
        <f t="shared" si="10"/>
        <v>0.43848149478079324</v>
      </c>
      <c r="L21" s="36">
        <f t="shared" si="11"/>
        <v>0.24582853862212942</v>
      </c>
      <c r="M21" s="36">
        <f t="shared" si="12"/>
        <v>0.1861224634655532</v>
      </c>
      <c r="N21" s="36">
        <f t="shared" si="13"/>
        <v>4.8437041753653438E-2</v>
      </c>
      <c r="O21" s="61">
        <f t="shared" ref="O21:O22" si="15">SUM(J21:N21)</f>
        <v>0.99999999999999989</v>
      </c>
      <c r="P21" s="63"/>
    </row>
    <row r="22" spans="1:17" x14ac:dyDescent="0.35">
      <c r="A22" s="69">
        <v>4</v>
      </c>
      <c r="B22" s="70" t="s">
        <v>63</v>
      </c>
      <c r="C22" s="61">
        <f t="shared" si="7"/>
        <v>0.37975119476741009</v>
      </c>
      <c r="D22" s="61">
        <f t="shared" si="8"/>
        <v>0.35964425432070002</v>
      </c>
      <c r="E22" s="61">
        <f t="shared" si="9"/>
        <v>0.2510397119836501</v>
      </c>
      <c r="F22" s="61">
        <f>SUM(C22:E22)</f>
        <v>0.99043516107176011</v>
      </c>
      <c r="G22" s="70"/>
      <c r="H22" s="90">
        <v>4</v>
      </c>
      <c r="I22" s="71" t="s">
        <v>69</v>
      </c>
      <c r="J22" s="36">
        <f t="shared" si="14"/>
        <v>7.6949689832985377E-2</v>
      </c>
      <c r="K22" s="36">
        <f t="shared" si="10"/>
        <v>0.4138555287682672</v>
      </c>
      <c r="L22" s="36">
        <f t="shared" si="11"/>
        <v>0.26314730146137782</v>
      </c>
      <c r="M22" s="36">
        <f t="shared" si="12"/>
        <v>0.19140004926931103</v>
      </c>
      <c r="N22" s="36">
        <f t="shared" si="13"/>
        <v>5.4647430668058446E-2</v>
      </c>
      <c r="O22" s="61">
        <f t="shared" si="15"/>
        <v>1</v>
      </c>
    </row>
    <row r="23" spans="1:17" x14ac:dyDescent="0.35">
      <c r="A23" s="62"/>
      <c r="B23" s="70"/>
      <c r="C23" s="70"/>
      <c r="D23" s="70"/>
      <c r="E23" s="70"/>
      <c r="F23" s="70"/>
      <c r="G23" s="70"/>
    </row>
    <row r="24" spans="1:17" x14ac:dyDescent="0.35">
      <c r="I24" s="71" t="s">
        <v>65</v>
      </c>
      <c r="J24" s="85">
        <f>J22+K22</f>
        <v>0.49080521860125259</v>
      </c>
      <c r="K24" s="85"/>
      <c r="L24" s="36">
        <f>L22</f>
        <v>0.26314730146137782</v>
      </c>
      <c r="M24" s="85">
        <f>M22+N22</f>
        <v>0.24604747993736947</v>
      </c>
      <c r="N24" s="85"/>
      <c r="O24" s="61">
        <f>SUM(J24:N24)</f>
        <v>1</v>
      </c>
    </row>
    <row r="26" spans="1:17" x14ac:dyDescent="0.35">
      <c r="I26" s="74" t="s">
        <v>38</v>
      </c>
      <c r="J26" s="86">
        <f>ABS(J24-C22)</f>
        <v>0.1110540238338425</v>
      </c>
      <c r="K26" s="86"/>
      <c r="L26" s="75">
        <f>ABS(L24-D22)</f>
        <v>9.6496952859322194E-2</v>
      </c>
      <c r="M26" s="86">
        <f>ABS(M24-E22)</f>
        <v>4.9922320462806313E-3</v>
      </c>
      <c r="N26" s="86"/>
      <c r="O26" s="76">
        <f>SUM(J26:N26)</f>
        <v>0.21254320873944532</v>
      </c>
    </row>
    <row r="28" spans="1:17" x14ac:dyDescent="0.35">
      <c r="B28" s="66"/>
      <c r="C28" s="64"/>
      <c r="D28" s="66"/>
      <c r="E28" s="15"/>
    </row>
    <row r="29" spans="1:17" x14ac:dyDescent="0.35">
      <c r="B29" s="36"/>
      <c r="C29" s="36"/>
      <c r="D29" s="36"/>
      <c r="E29" s="15"/>
    </row>
  </sheetData>
  <mergeCells count="7">
    <mergeCell ref="A12:A14"/>
    <mergeCell ref="A10:B11"/>
    <mergeCell ref="J24:K24"/>
    <mergeCell ref="M24:N24"/>
    <mergeCell ref="J26:K26"/>
    <mergeCell ref="M26:N26"/>
    <mergeCell ref="C10:F10"/>
  </mergeCells>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Calibrate2distribution</vt:lpstr>
      <vt:lpstr>Methodology</vt:lpstr>
      <vt:lpstr>Check-calib2transprob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G. Kahn</dc:creator>
  <cp:lastModifiedBy>Maya, Sigal</cp:lastModifiedBy>
  <dcterms:created xsi:type="dcterms:W3CDTF">2023-01-31T20:26:56Z</dcterms:created>
  <dcterms:modified xsi:type="dcterms:W3CDTF">2023-05-26T11:22:37Z</dcterms:modified>
</cp:coreProperties>
</file>