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maya\Box\AA_Sigal_Documents\Climate - Health\Calibration\Asthma states\"/>
    </mc:Choice>
  </mc:AlternateContent>
  <xr:revisionPtr revIDLastSave="0" documentId="13_ncr:1_{435B2221-CCB3-41CF-BD7E-79191A11320D}" xr6:coauthVersionLast="47" xr6:coauthVersionMax="47" xr10:uidLastSave="{00000000-0000-0000-0000-000000000000}"/>
  <bookViews>
    <workbookView xWindow="28680" yWindow="-1995" windowWidth="29040" windowHeight="17640" xr2:uid="{95115A8E-B4AD-A141-83E3-2764AA2AD3E5}"/>
  </bookViews>
  <sheets>
    <sheet name="Calibration" sheetId="1" r:id="rId1"/>
    <sheet name="Methodolog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 i="1" l="1"/>
  <c r="Q11" i="1"/>
  <c r="Q12" i="1"/>
  <c r="Q13" i="1"/>
  <c r="Q14" i="1"/>
  <c r="R14" i="1"/>
  <c r="R13" i="1"/>
  <c r="R12" i="1"/>
  <c r="R10" i="1"/>
  <c r="P14" i="1"/>
  <c r="P12" i="1"/>
  <c r="P13" i="1"/>
  <c r="P11" i="1"/>
  <c r="P10" i="1"/>
  <c r="P15" i="1" s="1"/>
  <c r="O15" i="1"/>
  <c r="O10" i="1"/>
  <c r="O11" i="1"/>
  <c r="O12" i="1"/>
  <c r="O13" i="1"/>
  <c r="O14" i="1"/>
  <c r="Q15" i="1" l="1"/>
  <c r="R11" i="1"/>
  <c r="R15" i="1"/>
  <c r="K15" i="1"/>
  <c r="L15" i="1"/>
  <c r="M15" i="1"/>
  <c r="J15" i="1"/>
  <c r="M14" i="1"/>
  <c r="M13" i="1"/>
  <c r="N13" i="1" s="1"/>
  <c r="M12" i="1"/>
  <c r="N12" i="1" s="1"/>
  <c r="M11" i="1"/>
  <c r="N11" i="1" s="1"/>
  <c r="M10" i="1"/>
  <c r="L14" i="1"/>
  <c r="L13" i="1"/>
  <c r="J11" i="1"/>
  <c r="J10" i="1"/>
  <c r="J4" i="1"/>
  <c r="K4" i="1"/>
  <c r="F11" i="1"/>
  <c r="L4" i="1"/>
  <c r="F17" i="1"/>
  <c r="G17" i="1"/>
  <c r="F18" i="1"/>
  <c r="G18" i="1"/>
  <c r="F19" i="1"/>
  <c r="G19" i="1"/>
  <c r="F20" i="1"/>
  <c r="G20" i="1"/>
  <c r="F21" i="1"/>
  <c r="G21" i="1"/>
  <c r="E18" i="1"/>
  <c r="E19" i="1"/>
  <c r="E20" i="1"/>
  <c r="E21" i="1"/>
  <c r="E17" i="1"/>
  <c r="G5" i="1"/>
  <c r="G6" i="1" s="1"/>
  <c r="F5" i="1"/>
  <c r="F6" i="1" s="1"/>
  <c r="E5" i="1"/>
  <c r="E6" i="1" s="1"/>
  <c r="C15" i="1"/>
  <c r="H4" i="1"/>
  <c r="M4" i="1"/>
  <c r="H11" i="1"/>
  <c r="H12" i="1"/>
  <c r="H13" i="1"/>
  <c r="H14" i="1"/>
  <c r="H10" i="1"/>
  <c r="H18" i="1"/>
  <c r="N14" i="1"/>
  <c r="N10" i="1"/>
  <c r="H21" i="1" l="1"/>
  <c r="H20" i="1"/>
  <c r="F22" i="1"/>
  <c r="F28" i="1" s="1"/>
  <c r="H17" i="1"/>
  <c r="G22" i="1"/>
  <c r="G27" i="1" s="1"/>
  <c r="H19" i="1"/>
  <c r="N15" i="1"/>
  <c r="E22" i="1"/>
  <c r="E29" i="1" s="1"/>
  <c r="H6" i="1"/>
  <c r="H5" i="1"/>
  <c r="H22" i="1" l="1"/>
  <c r="F30" i="1"/>
  <c r="F26" i="1"/>
  <c r="F27" i="1"/>
  <c r="F29" i="1"/>
  <c r="G26" i="1"/>
  <c r="G28" i="1"/>
  <c r="G30" i="1"/>
  <c r="G29" i="1"/>
  <c r="E26" i="1"/>
  <c r="E27" i="1"/>
  <c r="G23" i="1"/>
  <c r="E28" i="1"/>
  <c r="E30" i="1"/>
  <c r="F31" i="1" l="1"/>
  <c r="G31" i="1"/>
  <c r="E3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James G. Kahn</author>
  </authors>
  <commentList>
    <comment ref="C9" authorId="0" shapeId="0" xr:uid="{3FD835AC-A493-044C-A2E3-9D862BFC543E}">
      <text>
        <r>
          <rPr>
            <sz val="10"/>
            <color rgb="FF000000"/>
            <rFont val="Tahoma"/>
            <family val="2"/>
          </rPr>
          <t xml:space="preserve">Determined by transition probabilities.
</t>
        </r>
        <r>
          <rPr>
            <sz val="10"/>
            <color rgb="FF000000"/>
            <rFont val="Tahoma"/>
            <family val="2"/>
          </rPr>
          <t xml:space="preserve">
</t>
        </r>
        <r>
          <rPr>
            <sz val="10"/>
            <color rgb="FF000000"/>
            <rFont val="Tahoma"/>
            <family val="2"/>
          </rPr>
          <t>i.e., internal targets for calibration</t>
        </r>
      </text>
    </comment>
  </commentList>
</comments>
</file>

<file path=xl/sharedStrings.xml><?xml version="1.0" encoding="utf-8"?>
<sst xmlns="http://schemas.openxmlformats.org/spreadsheetml/2006/main" count="45" uniqueCount="40">
  <si>
    <t>delta</t>
  </si>
  <si>
    <t>calculated based on 1-5 values + co-distrib</t>
  </si>
  <si>
    <t>target 3-way prevalence @Equilibrium</t>
  </si>
  <si>
    <t>Model @Equilibrium</t>
  </si>
  <si>
    <t>CHARM 5 to 3 state calibration</t>
  </si>
  <si>
    <t>Dividing 100 individuals</t>
  </si>
  <si>
    <t>Probabilities of ABC given 12345</t>
  </si>
  <si>
    <t>Probabilities of 12345 given ABC</t>
  </si>
  <si>
    <t>inputs</t>
  </si>
  <si>
    <t>delta (want to minimize)</t>
  </si>
  <si>
    <t>Probabilities of 12345 given ABC (calculated)</t>
  </si>
  <si>
    <t>Co-distribution aka crosswalks (expert opinion) Choose method based on direction</t>
  </si>
  <si>
    <t>Method I - Specify ABC given 12345</t>
  </si>
  <si>
    <t>Method II - Specify 12345 given ABC</t>
  </si>
  <si>
    <t>A - uncontrolled</t>
  </si>
  <si>
    <t>B - partly controlled</t>
  </si>
  <si>
    <t>1 - not controlled at all</t>
  </si>
  <si>
    <t>2 - poorly controlled</t>
  </si>
  <si>
    <t>3 - somewhat controlled</t>
  </si>
  <si>
    <t>5 - completely controlled</t>
  </si>
  <si>
    <t>4 - well-controlled</t>
  </si>
  <si>
    <t>C - controlled</t>
  </si>
  <si>
    <t xml:space="preserve">This calibration worksheet converts the distribution of asthma across 3 health states into distribution across 5 health states. </t>
  </si>
  <si>
    <t>In Method 2, the 3-way prevalence is known, and the probability of the 5 states given occupying one of the 3 states is used to calculate 5-way prevalence.</t>
  </si>
  <si>
    <t>As of 2/28/2023, we are using Method 2.</t>
  </si>
  <si>
    <t>In Method 1, the 3-way prevalence is known, and the probability (co-distribution) of the 3 states given occupying one of 5 states is used to calculate 5-way prevalence.</t>
  </si>
  <si>
    <t>The ACT uses 3 categories to describe asthma patients: well-controlled, not well-controlled, very poorly controlled)</t>
  </si>
  <si>
    <t xml:space="preserve">The physician global assessment scores used 5 categories: not controlled, poorly controlled, somewhat controlled, well controlled, and completely controlled. </t>
  </si>
  <si>
    <t>In order to compare the two measures, Soler et al collapsed the physician assessment scores into 3 groups:</t>
  </si>
  <si>
    <t>Not controlled or poorly controlled was grouped together as "poorly controlled"</t>
  </si>
  <si>
    <t>Somewhat controlled remained the same</t>
  </si>
  <si>
    <t xml:space="preserve">Well-controlled and completely controlled were grouped together as "good control". </t>
  </si>
  <si>
    <t>The manuscript did not report the distribution of dissagregated physician assessment scores, thus we relied on Schatz et al. (2007) to obtain the distribution.</t>
  </si>
  <si>
    <t>Schatz et al. conducted a similar study to Soler et al., and while they did not collapse the 5-category physician assessment into 3 groups, they did report the distribution across the 5 categories at baseline (Table I).</t>
  </si>
  <si>
    <t xml:space="preserve">We then applied the grouping from Soler et al. to the prevalence distribution in Schatz et al in order to populate the calculation table for Method 2, as well as the distribution of 3-way prevalences. </t>
  </si>
  <si>
    <t>We then plugged in the 5-way prevalence into the model and iteratively adjusted the state transition probability matrix to achieve equilibrium while minimizing the "delta" (difference between model-derived prevalence and Method 2-calculated prevalence).</t>
  </si>
  <si>
    <t>Literature</t>
  </si>
  <si>
    <t>Model Sample at Initiation</t>
  </si>
  <si>
    <t>Model Pop at End</t>
  </si>
  <si>
    <t xml:space="preserve">To obtain the co-distribution of prevalence, we followed the example set in Soler et al (2019). Their study aimed to validate the Asthma Control Test (ACT) questionnaire, and compared ACT scores to physician global assessment scores for a sample of smoking asthmatics.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</si>
</sst>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2"/>
      <color theme="1"/>
      <name val="Calibri"/>
      <family val="2"/>
      <scheme val="minor"/>
    </font>
    <font>
      <sz val="12"/>
      <color rgb="FFFF0000"/>
      <name val="Calibri"/>
      <family val="2"/>
      <scheme val="minor"/>
    </font>
    <font>
      <b/>
      <sz val="12"/>
      <color theme="1"/>
      <name val="Calibri"/>
      <family val="2"/>
      <scheme val="minor"/>
    </font>
    <font>
      <i/>
      <sz val="12"/>
      <color theme="1"/>
      <name val="Calibri"/>
      <family val="2"/>
      <scheme val="minor"/>
    </font>
    <font>
      <i/>
      <sz val="12"/>
      <color rgb="FF000AFF"/>
      <name val="Calibri"/>
      <family val="2"/>
      <scheme val="minor"/>
    </font>
    <font>
      <sz val="10"/>
      <color rgb="FF000000"/>
      <name val="Tahoma"/>
      <family val="2"/>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0" fillId="0" borderId="0" xfId="0" applyAlignment="1">
      <alignment horizontal="center" vertical="center"/>
    </xf>
    <xf numFmtId="2" fontId="0" fillId="0" borderId="0" xfId="0" applyNumberFormat="1" applyAlignment="1">
      <alignment horizontal="center" vertical="center"/>
    </xf>
    <xf numFmtId="2" fontId="1" fillId="0" borderId="0" xfId="0" applyNumberFormat="1" applyFont="1" applyAlignment="1">
      <alignment horizontal="center" vertical="center"/>
    </xf>
    <xf numFmtId="2" fontId="0" fillId="2" borderId="0" xfId="0" applyNumberFormat="1" applyFill="1" applyAlignment="1">
      <alignment horizontal="center" vertical="center"/>
    </xf>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xf numFmtId="2" fontId="0" fillId="0" borderId="5" xfId="0" applyNumberFormat="1" applyBorder="1" applyAlignment="1">
      <alignment horizontal="center" vertical="center"/>
    </xf>
    <xf numFmtId="2" fontId="0" fillId="0" borderId="6" xfId="0" applyNumberFormat="1" applyBorder="1" applyAlignment="1">
      <alignment horizontal="center" vertical="center"/>
    </xf>
    <xf numFmtId="2" fontId="0" fillId="0" borderId="7" xfId="0" applyNumberFormat="1" applyBorder="1" applyAlignment="1">
      <alignment horizontal="center" vertical="center"/>
    </xf>
    <xf numFmtId="2" fontId="0" fillId="0" borderId="8" xfId="0" applyNumberFormat="1" applyBorder="1" applyAlignment="1">
      <alignment horizontal="center" vertical="center"/>
    </xf>
    <xf numFmtId="2" fontId="0" fillId="0" borderId="9" xfId="0" applyNumberFormat="1" applyBorder="1"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0" fontId="0" fillId="0" borderId="0" xfId="0" applyAlignment="1">
      <alignment horizontal="right" vertical="center"/>
    </xf>
    <xf numFmtId="0" fontId="3" fillId="0" borderId="0" xfId="0" applyFont="1" applyAlignment="1">
      <alignment horizontal="right" vertical="center"/>
    </xf>
    <xf numFmtId="0" fontId="3" fillId="0" borderId="0" xfId="0" applyFont="1" applyAlignment="1">
      <alignment horizontal="center" vertical="center"/>
    </xf>
    <xf numFmtId="164" fontId="4" fillId="0" borderId="0" xfId="0" applyNumberFormat="1"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xf numFmtId="2" fontId="0" fillId="2" borderId="2" xfId="0" applyNumberFormat="1" applyFill="1" applyBorder="1" applyAlignment="1">
      <alignment horizontal="center" vertical="center"/>
    </xf>
    <xf numFmtId="2" fontId="0" fillId="2" borderId="3" xfId="0" applyNumberFormat="1" applyFill="1" applyBorder="1" applyAlignment="1">
      <alignment horizontal="center" vertical="center"/>
    </xf>
    <xf numFmtId="2" fontId="0" fillId="2" borderId="4" xfId="0" applyNumberFormat="1" applyFill="1" applyBorder="1" applyAlignment="1">
      <alignment horizontal="center" vertical="center"/>
    </xf>
    <xf numFmtId="2" fontId="0" fillId="2" borderId="5" xfId="0" applyNumberFormat="1" applyFill="1" applyBorder="1" applyAlignment="1">
      <alignment horizontal="center" vertical="center"/>
    </xf>
    <xf numFmtId="2" fontId="0" fillId="2" borderId="6" xfId="0" applyNumberFormat="1" applyFill="1" applyBorder="1" applyAlignment="1">
      <alignment horizontal="center" vertical="center"/>
    </xf>
    <xf numFmtId="2" fontId="0" fillId="2" borderId="7" xfId="0" applyNumberFormat="1" applyFill="1" applyBorder="1" applyAlignment="1">
      <alignment horizontal="center" vertical="center"/>
    </xf>
    <xf numFmtId="2" fontId="0" fillId="2" borderId="8" xfId="0" applyNumberFormat="1" applyFill="1" applyBorder="1" applyAlignment="1">
      <alignment horizontal="center" vertical="center"/>
    </xf>
    <xf numFmtId="2" fontId="0" fillId="2" borderId="9" xfId="0" applyNumberFormat="1" applyFill="1" applyBorder="1" applyAlignment="1">
      <alignment horizontal="center" vertical="center"/>
    </xf>
    <xf numFmtId="0" fontId="0" fillId="2" borderId="0" xfId="0" applyFill="1" applyAlignment="1">
      <alignment horizontal="center" vertical="center"/>
    </xf>
    <xf numFmtId="2" fontId="0" fillId="0" borderId="0" xfId="0" applyNumberFormat="1" applyBorder="1" applyAlignment="1">
      <alignment horizontal="center" vertical="center"/>
    </xf>
    <xf numFmtId="2" fontId="0" fillId="2" borderId="0" xfId="0" applyNumberFormat="1" applyFill="1" applyBorder="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164" fontId="3" fillId="0" borderId="0" xfId="0" applyNumberFormat="1" applyFont="1" applyAlignment="1">
      <alignment horizontal="center" vertical="center"/>
    </xf>
    <xf numFmtId="0" fontId="2" fillId="2" borderId="1" xfId="0" applyFont="1" applyFill="1" applyBorder="1" applyAlignment="1">
      <alignment horizontal="center" vertical="center"/>
    </xf>
    <xf numFmtId="0" fontId="6" fillId="0" borderId="0" xfId="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164" fontId="0" fillId="0" borderId="0" xfId="0" applyNumberFormat="1" applyAlignment="1">
      <alignment horizontal="center" vertical="center"/>
    </xf>
  </cellXfs>
  <cellStyles count="2">
    <cellStyle name="Hyperlink" xfId="1" builtinId="8"/>
    <cellStyle name="Normal" xfId="0" builtinId="0"/>
  </cellStyles>
  <dxfs count="2">
    <dxf>
      <font>
        <color theme="2" tint="-9.9948118533890809E-2"/>
      </font>
    </dxf>
    <dxf>
      <font>
        <color theme="2" tint="-9.9948118533890809E-2"/>
      </font>
    </dxf>
  </dxfs>
  <tableStyles count="0" defaultTableStyle="TableStyleMedium2" defaultPivotStyle="PivotStyleLight16"/>
  <colors>
    <mruColors>
      <color rgb="FF000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54E13-E3C1-3E46-8368-D2DB362951ED}">
  <dimension ref="B1:R31"/>
  <sheetViews>
    <sheetView tabSelected="1" zoomScale="115" zoomScaleNormal="115" workbookViewId="0">
      <selection activeCell="R10" sqref="R10"/>
    </sheetView>
  </sheetViews>
  <sheetFormatPr defaultColWidth="10.83203125" defaultRowHeight="15.5" x14ac:dyDescent="0.35"/>
  <cols>
    <col min="1" max="1" width="1.6640625" style="1" customWidth="1"/>
    <col min="2" max="2" width="26.58203125" style="1" bestFit="1" customWidth="1"/>
    <col min="3" max="3" width="8" style="1" customWidth="1"/>
    <col min="4" max="4" width="19.1640625" style="1" customWidth="1"/>
    <col min="5" max="8" width="10.83203125" style="1"/>
    <col min="9" max="9" width="3.83203125" style="1" customWidth="1"/>
    <col min="10" max="12" width="10.83203125" style="1"/>
    <col min="13" max="13" width="7.1640625" style="1" customWidth="1"/>
    <col min="14" max="14" width="8.6640625" style="1" customWidth="1"/>
    <col min="15" max="16384" width="10.83203125" style="1"/>
  </cols>
  <sheetData>
    <row r="1" spans="2:18" x14ac:dyDescent="0.35">
      <c r="B1" s="20" t="s">
        <v>4</v>
      </c>
    </row>
    <row r="2" spans="2:18" x14ac:dyDescent="0.35">
      <c r="B2" s="29" t="s">
        <v>8</v>
      </c>
      <c r="E2" s="20" t="s">
        <v>12</v>
      </c>
      <c r="J2" s="13" t="s">
        <v>13</v>
      </c>
    </row>
    <row r="3" spans="2:18" s="32" customFormat="1" ht="46.5" x14ac:dyDescent="0.35">
      <c r="E3" s="33" t="s">
        <v>14</v>
      </c>
      <c r="F3" s="33" t="s">
        <v>15</v>
      </c>
      <c r="G3" s="33" t="s">
        <v>21</v>
      </c>
      <c r="J3" s="33" t="s">
        <v>14</v>
      </c>
      <c r="K3" s="33" t="s">
        <v>15</v>
      </c>
      <c r="L3" s="33" t="s">
        <v>21</v>
      </c>
    </row>
    <row r="4" spans="2:18" x14ac:dyDescent="0.35">
      <c r="D4" s="15" t="s">
        <v>2</v>
      </c>
      <c r="E4" s="35">
        <v>0.23300000000000001</v>
      </c>
      <c r="F4" s="35">
        <v>0.28499999999999998</v>
      </c>
      <c r="G4" s="35">
        <v>0.48199999999999998</v>
      </c>
      <c r="H4" s="3">
        <f>SUM(E4:G4)</f>
        <v>1</v>
      </c>
      <c r="J4" s="35">
        <f>E4</f>
        <v>0.23300000000000001</v>
      </c>
      <c r="K4" s="35">
        <f t="shared" ref="K4:M4" si="0">F4</f>
        <v>0.28499999999999998</v>
      </c>
      <c r="L4" s="35">
        <f t="shared" si="0"/>
        <v>0.48199999999999998</v>
      </c>
      <c r="M4" s="3">
        <f t="shared" si="0"/>
        <v>1</v>
      </c>
    </row>
    <row r="5" spans="2:18" x14ac:dyDescent="0.35">
      <c r="D5" s="15" t="s">
        <v>1</v>
      </c>
      <c r="E5" s="1">
        <f>$C10*E10+$C11*E11+$C12*E12+$C13*E13+$C14*E14</f>
        <v>0.3236</v>
      </c>
      <c r="F5" s="1">
        <f>$C10*F10+$C11*F11+$C12*F12+$C13*F13+$C14*F14</f>
        <v>0.44340000000000002</v>
      </c>
      <c r="G5" s="1">
        <f>$C10*G10+$C11*G11+$C12*G12+$C13*G13+$C14*G14</f>
        <v>0.23300000000000001</v>
      </c>
      <c r="H5" s="3">
        <f>SUM(E5:G5)</f>
        <v>1</v>
      </c>
      <c r="M5" s="3"/>
    </row>
    <row r="6" spans="2:18" x14ac:dyDescent="0.35">
      <c r="D6" s="16" t="s">
        <v>9</v>
      </c>
      <c r="E6" s="17">
        <f>E5-E4</f>
        <v>9.0599999999999986E-2</v>
      </c>
      <c r="F6" s="17">
        <f t="shared" ref="F6:G6" si="1">F5-F4</f>
        <v>0.15840000000000004</v>
      </c>
      <c r="G6" s="17">
        <f t="shared" si="1"/>
        <v>-0.24899999999999997</v>
      </c>
      <c r="H6" s="18">
        <f>ABS(E6)+ABS(F6)+ABS(G6)</f>
        <v>0.498</v>
      </c>
      <c r="I6" s="19"/>
      <c r="J6" s="17"/>
      <c r="K6" s="17"/>
      <c r="L6" s="17"/>
      <c r="M6" s="18"/>
      <c r="P6" s="36"/>
    </row>
    <row r="7" spans="2:18" x14ac:dyDescent="0.35">
      <c r="H7" s="2"/>
    </row>
    <row r="8" spans="2:18" x14ac:dyDescent="0.35">
      <c r="E8" s="37" t="s">
        <v>11</v>
      </c>
      <c r="F8" s="38"/>
      <c r="G8" s="38"/>
      <c r="H8" s="38"/>
      <c r="I8" s="38"/>
      <c r="J8" s="38"/>
      <c r="K8" s="38"/>
      <c r="L8" s="39"/>
      <c r="M8" s="41" t="s">
        <v>36</v>
      </c>
      <c r="N8" s="40"/>
      <c r="O8" s="40" t="s">
        <v>37</v>
      </c>
      <c r="P8" s="40"/>
      <c r="Q8" s="40" t="s">
        <v>38</v>
      </c>
      <c r="R8" s="40"/>
    </row>
    <row r="9" spans="2:18" x14ac:dyDescent="0.35">
      <c r="C9" s="1" t="s">
        <v>3</v>
      </c>
      <c r="E9" s="19" t="s">
        <v>6</v>
      </c>
      <c r="H9" s="2"/>
      <c r="J9" s="19" t="s">
        <v>7</v>
      </c>
      <c r="N9" s="17" t="s">
        <v>0</v>
      </c>
      <c r="P9" s="17" t="s">
        <v>0</v>
      </c>
      <c r="R9" s="17" t="s">
        <v>0</v>
      </c>
    </row>
    <row r="10" spans="2:18" x14ac:dyDescent="0.35">
      <c r="B10" s="14" t="s">
        <v>16</v>
      </c>
      <c r="C10" s="4">
        <v>0.15</v>
      </c>
      <c r="D10" s="2"/>
      <c r="E10" s="21">
        <v>1</v>
      </c>
      <c r="F10" s="22"/>
      <c r="G10" s="23"/>
      <c r="H10" s="3">
        <f>SUM(E10:G10)</f>
        <v>1</v>
      </c>
      <c r="J10" s="21">
        <f>12/(12+60)</f>
        <v>0.16666666666666666</v>
      </c>
      <c r="K10" s="22">
        <v>0</v>
      </c>
      <c r="L10" s="23">
        <v>0</v>
      </c>
      <c r="M10" s="1">
        <f>J$4*J10+K$4*K10+L$4*L10</f>
        <v>3.8833333333333331E-2</v>
      </c>
      <c r="N10" s="34">
        <f>M10-C10</f>
        <v>-0.11116666666666666</v>
      </c>
      <c r="O10" s="42">
        <f>0.0135/0.097</f>
        <v>0.13917525773195877</v>
      </c>
      <c r="P10" s="34">
        <f>O10-C10</f>
        <v>-1.0824742268041226E-2</v>
      </c>
      <c r="Q10" s="42">
        <f>0.0155/0.097</f>
        <v>0.15979381443298968</v>
      </c>
      <c r="R10" s="34">
        <f>Q10-C10</f>
        <v>9.7938144329896837E-3</v>
      </c>
    </row>
    <row r="11" spans="2:18" x14ac:dyDescent="0.35">
      <c r="B11" s="14" t="s">
        <v>17</v>
      </c>
      <c r="C11" s="4">
        <v>0.31</v>
      </c>
      <c r="D11" s="2"/>
      <c r="E11" s="24">
        <v>0.56000000000000005</v>
      </c>
      <c r="F11" s="4">
        <f>1-E11</f>
        <v>0.43999999999999995</v>
      </c>
      <c r="G11" s="25"/>
      <c r="H11" s="3">
        <f t="shared" ref="H11:H14" si="2">SUM(E11:G11)</f>
        <v>1</v>
      </c>
      <c r="J11" s="24">
        <f>60/(12+60)</f>
        <v>0.83333333333333337</v>
      </c>
      <c r="K11" s="31">
        <v>0</v>
      </c>
      <c r="L11" s="25">
        <v>0</v>
      </c>
      <c r="M11" s="1">
        <f t="shared" ref="M11:M14" si="3">J$4*J11+K$4*K11+L$4*L11</f>
        <v>0.19416666666666668</v>
      </c>
      <c r="N11" s="34">
        <f t="shared" ref="N11:P14" si="4">M11-C11</f>
        <v>-0.11583333333333332</v>
      </c>
      <c r="O11" s="42">
        <f>0.033/0.097</f>
        <v>0.34020618556701032</v>
      </c>
      <c r="P11" s="34">
        <f>O11-C11</f>
        <v>3.0206185567010324E-2</v>
      </c>
      <c r="Q11" s="42">
        <f>0.028/0.097</f>
        <v>0.28865979381443296</v>
      </c>
      <c r="R11" s="34">
        <f>Q11-C11</f>
        <v>-2.1340206185567034E-2</v>
      </c>
    </row>
    <row r="12" spans="2:18" x14ac:dyDescent="0.35">
      <c r="B12" s="14" t="s">
        <v>18</v>
      </c>
      <c r="C12" s="4">
        <v>0.16</v>
      </c>
      <c r="D12" s="2"/>
      <c r="E12" s="24"/>
      <c r="F12" s="4">
        <v>1</v>
      </c>
      <c r="G12" s="25"/>
      <c r="H12" s="3">
        <f t="shared" si="2"/>
        <v>1</v>
      </c>
      <c r="J12" s="24">
        <v>0</v>
      </c>
      <c r="K12" s="31">
        <v>1</v>
      </c>
      <c r="L12" s="25">
        <v>0</v>
      </c>
      <c r="M12" s="1">
        <f t="shared" si="3"/>
        <v>0.28499999999999998</v>
      </c>
      <c r="N12" s="34">
        <f t="shared" si="4"/>
        <v>0.12499999999999997</v>
      </c>
      <c r="O12" s="42">
        <f>0.0175/0.097</f>
        <v>0.18041237113402064</v>
      </c>
      <c r="P12" s="34">
        <f>O12-C12</f>
        <v>2.041237113402064E-2</v>
      </c>
      <c r="Q12" s="42">
        <f>0.018/0.097</f>
        <v>0.18556701030927833</v>
      </c>
      <c r="R12" s="34">
        <f>Q12-C12</f>
        <v>2.5567010309278326E-2</v>
      </c>
    </row>
    <row r="13" spans="2:18" x14ac:dyDescent="0.35">
      <c r="B13" s="14" t="s">
        <v>20</v>
      </c>
      <c r="C13" s="4">
        <v>0.21</v>
      </c>
      <c r="D13" s="2"/>
      <c r="E13" s="24"/>
      <c r="F13" s="4">
        <v>0.7</v>
      </c>
      <c r="G13" s="25">
        <v>0.3</v>
      </c>
      <c r="H13" s="3">
        <f t="shared" si="2"/>
        <v>1</v>
      </c>
      <c r="J13" s="24">
        <v>0</v>
      </c>
      <c r="K13" s="31">
        <v>0</v>
      </c>
      <c r="L13" s="25">
        <f>121/(121+28)</f>
        <v>0.81208053691275173</v>
      </c>
      <c r="M13" s="1">
        <f t="shared" si="3"/>
        <v>0.39142281879194629</v>
      </c>
      <c r="N13" s="34">
        <f t="shared" si="4"/>
        <v>0.1814228187919463</v>
      </c>
      <c r="O13" s="42">
        <f>0.015/0.097</f>
        <v>0.15463917525773194</v>
      </c>
      <c r="P13" s="34">
        <f>O13-C13</f>
        <v>-5.5360824742268055E-2</v>
      </c>
      <c r="Q13" s="42">
        <f>0.0195/0.097</f>
        <v>0.20103092783505155</v>
      </c>
      <c r="R13" s="34">
        <f>Q13-C13</f>
        <v>-8.9690721649484384E-3</v>
      </c>
    </row>
    <row r="14" spans="2:18" x14ac:dyDescent="0.35">
      <c r="B14" s="14" t="s">
        <v>19</v>
      </c>
      <c r="C14" s="4">
        <v>0.17</v>
      </c>
      <c r="D14" s="2"/>
      <c r="E14" s="26"/>
      <c r="F14" s="27"/>
      <c r="G14" s="28">
        <v>1</v>
      </c>
      <c r="H14" s="3">
        <f t="shared" si="2"/>
        <v>1</v>
      </c>
      <c r="J14" s="26">
        <v>0</v>
      </c>
      <c r="K14" s="27">
        <v>0</v>
      </c>
      <c r="L14" s="28">
        <f>28/(121+28)</f>
        <v>0.18791946308724833</v>
      </c>
      <c r="M14" s="1">
        <f t="shared" si="3"/>
        <v>9.0577181208053692E-2</v>
      </c>
      <c r="N14" s="34">
        <f t="shared" si="4"/>
        <v>-7.942281879194632E-2</v>
      </c>
      <c r="O14" s="42">
        <f>0.018/0.097</f>
        <v>0.18556701030927833</v>
      </c>
      <c r="P14" s="34">
        <f>O14-C14</f>
        <v>1.5567010309278317E-2</v>
      </c>
      <c r="Q14" s="42">
        <f>0.016/0.097</f>
        <v>0.16494845360824742</v>
      </c>
      <c r="R14" s="34">
        <f>Q14-C14</f>
        <v>-5.0515463917525927E-3</v>
      </c>
    </row>
    <row r="15" spans="2:18" x14ac:dyDescent="0.35">
      <c r="C15" s="3">
        <f>SUM(C10:C14)</f>
        <v>1</v>
      </c>
      <c r="D15" s="3"/>
      <c r="E15" s="2"/>
      <c r="F15" s="2"/>
      <c r="G15" s="2"/>
      <c r="H15" s="2"/>
      <c r="J15" s="3">
        <f>SUM(J10:J14)</f>
        <v>1</v>
      </c>
      <c r="K15" s="3">
        <f t="shared" ref="K15:O15" si="5">SUM(K10:K14)</f>
        <v>1</v>
      </c>
      <c r="L15" s="3">
        <f t="shared" si="5"/>
        <v>1</v>
      </c>
      <c r="M15" s="3">
        <f t="shared" si="5"/>
        <v>1</v>
      </c>
      <c r="N15" s="18">
        <f>ABS(N10)+ABS(N11)+ABS(N12)+ABS(N13)+ABS(N14)</f>
        <v>0.61284563758389266</v>
      </c>
      <c r="O15" s="3">
        <f t="shared" si="5"/>
        <v>1</v>
      </c>
      <c r="P15" s="18">
        <f>ABS(P10)+ABS(P11)+ABS(P12)+ABS(P13)+ABS(P14)</f>
        <v>0.13237113402061856</v>
      </c>
      <c r="Q15" s="3">
        <f t="shared" ref="Q15:R15" si="6">SUM(Q10:Q14)</f>
        <v>0.99999999999999989</v>
      </c>
      <c r="R15" s="18">
        <f>ABS(R10)+ABS(R11)+ABS(R12)+ABS(R13)+ABS(R14)</f>
        <v>7.0721649484536075E-2</v>
      </c>
    </row>
    <row r="16" spans="2:18" x14ac:dyDescent="0.35">
      <c r="E16" s="19" t="s">
        <v>5</v>
      </c>
    </row>
    <row r="17" spans="5:8" x14ac:dyDescent="0.35">
      <c r="E17" s="1">
        <f>E10*$C10*100</f>
        <v>15</v>
      </c>
      <c r="F17" s="1">
        <f t="shared" ref="F17:G17" si="7">F10*$C10*100</f>
        <v>0</v>
      </c>
      <c r="G17" s="1">
        <f t="shared" si="7"/>
        <v>0</v>
      </c>
      <c r="H17" s="3">
        <f>SUM(E17:G17)</f>
        <v>15</v>
      </c>
    </row>
    <row r="18" spans="5:8" x14ac:dyDescent="0.35">
      <c r="E18" s="1">
        <f t="shared" ref="E18:G21" si="8">E11*$C11*100</f>
        <v>17.36</v>
      </c>
      <c r="F18" s="1">
        <f t="shared" si="8"/>
        <v>13.639999999999999</v>
      </c>
      <c r="G18" s="1">
        <f t="shared" si="8"/>
        <v>0</v>
      </c>
      <c r="H18" s="3">
        <f t="shared" ref="H18:H21" si="9">SUM(E18:G18)</f>
        <v>31</v>
      </c>
    </row>
    <row r="19" spans="5:8" x14ac:dyDescent="0.35">
      <c r="E19" s="1">
        <f t="shared" si="8"/>
        <v>0</v>
      </c>
      <c r="F19" s="1">
        <f t="shared" si="8"/>
        <v>16</v>
      </c>
      <c r="G19" s="1">
        <f t="shared" si="8"/>
        <v>0</v>
      </c>
      <c r="H19" s="3">
        <f t="shared" si="9"/>
        <v>16</v>
      </c>
    </row>
    <row r="20" spans="5:8" x14ac:dyDescent="0.35">
      <c r="E20" s="1">
        <f t="shared" si="8"/>
        <v>0</v>
      </c>
      <c r="F20" s="1">
        <f t="shared" si="8"/>
        <v>14.7</v>
      </c>
      <c r="G20" s="1">
        <f t="shared" si="8"/>
        <v>6.3</v>
      </c>
      <c r="H20" s="3">
        <f t="shared" si="9"/>
        <v>21</v>
      </c>
    </row>
    <row r="21" spans="5:8" x14ac:dyDescent="0.35">
      <c r="E21" s="1">
        <f t="shared" si="8"/>
        <v>0</v>
      </c>
      <c r="F21" s="1">
        <f t="shared" si="8"/>
        <v>0</v>
      </c>
      <c r="G21" s="1">
        <f t="shared" si="8"/>
        <v>17</v>
      </c>
      <c r="H21" s="3">
        <f t="shared" si="9"/>
        <v>17</v>
      </c>
    </row>
    <row r="22" spans="5:8" x14ac:dyDescent="0.35">
      <c r="E22" s="3">
        <f>SUM(E17:E21)</f>
        <v>32.36</v>
      </c>
      <c r="F22" s="3">
        <f t="shared" ref="F22:G22" si="10">SUM(F17:F21)</f>
        <v>44.34</v>
      </c>
      <c r="G22" s="3">
        <f t="shared" si="10"/>
        <v>23.3</v>
      </c>
      <c r="H22" s="3">
        <f>SUM(H17:H21)</f>
        <v>100</v>
      </c>
    </row>
    <row r="23" spans="5:8" x14ac:dyDescent="0.35">
      <c r="G23" s="3">
        <f>SUM(E22:G22)</f>
        <v>100</v>
      </c>
    </row>
    <row r="25" spans="5:8" x14ac:dyDescent="0.35">
      <c r="E25" s="19" t="s">
        <v>10</v>
      </c>
    </row>
    <row r="26" spans="5:8" x14ac:dyDescent="0.35">
      <c r="E26" s="5">
        <f t="shared" ref="E26:G30" si="11">E17/E$22</f>
        <v>0.46353522867737951</v>
      </c>
      <c r="F26" s="6">
        <f t="shared" si="11"/>
        <v>0</v>
      </c>
      <c r="G26" s="7">
        <f t="shared" si="11"/>
        <v>0</v>
      </c>
    </row>
    <row r="27" spans="5:8" x14ac:dyDescent="0.35">
      <c r="E27" s="8">
        <f t="shared" si="11"/>
        <v>0.53646477132262049</v>
      </c>
      <c r="F27" s="30">
        <f t="shared" si="11"/>
        <v>0.30762291384754165</v>
      </c>
      <c r="G27" s="9">
        <f t="shared" si="11"/>
        <v>0</v>
      </c>
    </row>
    <row r="28" spans="5:8" x14ac:dyDescent="0.35">
      <c r="E28" s="8">
        <f t="shared" si="11"/>
        <v>0</v>
      </c>
      <c r="F28" s="30">
        <f t="shared" si="11"/>
        <v>0.36084799278304014</v>
      </c>
      <c r="G28" s="9">
        <f t="shared" si="11"/>
        <v>0</v>
      </c>
    </row>
    <row r="29" spans="5:8" x14ac:dyDescent="0.35">
      <c r="E29" s="8">
        <f t="shared" si="11"/>
        <v>0</v>
      </c>
      <c r="F29" s="30">
        <f t="shared" si="11"/>
        <v>0.3315290933694181</v>
      </c>
      <c r="G29" s="9">
        <f t="shared" si="11"/>
        <v>0.27038626609442057</v>
      </c>
    </row>
    <row r="30" spans="5:8" x14ac:dyDescent="0.35">
      <c r="E30" s="10">
        <f t="shared" si="11"/>
        <v>0</v>
      </c>
      <c r="F30" s="11">
        <f t="shared" si="11"/>
        <v>0</v>
      </c>
      <c r="G30" s="12">
        <f t="shared" si="11"/>
        <v>0.72961373390557938</v>
      </c>
    </row>
    <row r="31" spans="5:8" x14ac:dyDescent="0.35">
      <c r="E31" s="3">
        <f>SUM(E26:E30)</f>
        <v>1</v>
      </c>
      <c r="F31" s="3">
        <f t="shared" ref="F31:G31" si="12">SUM(F26:F30)</f>
        <v>1</v>
      </c>
      <c r="G31" s="3">
        <f t="shared" si="12"/>
        <v>1</v>
      </c>
    </row>
  </sheetData>
  <mergeCells count="4">
    <mergeCell ref="E8:L8"/>
    <mergeCell ref="M8:N8"/>
    <mergeCell ref="O8:P8"/>
    <mergeCell ref="Q8:R8"/>
  </mergeCells>
  <conditionalFormatting sqref="E26:G30">
    <cfRule type="cellIs" dxfId="1" priority="2" operator="equal">
      <formula>0</formula>
    </cfRule>
  </conditionalFormatting>
  <conditionalFormatting sqref="J10:L14">
    <cfRule type="cellIs" dxfId="0" priority="1" operator="equal">
      <formula>0</formula>
    </cfRule>
  </conditionalFormatting>
  <pageMargins left="0.7" right="0.7" top="0.75" bottom="0.75" header="0.3" footer="0.3"/>
  <pageSetup orientation="portrait" horizontalDpi="4294967293"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A71C3-49D9-49A0-8263-B90183483103}">
  <dimension ref="A1:A18"/>
  <sheetViews>
    <sheetView zoomScale="115" zoomScaleNormal="115" workbookViewId="0">
      <selection activeCell="A7" sqref="A7"/>
    </sheetView>
  </sheetViews>
  <sheetFormatPr defaultRowHeight="15.5" x14ac:dyDescent="0.35"/>
  <sheetData>
    <row r="1" spans="1:1" x14ac:dyDescent="0.35">
      <c r="A1" t="s">
        <v>22</v>
      </c>
    </row>
    <row r="2" spans="1:1" x14ac:dyDescent="0.35">
      <c r="A2" t="s">
        <v>25</v>
      </c>
    </row>
    <row r="3" spans="1:1" x14ac:dyDescent="0.35">
      <c r="A3" t="s">
        <v>23</v>
      </c>
    </row>
    <row r="5" spans="1:1" x14ac:dyDescent="0.35">
      <c r="A5" t="s">
        <v>24</v>
      </c>
    </row>
    <row r="6" spans="1:1" x14ac:dyDescent="0.35">
      <c r="A6" t="s">
        <v>39</v>
      </c>
    </row>
    <row r="7" spans="1:1" x14ac:dyDescent="0.35">
      <c r="A7" t="s">
        <v>26</v>
      </c>
    </row>
    <row r="8" spans="1:1" x14ac:dyDescent="0.35">
      <c r="A8" t="s">
        <v>27</v>
      </c>
    </row>
    <row r="9" spans="1:1" x14ac:dyDescent="0.35">
      <c r="A9" t="s">
        <v>28</v>
      </c>
    </row>
    <row r="10" spans="1:1" x14ac:dyDescent="0.35">
      <c r="A10" t="s">
        <v>29</v>
      </c>
    </row>
    <row r="11" spans="1:1" x14ac:dyDescent="0.35">
      <c r="A11" t="s">
        <v>30</v>
      </c>
    </row>
    <row r="12" spans="1:1" x14ac:dyDescent="0.35">
      <c r="A12" t="s">
        <v>31</v>
      </c>
    </row>
    <row r="14" spans="1:1" x14ac:dyDescent="0.35">
      <c r="A14" t="s">
        <v>32</v>
      </c>
    </row>
    <row r="15" spans="1:1" x14ac:dyDescent="0.35">
      <c r="A15" t="s">
        <v>33</v>
      </c>
    </row>
    <row r="16" spans="1:1" x14ac:dyDescent="0.35">
      <c r="A16" t="s">
        <v>34</v>
      </c>
    </row>
    <row r="18" spans="1:1" x14ac:dyDescent="0.35">
      <c r="A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Calibration</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 Kahn</dc:creator>
  <cp:lastModifiedBy>Maya, Sigal</cp:lastModifiedBy>
  <dcterms:created xsi:type="dcterms:W3CDTF">2023-01-31T20:26:56Z</dcterms:created>
  <dcterms:modified xsi:type="dcterms:W3CDTF">2023-03-09T16:57:57Z</dcterms:modified>
</cp:coreProperties>
</file>