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Healthcare use\"/>
    </mc:Choice>
  </mc:AlternateContent>
  <xr:revisionPtr revIDLastSave="0" documentId="13_ncr:1_{021CC828-3E84-4929-A4A7-4A4C18D887E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ealthcare use by asthma contro" sheetId="1" r:id="rId1"/>
    <sheet name="Calib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3" i="2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U33" i="1"/>
  <c r="V33" i="1"/>
  <c r="W33" i="1"/>
  <c r="T33" i="1"/>
  <c r="O34" i="1"/>
  <c r="O35" i="1"/>
  <c r="K35" i="1" s="1"/>
  <c r="P35" i="1" s="1"/>
  <c r="O36" i="1"/>
  <c r="O37" i="1"/>
  <c r="O33" i="1"/>
  <c r="N34" i="1"/>
  <c r="N35" i="1"/>
  <c r="N36" i="1"/>
  <c r="N37" i="1"/>
  <c r="N33" i="1"/>
  <c r="K33" i="1" s="1"/>
  <c r="P33" i="1" s="1"/>
  <c r="M33" i="1"/>
  <c r="M34" i="1"/>
  <c r="M35" i="1"/>
  <c r="M36" i="1"/>
  <c r="K36" i="1" s="1"/>
  <c r="P36" i="1" s="1"/>
  <c r="M37" i="1"/>
  <c r="L34" i="1"/>
  <c r="L35" i="1"/>
  <c r="L36" i="1"/>
  <c r="L37" i="1"/>
  <c r="K37" i="1" s="1"/>
  <c r="P37" i="1" s="1"/>
  <c r="L38" i="1"/>
  <c r="L39" i="1"/>
  <c r="M38" i="1"/>
  <c r="M39" i="1"/>
  <c r="L33" i="1"/>
  <c r="P32" i="1"/>
  <c r="K38" i="1"/>
  <c r="N38" i="1"/>
  <c r="O38" i="1"/>
  <c r="K39" i="1"/>
  <c r="N39" i="1"/>
  <c r="O39" i="1"/>
  <c r="L32" i="1"/>
  <c r="M32" i="1"/>
  <c r="N32" i="1"/>
  <c r="O32" i="1"/>
  <c r="S40" i="1"/>
  <c r="T27" i="1"/>
  <c r="V27" i="1"/>
  <c r="W27" i="1"/>
  <c r="T26" i="1"/>
  <c r="T24" i="1"/>
  <c r="T11" i="1"/>
  <c r="T23" i="1"/>
  <c r="W26" i="1"/>
  <c r="V26" i="1"/>
  <c r="V24" i="1"/>
  <c r="W24" i="1"/>
  <c r="W23" i="1"/>
  <c r="V23" i="1"/>
  <c r="S23" i="1"/>
  <c r="T20" i="1"/>
  <c r="U20" i="1"/>
  <c r="V20" i="1"/>
  <c r="W20" i="1"/>
  <c r="T17" i="1"/>
  <c r="U17" i="1"/>
  <c r="V17" i="1"/>
  <c r="W17" i="1"/>
  <c r="T18" i="1"/>
  <c r="U18" i="1"/>
  <c r="V18" i="1"/>
  <c r="W18" i="1"/>
  <c r="T19" i="1"/>
  <c r="U19" i="1"/>
  <c r="V19" i="1"/>
  <c r="W19" i="1"/>
  <c r="U16" i="1"/>
  <c r="V16" i="1"/>
  <c r="W16" i="1"/>
  <c r="T16" i="1"/>
  <c r="G3" i="2"/>
  <c r="G4" i="2"/>
  <c r="G5" i="2"/>
  <c r="G6" i="2"/>
  <c r="G7" i="2"/>
  <c r="S11" i="1"/>
  <c r="K34" i="1" l="1"/>
  <c r="P34" i="1" s="1"/>
  <c r="P39" i="1"/>
  <c r="P38" i="1"/>
  <c r="W40" i="1"/>
  <c r="W41" i="1" s="1"/>
  <c r="W43" i="1" s="1"/>
  <c r="V40" i="1"/>
  <c r="V41" i="1" s="1"/>
  <c r="V43" i="1" s="1"/>
  <c r="T40" i="1"/>
  <c r="T41" i="1" s="1"/>
  <c r="T43" i="1" s="1"/>
  <c r="L4" i="1"/>
  <c r="M4" i="1"/>
  <c r="U4" i="1" s="1"/>
  <c r="N4" i="1"/>
  <c r="V4" i="1" s="1"/>
  <c r="F4" i="1"/>
  <c r="F7" i="1" s="1"/>
  <c r="E7" i="1"/>
  <c r="N7" i="1" s="1"/>
  <c r="V7" i="1" s="1"/>
  <c r="E6" i="1"/>
  <c r="N6" i="1" s="1"/>
  <c r="V6" i="1" s="1"/>
  <c r="E5" i="1"/>
  <c r="N5" i="1" s="1"/>
  <c r="V5" i="1" s="1"/>
  <c r="D7" i="1"/>
  <c r="D8" i="1" s="1"/>
  <c r="M8" i="1" s="1"/>
  <c r="U8" i="1" s="1"/>
  <c r="D6" i="1"/>
  <c r="M6" i="1" s="1"/>
  <c r="U6" i="1" s="1"/>
  <c r="D5" i="1"/>
  <c r="M5" i="1" s="1"/>
  <c r="U5" i="1" s="1"/>
  <c r="C7" i="1"/>
  <c r="L7" i="1" s="1"/>
  <c r="T7" i="1" s="1"/>
  <c r="C6" i="1"/>
  <c r="L6" i="1" s="1"/>
  <c r="T6" i="1" s="1"/>
  <c r="C5" i="1"/>
  <c r="L5" i="1" s="1"/>
  <c r="T5" i="1" s="1"/>
  <c r="T4" i="1" l="1"/>
  <c r="M7" i="1"/>
  <c r="U7" i="1" s="1"/>
  <c r="E8" i="1"/>
  <c r="N8" i="1" s="1"/>
  <c r="V8" i="1" s="1"/>
  <c r="V11" i="1" s="1"/>
  <c r="C8" i="1"/>
  <c r="L8" i="1" s="1"/>
  <c r="O7" i="1"/>
  <c r="W7" i="1" s="1"/>
  <c r="F8" i="1"/>
  <c r="O8" i="1" s="1"/>
  <c r="W8" i="1" s="1"/>
  <c r="O4" i="1"/>
  <c r="W4" i="1" s="1"/>
  <c r="F5" i="1"/>
  <c r="O5" i="1" s="1"/>
  <c r="W5" i="1" s="1"/>
  <c r="F6" i="1"/>
  <c r="O6" i="1" s="1"/>
  <c r="W6" i="1" s="1"/>
  <c r="K7" i="1" l="1"/>
  <c r="K8" i="1"/>
  <c r="T8" i="1"/>
  <c r="K4" i="1"/>
  <c r="K6" i="1"/>
  <c r="K5" i="1"/>
  <c r="W11" i="1" l="1"/>
</calcChain>
</file>

<file path=xl/sharedStrings.xml><?xml version="1.0" encoding="utf-8"?>
<sst xmlns="http://schemas.openxmlformats.org/spreadsheetml/2006/main" count="76" uniqueCount="44">
  <si>
    <t>none</t>
  </si>
  <si>
    <t>ocs</t>
  </si>
  <si>
    <t>ugt</t>
  </si>
  <si>
    <t>ed</t>
  </si>
  <si>
    <t>hosp</t>
  </si>
  <si>
    <t>sum</t>
  </si>
  <si>
    <t>OLD VERSION</t>
  </si>
  <si>
    <t>Source=</t>
  </si>
  <si>
    <t>https://onlinelibrary.wiley.com/doi/10.1111/j.1398-9995.2007.01383.x</t>
  </si>
  <si>
    <t xml:space="preserve">Hosp assumes average stay of 2 nights. </t>
  </si>
  <si>
    <t>RATES PER PERSON-YEAR</t>
  </si>
  <si>
    <t>How did they define hospitalizations? Eg if you get admitted from ED?</t>
  </si>
  <si>
    <t>Look at the change in dist of states. Take the 2 week values an</t>
  </si>
  <si>
    <t>% in state - 2 weeks of fire</t>
  </si>
  <si>
    <t>Fire related utilization adjustment factor</t>
  </si>
  <si>
    <t>OCS</t>
  </si>
  <si>
    <t>UGT</t>
  </si>
  <si>
    <t>ED</t>
  </si>
  <si>
    <t>HOSP</t>
  </si>
  <si>
    <t>NONE</t>
  </si>
  <si>
    <t>NO FIRE</t>
  </si>
  <si>
    <t>PROPORTIONS ON CYCLE 2</t>
  </si>
  <si>
    <t>FIRE - NO WITHIN STATE ADJUSTMENT</t>
  </si>
  <si>
    <t>LIT RATES</t>
  </si>
  <si>
    <t>% Change in HRU</t>
  </si>
  <si>
    <t>FIRE - WITHIN STATE ADJUSTMENT</t>
  </si>
  <si>
    <t>Change from no fire</t>
  </si>
  <si>
    <t>PROBABILITIES PER WEEK - NO FIRE</t>
  </si>
  <si>
    <t>BASELINE - NO FIRE</t>
  </si>
  <si>
    <t>% in state</t>
  </si>
  <si>
    <t>% OCS</t>
  </si>
  <si>
    <t>% UGT</t>
  </si>
  <si>
    <t>% ED</t>
  </si>
  <si>
    <t>% HOSP</t>
  </si>
  <si>
    <t>STATE</t>
  </si>
  <si>
    <t>SUM</t>
  </si>
  <si>
    <t>Observed increase</t>
  </si>
  <si>
    <t>Target increase</t>
  </si>
  <si>
    <t>Target proportions</t>
  </si>
  <si>
    <t>Adjustment factor</t>
  </si>
  <si>
    <t>Adj. Observed increase</t>
  </si>
  <si>
    <t>PROBABILITIES PER WEEK - FIRE</t>
  </si>
  <si>
    <t>Match?</t>
  </si>
  <si>
    <t>FIRE - AFTER WITHIN STATE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</si>
</sst>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00"/>
    <numFmt numFmtId="166" formatCode="0.000000000000000"/>
    <numFmt numFmtId="167" formatCode="_(* #,##0.0000000_);_(* \(#,##0.0000000\);_(* &quot;-&quot;??_);_(@_)"/>
    <numFmt numFmtId="169" formatCode="0.00000000"/>
    <numFmt numFmtId="170" formatCode="0.0000"/>
    <numFmt numFmtId="189" formatCode="_(* #,##0.0000_);_(* \(#,##0.0000\);_(* &quot;-&quot;??_);_(@_)"/>
    <numFmt numFmtId="190" formatCode="_(* #,##0.00000_);_(* \(#,##0.00000\);_(* &quot;-&quot;??_);_(@_)"/>
    <numFmt numFmtId="192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18" fillId="0" borderId="0" xfId="42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43" applyNumberFormat="1" applyFont="1"/>
    <xf numFmtId="167" fontId="0" fillId="0" borderId="0" xfId="0" applyNumberFormat="1"/>
    <xf numFmtId="169" fontId="0" fillId="0" borderId="0" xfId="43" applyNumberFormat="1" applyFont="1"/>
    <xf numFmtId="16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0" applyNumberFormat="1"/>
    <xf numFmtId="190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92" fontId="0" fillId="0" borderId="0" xfId="0" applyNumberFormat="1" applyAlignment="1">
      <alignment horizontal="center"/>
    </xf>
    <xf numFmtId="192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0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9" fillId="0" borderId="19" xfId="44" applyNumberFormat="1" applyFont="1" applyBorder="1" applyAlignment="1">
      <alignment horizontal="center" vertical="center"/>
    </xf>
    <xf numFmtId="9" fontId="19" fillId="0" borderId="20" xfId="44" applyNumberFormat="1" applyFont="1" applyBorder="1" applyAlignment="1">
      <alignment horizontal="center" vertical="center"/>
    </xf>
    <xf numFmtId="9" fontId="16" fillId="0" borderId="22" xfId="0" applyNumberFormat="1" applyFont="1" applyBorder="1" applyAlignment="1">
      <alignment horizontal="center" vertical="center"/>
    </xf>
    <xf numFmtId="9" fontId="16" fillId="0" borderId="23" xfId="0" applyNumberFormat="1" applyFont="1" applyBorder="1" applyAlignment="1">
      <alignment horizontal="center" vertical="center"/>
    </xf>
    <xf numFmtId="9" fontId="16" fillId="0" borderId="17" xfId="0" applyNumberFormat="1" applyFont="1" applyBorder="1" applyAlignment="1">
      <alignment horizontal="center" vertical="center"/>
    </xf>
    <xf numFmtId="9" fontId="16" fillId="0" borderId="18" xfId="0" applyNumberFormat="1" applyFont="1" applyBorder="1" applyAlignment="1">
      <alignment horizontal="center" vertical="center"/>
    </xf>
    <xf numFmtId="9" fontId="20" fillId="0" borderId="19" xfId="44" applyNumberFormat="1" applyFont="1" applyBorder="1" applyAlignment="1">
      <alignment horizontal="center" vertical="center"/>
    </xf>
    <xf numFmtId="9" fontId="20" fillId="0" borderId="20" xfId="44" applyNumberFormat="1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doi/10.1111/j.1398-9995.2007.01383.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L1" zoomScale="115" zoomScaleNormal="115" workbookViewId="0">
      <selection activeCell="V11" sqref="V11"/>
    </sheetView>
  </sheetViews>
  <sheetFormatPr defaultRowHeight="14.5" x14ac:dyDescent="0.35"/>
  <cols>
    <col min="8" max="8" width="11.90625" customWidth="1"/>
    <col min="17" max="17" width="9.6328125" bestFit="1" customWidth="1"/>
    <col min="18" max="18" width="10.90625" customWidth="1"/>
    <col min="19" max="19" width="11.81640625" bestFit="1" customWidth="1"/>
    <col min="20" max="22" width="11.81640625" customWidth="1"/>
    <col min="23" max="23" width="12.08984375" bestFit="1" customWidth="1"/>
    <col min="24" max="24" width="11.81640625" bestFit="1" customWidth="1"/>
    <col min="25" max="25" width="12.08984375" bestFit="1" customWidth="1"/>
  </cols>
  <sheetData>
    <row r="1" spans="1:26" x14ac:dyDescent="0.35">
      <c r="A1" s="22" t="s">
        <v>10</v>
      </c>
      <c r="B1" s="22"/>
      <c r="C1" s="22"/>
      <c r="D1" s="22"/>
      <c r="E1" s="22"/>
      <c r="F1" s="22"/>
      <c r="J1" s="22" t="s">
        <v>27</v>
      </c>
      <c r="K1" s="22"/>
      <c r="L1" s="22"/>
      <c r="M1" s="22"/>
      <c r="N1" s="22"/>
      <c r="O1" s="22"/>
      <c r="P1" s="22"/>
      <c r="S1" s="11" t="s">
        <v>28</v>
      </c>
      <c r="T1" s="11"/>
      <c r="U1" s="11"/>
      <c r="V1" s="11"/>
      <c r="W1" s="11"/>
    </row>
    <row r="2" spans="1:26" s="10" customFormat="1" x14ac:dyDescent="0.35">
      <c r="B2" s="20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K2" s="20" t="s">
        <v>0</v>
      </c>
      <c r="L2" s="20" t="s">
        <v>1</v>
      </c>
      <c r="M2" s="20" t="s">
        <v>2</v>
      </c>
      <c r="N2" s="20" t="s">
        <v>3</v>
      </c>
      <c r="O2" s="20" t="s">
        <v>4</v>
      </c>
      <c r="P2" s="20" t="s">
        <v>5</v>
      </c>
      <c r="R2" s="10" t="s">
        <v>34</v>
      </c>
      <c r="S2" s="10" t="s">
        <v>29</v>
      </c>
      <c r="T2" s="10" t="s">
        <v>30</v>
      </c>
      <c r="U2" s="10" t="s">
        <v>31</v>
      </c>
      <c r="V2" s="10" t="s">
        <v>32</v>
      </c>
      <c r="W2" s="10" t="s">
        <v>33</v>
      </c>
    </row>
    <row r="3" spans="1:26" x14ac:dyDescent="0.35">
      <c r="A3" s="21">
        <v>0</v>
      </c>
      <c r="J3" s="21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R3">
        <v>0</v>
      </c>
      <c r="S3">
        <v>0</v>
      </c>
    </row>
    <row r="4" spans="1:26" x14ac:dyDescent="0.35">
      <c r="A4" s="21">
        <v>1</v>
      </c>
      <c r="C4" s="3">
        <v>1.038</v>
      </c>
      <c r="D4" s="3">
        <v>1.0740000000000001</v>
      </c>
      <c r="E4" s="3">
        <v>0.114</v>
      </c>
      <c r="F4" s="3">
        <f>0.05/2</f>
        <v>2.5000000000000001E-2</v>
      </c>
      <c r="H4" s="5"/>
      <c r="J4" s="21">
        <v>1</v>
      </c>
      <c r="K4" s="4">
        <f>1-(SUM(L4:O4))</f>
        <v>0.95712379761328958</v>
      </c>
      <c r="L4" s="4">
        <f>1-EXP(-C4/52)</f>
        <v>1.976362601926307E-2</v>
      </c>
      <c r="M4" s="4">
        <f t="shared" ref="M4:O4" si="0">1-EXP(-D4/52)</f>
        <v>2.0442016346733149E-2</v>
      </c>
      <c r="N4" s="4">
        <f t="shared" si="0"/>
        <v>2.1899063409530628E-3</v>
      </c>
      <c r="O4" s="4">
        <f t="shared" si="0"/>
        <v>4.8065367976113382E-4</v>
      </c>
      <c r="P4">
        <v>1</v>
      </c>
      <c r="R4">
        <v>1</v>
      </c>
      <c r="S4">
        <v>8.1199999999999994E-2</v>
      </c>
      <c r="T4" s="6">
        <f>$S4*L4</f>
        <v>1.6048064327641612E-3</v>
      </c>
      <c r="U4" s="6">
        <f>$S4*M4</f>
        <v>1.6598917273547317E-3</v>
      </c>
      <c r="V4" s="6">
        <f>$S4*N4</f>
        <v>1.7782039488538869E-4</v>
      </c>
      <c r="W4" s="6">
        <f>$S4*O4</f>
        <v>3.9029078796604063E-5</v>
      </c>
      <c r="Y4" s="8"/>
      <c r="Z4" s="12"/>
    </row>
    <row r="5" spans="1:26" x14ac:dyDescent="0.35">
      <c r="A5" s="21">
        <v>2</v>
      </c>
      <c r="C5" s="3">
        <f>C4*1.1</f>
        <v>1.1418000000000001</v>
      </c>
      <c r="D5" s="3">
        <f>D4*1.1</f>
        <v>1.1814000000000002</v>
      </c>
      <c r="E5" s="3">
        <f>E4*1.2</f>
        <v>0.1368</v>
      </c>
      <c r="F5" s="3">
        <f>F4*3.5</f>
        <v>8.7500000000000008E-2</v>
      </c>
      <c r="J5" s="21">
        <v>2</v>
      </c>
      <c r="K5" s="4">
        <f t="shared" ref="K5:K8" si="1">1-(SUM(L5:O5))</f>
        <v>0.95150994138105749</v>
      </c>
      <c r="L5" s="4">
        <f t="shared" ref="L5:L8" si="2">1-EXP(-C5/52)</f>
        <v>2.171837698641399E-2</v>
      </c>
      <c r="M5" s="4">
        <f t="shared" ref="M5:M8" si="3">1-EXP(-D5/52)</f>
        <v>2.2463092467823187E-2</v>
      </c>
      <c r="N5" s="4">
        <f t="shared" ref="N5:N8" si="4">1-EXP(-E5/52)</f>
        <v>2.6273117899706655E-3</v>
      </c>
      <c r="O5" s="4">
        <f t="shared" ref="O5:O8" si="5">1-EXP(-F5/52)</f>
        <v>1.6812773747346688E-3</v>
      </c>
      <c r="P5">
        <v>1</v>
      </c>
      <c r="R5">
        <v>2</v>
      </c>
      <c r="S5">
        <v>0.39879999999999999</v>
      </c>
      <c r="T5" s="6">
        <f>$S5*L5</f>
        <v>8.6612887421818989E-3</v>
      </c>
      <c r="U5" s="6">
        <f>$S5*M5</f>
        <v>8.9582812761678874E-3</v>
      </c>
      <c r="V5" s="6">
        <f>$S5*N5</f>
        <v>1.0477719418403014E-3</v>
      </c>
      <c r="W5" s="6">
        <f>$S5*O5</f>
        <v>6.7049341704418584E-4</v>
      </c>
      <c r="Y5" s="9"/>
      <c r="Z5" s="12"/>
    </row>
    <row r="6" spans="1:26" x14ac:dyDescent="0.35">
      <c r="A6" s="21">
        <v>3</v>
      </c>
      <c r="C6" s="3">
        <f>C4*1.8</f>
        <v>1.8684000000000001</v>
      </c>
      <c r="D6" s="3">
        <f>D4*1.6</f>
        <v>1.7184000000000001</v>
      </c>
      <c r="E6" s="3">
        <f>E4*2.7</f>
        <v>0.30780000000000002</v>
      </c>
      <c r="F6" s="3">
        <f>F4*7</f>
        <v>0.17500000000000002</v>
      </c>
      <c r="J6" s="21">
        <v>3</v>
      </c>
      <c r="K6" s="4">
        <f t="shared" si="1"/>
        <v>0.92293950888495391</v>
      </c>
      <c r="L6" s="4">
        <f t="shared" si="2"/>
        <v>3.5292921415562839E-2</v>
      </c>
      <c r="M6" s="4">
        <f t="shared" si="3"/>
        <v>3.2506095006296643E-2</v>
      </c>
      <c r="N6" s="4">
        <f t="shared" si="4"/>
        <v>5.9017466373281202E-3</v>
      </c>
      <c r="O6" s="4">
        <f t="shared" si="5"/>
        <v>3.3597280558584908E-3</v>
      </c>
      <c r="P6">
        <v>1</v>
      </c>
      <c r="R6">
        <v>3</v>
      </c>
      <c r="S6">
        <v>0.28520000000000001</v>
      </c>
      <c r="T6" s="6">
        <f>$S6*L6</f>
        <v>1.0065541187718522E-2</v>
      </c>
      <c r="U6" s="6">
        <f>$S6*M6</f>
        <v>9.2707382957958034E-3</v>
      </c>
      <c r="V6" s="6">
        <f>$S6*N6</f>
        <v>1.68317814096598E-3</v>
      </c>
      <c r="W6" s="6">
        <f>$S6*O6</f>
        <v>9.5819444153084161E-4</v>
      </c>
      <c r="Y6" s="9"/>
    </row>
    <row r="7" spans="1:26" x14ac:dyDescent="0.35">
      <c r="A7" s="21">
        <v>4</v>
      </c>
      <c r="C7" s="3">
        <f>C4*3.8</f>
        <v>3.9443999999999999</v>
      </c>
      <c r="D7" s="3">
        <f>D4*2.9</f>
        <v>3.1146000000000003</v>
      </c>
      <c r="E7" s="3">
        <f>E4*4</f>
        <v>0.45600000000000002</v>
      </c>
      <c r="F7" s="3">
        <f>F4*13.5</f>
        <v>0.33750000000000002</v>
      </c>
      <c r="J7" s="21">
        <v>4</v>
      </c>
      <c r="K7" s="4">
        <f t="shared" si="1"/>
        <v>0.85361375072514878</v>
      </c>
      <c r="L7" s="4">
        <f t="shared" si="2"/>
        <v>7.304832578803333E-2</v>
      </c>
      <c r="M7" s="4">
        <f t="shared" si="3"/>
        <v>5.8137662712928528E-2</v>
      </c>
      <c r="N7" s="4">
        <f t="shared" si="4"/>
        <v>8.730893210566526E-3</v>
      </c>
      <c r="O7" s="4">
        <f t="shared" si="5"/>
        <v>6.4693675633228365E-3</v>
      </c>
      <c r="P7">
        <v>1</v>
      </c>
      <c r="R7">
        <v>4</v>
      </c>
      <c r="S7">
        <v>0.19139999999999999</v>
      </c>
      <c r="T7" s="6">
        <f>$S7*L7</f>
        <v>1.3981449555829579E-2</v>
      </c>
      <c r="U7" s="6">
        <f>$S7*M7</f>
        <v>1.112754864325452E-2</v>
      </c>
      <c r="V7" s="6">
        <f>$S7*N7</f>
        <v>1.6710929605024329E-3</v>
      </c>
      <c r="W7" s="6">
        <f>$S7*O7</f>
        <v>1.2382369516199909E-3</v>
      </c>
      <c r="Y7" s="9"/>
    </row>
    <row r="8" spans="1:26" x14ac:dyDescent="0.35">
      <c r="A8" s="21">
        <v>5</v>
      </c>
      <c r="C8" s="3">
        <f>C7</f>
        <v>3.9443999999999999</v>
      </c>
      <c r="D8" s="3">
        <f>D7</f>
        <v>3.1146000000000003</v>
      </c>
      <c r="E8" s="3">
        <f>E7</f>
        <v>0.45600000000000002</v>
      </c>
      <c r="F8" s="3">
        <f>F7</f>
        <v>0.33750000000000002</v>
      </c>
      <c r="H8" s="3"/>
      <c r="J8" s="21">
        <v>5</v>
      </c>
      <c r="K8" s="4">
        <f t="shared" si="1"/>
        <v>0.85361375072514878</v>
      </c>
      <c r="L8" s="4">
        <f t="shared" si="2"/>
        <v>7.304832578803333E-2</v>
      </c>
      <c r="M8" s="4">
        <f t="shared" si="3"/>
        <v>5.8137662712928528E-2</v>
      </c>
      <c r="N8" s="4">
        <f t="shared" si="4"/>
        <v>8.730893210566526E-3</v>
      </c>
      <c r="O8" s="4">
        <f t="shared" si="5"/>
        <v>6.4693675633228365E-3</v>
      </c>
      <c r="P8">
        <v>1</v>
      </c>
      <c r="Q8" s="4"/>
      <c r="R8">
        <v>5</v>
      </c>
      <c r="S8">
        <v>4.3400000000000001E-2</v>
      </c>
      <c r="T8" s="6">
        <f>$S8*L8</f>
        <v>3.1702973392006466E-3</v>
      </c>
      <c r="U8" s="6">
        <f>$S8*M8</f>
        <v>2.5231745617410981E-3</v>
      </c>
      <c r="V8" s="6">
        <f>$S8*N8</f>
        <v>3.7892076533858725E-4</v>
      </c>
      <c r="W8" s="6">
        <f>$S8*O8</f>
        <v>2.8077055224821109E-4</v>
      </c>
      <c r="Y8" s="9"/>
    </row>
    <row r="9" spans="1:26" x14ac:dyDescent="0.35">
      <c r="A9" s="21">
        <v>50</v>
      </c>
      <c r="J9" s="21">
        <v>50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R9">
        <v>50</v>
      </c>
      <c r="S9">
        <v>0</v>
      </c>
    </row>
    <row r="10" spans="1:26" x14ac:dyDescent="0.35">
      <c r="A10" s="21">
        <v>100</v>
      </c>
      <c r="J10" s="21">
        <v>100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R10">
        <v>100</v>
      </c>
      <c r="S10">
        <v>0</v>
      </c>
    </row>
    <row r="11" spans="1:26" x14ac:dyDescent="0.35">
      <c r="R11" t="s">
        <v>35</v>
      </c>
      <c r="S11" s="7">
        <f t="shared" ref="S11:X11" si="6">SUM(S4:S8)</f>
        <v>1</v>
      </c>
      <c r="T11" s="15">
        <f>SUM(T4:U8)</f>
        <v>7.1023017762008839E-2</v>
      </c>
      <c r="U11" s="15"/>
      <c r="V11" s="7">
        <f t="shared" si="6"/>
        <v>4.9587842035326898E-3</v>
      </c>
      <c r="W11" s="7">
        <f>SUM(W4:W8)</f>
        <v>3.1867244412398339E-3</v>
      </c>
      <c r="X11" s="7"/>
      <c r="Y11" s="7"/>
    </row>
    <row r="12" spans="1:26" x14ac:dyDescent="0.35">
      <c r="A12" t="s">
        <v>7</v>
      </c>
      <c r="Y12" s="7"/>
    </row>
    <row r="13" spans="1:26" x14ac:dyDescent="0.35">
      <c r="A13" s="2" t="s">
        <v>8</v>
      </c>
      <c r="J13" s="1" t="s">
        <v>6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S13" s="11" t="s">
        <v>22</v>
      </c>
      <c r="T13" s="11"/>
      <c r="U13" s="11"/>
      <c r="V13" s="11"/>
      <c r="W13" s="11"/>
    </row>
    <row r="14" spans="1:26" ht="29" x14ac:dyDescent="0.35"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S14" s="10" t="s">
        <v>13</v>
      </c>
      <c r="T14" s="10" t="s">
        <v>30</v>
      </c>
      <c r="U14" s="10" t="s">
        <v>31</v>
      </c>
      <c r="V14" s="10" t="s">
        <v>32</v>
      </c>
      <c r="W14" s="10" t="s">
        <v>33</v>
      </c>
      <c r="X14" s="10"/>
    </row>
    <row r="15" spans="1:26" x14ac:dyDescent="0.35">
      <c r="A15" t="s">
        <v>9</v>
      </c>
      <c r="J15">
        <v>1</v>
      </c>
      <c r="K15">
        <v>0.91410094600000003</v>
      </c>
      <c r="L15">
        <v>3.9136651000000001E-2</v>
      </c>
      <c r="M15">
        <v>4.0466157000000003E-2</v>
      </c>
      <c r="N15">
        <v>4.3750170000000001E-3</v>
      </c>
      <c r="O15">
        <v>1.921229E-3</v>
      </c>
      <c r="R15">
        <v>0</v>
      </c>
    </row>
    <row r="16" spans="1:26" x14ac:dyDescent="0.35">
      <c r="J16">
        <v>2</v>
      </c>
      <c r="K16">
        <v>0.88382786199999996</v>
      </c>
      <c r="L16">
        <v>4.9502009E-2</v>
      </c>
      <c r="M16">
        <v>5.0963188999999999E-2</v>
      </c>
      <c r="N16">
        <v>7.3192370000000001E-3</v>
      </c>
      <c r="O16">
        <v>8.3877020000000004E-3</v>
      </c>
      <c r="R16">
        <v>1</v>
      </c>
      <c r="S16">
        <v>5.4399999999999997E-2</v>
      </c>
      <c r="T16" s="6">
        <f>$S16*L4</f>
        <v>1.075141255447911E-3</v>
      </c>
      <c r="U16" s="6">
        <f t="shared" ref="U16:W16" si="7">$S16*M4</f>
        <v>1.1120456892622832E-3</v>
      </c>
      <c r="V16" s="6">
        <f t="shared" si="7"/>
        <v>1.191309049478466E-4</v>
      </c>
      <c r="W16" s="6">
        <f t="shared" si="7"/>
        <v>2.6147560179005679E-5</v>
      </c>
    </row>
    <row r="17" spans="1:23" x14ac:dyDescent="0.35">
      <c r="A17" t="s">
        <v>11</v>
      </c>
      <c r="J17">
        <v>3</v>
      </c>
      <c r="K17">
        <v>0.80730704200000003</v>
      </c>
      <c r="L17">
        <v>8.0922303000000001E-2</v>
      </c>
      <c r="M17">
        <v>7.6244352000000001E-2</v>
      </c>
      <c r="N17">
        <v>1.7045363000000001E-2</v>
      </c>
      <c r="O17">
        <v>1.8480940000000001E-2</v>
      </c>
      <c r="R17">
        <v>2</v>
      </c>
      <c r="S17">
        <v>0.30740000000000001</v>
      </c>
      <c r="T17" s="6">
        <f t="shared" ref="T17:T19" si="8">$S17*L5</f>
        <v>6.6762290856236606E-3</v>
      </c>
      <c r="U17" s="6">
        <f t="shared" ref="U17:U19" si="9">$S17*M5</f>
        <v>6.9051546246088474E-3</v>
      </c>
      <c r="V17" s="6">
        <f t="shared" ref="V17:V19" si="10">$S17*N5</f>
        <v>8.0763564423698257E-4</v>
      </c>
      <c r="W17" s="6">
        <f t="shared" ref="W17:W19" si="11">$S17*O5</f>
        <v>5.168246649934372E-4</v>
      </c>
    </row>
    <row r="18" spans="1:23" x14ac:dyDescent="0.35">
      <c r="A18" t="s">
        <v>12</v>
      </c>
      <c r="J18">
        <v>4</v>
      </c>
      <c r="K18">
        <v>0.61261256600000003</v>
      </c>
      <c r="L18">
        <v>0.170907108</v>
      </c>
      <c r="M18">
        <v>0.136274268</v>
      </c>
      <c r="N18">
        <v>3.5211289E-2</v>
      </c>
      <c r="O18">
        <v>4.4994768999999997E-2</v>
      </c>
      <c r="R18">
        <v>3</v>
      </c>
      <c r="S18">
        <v>0.30120000000000002</v>
      </c>
      <c r="T18" s="6">
        <f t="shared" si="8"/>
        <v>1.0630227930367529E-2</v>
      </c>
      <c r="U18" s="6">
        <f t="shared" si="9"/>
        <v>9.7908358158965494E-3</v>
      </c>
      <c r="V18" s="6">
        <f t="shared" si="10"/>
        <v>1.7776060871632299E-3</v>
      </c>
      <c r="W18" s="6">
        <f t="shared" si="11"/>
        <v>1.0119500904245775E-3</v>
      </c>
    </row>
    <row r="19" spans="1:23" x14ac:dyDescent="0.35">
      <c r="J19">
        <v>5</v>
      </c>
      <c r="K19">
        <v>0.61261256600000003</v>
      </c>
      <c r="L19">
        <v>0.170907108</v>
      </c>
      <c r="M19">
        <v>0.136274268</v>
      </c>
      <c r="N19">
        <v>3.5211289E-2</v>
      </c>
      <c r="O19">
        <v>4.4994768999999997E-2</v>
      </c>
      <c r="R19">
        <v>4</v>
      </c>
      <c r="S19">
        <v>0.25719999999999998</v>
      </c>
      <c r="T19" s="6">
        <f t="shared" si="8"/>
        <v>1.8788029392682173E-2</v>
      </c>
      <c r="U19" s="6">
        <f t="shared" si="9"/>
        <v>1.4953006849765216E-2</v>
      </c>
      <c r="V19" s="6">
        <f t="shared" si="10"/>
        <v>2.2455857337577104E-3</v>
      </c>
      <c r="W19" s="6">
        <f t="shared" si="11"/>
        <v>1.6639213372866334E-3</v>
      </c>
    </row>
    <row r="20" spans="1:23" x14ac:dyDescent="0.35">
      <c r="A20" t="s">
        <v>14</v>
      </c>
      <c r="J20">
        <v>50</v>
      </c>
      <c r="K20">
        <v>1</v>
      </c>
      <c r="L20">
        <v>0</v>
      </c>
      <c r="M20">
        <v>0</v>
      </c>
      <c r="N20">
        <v>0</v>
      </c>
      <c r="O20">
        <v>0</v>
      </c>
      <c r="R20">
        <v>5</v>
      </c>
      <c r="S20">
        <v>7.9799999999999996E-2</v>
      </c>
      <c r="T20" s="6">
        <f t="shared" ref="T20" si="12">$S20*L8</f>
        <v>5.8292563978850596E-3</v>
      </c>
      <c r="U20" s="6">
        <f t="shared" ref="U20" si="13">$S20*M8</f>
        <v>4.6393854844916961E-3</v>
      </c>
      <c r="V20" s="6">
        <f t="shared" ref="V20" si="14">$S20*N8</f>
        <v>6.9672527820320877E-4</v>
      </c>
      <c r="W20" s="6">
        <f t="shared" ref="W20" si="15">$S20*O8</f>
        <v>5.1625553155316235E-4</v>
      </c>
    </row>
    <row r="21" spans="1:23" x14ac:dyDescent="0.35">
      <c r="J21">
        <v>100</v>
      </c>
      <c r="K21">
        <v>1</v>
      </c>
      <c r="L21">
        <v>0</v>
      </c>
      <c r="M21">
        <v>0</v>
      </c>
      <c r="N21">
        <v>0</v>
      </c>
      <c r="O21">
        <v>0</v>
      </c>
      <c r="R21">
        <v>50</v>
      </c>
    </row>
    <row r="22" spans="1:23" x14ac:dyDescent="0.35">
      <c r="R22">
        <v>100</v>
      </c>
    </row>
    <row r="23" spans="1:23" x14ac:dyDescent="0.35">
      <c r="R23" t="s">
        <v>35</v>
      </c>
      <c r="S23" s="7">
        <f t="shared" ref="S23:W23" si="16">SUM(S16:S20)</f>
        <v>1</v>
      </c>
      <c r="T23" s="14">
        <f>SUM(T16:U20)</f>
        <v>8.0399312526030928E-2</v>
      </c>
      <c r="U23" s="14"/>
      <c r="V23" s="7">
        <f t="shared" si="16"/>
        <v>5.646683648308979E-3</v>
      </c>
      <c r="W23" s="7">
        <f>SUM(W16:W20)</f>
        <v>3.7350991844368161E-3</v>
      </c>
    </row>
    <row r="24" spans="1:23" ht="29" x14ac:dyDescent="0.35">
      <c r="R24" s="10" t="s">
        <v>36</v>
      </c>
      <c r="T24" s="11">
        <f>T23/T11</f>
        <v>1.132017690313317</v>
      </c>
      <c r="U24" s="11"/>
      <c r="V24">
        <f t="shared" ref="U24:W24" si="17">V23/V11</f>
        <v>1.1387234081060076</v>
      </c>
      <c r="W24">
        <f t="shared" si="17"/>
        <v>1.1720810045890351</v>
      </c>
    </row>
    <row r="25" spans="1:23" ht="29" x14ac:dyDescent="0.35">
      <c r="O25" s="12"/>
      <c r="R25" s="10" t="s">
        <v>37</v>
      </c>
      <c r="T25" s="11">
        <v>1.3</v>
      </c>
      <c r="U25" s="11"/>
      <c r="V25">
        <v>2.1</v>
      </c>
      <c r="W25">
        <v>1.5</v>
      </c>
    </row>
    <row r="26" spans="1:23" ht="29" x14ac:dyDescent="0.35">
      <c r="O26" s="12"/>
      <c r="R26" s="10" t="s">
        <v>38</v>
      </c>
      <c r="T26" s="17">
        <f>T11*T25</f>
        <v>9.2329923090611499E-2</v>
      </c>
      <c r="U26" s="17"/>
      <c r="V26" s="13">
        <f>V11*V25</f>
        <v>1.0413446827418649E-2</v>
      </c>
      <c r="W26" s="13">
        <f>W11*W25</f>
        <v>4.7800866618597504E-3</v>
      </c>
    </row>
    <row r="27" spans="1:23" ht="29" x14ac:dyDescent="0.35">
      <c r="R27" s="10" t="s">
        <v>39</v>
      </c>
      <c r="T27" s="11">
        <f>T26/T23</f>
        <v>1.1483919475146978</v>
      </c>
      <c r="U27" s="11"/>
      <c r="V27">
        <f>V26/V23</f>
        <v>1.8441703973512276</v>
      </c>
      <c r="W27">
        <f>W26/W23</f>
        <v>1.2797750276022453</v>
      </c>
    </row>
    <row r="28" spans="1:23" x14ac:dyDescent="0.35">
      <c r="T28" s="11"/>
      <c r="U28" s="11"/>
    </row>
    <row r="29" spans="1:23" x14ac:dyDescent="0.35">
      <c r="R29" s="10"/>
    </row>
    <row r="30" spans="1:23" x14ac:dyDescent="0.35">
      <c r="J30" s="22" t="s">
        <v>41</v>
      </c>
      <c r="K30" s="22"/>
      <c r="L30" s="22"/>
      <c r="M30" s="22"/>
      <c r="N30" s="22"/>
      <c r="O30" s="22"/>
      <c r="P30" s="22"/>
      <c r="S30" s="11" t="s">
        <v>25</v>
      </c>
      <c r="T30" s="11"/>
      <c r="U30" s="11"/>
      <c r="V30" s="11"/>
      <c r="W30" s="11"/>
    </row>
    <row r="31" spans="1:23" ht="29" x14ac:dyDescent="0.35">
      <c r="J31" s="10"/>
      <c r="K31" s="20" t="s">
        <v>0</v>
      </c>
      <c r="L31" s="20" t="s">
        <v>1</v>
      </c>
      <c r="M31" s="20" t="s">
        <v>2</v>
      </c>
      <c r="N31" s="20" t="s">
        <v>3</v>
      </c>
      <c r="O31" s="20" t="s">
        <v>4</v>
      </c>
      <c r="P31" s="20" t="s">
        <v>5</v>
      </c>
      <c r="S31" s="10" t="s">
        <v>13</v>
      </c>
      <c r="T31" s="10" t="s">
        <v>30</v>
      </c>
      <c r="U31" s="10" t="s">
        <v>31</v>
      </c>
      <c r="V31" s="10" t="s">
        <v>32</v>
      </c>
      <c r="W31" s="10" t="s">
        <v>33</v>
      </c>
    </row>
    <row r="32" spans="1:23" x14ac:dyDescent="0.35">
      <c r="J32" s="21">
        <v>0</v>
      </c>
      <c r="K32" s="4">
        <v>1</v>
      </c>
      <c r="L32" s="4">
        <f>L3</f>
        <v>0</v>
      </c>
      <c r="M32" s="4">
        <f>M3</f>
        <v>0</v>
      </c>
      <c r="N32" s="4">
        <f>N3</f>
        <v>0</v>
      </c>
      <c r="O32" s="4">
        <f>O3</f>
        <v>0</v>
      </c>
      <c r="P32" s="3">
        <f>SUM(K32:O32)</f>
        <v>1</v>
      </c>
      <c r="R32">
        <v>0</v>
      </c>
    </row>
    <row r="33" spans="10:24" x14ac:dyDescent="0.35">
      <c r="J33" s="21">
        <v>1</v>
      </c>
      <c r="K33" s="4">
        <f>1-SUM(L33:O33)</f>
        <v>0.94917447503899333</v>
      </c>
      <c r="L33" s="4">
        <f>L4 *$T$27</f>
        <v>2.2696388974213669E-2</v>
      </c>
      <c r="M33" s="4">
        <f>M4 *$T$27</f>
        <v>2.3475446963552169E-2</v>
      </c>
      <c r="N33" s="4">
        <f>N4 *$V$27</f>
        <v>4.0385604469573826E-3</v>
      </c>
      <c r="O33" s="4">
        <f>O4 *$W$27</f>
        <v>6.1512857628342576E-4</v>
      </c>
      <c r="P33" s="3">
        <f t="shared" ref="P33:P39" si="18">SUM(K33:O33)</f>
        <v>1</v>
      </c>
      <c r="R33">
        <v>1</v>
      </c>
      <c r="S33">
        <v>5.4399999999999997E-2</v>
      </c>
      <c r="T33" s="6">
        <f>$S33*L33</f>
        <v>1.2346835601972236E-3</v>
      </c>
      <c r="U33" s="6">
        <f t="shared" ref="U33:W33" si="19">$S33*M33</f>
        <v>1.2770643148172379E-3</v>
      </c>
      <c r="V33" s="6">
        <f t="shared" si="19"/>
        <v>2.1969768831448159E-4</v>
      </c>
      <c r="W33" s="6">
        <f t="shared" si="19"/>
        <v>3.3462994549818361E-5</v>
      </c>
    </row>
    <row r="34" spans="10:24" x14ac:dyDescent="0.35">
      <c r="J34" s="21">
        <v>2</v>
      </c>
      <c r="K34" s="4">
        <f t="shared" ref="K34:K37" si="20">1-SUM(L34:O34)</f>
        <v>0.94226548882305361</v>
      </c>
      <c r="L34" s="4">
        <f t="shared" ref="L34:M37" si="21">L5 *$T$27</f>
        <v>2.4941209244286354E-2</v>
      </c>
      <c r="M34" s="4">
        <f t="shared" si="21"/>
        <v>2.5796434506326207E-2</v>
      </c>
      <c r="N34" s="4">
        <f t="shared" ref="N34:N37" si="22">N5 *$V$27</f>
        <v>4.8452106276757672E-3</v>
      </c>
      <c r="O34" s="4">
        <f t="shared" ref="O34:O37" si="23">O5 *$W$27</f>
        <v>2.1516567986580911E-3</v>
      </c>
      <c r="P34" s="3">
        <f t="shared" si="18"/>
        <v>1</v>
      </c>
      <c r="R34">
        <v>2</v>
      </c>
      <c r="S34">
        <v>0.30740000000000001</v>
      </c>
      <c r="T34" s="6">
        <f t="shared" ref="T34:T37" si="24">$S34*L34</f>
        <v>7.6669277216936255E-3</v>
      </c>
      <c r="U34" s="6">
        <f t="shared" ref="U34:U37" si="25">$S34*M34</f>
        <v>7.9298239672446758E-3</v>
      </c>
      <c r="V34" s="6">
        <f t="shared" ref="V34:V37" si="26">$S34*N34</f>
        <v>1.4894177469475308E-3</v>
      </c>
      <c r="W34" s="6">
        <f t="shared" ref="W34:W37" si="27">$S34*O34</f>
        <v>6.6141929990749717E-4</v>
      </c>
    </row>
    <row r="35" spans="10:24" x14ac:dyDescent="0.35">
      <c r="J35" s="21">
        <v>3</v>
      </c>
      <c r="K35" s="4">
        <f t="shared" si="20"/>
        <v>0.90695663298506979</v>
      </c>
      <c r="L35" s="4">
        <f t="shared" si="21"/>
        <v>4.0530106757901391E-2</v>
      </c>
      <c r="M35" s="4">
        <f t="shared" si="21"/>
        <v>3.7329737750378796E-2</v>
      </c>
      <c r="N35" s="4">
        <f t="shared" si="22"/>
        <v>1.088382644122767E-2</v>
      </c>
      <c r="O35" s="4">
        <f t="shared" si="23"/>
        <v>4.2996960654223381E-3</v>
      </c>
      <c r="P35" s="3">
        <f t="shared" si="18"/>
        <v>1</v>
      </c>
      <c r="R35">
        <v>3</v>
      </c>
      <c r="S35">
        <v>0.30120000000000002</v>
      </c>
      <c r="T35" s="6">
        <f t="shared" si="24"/>
        <v>1.2207668155479899E-2</v>
      </c>
      <c r="U35" s="6">
        <f t="shared" si="25"/>
        <v>1.1243717010414093E-2</v>
      </c>
      <c r="V35" s="6">
        <f t="shared" si="26"/>
        <v>3.2782085240977746E-3</v>
      </c>
      <c r="W35" s="6">
        <f t="shared" si="27"/>
        <v>1.2950684549052083E-3</v>
      </c>
    </row>
    <row r="36" spans="10:24" x14ac:dyDescent="0.35">
      <c r="J36" s="21">
        <v>4</v>
      </c>
      <c r="K36" s="4">
        <f t="shared" si="20"/>
        <v>0.82496647732545747</v>
      </c>
      <c r="L36" s="4">
        <f t="shared" si="21"/>
        <v>8.3888109114407708E-2</v>
      </c>
      <c r="M36" s="4">
        <f t="shared" si="21"/>
        <v>6.6764823706852619E-2</v>
      </c>
      <c r="N36" s="4">
        <f t="shared" si="22"/>
        <v>1.6101254801361604E-2</v>
      </c>
      <c r="O36" s="4">
        <f t="shared" si="23"/>
        <v>8.2793350519205534E-3</v>
      </c>
      <c r="P36" s="3">
        <f t="shared" si="18"/>
        <v>1</v>
      </c>
      <c r="R36">
        <v>4</v>
      </c>
      <c r="S36">
        <v>0.25719999999999998</v>
      </c>
      <c r="T36" s="6">
        <f t="shared" si="24"/>
        <v>2.1576021664225661E-2</v>
      </c>
      <c r="U36" s="6">
        <f t="shared" si="25"/>
        <v>1.7171912657402491E-2</v>
      </c>
      <c r="V36" s="6">
        <f t="shared" si="26"/>
        <v>4.1412427349102046E-3</v>
      </c>
      <c r="W36" s="6">
        <f t="shared" si="27"/>
        <v>2.1294449753539663E-3</v>
      </c>
    </row>
    <row r="37" spans="10:24" x14ac:dyDescent="0.35">
      <c r="J37" s="21">
        <v>5</v>
      </c>
      <c r="K37" s="4">
        <f t="shared" si="20"/>
        <v>0.82496647732545747</v>
      </c>
      <c r="L37" s="4">
        <f t="shared" si="21"/>
        <v>8.3888109114407708E-2</v>
      </c>
      <c r="M37" s="4">
        <f t="shared" si="21"/>
        <v>6.6764823706852619E-2</v>
      </c>
      <c r="N37" s="4">
        <f t="shared" si="22"/>
        <v>1.6101254801361604E-2</v>
      </c>
      <c r="O37" s="4">
        <f t="shared" si="23"/>
        <v>8.2793350519205534E-3</v>
      </c>
      <c r="P37" s="3">
        <f t="shared" si="18"/>
        <v>1</v>
      </c>
      <c r="R37">
        <v>5</v>
      </c>
      <c r="S37">
        <v>7.9799999999999996E-2</v>
      </c>
      <c r="T37" s="6">
        <f t="shared" si="24"/>
        <v>6.6942711073297344E-3</v>
      </c>
      <c r="U37" s="6">
        <f t="shared" si="25"/>
        <v>5.3278329318068385E-3</v>
      </c>
      <c r="V37" s="6">
        <f t="shared" si="26"/>
        <v>1.2848801331486559E-3</v>
      </c>
      <c r="W37" s="6">
        <f t="shared" si="27"/>
        <v>6.6069093714326015E-4</v>
      </c>
    </row>
    <row r="38" spans="10:24" x14ac:dyDescent="0.35">
      <c r="J38" s="21">
        <v>50</v>
      </c>
      <c r="K38" s="4">
        <f>K9</f>
        <v>1</v>
      </c>
      <c r="L38" s="4">
        <f>L9</f>
        <v>0</v>
      </c>
      <c r="M38" s="4">
        <f>M9</f>
        <v>0</v>
      </c>
      <c r="N38" s="4">
        <f>N9</f>
        <v>0</v>
      </c>
      <c r="O38" s="4">
        <f>O9</f>
        <v>0</v>
      </c>
      <c r="P38" s="3">
        <f t="shared" si="18"/>
        <v>1</v>
      </c>
      <c r="R38">
        <v>50</v>
      </c>
    </row>
    <row r="39" spans="10:24" x14ac:dyDescent="0.35">
      <c r="J39" s="21">
        <v>100</v>
      </c>
      <c r="K39" s="4">
        <f>K10</f>
        <v>1</v>
      </c>
      <c r="L39" s="4">
        <f>L10</f>
        <v>0</v>
      </c>
      <c r="M39" s="4">
        <f>M10</f>
        <v>0</v>
      </c>
      <c r="N39" s="4">
        <f>N10</f>
        <v>0</v>
      </c>
      <c r="O39" s="4">
        <f>O10</f>
        <v>0</v>
      </c>
      <c r="P39" s="3">
        <f t="shared" si="18"/>
        <v>1</v>
      </c>
      <c r="R39">
        <v>100</v>
      </c>
    </row>
    <row r="40" spans="10:24" x14ac:dyDescent="0.35">
      <c r="R40" t="s">
        <v>35</v>
      </c>
      <c r="S40" s="7">
        <f t="shared" ref="S40:W40" si="28">SUM(S33:S37)</f>
        <v>1</v>
      </c>
      <c r="T40" s="14">
        <f>SUM(T33:U37)</f>
        <v>9.2329923090611485E-2</v>
      </c>
      <c r="U40" s="14"/>
      <c r="V40" s="7">
        <f t="shared" ref="V40:W40" si="29">SUM(V33:V37)</f>
        <v>1.0413446827418647E-2</v>
      </c>
      <c r="W40" s="7">
        <f>SUM(W33:W37)</f>
        <v>4.7800866618597495E-3</v>
      </c>
    </row>
    <row r="41" spans="10:24" ht="43.5" x14ac:dyDescent="0.35">
      <c r="R41" s="10" t="s">
        <v>40</v>
      </c>
      <c r="T41" s="18">
        <f>T40/T11</f>
        <v>1.2999999999999998</v>
      </c>
      <c r="U41" s="18"/>
      <c r="V41" s="19">
        <f>V40/V11</f>
        <v>2.0999999999999996</v>
      </c>
      <c r="W41" s="19">
        <f>W40/W11</f>
        <v>1.4999999999999996</v>
      </c>
      <c r="X41" s="19"/>
    </row>
    <row r="42" spans="10:24" ht="29" x14ac:dyDescent="0.35">
      <c r="R42" s="10" t="s">
        <v>37</v>
      </c>
      <c r="T42" s="23">
        <v>1.3</v>
      </c>
      <c r="U42" s="23"/>
      <c r="V42" s="21">
        <v>2.1</v>
      </c>
      <c r="W42" s="21">
        <v>1.5</v>
      </c>
    </row>
    <row r="43" spans="10:24" x14ac:dyDescent="0.35">
      <c r="R43" s="10" t="s">
        <v>42</v>
      </c>
      <c r="T43" s="16" t="b">
        <f>T41=T42</f>
        <v>1</v>
      </c>
      <c r="U43" s="11"/>
      <c r="V43" s="13" t="b">
        <f>V42=V41</f>
        <v>1</v>
      </c>
      <c r="W43" s="13" t="b">
        <f>W42=W41</f>
        <v>1</v>
      </c>
    </row>
    <row r="44" spans="10:24" x14ac:dyDescent="0.35">
      <c r="R44" s="10"/>
      <c r="T44" s="11"/>
      <c r="U44" s="11"/>
    </row>
  </sheetData>
  <mergeCells count="18">
    <mergeCell ref="T42:U42"/>
    <mergeCell ref="T43:U43"/>
    <mergeCell ref="T44:U44"/>
    <mergeCell ref="J30:P30"/>
    <mergeCell ref="T28:U28"/>
    <mergeCell ref="T27:U27"/>
    <mergeCell ref="S30:W30"/>
    <mergeCell ref="T40:U40"/>
    <mergeCell ref="T41:U41"/>
    <mergeCell ref="T23:U23"/>
    <mergeCell ref="T24:U24"/>
    <mergeCell ref="T11:U11"/>
    <mergeCell ref="T25:U25"/>
    <mergeCell ref="T26:U26"/>
    <mergeCell ref="A1:F1"/>
    <mergeCell ref="J1:P1"/>
    <mergeCell ref="S1:W1"/>
    <mergeCell ref="S13:W13"/>
  </mergeCells>
  <hyperlinks>
    <hyperlink ref="A13" r:id="rId1" xr:uid="{00000000-0004-0000-0000-000000000000}"/>
  </hyperlinks>
  <pageMargins left="0.7" right="0.7" top="0.75" bottom="0.75" header="0.3" footer="0.3"/>
  <pageSetup orientation="portrait" horizontalDpi="1200" verticalDpi="1200" r:id="rId2"/>
  <ignoredErrors>
    <ignoredError sqref="S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5BEA-8F53-4533-8F93-063B86792D52}">
  <dimension ref="C1:I8"/>
  <sheetViews>
    <sheetView tabSelected="1" workbookViewId="0">
      <selection activeCell="N10" sqref="N10"/>
    </sheetView>
  </sheetViews>
  <sheetFormatPr defaultRowHeight="14.5" x14ac:dyDescent="0.35"/>
  <cols>
    <col min="7" max="7" width="8.1796875" customWidth="1"/>
  </cols>
  <sheetData>
    <row r="1" spans="3:9" s="10" customFormat="1" ht="29" x14ac:dyDescent="0.35">
      <c r="C1" s="24"/>
      <c r="D1" s="25" t="s">
        <v>23</v>
      </c>
      <c r="E1" s="26" t="s">
        <v>20</v>
      </c>
      <c r="F1" s="27" t="s">
        <v>22</v>
      </c>
      <c r="G1" s="28"/>
      <c r="H1" s="27" t="s">
        <v>43</v>
      </c>
      <c r="I1" s="28"/>
    </row>
    <row r="2" spans="3:9" s="10" customFormat="1" ht="43.5" x14ac:dyDescent="0.35">
      <c r="C2" s="24"/>
      <c r="D2" s="29" t="s">
        <v>24</v>
      </c>
      <c r="E2" s="30" t="s">
        <v>21</v>
      </c>
      <c r="F2" s="31" t="s">
        <v>21</v>
      </c>
      <c r="G2" s="30" t="s">
        <v>26</v>
      </c>
      <c r="H2" s="31" t="s">
        <v>21</v>
      </c>
      <c r="I2" s="30" t="s">
        <v>26</v>
      </c>
    </row>
    <row r="3" spans="3:9" x14ac:dyDescent="0.35">
      <c r="C3" s="32" t="s">
        <v>19</v>
      </c>
      <c r="D3" s="33"/>
      <c r="E3" s="34">
        <v>0.92359999999999998</v>
      </c>
      <c r="F3" s="35">
        <v>0.91259999999999997</v>
      </c>
      <c r="G3" s="39">
        <f>(F3-E3)/E3</f>
        <v>-1.190991771329581E-2</v>
      </c>
      <c r="H3" s="35">
        <v>0.89400000000000002</v>
      </c>
      <c r="I3" s="45">
        <f>(H3-E3)/E3</f>
        <v>-3.2048505846686837E-2</v>
      </c>
    </row>
    <row r="4" spans="3:9" x14ac:dyDescent="0.35">
      <c r="C4" s="32" t="s">
        <v>15</v>
      </c>
      <c r="D4" s="41">
        <v>0.3</v>
      </c>
      <c r="E4" s="34">
        <v>3.1399999999999997E-2</v>
      </c>
      <c r="F4" s="35">
        <v>3.5799999999999998E-2</v>
      </c>
      <c r="G4" s="39">
        <f>(F4-E4)/E4</f>
        <v>0.1401273885350319</v>
      </c>
      <c r="H4" s="35">
        <v>4.2599999999999999E-2</v>
      </c>
      <c r="I4" s="45">
        <f>(H4-E4)/E4</f>
        <v>0.35668789808917206</v>
      </c>
    </row>
    <row r="5" spans="3:9" x14ac:dyDescent="0.35">
      <c r="C5" s="32" t="s">
        <v>16</v>
      </c>
      <c r="D5" s="42"/>
      <c r="E5" s="34">
        <v>3.6400000000000002E-2</v>
      </c>
      <c r="F5" s="35">
        <v>4.1799999999999997E-2</v>
      </c>
      <c r="G5" s="39">
        <f>(F5-E5)/E5</f>
        <v>0.14835164835164821</v>
      </c>
      <c r="H5" s="35">
        <v>4.7399999999999998E-2</v>
      </c>
      <c r="I5" s="45">
        <f>(H5-E5)/E5</f>
        <v>0.30219780219780207</v>
      </c>
    </row>
    <row r="6" spans="3:9" x14ac:dyDescent="0.35">
      <c r="C6" s="32" t="s">
        <v>17</v>
      </c>
      <c r="D6" s="43">
        <v>1.1200000000000001</v>
      </c>
      <c r="E6" s="34">
        <v>5.1999999999999998E-3</v>
      </c>
      <c r="F6" s="35">
        <v>6.4000000000000003E-3</v>
      </c>
      <c r="G6" s="39">
        <f>(F6-E6)/E6</f>
        <v>0.23076923076923089</v>
      </c>
      <c r="H6" s="35">
        <v>1.12E-2</v>
      </c>
      <c r="I6" s="45">
        <f>(H6-E6)/E6</f>
        <v>1.153846153846154</v>
      </c>
    </row>
    <row r="7" spans="3:9" ht="15" thickBot="1" x14ac:dyDescent="0.4">
      <c r="C7" s="32" t="s">
        <v>18</v>
      </c>
      <c r="D7" s="44">
        <v>0.53</v>
      </c>
      <c r="E7" s="36">
        <v>3.3999999999999998E-3</v>
      </c>
      <c r="F7" s="37">
        <v>3.3999999999999998E-3</v>
      </c>
      <c r="G7" s="40">
        <f>(F7-E7)/E7</f>
        <v>0</v>
      </c>
      <c r="H7" s="37">
        <v>4.7999999999999996E-3</v>
      </c>
      <c r="I7" s="46">
        <f>(H7-E7)/E7</f>
        <v>0.41176470588235292</v>
      </c>
    </row>
    <row r="8" spans="3:9" x14ac:dyDescent="0.35">
      <c r="C8" s="38"/>
      <c r="D8" s="38"/>
      <c r="E8" s="38"/>
      <c r="F8" s="38"/>
      <c r="G8" s="38"/>
      <c r="H8" s="38"/>
      <c r="I8" s="38"/>
    </row>
  </sheetData>
  <mergeCells count="3">
    <mergeCell ref="F1:G1"/>
    <mergeCell ref="H1:I1"/>
    <mergeCell ref="D4:D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Healthcare use by asthma contro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Maya, Sigal</cp:lastModifiedBy>
  <dcterms:created xsi:type="dcterms:W3CDTF">2023-11-09T00:35:02Z</dcterms:created>
  <dcterms:modified xsi:type="dcterms:W3CDTF">2023-11-14T00:24:05Z</dcterms:modified>
</cp:coreProperties>
</file>