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maya/Documents/GitHub/GRAM/gram_results/2025_Mar_paper1_BHAfalsepositiverate/"/>
    </mc:Choice>
  </mc:AlternateContent>
  <xr:revisionPtr revIDLastSave="0" documentId="13_ncr:1_{BEDECEE2-F1AB-CD4B-BC68-8A4D08FCA9BD}" xr6:coauthVersionLast="47" xr6:coauthVersionMax="47" xr10:uidLastSave="{00000000-0000-0000-0000-000000000000}"/>
  <bookViews>
    <workbookView xWindow="12260" yWindow="2140" windowWidth="36160" windowHeight="20300" xr2:uid="{639DA2B3-8AB3-B74B-A1A5-0847942A500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1" l="1"/>
  <c r="K5" i="1"/>
  <c r="J5" i="1"/>
  <c r="J6" i="1"/>
  <c r="K7" i="1"/>
  <c r="S7" i="1" s="1"/>
  <c r="J7" i="1"/>
  <c r="AD5" i="1"/>
  <c r="AE5" i="1"/>
  <c r="AF5" i="1"/>
  <c r="AG5" i="1"/>
  <c r="AD6" i="1"/>
  <c r="AE6" i="1"/>
  <c r="AF6" i="1"/>
  <c r="AG6" i="1"/>
  <c r="AD7" i="1"/>
  <c r="AE7" i="1"/>
  <c r="AF7" i="1"/>
  <c r="AG7" i="1"/>
  <c r="AI5" i="1"/>
  <c r="AB7" i="1"/>
  <c r="K6" i="1"/>
  <c r="R6" i="1" s="1"/>
  <c r="AI6" i="1"/>
  <c r="AH5" i="1" l="1"/>
  <c r="AH6" i="1"/>
  <c r="AH7" i="1"/>
  <c r="S6" i="1"/>
  <c r="R7" i="1"/>
  <c r="AI7" i="1"/>
  <c r="AJ6" i="1"/>
  <c r="AJ5" i="1"/>
  <c r="AB5" i="1"/>
  <c r="AJ7" i="1"/>
  <c r="AB6" i="1"/>
  <c r="I6" i="1"/>
  <c r="I7" i="1"/>
  <c r="S5" i="1"/>
  <c r="P5" i="1" l="1"/>
  <c r="Q5" i="1"/>
  <c r="L5" i="1"/>
  <c r="P7" i="1"/>
  <c r="U7" i="1" s="1"/>
  <c r="AL7" i="1" s="1"/>
  <c r="Q7" i="1"/>
  <c r="P6" i="1"/>
  <c r="L6" i="1"/>
  <c r="Q6" i="1"/>
  <c r="V6" i="1" s="1"/>
  <c r="AM6" i="1" s="1"/>
  <c r="L7" i="1"/>
  <c r="R5" i="1"/>
  <c r="V5" i="1" l="1"/>
  <c r="AM5" i="1" s="1"/>
  <c r="T6" i="1"/>
  <c r="T7" i="1"/>
  <c r="V7" i="1"/>
  <c r="AM7" i="1" s="1"/>
  <c r="U6" i="1"/>
  <c r="AL6" i="1" s="1"/>
  <c r="U5" i="1"/>
  <c r="AL5" i="1" s="1"/>
  <c r="T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JGK</author>
    <author>Sigal Maya</author>
  </authors>
  <commentList>
    <comment ref="M3" authorId="0" shapeId="0" xr:uid="{578FB2E0-8136-2345-8354-AFF49D28F38C}">
      <text>
        <r>
          <rPr>
            <b/>
            <sz val="10"/>
            <color rgb="FF000000"/>
            <rFont val="Tahoma"/>
            <family val="2"/>
          </rPr>
          <t>JGK: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Assumes that clinical perceptions / spontaneity of complaints is associated to some extent with test results.</t>
        </r>
      </text>
    </comment>
    <comment ref="F4" authorId="1" shapeId="0" xr:uid="{C084C9A6-89DC-E44E-918B-09829CB75BD0}">
      <text>
        <r>
          <rPr>
            <b/>
            <sz val="10"/>
            <color rgb="FF000000"/>
            <rFont val="Tahoma"/>
            <family val="2"/>
          </rPr>
          <t>Sigal Maya: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Kate: these are probably too high</t>
        </r>
      </text>
    </comment>
    <comment ref="AC4" authorId="1" shapeId="0" xr:uid="{3675CA99-A1CE-2A4B-8BC7-6705EAEC3E92}">
      <text>
        <r>
          <rPr>
            <b/>
            <sz val="10"/>
            <color rgb="FF000000"/>
            <rFont val="Tahoma"/>
            <family val="2"/>
          </rPr>
          <t>Sigal Maya: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i.e., no prior dx AND has access to care</t>
        </r>
      </text>
    </comment>
    <comment ref="U5" authorId="1" shapeId="0" xr:uid="{729FFBF0-93BF-D94E-BF43-6EA4F116ACE1}">
      <text>
        <r>
          <rPr>
            <b/>
            <sz val="10"/>
            <color rgb="FF000000"/>
            <rFont val="Tahoma"/>
            <family val="2"/>
          </rPr>
          <t>Sigal Maya: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Kate thinks too low. It is likely that the likelihood of testing in cog normal is too high.</t>
        </r>
      </text>
    </comment>
    <comment ref="X11" authorId="1" shapeId="0" xr:uid="{FC523D72-91AA-8F47-8F3B-BC1DC98A7029}">
      <text>
        <r>
          <rPr>
            <b/>
            <sz val="10"/>
            <color rgb="FF000000"/>
            <rFont val="Tahoma"/>
            <family val="2"/>
          </rPr>
          <t>Sigal Maya: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todo: commonwealth fund Mirror Mirror report
</t>
        </r>
        <r>
          <rPr>
            <sz val="10"/>
            <color rgb="FF000000"/>
            <rFont val="Tahoma"/>
            <family val="2"/>
          </rPr>
          <t>what % have access to regular care</t>
        </r>
      </text>
    </comment>
  </commentList>
</comments>
</file>

<file path=xl/sharedStrings.xml><?xml version="1.0" encoding="utf-8"?>
<sst xmlns="http://schemas.openxmlformats.org/spreadsheetml/2006/main" count="62" uniqueCount="47">
  <si>
    <t>Spontaneous concern in primary care</t>
  </si>
  <si>
    <t>Screening everyone</t>
  </si>
  <si>
    <t>Strategy</t>
  </si>
  <si>
    <t>Qualitative Expectation</t>
  </si>
  <si>
    <t>Low actual prev among tested so many FP + low PPV (many FP). High NPV. Few missed.</t>
  </si>
  <si>
    <t>Higher actual prev among tested hence high PPV, many missed due to non-testing.</t>
  </si>
  <si>
    <t>If prompting yields actual prev among testers btwn spontan &amp; screening, intermed PPV.</t>
  </si>
  <si>
    <t>% of Cog Normal</t>
  </si>
  <si>
    <t>Cog Nml</t>
  </si>
  <si>
    <t>Testing Likelihood</t>
  </si>
  <si>
    <t>Test Perf</t>
  </si>
  <si>
    <t>Spec</t>
  </si>
  <si>
    <t>Predictive Value</t>
  </si>
  <si>
    <t>PPV</t>
  </si>
  <si>
    <t>NPV</t>
  </si>
  <si>
    <r>
      <t xml:space="preserve">Of 1000 </t>
    </r>
    <r>
      <rPr>
        <b/>
        <i/>
        <sz val="12"/>
        <color theme="1"/>
        <rFont val="Aptos Narrow"/>
        <scheme val="minor"/>
      </rPr>
      <t>potential</t>
    </r>
    <r>
      <rPr>
        <b/>
        <sz val="12"/>
        <color theme="1"/>
        <rFont val="Aptos Narrow"/>
        <scheme val="minor"/>
      </rPr>
      <t xml:space="preserve"> testers</t>
    </r>
  </si>
  <si>
    <t>Total tests</t>
  </si>
  <si>
    <t>Systematic query in AWV (or other regular clinical visit)</t>
  </si>
  <si>
    <t>Test Results</t>
  </si>
  <si>
    <t>TP</t>
  </si>
  <si>
    <t>FN</t>
  </si>
  <si>
    <t>TN</t>
  </si>
  <si>
    <t>FP</t>
  </si>
  <si>
    <t>sum</t>
  </si>
  <si>
    <r>
      <t>Goal:</t>
    </r>
    <r>
      <rPr>
        <sz val="12"/>
        <color theme="1"/>
        <rFont val="Aptos Narrow"/>
        <scheme val="minor"/>
      </rPr>
      <t xml:space="preserve"> Contemplate how different testing strategies will affect testing results. Implementation in GRAM will parallel this, presumably.</t>
    </r>
  </si>
  <si>
    <t>From GRAM</t>
  </si>
  <si>
    <t>(1) Testing is done at 70 years of age (there are 7899 of them in GRAM)</t>
  </si>
  <si>
    <t xml:space="preserve">        15% of those with MCI,  40% of those with mild dementia, and 85% of those moderate to severe dementia will have a prior diagnosis (not eligible for BHA)</t>
  </si>
  <si>
    <t>total tests</t>
  </si>
  <si>
    <t xml:space="preserve">(4) Of those who truly have cognitive impairment AND visit a doctor regularly, </t>
  </si>
  <si>
    <t>(6) Does vary test performance by disease severity (better sens for dementia than for mci)</t>
  </si>
  <si>
    <t>% of dem (no prior dx)</t>
  </si>
  <si>
    <t>% of MCI (no prior dx)</t>
  </si>
  <si>
    <t>MCI</t>
  </si>
  <si>
    <t>Dem</t>
  </si>
  <si>
    <t>Prev of MCI
(among individuals
w/o dx)</t>
  </si>
  <si>
    <t>Prev of dem
(among individuals
w/o dx)</t>
  </si>
  <si>
    <t>Sens for MCI</t>
  </si>
  <si>
    <t>Sens for dem</t>
  </si>
  <si>
    <t>total eligible</t>
  </si>
  <si>
    <t>(2) 98% of population has any insurance coverage at age 70</t>
  </si>
  <si>
    <t>(3) 75% of those with insurance have a regular provider</t>
  </si>
  <si>
    <t xml:space="preserve">        This is intended to reflect the rates of underdiagnosis in these conditions (8%, 20%, 50% diagnosed, respectively)</t>
  </si>
  <si>
    <t>(5) Does NOT differ test performance by testing scenario (all have the same test performance for BHA), but possible to add</t>
  </si>
  <si>
    <t>Test Results (standardized to 1000 eligible)</t>
  </si>
  <si>
    <t>Delta</t>
  </si>
  <si>
    <t>Use these values in base model but do 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</si>
</sst>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%"/>
    <numFmt numFmtId="165" formatCode="0.0"/>
    <numFmt numFmtId="167" formatCode="_(* #,##0.0000_);_(* \(#,##0.0000\);_(* &quot;-&quot;??_);_(@_)"/>
  </numFmts>
  <fonts count="10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b/>
      <i/>
      <sz val="12"/>
      <color theme="1"/>
      <name val="Aptos Narrow"/>
      <scheme val="minor"/>
    </font>
    <font>
      <sz val="11"/>
      <color theme="1"/>
      <name val="Aptos Narrow"/>
      <family val="2"/>
      <scheme val="minor"/>
    </font>
    <font>
      <sz val="12"/>
      <color theme="1"/>
      <name val="Aptos Narrow"/>
      <scheme val="minor"/>
    </font>
    <font>
      <sz val="12"/>
      <color rgb="FFFF0000"/>
      <name val="Aptos Narrow"/>
      <family val="2"/>
      <scheme val="minor"/>
    </font>
    <font>
      <b/>
      <sz val="12"/>
      <color rgb="FFFF0000"/>
      <name val="Aptos Narrow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83">
    <xf numFmtId="0" fontId="0" fillId="0" borderId="0" xfId="0"/>
    <xf numFmtId="0" fontId="0" fillId="0" borderId="0" xfId="0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1" fontId="6" fillId="2" borderId="7" xfId="0" applyNumberFormat="1" applyFont="1" applyFill="1" applyBorder="1" applyAlignment="1">
      <alignment horizontal="center" vertical="center" wrapText="1"/>
    </xf>
    <xf numFmtId="1" fontId="6" fillId="2" borderId="0" xfId="0" applyNumberFormat="1" applyFont="1" applyFill="1" applyAlignment="1">
      <alignment horizontal="center" vertical="center" wrapText="1"/>
    </xf>
    <xf numFmtId="1" fontId="6" fillId="2" borderId="8" xfId="0" applyNumberFormat="1" applyFont="1" applyFill="1" applyBorder="1" applyAlignment="1">
      <alignment horizontal="center" vertical="center" wrapText="1"/>
    </xf>
    <xf numFmtId="164" fontId="6" fillId="2" borderId="7" xfId="1" applyNumberFormat="1" applyFont="1" applyFill="1" applyBorder="1" applyAlignment="1">
      <alignment horizontal="center" vertical="center" wrapText="1"/>
    </xf>
    <xf numFmtId="164" fontId="6" fillId="2" borderId="8" xfId="1" applyNumberFormat="1" applyFont="1" applyFill="1" applyBorder="1" applyAlignment="1">
      <alignment horizontal="center" vertical="center" wrapText="1"/>
    </xf>
    <xf numFmtId="1" fontId="6" fillId="2" borderId="9" xfId="0" applyNumberFormat="1" applyFont="1" applyFill="1" applyBorder="1" applyAlignment="1">
      <alignment horizontal="center" vertical="center" wrapText="1"/>
    </xf>
    <xf numFmtId="1" fontId="6" fillId="2" borderId="1" xfId="0" applyNumberFormat="1" applyFont="1" applyFill="1" applyBorder="1" applyAlignment="1">
      <alignment horizontal="center" vertical="center" wrapText="1"/>
    </xf>
    <xf numFmtId="1" fontId="6" fillId="2" borderId="10" xfId="0" applyNumberFormat="1" applyFont="1" applyFill="1" applyBorder="1" applyAlignment="1">
      <alignment horizontal="center" vertical="center" wrapText="1"/>
    </xf>
    <xf numFmtId="164" fontId="6" fillId="2" borderId="9" xfId="1" applyNumberFormat="1" applyFont="1" applyFill="1" applyBorder="1" applyAlignment="1">
      <alignment horizontal="center" vertical="center" wrapText="1"/>
    </xf>
    <xf numFmtId="164" fontId="6" fillId="2" borderId="10" xfId="1" applyNumberFormat="1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2" fillId="0" borderId="5" xfId="0" applyFont="1" applyBorder="1" applyAlignment="1">
      <alignment horizontal="center" vertical="center" wrapText="1"/>
    </xf>
    <xf numFmtId="164" fontId="6" fillId="0" borderId="0" xfId="1" applyNumberFormat="1" applyFont="1" applyFill="1" applyBorder="1" applyAlignment="1">
      <alignment horizontal="center" vertical="center" wrapText="1"/>
    </xf>
    <xf numFmtId="164" fontId="6" fillId="0" borderId="1" xfId="1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" fontId="6" fillId="0" borderId="7" xfId="0" applyNumberFormat="1" applyFont="1" applyBorder="1" applyAlignment="1">
      <alignment horizontal="center" vertical="center" wrapText="1"/>
    </xf>
    <xf numFmtId="1" fontId="6" fillId="0" borderId="8" xfId="0" applyNumberFormat="1" applyFont="1" applyBorder="1" applyAlignment="1">
      <alignment horizontal="center" vertical="center" wrapText="1"/>
    </xf>
    <xf numFmtId="165" fontId="6" fillId="0" borderId="0" xfId="0" applyNumberFormat="1" applyFont="1" applyAlignment="1">
      <alignment horizontal="center" vertical="center" wrapText="1"/>
    </xf>
    <xf numFmtId="164" fontId="6" fillId="0" borderId="7" xfId="1" applyNumberFormat="1" applyFont="1" applyFill="1" applyBorder="1" applyAlignment="1">
      <alignment horizontal="center" vertical="center" wrapText="1"/>
    </xf>
    <xf numFmtId="164" fontId="6" fillId="0" borderId="8" xfId="1" applyNumberFormat="1" applyFont="1" applyFill="1" applyBorder="1" applyAlignment="1">
      <alignment horizontal="center" vertical="center" wrapText="1"/>
    </xf>
    <xf numFmtId="1" fontId="6" fillId="0" borderId="9" xfId="0" applyNumberFormat="1" applyFont="1" applyBorder="1" applyAlignment="1">
      <alignment horizontal="center" vertical="center" wrapText="1"/>
    </xf>
    <xf numFmtId="1" fontId="6" fillId="0" borderId="1" xfId="0" applyNumberFormat="1" applyFont="1" applyBorder="1" applyAlignment="1">
      <alignment horizontal="center" vertical="center" wrapText="1"/>
    </xf>
    <xf numFmtId="1" fontId="6" fillId="0" borderId="10" xfId="0" applyNumberFormat="1" applyFont="1" applyBorder="1" applyAlignment="1">
      <alignment horizontal="center" vertical="center" wrapText="1"/>
    </xf>
    <xf numFmtId="164" fontId="6" fillId="0" borderId="9" xfId="1" applyNumberFormat="1" applyFont="1" applyFill="1" applyBorder="1" applyAlignment="1">
      <alignment horizontal="center" vertical="center" wrapText="1"/>
    </xf>
    <xf numFmtId="164" fontId="6" fillId="0" borderId="10" xfId="1" applyNumberFormat="1" applyFont="1" applyFill="1" applyBorder="1" applyAlignment="1">
      <alignment horizontal="center" vertical="center" wrapText="1"/>
    </xf>
    <xf numFmtId="9" fontId="8" fillId="0" borderId="7" xfId="1" applyFont="1" applyBorder="1" applyAlignment="1">
      <alignment horizontal="center" vertical="center" wrapText="1"/>
    </xf>
    <xf numFmtId="9" fontId="8" fillId="0" borderId="8" xfId="1" applyFont="1" applyBorder="1" applyAlignment="1">
      <alignment horizontal="center" vertical="center" wrapText="1"/>
    </xf>
    <xf numFmtId="9" fontId="8" fillId="0" borderId="9" xfId="1" applyFont="1" applyBorder="1" applyAlignment="1">
      <alignment horizontal="center" vertical="center" wrapText="1"/>
    </xf>
    <xf numFmtId="9" fontId="8" fillId="0" borderId="10" xfId="1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9" fontId="8" fillId="0" borderId="0" xfId="1" applyFont="1" applyBorder="1" applyAlignment="1">
      <alignment horizontal="center" vertical="center" wrapText="1"/>
    </xf>
    <xf numFmtId="9" fontId="8" fillId="0" borderId="1" xfId="1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1" fontId="0" fillId="0" borderId="0" xfId="0" applyNumberFormat="1" applyAlignment="1">
      <alignment horizontal="center" vertical="center" wrapText="1"/>
    </xf>
    <xf numFmtId="1" fontId="0" fillId="0" borderId="8" xfId="0" applyNumberFormat="1" applyBorder="1" applyAlignment="1">
      <alignment horizontal="center" vertical="center" wrapText="1"/>
    </xf>
    <xf numFmtId="1" fontId="0" fillId="0" borderId="1" xfId="0" applyNumberFormat="1" applyBorder="1" applyAlignment="1">
      <alignment horizontal="center" vertical="center" wrapText="1"/>
    </xf>
    <xf numFmtId="1" fontId="0" fillId="0" borderId="10" xfId="0" applyNumberFormat="1" applyBorder="1" applyAlignment="1">
      <alignment horizontal="center" vertical="center" wrapText="1"/>
    </xf>
    <xf numFmtId="1" fontId="6" fillId="0" borderId="0" xfId="0" applyNumberFormat="1" applyFont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1" fontId="0" fillId="0" borderId="7" xfId="0" applyNumberFormat="1" applyBorder="1" applyAlignment="1">
      <alignment horizontal="center" vertical="center" wrapText="1"/>
    </xf>
    <xf numFmtId="1" fontId="0" fillId="2" borderId="7" xfId="2" applyNumberFormat="1" applyFont="1" applyFill="1" applyBorder="1" applyAlignment="1">
      <alignment horizontal="center" vertical="center" wrapText="1"/>
    </xf>
    <xf numFmtId="1" fontId="0" fillId="2" borderId="0" xfId="2" applyNumberFormat="1" applyFont="1" applyFill="1" applyBorder="1" applyAlignment="1">
      <alignment horizontal="center" vertical="center" wrapText="1"/>
    </xf>
    <xf numFmtId="1" fontId="0" fillId="2" borderId="8" xfId="2" applyNumberFormat="1" applyFont="1" applyFill="1" applyBorder="1" applyAlignment="1">
      <alignment horizontal="center" vertical="center" wrapText="1"/>
    </xf>
    <xf numFmtId="1" fontId="0" fillId="2" borderId="9" xfId="2" applyNumberFormat="1" applyFont="1" applyFill="1" applyBorder="1" applyAlignment="1">
      <alignment horizontal="center" vertical="center" wrapText="1"/>
    </xf>
    <xf numFmtId="1" fontId="0" fillId="2" borderId="1" xfId="2" applyNumberFormat="1" applyFont="1" applyFill="1" applyBorder="1" applyAlignment="1">
      <alignment horizontal="center" vertical="center" wrapText="1"/>
    </xf>
    <xf numFmtId="1" fontId="0" fillId="2" borderId="10" xfId="2" applyNumberFormat="1" applyFont="1" applyFill="1" applyBorder="1" applyAlignment="1">
      <alignment horizontal="center" vertical="center" wrapText="1"/>
    </xf>
    <xf numFmtId="0" fontId="0" fillId="2" borderId="11" xfId="0" applyFill="1" applyBorder="1" applyAlignment="1">
      <alignment vertical="center" wrapText="1"/>
    </xf>
    <xf numFmtId="1" fontId="0" fillId="2" borderId="0" xfId="0" applyNumberFormat="1" applyFill="1" applyAlignment="1">
      <alignment horizontal="center" vertical="center" wrapText="1"/>
    </xf>
    <xf numFmtId="1" fontId="0" fillId="2" borderId="1" xfId="0" applyNumberForma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164" fontId="6" fillId="3" borderId="7" xfId="1" applyNumberFormat="1" applyFont="1" applyFill="1" applyBorder="1" applyAlignment="1">
      <alignment horizontal="center" vertical="center" wrapText="1"/>
    </xf>
    <xf numFmtId="10" fontId="9" fillId="0" borderId="11" xfId="1" applyNumberFormat="1" applyFont="1" applyBorder="1" applyAlignment="1">
      <alignment horizontal="center" vertical="center" wrapText="1"/>
    </xf>
    <xf numFmtId="10" fontId="9" fillId="0" borderId="0" xfId="1" applyNumberFormat="1" applyFont="1" applyBorder="1" applyAlignment="1">
      <alignment horizontal="center" vertical="center" wrapText="1"/>
    </xf>
    <xf numFmtId="10" fontId="9" fillId="0" borderId="1" xfId="1" applyNumberFormat="1" applyFont="1" applyBorder="1" applyAlignment="1">
      <alignment horizontal="center" vertical="center" wrapText="1"/>
    </xf>
    <xf numFmtId="167" fontId="7" fillId="0" borderId="0" xfId="2" applyNumberFormat="1" applyFont="1" applyAlignment="1">
      <alignment horizontal="center" vertical="center" wrapText="1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825502</xdr:colOff>
      <xdr:row>10</xdr:row>
      <xdr:rowOff>81641</xdr:rowOff>
    </xdr:from>
    <xdr:to>
      <xdr:col>2</xdr:col>
      <xdr:colOff>2458357</xdr:colOff>
      <xdr:row>22</xdr:row>
      <xdr:rowOff>172357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03AF8A7-936E-9495-6CAB-D7CA9FB1B517}"/>
            </a:ext>
          </a:extLst>
        </xdr:cNvPr>
        <xdr:cNvSpPr txBox="1"/>
      </xdr:nvSpPr>
      <xdr:spPr>
        <a:xfrm>
          <a:off x="988788" y="3882570"/>
          <a:ext cx="3483426" cy="2485573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per Kate</a:t>
          </a:r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on 20 March 2025 call: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b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What is the expected test performance of different testing policies?</a:t>
          </a:r>
          <a:b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b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 Requiring a concern in primary care</a:t>
          </a:r>
          <a:b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  systematically asking on AWV (annual</a:t>
          </a:r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well visit)</a:t>
          </a:r>
          <a:b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3.  screening everyone</a:t>
          </a:r>
          <a:b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b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Could compare BHA v MiniCog</a:t>
          </a:r>
          <a:b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b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There are MiniCog screening studies in primary care I think with Rosenbloom M and/or Borson S as authors</a:t>
          </a:r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[sent]</a:t>
          </a:r>
          <a:endParaRPr lang="en-US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8A6FA-729B-EB46-B696-1DACF665CBFC}">
  <dimension ref="B1:AM20"/>
  <sheetViews>
    <sheetView tabSelected="1" topLeftCell="E1" zoomScale="140" zoomScaleNormal="140" workbookViewId="0">
      <selection activeCell="W14" sqref="W14"/>
    </sheetView>
  </sheetViews>
  <sheetFormatPr baseColWidth="10" defaultRowHeight="16" x14ac:dyDescent="0.2"/>
  <cols>
    <col min="1" max="1" width="2.1640625" style="1" customWidth="1"/>
    <col min="2" max="2" width="24.33203125" style="1" customWidth="1"/>
    <col min="3" max="3" width="37.83203125" style="1" customWidth="1"/>
    <col min="4" max="4" width="11" style="1" customWidth="1"/>
    <col min="5" max="5" width="11.1640625" style="1" customWidth="1"/>
    <col min="6" max="6" width="10.1640625" style="1" customWidth="1"/>
    <col min="7" max="8" width="10.6640625" style="1" customWidth="1"/>
    <col min="9" max="12" width="6.83203125" style="1" customWidth="1"/>
    <col min="13" max="15" width="7.33203125" style="1" customWidth="1"/>
    <col min="16" max="19" width="6.83203125" style="1" customWidth="1"/>
    <col min="20" max="20" width="8" style="1" hidden="1" customWidth="1"/>
    <col min="21" max="22" width="6.6640625" style="1" customWidth="1"/>
    <col min="23" max="23" width="1.83203125" style="1" customWidth="1"/>
    <col min="24" max="27" width="6.33203125" style="1" hidden="1" customWidth="1"/>
    <col min="28" max="28" width="7.6640625" style="1" hidden="1" customWidth="1"/>
    <col min="29" max="29" width="11.5" style="1" hidden="1" customWidth="1"/>
    <col min="30" max="33" width="6.83203125" style="1" customWidth="1"/>
    <col min="34" max="34" width="10.83203125" style="1" customWidth="1"/>
    <col min="35" max="36" width="8" style="1" customWidth="1"/>
    <col min="37" max="37" width="2.83203125" style="1" customWidth="1"/>
    <col min="38" max="39" width="9.33203125" style="1" customWidth="1"/>
    <col min="40" max="16384" width="10.83203125" style="1"/>
  </cols>
  <sheetData>
    <row r="1" spans="2:39" ht="35" customHeight="1" x14ac:dyDescent="0.2">
      <c r="B1" s="3" t="s">
        <v>24</v>
      </c>
    </row>
    <row r="2" spans="2:39" ht="16" customHeight="1" x14ac:dyDescent="0.2">
      <c r="B2" s="3"/>
      <c r="P2" s="71"/>
      <c r="Q2" s="71"/>
      <c r="R2" s="71"/>
      <c r="S2" s="71"/>
      <c r="T2" s="71"/>
      <c r="U2" s="71"/>
      <c r="V2" s="71"/>
      <c r="W2" s="2"/>
      <c r="X2" s="72" t="s">
        <v>25</v>
      </c>
      <c r="Y2" s="72"/>
      <c r="Z2" s="72"/>
      <c r="AA2" s="72"/>
      <c r="AB2" s="72"/>
      <c r="AC2" s="72"/>
      <c r="AD2" s="72"/>
      <c r="AE2" s="72"/>
      <c r="AF2" s="72"/>
      <c r="AG2" s="72"/>
      <c r="AH2" s="72"/>
      <c r="AI2" s="72"/>
      <c r="AJ2" s="72"/>
    </row>
    <row r="3" spans="2:39" ht="34" customHeight="1" x14ac:dyDescent="0.2">
      <c r="D3" s="73" t="s">
        <v>9</v>
      </c>
      <c r="E3" s="74"/>
      <c r="F3" s="75"/>
      <c r="G3" s="76" t="s">
        <v>35</v>
      </c>
      <c r="H3" s="76" t="s">
        <v>36</v>
      </c>
      <c r="I3" s="73" t="s">
        <v>15</v>
      </c>
      <c r="J3" s="74"/>
      <c r="K3" s="74"/>
      <c r="L3" s="75"/>
      <c r="M3" s="73" t="s">
        <v>10</v>
      </c>
      <c r="N3" s="74"/>
      <c r="O3" s="75"/>
      <c r="P3" s="73" t="s">
        <v>18</v>
      </c>
      <c r="Q3" s="74"/>
      <c r="R3" s="74"/>
      <c r="S3" s="75"/>
      <c r="T3" s="26"/>
      <c r="U3" s="73" t="s">
        <v>12</v>
      </c>
      <c r="V3" s="75"/>
      <c r="W3" s="23"/>
      <c r="X3" s="68" t="s">
        <v>18</v>
      </c>
      <c r="Y3" s="69"/>
      <c r="Z3" s="69"/>
      <c r="AA3" s="70"/>
      <c r="AB3" s="8"/>
      <c r="AC3" s="8"/>
      <c r="AD3" s="68" t="s">
        <v>44</v>
      </c>
      <c r="AE3" s="69"/>
      <c r="AF3" s="69"/>
      <c r="AG3" s="70"/>
      <c r="AH3" s="65"/>
      <c r="AI3" s="68" t="s">
        <v>12</v>
      </c>
      <c r="AJ3" s="70"/>
      <c r="AL3" s="71" t="s">
        <v>45</v>
      </c>
      <c r="AM3" s="71"/>
    </row>
    <row r="4" spans="2:39" s="2" customFormat="1" ht="37" customHeight="1" x14ac:dyDescent="0.2">
      <c r="B4" s="2" t="s">
        <v>2</v>
      </c>
      <c r="C4" s="2" t="s">
        <v>3</v>
      </c>
      <c r="D4" s="4" t="s">
        <v>32</v>
      </c>
      <c r="E4" s="2" t="s">
        <v>31</v>
      </c>
      <c r="F4" s="5" t="s">
        <v>7</v>
      </c>
      <c r="G4" s="77"/>
      <c r="H4" s="77"/>
      <c r="I4" s="4" t="s">
        <v>33</v>
      </c>
      <c r="J4" s="2" t="s">
        <v>34</v>
      </c>
      <c r="K4" s="2" t="s">
        <v>8</v>
      </c>
      <c r="L4" s="5" t="s">
        <v>16</v>
      </c>
      <c r="M4" s="4" t="s">
        <v>37</v>
      </c>
      <c r="N4" s="2" t="s">
        <v>38</v>
      </c>
      <c r="O4" s="5" t="s">
        <v>11</v>
      </c>
      <c r="P4" s="4" t="s">
        <v>19</v>
      </c>
      <c r="Q4" s="2" t="s">
        <v>20</v>
      </c>
      <c r="R4" s="2" t="s">
        <v>21</v>
      </c>
      <c r="S4" s="5" t="s">
        <v>22</v>
      </c>
      <c r="T4" s="2" t="s">
        <v>23</v>
      </c>
      <c r="U4" s="4" t="s">
        <v>13</v>
      </c>
      <c r="V4" s="5" t="s">
        <v>14</v>
      </c>
      <c r="X4" s="55" t="s">
        <v>19</v>
      </c>
      <c r="Y4" s="56" t="s">
        <v>20</v>
      </c>
      <c r="Z4" s="56" t="s">
        <v>21</v>
      </c>
      <c r="AA4" s="57" t="s">
        <v>22</v>
      </c>
      <c r="AB4" s="10" t="s">
        <v>28</v>
      </c>
      <c r="AC4" s="10" t="s">
        <v>39</v>
      </c>
      <c r="AD4" s="55" t="s">
        <v>19</v>
      </c>
      <c r="AE4" s="56" t="s">
        <v>20</v>
      </c>
      <c r="AF4" s="56" t="s">
        <v>21</v>
      </c>
      <c r="AG4" s="57" t="s">
        <v>22</v>
      </c>
      <c r="AH4" s="10" t="s">
        <v>28</v>
      </c>
      <c r="AI4" s="9" t="s">
        <v>13</v>
      </c>
      <c r="AJ4" s="11" t="s">
        <v>14</v>
      </c>
      <c r="AK4" s="1"/>
      <c r="AL4" s="2" t="s">
        <v>13</v>
      </c>
      <c r="AM4" s="2" t="s">
        <v>14</v>
      </c>
    </row>
    <row r="5" spans="2:39" ht="43" customHeight="1" x14ac:dyDescent="0.2">
      <c r="B5" s="1" t="s">
        <v>0</v>
      </c>
      <c r="C5" s="1" t="s">
        <v>5</v>
      </c>
      <c r="D5" s="37">
        <v>0.6</v>
      </c>
      <c r="E5" s="45">
        <v>0.9</v>
      </c>
      <c r="F5" s="38">
        <v>0.15</v>
      </c>
      <c r="G5" s="79">
        <v>0.13103999999999999</v>
      </c>
      <c r="H5" s="79">
        <v>1.7690000000000001E-2</v>
      </c>
      <c r="I5" s="58">
        <f>$G$5*D5*1000</f>
        <v>78.623999999999981</v>
      </c>
      <c r="J5" s="50">
        <f>$H$5*E5*1000</f>
        <v>15.921000000000001</v>
      </c>
      <c r="K5" s="50">
        <f>(1-$G$5-$H$5)*F5*1000</f>
        <v>127.69049999999999</v>
      </c>
      <c r="L5" s="51">
        <f>I5+J5+K5</f>
        <v>222.23549999999997</v>
      </c>
      <c r="M5" s="41">
        <v>0.72</v>
      </c>
      <c r="N5" s="48">
        <v>0.99</v>
      </c>
      <c r="O5" s="42">
        <v>0.85</v>
      </c>
      <c r="P5" s="27">
        <f>I5*M5 + J5*N5</f>
        <v>72.371069999999989</v>
      </c>
      <c r="Q5" s="54">
        <f>I5*(1-M5) + J5*(1-N5)</f>
        <v>22.173929999999999</v>
      </c>
      <c r="R5" s="54">
        <f>K5*O5</f>
        <v>108.53692499999998</v>
      </c>
      <c r="S5" s="28">
        <f>K5*(1-O5)</f>
        <v>19.153575</v>
      </c>
      <c r="T5" s="29">
        <f>SUM(P5:S5)</f>
        <v>222.23549999999994</v>
      </c>
      <c r="U5" s="78">
        <f>P5 / (P5+S5)</f>
        <v>0.79072767777465836</v>
      </c>
      <c r="V5" s="31">
        <f>R5 / (R5+Q5)</f>
        <v>0.83035892466620309</v>
      </c>
      <c r="W5" s="24"/>
      <c r="X5" s="12">
        <v>437</v>
      </c>
      <c r="Y5" s="13">
        <v>127</v>
      </c>
      <c r="Z5" s="13">
        <v>694</v>
      </c>
      <c r="AA5" s="14">
        <v>116</v>
      </c>
      <c r="AB5" s="13">
        <f>SUM(X5:AA5)</f>
        <v>1374</v>
      </c>
      <c r="AC5" s="13">
        <v>6409</v>
      </c>
      <c r="AD5" s="59">
        <f t="shared" ref="AD5:AG7" si="0">X5*1000 / $AC5</f>
        <v>68.185364331408962</v>
      </c>
      <c r="AE5" s="60">
        <f t="shared" si="0"/>
        <v>19.815883913246996</v>
      </c>
      <c r="AF5" s="60">
        <f t="shared" si="0"/>
        <v>108.28522390388517</v>
      </c>
      <c r="AG5" s="61">
        <f t="shared" si="0"/>
        <v>18.099547511312217</v>
      </c>
      <c r="AH5" s="66">
        <f>SUM(AD5:AG5)</f>
        <v>214.38601965985333</v>
      </c>
      <c r="AI5" s="15">
        <f>X5 / (X5+AA5)</f>
        <v>0.79023508137432186</v>
      </c>
      <c r="AJ5" s="16">
        <f>Z5 / (Z5+Y5)</f>
        <v>0.84531059683313037</v>
      </c>
      <c r="AK5" s="2"/>
      <c r="AL5" s="82">
        <f>AI5/U5</f>
        <v>0.99937703407357281</v>
      </c>
      <c r="AM5" s="82">
        <f>AJ5/V5</f>
        <v>1.0180062762292075</v>
      </c>
    </row>
    <row r="6" spans="2:39" ht="43" customHeight="1" x14ac:dyDescent="0.2">
      <c r="B6" s="1" t="s">
        <v>17</v>
      </c>
      <c r="C6" s="1" t="s">
        <v>6</v>
      </c>
      <c r="D6" s="37">
        <v>0.7</v>
      </c>
      <c r="E6" s="45">
        <v>1</v>
      </c>
      <c r="F6" s="38">
        <v>0.25</v>
      </c>
      <c r="G6" s="80"/>
      <c r="H6" s="80"/>
      <c r="I6" s="58">
        <f>$G$5*D6*1000</f>
        <v>91.727999999999994</v>
      </c>
      <c r="J6" s="47">
        <f>$H$5*E6*1000</f>
        <v>17.690000000000001</v>
      </c>
      <c r="K6" s="50">
        <f>(1-$G$5-$H$5)*F6*1000</f>
        <v>212.8175</v>
      </c>
      <c r="L6" s="51">
        <f t="shared" ref="L6:L7" si="1">I6+J6+K6</f>
        <v>322.2355</v>
      </c>
      <c r="M6" s="41">
        <v>0.72</v>
      </c>
      <c r="N6" s="48">
        <v>0.99</v>
      </c>
      <c r="O6" s="42">
        <v>0.85</v>
      </c>
      <c r="P6" s="27">
        <f t="shared" ref="P6:P7" si="2">I6*M6 + J6*N6</f>
        <v>83.557259999999985</v>
      </c>
      <c r="Q6" s="54">
        <f t="shared" ref="Q6:Q7" si="3">I6*(1-M6) + J6*(1-N6)</f>
        <v>25.86074</v>
      </c>
      <c r="R6" s="54">
        <f t="shared" ref="R6:R7" si="4">K6*O6</f>
        <v>180.89487499999998</v>
      </c>
      <c r="S6" s="28">
        <f t="shared" ref="S6:S7" si="5">K6*(1-O6)</f>
        <v>31.922625000000004</v>
      </c>
      <c r="T6" s="29">
        <f t="shared" ref="T6:T7" si="6">SUM(P6:S6)</f>
        <v>322.23549999999994</v>
      </c>
      <c r="U6" s="30">
        <f t="shared" ref="U6:U7" si="7">P6 / (P6+S6)</f>
        <v>0.72356549367883405</v>
      </c>
      <c r="V6" s="31">
        <f t="shared" ref="V6:V7" si="8">R6 / (R6+Q6)</f>
        <v>0.8749212203982949</v>
      </c>
      <c r="W6" s="24"/>
      <c r="X6" s="12">
        <v>504</v>
      </c>
      <c r="Y6" s="13">
        <v>150</v>
      </c>
      <c r="Z6" s="13">
        <v>1187</v>
      </c>
      <c r="AA6" s="14">
        <v>201</v>
      </c>
      <c r="AB6" s="13">
        <f t="shared" ref="AB6:AB7" si="9">SUM(X6:AA6)</f>
        <v>2042</v>
      </c>
      <c r="AC6" s="13">
        <v>6409</v>
      </c>
      <c r="AD6" s="59">
        <f t="shared" si="0"/>
        <v>78.639413325011702</v>
      </c>
      <c r="AE6" s="60">
        <f t="shared" si="0"/>
        <v>23.404587299110627</v>
      </c>
      <c r="AF6" s="60">
        <f t="shared" si="0"/>
        <v>185.20830082696207</v>
      </c>
      <c r="AG6" s="61">
        <f t="shared" si="0"/>
        <v>31.362146980808237</v>
      </c>
      <c r="AH6" s="66">
        <f t="shared" ref="AH6:AH7" si="10">SUM(AD6:AG6)</f>
        <v>318.61444843189264</v>
      </c>
      <c r="AI6" s="15">
        <f t="shared" ref="AI6:AI7" si="11">X6 / (X6+AA6)</f>
        <v>0.71489361702127663</v>
      </c>
      <c r="AJ6" s="16">
        <f>Z6 / (Z6+Y6)</f>
        <v>0.88780852655198206</v>
      </c>
      <c r="AL6" s="82">
        <f t="shared" ref="AL6:AM7" si="12">AI6/U6</f>
        <v>0.98801507709624614</v>
      </c>
      <c r="AM6" s="82">
        <f t="shared" si="12"/>
        <v>1.014729676059086</v>
      </c>
    </row>
    <row r="7" spans="2:39" ht="43" customHeight="1" x14ac:dyDescent="0.2">
      <c r="B7" s="1" t="s">
        <v>1</v>
      </c>
      <c r="C7" s="1" t="s">
        <v>4</v>
      </c>
      <c r="D7" s="39">
        <v>1</v>
      </c>
      <c r="E7" s="46">
        <v>1</v>
      </c>
      <c r="F7" s="40">
        <v>1</v>
      </c>
      <c r="G7" s="81"/>
      <c r="H7" s="81"/>
      <c r="I7" s="6">
        <f>$G$5*D7*1000</f>
        <v>131.04</v>
      </c>
      <c r="J7" s="7">
        <f>$H$5*E7*1000</f>
        <v>17.690000000000001</v>
      </c>
      <c r="K7" s="52">
        <f>(1-$G$5-$H$5)*F7*1000</f>
        <v>851.27</v>
      </c>
      <c r="L7" s="53">
        <f t="shared" si="1"/>
        <v>1000</v>
      </c>
      <c r="M7" s="43">
        <v>0.72</v>
      </c>
      <c r="N7" s="49">
        <v>0.99</v>
      </c>
      <c r="O7" s="44">
        <v>0.85</v>
      </c>
      <c r="P7" s="32">
        <f t="shared" si="2"/>
        <v>111.86189999999999</v>
      </c>
      <c r="Q7" s="33">
        <f t="shared" si="3"/>
        <v>36.868100000000005</v>
      </c>
      <c r="R7" s="33">
        <f t="shared" si="4"/>
        <v>723.57949999999994</v>
      </c>
      <c r="S7" s="34">
        <f t="shared" si="5"/>
        <v>127.69050000000001</v>
      </c>
      <c r="T7" s="29">
        <f t="shared" si="6"/>
        <v>1000</v>
      </c>
      <c r="U7" s="35">
        <f t="shared" si="7"/>
        <v>0.46696213438061979</v>
      </c>
      <c r="V7" s="36">
        <f t="shared" si="8"/>
        <v>0.95151789551311616</v>
      </c>
      <c r="W7" s="25"/>
      <c r="X7" s="17">
        <v>688</v>
      </c>
      <c r="Y7" s="18">
        <v>219</v>
      </c>
      <c r="Z7" s="18">
        <v>4722</v>
      </c>
      <c r="AA7" s="19">
        <v>780</v>
      </c>
      <c r="AB7" s="13">
        <f t="shared" si="9"/>
        <v>6409</v>
      </c>
      <c r="AC7" s="13">
        <v>6409</v>
      </c>
      <c r="AD7" s="62">
        <f t="shared" si="0"/>
        <v>107.34904041192074</v>
      </c>
      <c r="AE7" s="63">
        <f t="shared" si="0"/>
        <v>34.170697456701511</v>
      </c>
      <c r="AF7" s="63">
        <f t="shared" si="0"/>
        <v>736.77640817600252</v>
      </c>
      <c r="AG7" s="64">
        <f t="shared" si="0"/>
        <v>121.70385395537525</v>
      </c>
      <c r="AH7" s="67">
        <f t="shared" si="10"/>
        <v>1000</v>
      </c>
      <c r="AI7" s="20">
        <f t="shared" si="11"/>
        <v>0.46866485013623976</v>
      </c>
      <c r="AJ7" s="21">
        <f>Z7 / (Z7+Y7)</f>
        <v>0.95567698846387372</v>
      </c>
      <c r="AL7" s="82">
        <f t="shared" si="12"/>
        <v>1.0036463679391874</v>
      </c>
      <c r="AM7" s="82">
        <f t="shared" si="12"/>
        <v>1.0043710086487809</v>
      </c>
    </row>
    <row r="8" spans="2:39" ht="17" customHeight="1" x14ac:dyDescent="0.2">
      <c r="M8" s="22" t="s">
        <v>46</v>
      </c>
    </row>
    <row r="9" spans="2:39" x14ac:dyDescent="0.2">
      <c r="B9" s="3"/>
      <c r="X9" s="22" t="s">
        <v>26</v>
      </c>
    </row>
    <row r="10" spans="2:39" x14ac:dyDescent="0.2">
      <c r="X10" s="22" t="s">
        <v>40</v>
      </c>
      <c r="AA10" s="54"/>
    </row>
    <row r="11" spans="2:39" x14ac:dyDescent="0.2">
      <c r="X11" s="22" t="s">
        <v>41</v>
      </c>
    </row>
    <row r="12" spans="2:39" x14ac:dyDescent="0.2">
      <c r="X12" s="22" t="s">
        <v>29</v>
      </c>
    </row>
    <row r="13" spans="2:39" x14ac:dyDescent="0.2">
      <c r="X13" s="22" t="s">
        <v>27</v>
      </c>
    </row>
    <row r="14" spans="2:39" x14ac:dyDescent="0.2">
      <c r="X14" s="22" t="s">
        <v>42</v>
      </c>
    </row>
    <row r="15" spans="2:39" x14ac:dyDescent="0.2">
      <c r="X15" s="22" t="s">
        <v>43</v>
      </c>
    </row>
    <row r="16" spans="2:39" x14ac:dyDescent="0.2">
      <c r="X16" s="22" t="s">
        <v>30</v>
      </c>
    </row>
    <row r="17" spans="24:24" x14ac:dyDescent="0.2">
      <c r="X17" s="22"/>
    </row>
    <row r="18" spans="24:24" x14ac:dyDescent="0.2">
      <c r="X18" s="22"/>
    </row>
    <row r="19" spans="24:24" x14ac:dyDescent="0.2">
      <c r="X19" s="22"/>
    </row>
    <row r="20" spans="24:24" x14ac:dyDescent="0.2">
      <c r="X20" s="22"/>
    </row>
  </sheetData>
  <mergeCells count="15">
    <mergeCell ref="D3:F3"/>
    <mergeCell ref="G3:G4"/>
    <mergeCell ref="H3:H4"/>
    <mergeCell ref="AD3:AG3"/>
    <mergeCell ref="AL3:AM3"/>
    <mergeCell ref="X2:AJ2"/>
    <mergeCell ref="G5:G7"/>
    <mergeCell ref="M3:O3"/>
    <mergeCell ref="U3:V3"/>
    <mergeCell ref="I3:L3"/>
    <mergeCell ref="P3:S3"/>
    <mergeCell ref="H5:H7"/>
    <mergeCell ref="P2:V2"/>
    <mergeCell ref="X3:AA3"/>
    <mergeCell ref="AI3:AJ3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JGK</dc:creator>
  <cp:lastModifiedBy>Maya, Sigal</cp:lastModifiedBy>
  <dcterms:created xsi:type="dcterms:W3CDTF">2025-03-24T16:29:45Z</dcterms:created>
  <dcterms:modified xsi:type="dcterms:W3CDTF">2025-03-27T21:00:33Z</dcterms:modified>
</cp:coreProperties>
</file>