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analysis/2025_Mar_paper2_BHAfalsepositiverate/Validation/"/>
    </mc:Choice>
  </mc:AlternateContent>
  <xr:revisionPtr revIDLastSave="0" documentId="13_ncr:1_{3FFC4510-B8F0-B54F-8BAC-849C0383327E}" xr6:coauthVersionLast="47" xr6:coauthVersionMax="47" xr10:uidLastSave="{00000000-0000-0000-0000-000000000000}"/>
  <bookViews>
    <workbookView xWindow="3080" yWindow="1240" windowWidth="48120" windowHeight="27040" xr2:uid="{639DA2B3-8AB3-B74B-A1A5-0847942A50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" i="1" l="1"/>
  <c r="AQ7" i="1"/>
  <c r="AR6" i="1"/>
  <c r="AQ6" i="1"/>
  <c r="AR5" i="1"/>
  <c r="AQ5" i="1"/>
  <c r="M6" i="1" l="1"/>
  <c r="N6" i="1"/>
  <c r="Q7" i="1"/>
  <c r="Q6" i="1"/>
  <c r="Q5" i="1"/>
  <c r="N7" i="1"/>
  <c r="N5" i="1"/>
  <c r="M5" i="1"/>
  <c r="O7" i="1"/>
  <c r="O6" i="1"/>
  <c r="O5" i="1"/>
  <c r="M7" i="1"/>
  <c r="P5" i="1"/>
  <c r="P6" i="1"/>
  <c r="P7" i="1"/>
  <c r="AJ7" i="1"/>
  <c r="AK7" i="1" s="1"/>
  <c r="X7" i="1" l="1"/>
  <c r="Y7" i="1"/>
  <c r="AA7" i="1"/>
  <c r="Z7" i="1"/>
  <c r="R7" i="1"/>
  <c r="AA5" i="1"/>
  <c r="Z5" i="1"/>
  <c r="M12" i="1"/>
  <c r="AO7" i="1"/>
  <c r="AL7" i="1"/>
  <c r="AM7" i="1"/>
  <c r="AN7" i="1"/>
  <c r="AA6" i="1"/>
  <c r="Z6" i="1"/>
  <c r="X6" i="1"/>
  <c r="Y6" i="1"/>
  <c r="X5" i="1"/>
  <c r="Y5" i="1"/>
  <c r="AK6" i="1"/>
  <c r="R5" i="1"/>
  <c r="R6" i="1"/>
  <c r="AJ5" i="1"/>
  <c r="AJ6" i="1"/>
  <c r="AD7" i="1" l="1"/>
  <c r="H10" i="1"/>
  <c r="R10" i="1"/>
  <c r="O10" i="1"/>
  <c r="P10" i="1"/>
  <c r="N10" i="1"/>
  <c r="Q10" i="1"/>
  <c r="N12" i="1"/>
  <c r="O12" i="1"/>
  <c r="P12" i="1"/>
  <c r="H12" i="1"/>
  <c r="R12" i="1"/>
  <c r="Q12" i="1"/>
  <c r="M10" i="1"/>
  <c r="AP7" i="1"/>
  <c r="R11" i="1"/>
  <c r="P11" i="1"/>
  <c r="M11" i="1"/>
  <c r="N11" i="1"/>
  <c r="O11" i="1"/>
  <c r="Q11" i="1"/>
  <c r="AD6" i="1"/>
  <c r="AU6" i="1" s="1"/>
  <c r="H11" i="1"/>
  <c r="AM6" i="1"/>
  <c r="AN6" i="1"/>
  <c r="AO6" i="1"/>
  <c r="AL6" i="1"/>
  <c r="AK5" i="1"/>
  <c r="AC7" i="1"/>
  <c r="AT7" i="1" s="1"/>
  <c r="AP6" i="1" l="1"/>
  <c r="AO5" i="1"/>
  <c r="AL5" i="1"/>
  <c r="AM5" i="1"/>
  <c r="AN5" i="1"/>
  <c r="AD5" i="1"/>
  <c r="AU5" i="1" s="1"/>
  <c r="AB6" i="1"/>
  <c r="AB7" i="1"/>
  <c r="AU7" i="1"/>
  <c r="AC6" i="1"/>
  <c r="AT6" i="1" s="1"/>
  <c r="AC5" i="1"/>
  <c r="AB5" i="1"/>
  <c r="AT5" i="1" l="1"/>
  <c r="AP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Sigal Maya</author>
  </authors>
  <commentList>
    <comment ref="H4" authorId="0" shapeId="0" xr:uid="{C084C9A6-89DC-E44E-918B-09829CB75BD0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Kate: these are probably too high</t>
        </r>
      </text>
    </comment>
    <comment ref="AK4" authorId="0" shapeId="0" xr:uid="{3675CA99-A1CE-2A4B-8BC7-6705EAEC3E92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i.e., no prior dx AND has access to care</t>
        </r>
      </text>
    </comment>
    <comment ref="AF11" authorId="0" shapeId="0" xr:uid="{FC523D72-91AA-8F47-8F3B-BC1DC98A7029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todo: commonwealth fund Mirror Mirror report
</t>
        </r>
        <r>
          <rPr>
            <sz val="10"/>
            <color rgb="FF000000"/>
            <rFont val="Tahoma"/>
            <family val="2"/>
          </rPr>
          <t>what % have access to regular care</t>
        </r>
      </text>
    </comment>
  </commentList>
</comments>
</file>

<file path=xl/sharedStrings.xml><?xml version="1.0" encoding="utf-8"?>
<sst xmlns="http://schemas.openxmlformats.org/spreadsheetml/2006/main" count="90" uniqueCount="71">
  <si>
    <t>Spontaneous concern in primary care</t>
  </si>
  <si>
    <t>Screening everyone</t>
  </si>
  <si>
    <t>Strategy</t>
  </si>
  <si>
    <t>Qualitative Expectation</t>
  </si>
  <si>
    <t>Low actual prev among tested so many FP + low PPV (many FP). High NPV. Few missed.</t>
  </si>
  <si>
    <t>Higher actual prev among tested hence high PPV, many missed due to non-testing.</t>
  </si>
  <si>
    <t>If prompting yields actual prev among testers btwn spontan &amp; screening, intermed PPV.</t>
  </si>
  <si>
    <t>% of Cog Normal</t>
  </si>
  <si>
    <t>Cog Nml</t>
  </si>
  <si>
    <t>Testing Likelihood</t>
  </si>
  <si>
    <t>Test Perf</t>
  </si>
  <si>
    <t>Spec</t>
  </si>
  <si>
    <t>Predictive Value</t>
  </si>
  <si>
    <t>PPV</t>
  </si>
  <si>
    <t>NPV</t>
  </si>
  <si>
    <r>
      <t xml:space="preserve">Of 1000 </t>
    </r>
    <r>
      <rPr>
        <b/>
        <i/>
        <sz val="12"/>
        <color theme="1"/>
        <rFont val="Aptos Narrow"/>
        <scheme val="minor"/>
      </rPr>
      <t>potential</t>
    </r>
    <r>
      <rPr>
        <b/>
        <sz val="12"/>
        <color theme="1"/>
        <rFont val="Aptos Narrow"/>
        <scheme val="minor"/>
      </rPr>
      <t xml:space="preserve"> testers</t>
    </r>
  </si>
  <si>
    <t>Total tests</t>
  </si>
  <si>
    <t>Systematic query in AWV (or other regular clinical visit)</t>
  </si>
  <si>
    <t>Test Results</t>
  </si>
  <si>
    <t>TP</t>
  </si>
  <si>
    <t>FN</t>
  </si>
  <si>
    <t>TN</t>
  </si>
  <si>
    <t>FP</t>
  </si>
  <si>
    <t>sum</t>
  </si>
  <si>
    <r>
      <t>Goal:</t>
    </r>
    <r>
      <rPr>
        <sz val="12"/>
        <color theme="1"/>
        <rFont val="Aptos Narrow"/>
        <scheme val="minor"/>
      </rPr>
      <t xml:space="preserve"> Contemplate how different testing strategies will affect testing results. Implementation in GRAM will parallel this, presumably.</t>
    </r>
  </si>
  <si>
    <t>From GRAM</t>
  </si>
  <si>
    <t>(1) Testing is done at 70 years of age (there are 7899 of them in GRAM)</t>
  </si>
  <si>
    <t xml:space="preserve">        15% of those with MCI,  40% of those with mild dementia, and 85% of those moderate to severe dementia will have a prior diagnosis (not eligible for BHA)</t>
  </si>
  <si>
    <t>total tests</t>
  </si>
  <si>
    <t xml:space="preserve">(4) Of those who truly have cognitive impairment AND visit a doctor regularly, </t>
  </si>
  <si>
    <t>(6) Does vary test performance by disease severity (better sens for dementia than for mci)</t>
  </si>
  <si>
    <t>% of dem (no prior dx)</t>
  </si>
  <si>
    <t>% of MCI (no prior dx)</t>
  </si>
  <si>
    <t>MCI</t>
  </si>
  <si>
    <t>Dem</t>
  </si>
  <si>
    <t>Prev of MCI
(among individuals
w/o dx)</t>
  </si>
  <si>
    <t>Prev of dem
(among individuals
w/o dx)</t>
  </si>
  <si>
    <t>Sens for MCI</t>
  </si>
  <si>
    <t>Sens for dem</t>
  </si>
  <si>
    <t>total eligible</t>
  </si>
  <si>
    <t>(2) 98% of population has any insurance coverage at age 70</t>
  </si>
  <si>
    <t>(3) 75% of those with insurance have a regular provider</t>
  </si>
  <si>
    <t xml:space="preserve">        This is intended to reflect the rates of underdiagnosis in these conditions (8%, 20%, 50% diagnosed, respectively)</t>
  </si>
  <si>
    <t>(5) Does NOT differ test performance by testing scenario (all have the same test performance for BHA), but possible to add</t>
  </si>
  <si>
    <t>Test Results (standardized to 1000 eligible)</t>
  </si>
  <si>
    <t>Delta</t>
  </si>
  <si>
    <t>Use these values in base model but do SA</t>
  </si>
  <si>
    <t>% of TCI (no prior dx)</t>
  </si>
  <si>
    <t>Prev of TCI
(among individuals
w/o dx)</t>
  </si>
  <si>
    <t>TCI</t>
  </si>
  <si>
    <t>Sens for TCI</t>
  </si>
  <si>
    <t>% of memloss (no prior dx)</t>
  </si>
  <si>
    <t>Prev of memloss (among individuals w/o dx)</t>
  </si>
  <si>
    <t>Sens for memloss</t>
  </si>
  <si>
    <t xml:space="preserve">PPV = </t>
  </si>
  <si>
    <t>TP / (TP + FP)</t>
  </si>
  <si>
    <t>NPV=</t>
  </si>
  <si>
    <t>TN / (TN + FN)</t>
  </si>
  <si>
    <t>sensitivity issue</t>
  </si>
  <si>
    <t>speficity issue, especially with many negative individuals</t>
  </si>
  <si>
    <t>mci</t>
  </si>
  <si>
    <t>dem</t>
  </si>
  <si>
    <t>Memloss (PR)</t>
  </si>
  <si>
    <t>memloss (PR)</t>
  </si>
  <si>
    <t>cog nml</t>
  </si>
  <si>
    <t>Systematic</t>
  </si>
  <si>
    <t>Universal</t>
  </si>
  <si>
    <t>Prevalence among testers</t>
  </si>
  <si>
    <t>all impaired</t>
  </si>
  <si>
    <t>% of full cohort tested</t>
  </si>
  <si>
    <t>Spont.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</si>
</sst>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_(* #,##0.0000_);_(* \(#,##0.0000\);_(* &quot;-&quot;??_);_(@_)"/>
    <numFmt numFmtId="167" formatCode="0.00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6" fillId="0" borderId="7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horizontal="center" vertical="center" wrapText="1"/>
    </xf>
    <xf numFmtId="164" fontId="6" fillId="0" borderId="10" xfId="1" applyNumberFormat="1" applyFont="1" applyFill="1" applyBorder="1" applyAlignment="1">
      <alignment horizontal="center" vertical="center" wrapText="1"/>
    </xf>
    <xf numFmtId="9" fontId="8" fillId="0" borderId="7" xfId="1" applyFont="1" applyBorder="1" applyAlignment="1">
      <alignment horizontal="center" vertical="center" wrapText="1"/>
    </xf>
    <xf numFmtId="9" fontId="8" fillId="0" borderId="8" xfId="1" applyFont="1" applyBorder="1" applyAlignment="1">
      <alignment horizontal="center" vertical="center" wrapText="1"/>
    </xf>
    <xf numFmtId="9" fontId="8" fillId="0" borderId="9" xfId="1" applyFont="1" applyBorder="1" applyAlignment="1">
      <alignment horizontal="center" vertical="center" wrapText="1"/>
    </xf>
    <xf numFmtId="9" fontId="8" fillId="0" borderId="10" xfId="1" applyFont="1" applyBorder="1" applyAlignment="1">
      <alignment horizontal="center" vertical="center" wrapText="1"/>
    </xf>
    <xf numFmtId="9" fontId="8" fillId="0" borderId="0" xfId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2" borderId="7" xfId="2" applyNumberFormat="1" applyFont="1" applyFill="1" applyBorder="1" applyAlignment="1">
      <alignment horizontal="center" vertical="center" wrapText="1"/>
    </xf>
    <xf numFmtId="1" fontId="0" fillId="2" borderId="0" xfId="2" applyNumberFormat="1" applyFont="1" applyFill="1" applyBorder="1" applyAlignment="1">
      <alignment horizontal="center" vertical="center" wrapText="1"/>
    </xf>
    <xf numFmtId="1" fontId="0" fillId="2" borderId="8" xfId="2" applyNumberFormat="1" applyFont="1" applyFill="1" applyBorder="1" applyAlignment="1">
      <alignment horizontal="center" vertical="center" wrapText="1"/>
    </xf>
    <xf numFmtId="1" fontId="0" fillId="2" borderId="9" xfId="2" applyNumberFormat="1" applyFont="1" applyFill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 wrapText="1"/>
    </xf>
    <xf numFmtId="1" fontId="0" fillId="2" borderId="10" xfId="2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66" fontId="7" fillId="0" borderId="0" xfId="2" applyNumberFormat="1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8" xfId="1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0" borderId="10" xfId="1" applyNumberFormat="1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0" fillId="0" borderId="8" xfId="0" applyBorder="1" applyAlignment="1">
      <alignment vertical="center" wrapText="1"/>
    </xf>
    <xf numFmtId="167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0" fontId="9" fillId="0" borderId="11" xfId="1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825502</xdr:colOff>
      <xdr:row>10</xdr:row>
      <xdr:rowOff>81641</xdr:rowOff>
    </xdr:from>
    <xdr:to>
      <xdr:col>2</xdr:col>
      <xdr:colOff>2458357</xdr:colOff>
      <xdr:row>22</xdr:row>
      <xdr:rowOff>172357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AF8A7-936E-9495-6CAB-D7CA9FB1B517}"/>
            </a:ext>
          </a:extLst>
        </xdr:cNvPr>
        <xdr:cNvSpPr txBox="1"/>
      </xdr:nvSpPr>
      <xdr:spPr>
        <a:xfrm>
          <a:off x="988788" y="3882570"/>
          <a:ext cx="3483426" cy="24855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Kate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20 March 2025 call: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expected test performance of different testing policies?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Requiring a concern in primary care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 systematically asking on AWV (annual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well visit)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 screening everyone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Could compare BHA v MiniCog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MiniCog screening studies in primary care I think with Rosenbloom M and/or Borson S as authors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[sent]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2847474</xdr:colOff>
      <xdr:row>13</xdr:row>
      <xdr:rowOff>173789</xdr:rowOff>
    </xdr:from>
    <xdr:to>
      <xdr:col>12</xdr:col>
      <xdr:colOff>426453</xdr:colOff>
      <xdr:row>21</xdr:row>
      <xdr:rowOff>31895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6CE41-9DFA-2BF4-53D5-2C2D6FF2D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6106" y="4585368"/>
          <a:ext cx="7772400" cy="1462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6FA-729B-EB46-B696-1DACF665CBFC}">
  <dimension ref="B1:AU20"/>
  <sheetViews>
    <sheetView tabSelected="1" topLeftCell="I1" zoomScale="210" zoomScaleNormal="210" workbookViewId="0">
      <selection activeCell="D9" sqref="D9"/>
    </sheetView>
  </sheetViews>
  <sheetFormatPr baseColWidth="10" defaultRowHeight="16" x14ac:dyDescent="0.2"/>
  <cols>
    <col min="1" max="1" width="2.1640625" style="1" customWidth="1"/>
    <col min="2" max="2" width="24.33203125" style="1" customWidth="1"/>
    <col min="3" max="3" width="37.83203125" style="1" customWidth="1"/>
    <col min="4" max="6" width="11" style="1" customWidth="1"/>
    <col min="7" max="7" width="11.1640625" style="1" customWidth="1"/>
    <col min="8" max="10" width="10.1640625" style="1" customWidth="1"/>
    <col min="11" max="12" width="10.6640625" style="1" customWidth="1"/>
    <col min="13" max="17" width="6.83203125" style="1" customWidth="1"/>
    <col min="18" max="18" width="8.33203125" style="1" customWidth="1"/>
    <col min="19" max="21" width="7.1640625" style="1" customWidth="1"/>
    <col min="22" max="23" width="7.33203125" style="1" customWidth="1"/>
    <col min="24" max="27" width="6.83203125" style="1" customWidth="1"/>
    <col min="28" max="28" width="8" style="1" hidden="1" customWidth="1"/>
    <col min="29" max="30" width="6.6640625" style="1" customWidth="1"/>
    <col min="31" max="31" width="1.83203125" style="1" customWidth="1"/>
    <col min="32" max="35" width="6.33203125" style="1" customWidth="1"/>
    <col min="36" max="36" width="7.6640625" style="1" customWidth="1"/>
    <col min="37" max="37" width="11.5" style="1" customWidth="1"/>
    <col min="38" max="41" width="6.83203125" style="1" customWidth="1"/>
    <col min="42" max="42" width="10.83203125" style="1" customWidth="1"/>
    <col min="43" max="44" width="8" style="1" customWidth="1"/>
    <col min="45" max="45" width="2.83203125" style="1" customWidth="1"/>
    <col min="46" max="47" width="9.33203125" style="1" customWidth="1"/>
    <col min="48" max="16384" width="10.83203125" style="1"/>
  </cols>
  <sheetData>
    <row r="1" spans="2:47" ht="35" customHeight="1" x14ac:dyDescent="0.2">
      <c r="B1" s="3" t="s">
        <v>24</v>
      </c>
    </row>
    <row r="2" spans="2:47" ht="16" customHeight="1" x14ac:dyDescent="0.2">
      <c r="B2" s="3"/>
      <c r="X2" s="86"/>
      <c r="Y2" s="86"/>
      <c r="Z2" s="86"/>
      <c r="AA2" s="86"/>
      <c r="AB2" s="86"/>
      <c r="AC2" s="86"/>
      <c r="AD2" s="86"/>
      <c r="AE2" s="2"/>
      <c r="AF2" s="79" t="s">
        <v>25</v>
      </c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2:47" ht="34" customHeight="1" x14ac:dyDescent="0.2">
      <c r="D3" s="83" t="s">
        <v>9</v>
      </c>
      <c r="E3" s="85"/>
      <c r="F3" s="85"/>
      <c r="G3" s="85"/>
      <c r="H3" s="84"/>
      <c r="I3" s="90" t="s">
        <v>48</v>
      </c>
      <c r="J3" s="90" t="s">
        <v>52</v>
      </c>
      <c r="K3" s="90" t="s">
        <v>35</v>
      </c>
      <c r="L3" s="90" t="s">
        <v>36</v>
      </c>
      <c r="M3" s="83" t="s">
        <v>15</v>
      </c>
      <c r="N3" s="85"/>
      <c r="O3" s="85"/>
      <c r="P3" s="85"/>
      <c r="Q3" s="85"/>
      <c r="R3" s="84"/>
      <c r="S3" s="92" t="s">
        <v>10</v>
      </c>
      <c r="T3" s="93"/>
      <c r="U3" s="93"/>
      <c r="V3" s="93"/>
      <c r="W3" s="94"/>
      <c r="X3" s="83" t="s">
        <v>18</v>
      </c>
      <c r="Y3" s="85"/>
      <c r="Z3" s="85"/>
      <c r="AA3" s="84"/>
      <c r="AB3" s="24"/>
      <c r="AC3" s="83" t="s">
        <v>12</v>
      </c>
      <c r="AD3" s="84"/>
      <c r="AE3" s="21"/>
      <c r="AF3" s="87" t="s">
        <v>18</v>
      </c>
      <c r="AG3" s="88"/>
      <c r="AH3" s="88"/>
      <c r="AI3" s="89"/>
      <c r="AJ3" s="6"/>
      <c r="AK3" s="6"/>
      <c r="AL3" s="87" t="s">
        <v>44</v>
      </c>
      <c r="AM3" s="88"/>
      <c r="AN3" s="88"/>
      <c r="AO3" s="89"/>
      <c r="AP3" s="52"/>
      <c r="AQ3" s="87" t="s">
        <v>12</v>
      </c>
      <c r="AR3" s="89"/>
      <c r="AT3" s="86" t="s">
        <v>45</v>
      </c>
      <c r="AU3" s="86"/>
    </row>
    <row r="4" spans="2:47" s="2" customFormat="1" ht="37" customHeight="1" x14ac:dyDescent="0.2">
      <c r="B4" s="2" t="s">
        <v>2</v>
      </c>
      <c r="C4" s="2" t="s">
        <v>3</v>
      </c>
      <c r="D4" s="4" t="s">
        <v>47</v>
      </c>
      <c r="E4" s="2" t="s">
        <v>51</v>
      </c>
      <c r="F4" s="2" t="s">
        <v>32</v>
      </c>
      <c r="G4" s="2" t="s">
        <v>31</v>
      </c>
      <c r="H4" s="5" t="s">
        <v>7</v>
      </c>
      <c r="I4" s="91"/>
      <c r="J4" s="91"/>
      <c r="K4" s="91"/>
      <c r="L4" s="91"/>
      <c r="M4" s="58" t="s">
        <v>49</v>
      </c>
      <c r="N4" s="57" t="s">
        <v>62</v>
      </c>
      <c r="O4" s="57" t="s">
        <v>33</v>
      </c>
      <c r="P4" s="57" t="s">
        <v>34</v>
      </c>
      <c r="Q4" s="57" t="s">
        <v>8</v>
      </c>
      <c r="R4" s="56" t="s">
        <v>16</v>
      </c>
      <c r="S4" s="58" t="s">
        <v>50</v>
      </c>
      <c r="T4" s="57" t="s">
        <v>53</v>
      </c>
      <c r="U4" s="57" t="s">
        <v>37</v>
      </c>
      <c r="V4" s="57" t="s">
        <v>38</v>
      </c>
      <c r="W4" s="56" t="s">
        <v>11</v>
      </c>
      <c r="X4" s="58" t="s">
        <v>19</v>
      </c>
      <c r="Y4" s="57" t="s">
        <v>20</v>
      </c>
      <c r="Z4" s="57" t="s">
        <v>21</v>
      </c>
      <c r="AA4" s="56" t="s">
        <v>22</v>
      </c>
      <c r="AB4" s="2" t="s">
        <v>23</v>
      </c>
      <c r="AC4" s="4" t="s">
        <v>13</v>
      </c>
      <c r="AD4" s="5" t="s">
        <v>14</v>
      </c>
      <c r="AF4" s="42" t="s">
        <v>19</v>
      </c>
      <c r="AG4" s="43" t="s">
        <v>20</v>
      </c>
      <c r="AH4" s="43" t="s">
        <v>21</v>
      </c>
      <c r="AI4" s="44" t="s">
        <v>22</v>
      </c>
      <c r="AJ4" s="8" t="s">
        <v>28</v>
      </c>
      <c r="AK4" s="8" t="s">
        <v>39</v>
      </c>
      <c r="AL4" s="42" t="s">
        <v>19</v>
      </c>
      <c r="AM4" s="43" t="s">
        <v>20</v>
      </c>
      <c r="AN4" s="43" t="s">
        <v>21</v>
      </c>
      <c r="AO4" s="44" t="s">
        <v>22</v>
      </c>
      <c r="AP4" s="8" t="s">
        <v>28</v>
      </c>
      <c r="AQ4" s="7" t="s">
        <v>13</v>
      </c>
      <c r="AR4" s="9" t="s">
        <v>14</v>
      </c>
      <c r="AS4" s="1"/>
      <c r="AT4" s="2" t="s">
        <v>13</v>
      </c>
      <c r="AU4" s="2" t="s">
        <v>14</v>
      </c>
    </row>
    <row r="5" spans="2:47" ht="43" customHeight="1" x14ac:dyDescent="0.2">
      <c r="B5" s="1" t="s">
        <v>0</v>
      </c>
      <c r="C5" s="1" t="s">
        <v>5</v>
      </c>
      <c r="D5" s="32">
        <v>0.01</v>
      </c>
      <c r="E5" s="36">
        <v>0.1</v>
      </c>
      <c r="F5" s="36">
        <v>0.1</v>
      </c>
      <c r="G5" s="36">
        <v>0.3</v>
      </c>
      <c r="H5" s="33">
        <v>0.01</v>
      </c>
      <c r="I5" s="80">
        <v>7.0400000000000004E-2</v>
      </c>
      <c r="J5" s="80">
        <v>1.5789999999999998E-2</v>
      </c>
      <c r="K5" s="80">
        <v>0.12512999999999999</v>
      </c>
      <c r="L5" s="80">
        <v>1.949E-2</v>
      </c>
      <c r="M5" s="45">
        <f>$I$5*D5*1000</f>
        <v>0.70400000000000007</v>
      </c>
      <c r="N5" s="63">
        <f>$J$5*E5*1000</f>
        <v>1.579</v>
      </c>
      <c r="O5" s="63">
        <f>$K$5*F5*1000</f>
        <v>12.513</v>
      </c>
      <c r="P5" s="63">
        <f>$L$5*G5*1000</f>
        <v>5.8469999999999995</v>
      </c>
      <c r="Q5" s="63">
        <f>(1-$K$5-$L$5-I5 -J5)*H5*1000</f>
        <v>7.6919000000000004</v>
      </c>
      <c r="R5" s="38">
        <f>SUM(M5:Q5)</f>
        <v>28.334900000000001</v>
      </c>
      <c r="S5" s="60">
        <v>0.5</v>
      </c>
      <c r="T5" s="61">
        <v>0.54</v>
      </c>
      <c r="U5" s="61">
        <v>0.72</v>
      </c>
      <c r="V5" s="61">
        <v>1</v>
      </c>
      <c r="W5" s="62">
        <v>0.85</v>
      </c>
      <c r="X5" s="25">
        <f>N5*T5 + O5*U5 + P5*V5</f>
        <v>15.709019999999999</v>
      </c>
      <c r="Y5" s="41">
        <f>N5*(1-T5) + O5*(1-U5) + P5*(1-V5)</f>
        <v>4.2299800000000003</v>
      </c>
      <c r="Z5" s="41">
        <f>Q5*W5 + M5*(1-S5)</f>
        <v>6.8901150000000007</v>
      </c>
      <c r="AA5" s="26">
        <f xml:space="preserve"> Q5*(1-W5) + M5*S5</f>
        <v>1.5057850000000004</v>
      </c>
      <c r="AB5" s="27">
        <f>SUM(X5:AA5)</f>
        <v>28.334900000000001</v>
      </c>
      <c r="AC5" s="28">
        <f>X5 / (X5+AA5)</f>
        <v>0.91252965107650075</v>
      </c>
      <c r="AD5" s="29">
        <f>Z5 / (Z5+Y5)</f>
        <v>0.61960936484805207</v>
      </c>
      <c r="AE5" s="22"/>
      <c r="AF5" s="10">
        <v>468</v>
      </c>
      <c r="AG5" s="11">
        <v>143</v>
      </c>
      <c r="AH5" s="11">
        <v>211</v>
      </c>
      <c r="AI5" s="12">
        <v>51</v>
      </c>
      <c r="AJ5" s="11">
        <f>SUM(AF5:AI5)</f>
        <v>873</v>
      </c>
      <c r="AK5" s="11">
        <f>AK6</f>
        <v>32113</v>
      </c>
      <c r="AL5" s="46">
        <f t="shared" ref="AL5:AO7" si="0">AF5*1000 / $AK5</f>
        <v>14.573537196773891</v>
      </c>
      <c r="AM5" s="47">
        <f t="shared" si="0"/>
        <v>4.4530252545698001</v>
      </c>
      <c r="AN5" s="47">
        <f t="shared" si="0"/>
        <v>6.5705477532463492</v>
      </c>
      <c r="AO5" s="48">
        <f t="shared" si="0"/>
        <v>1.5881418740074114</v>
      </c>
      <c r="AP5" s="53">
        <f>SUM(AL5:AO5)</f>
        <v>27.185252078597454</v>
      </c>
      <c r="AQ5" s="13">
        <f>AL5 / (AL5+AO5)</f>
        <v>0.90173410404624266</v>
      </c>
      <c r="AR5" s="14">
        <f>AN5 / (AN5+AM5)</f>
        <v>0.596045197740113</v>
      </c>
      <c r="AS5" s="2"/>
      <c r="AT5" s="55">
        <f>AQ5/AC5</f>
        <v>0.98816964794785278</v>
      </c>
      <c r="AU5" s="55">
        <f>AR5/AD5</f>
        <v>0.96196931737189328</v>
      </c>
    </row>
    <row r="6" spans="2:47" ht="43" customHeight="1" x14ac:dyDescent="0.2">
      <c r="B6" s="1" t="s">
        <v>17</v>
      </c>
      <c r="C6" s="1" t="s">
        <v>6</v>
      </c>
      <c r="D6" s="32">
        <v>0.25</v>
      </c>
      <c r="E6" s="36">
        <v>0.5</v>
      </c>
      <c r="F6" s="36">
        <v>0.5</v>
      </c>
      <c r="G6" s="36">
        <v>0.9</v>
      </c>
      <c r="H6" s="33">
        <v>0.25</v>
      </c>
      <c r="I6" s="81"/>
      <c r="J6" s="81"/>
      <c r="K6" s="81"/>
      <c r="L6" s="81"/>
      <c r="M6" s="45">
        <f>$I$5*D6*1000</f>
        <v>17.600000000000001</v>
      </c>
      <c r="N6" s="63">
        <f>$J$5*E6*1000</f>
        <v>7.8949999999999996</v>
      </c>
      <c r="O6" s="63">
        <f>$K$5*F6*1000</f>
        <v>62.564999999999998</v>
      </c>
      <c r="P6" s="63">
        <f>$L$5*G6*1000</f>
        <v>17.541</v>
      </c>
      <c r="Q6" s="63">
        <f>(1-$K$5-$L$5-I5-J5)*H6*1000</f>
        <v>192.29750000000001</v>
      </c>
      <c r="R6" s="38">
        <f t="shared" ref="R6:R7" si="1">SUM(M6:Q6)</f>
        <v>297.89850000000001</v>
      </c>
      <c r="S6" s="60">
        <v>0.5</v>
      </c>
      <c r="T6" s="61">
        <v>0.54</v>
      </c>
      <c r="U6" s="61">
        <v>0.72</v>
      </c>
      <c r="V6" s="61">
        <v>1</v>
      </c>
      <c r="W6" s="62">
        <v>0.85</v>
      </c>
      <c r="X6" s="25">
        <f t="shared" ref="X6:X7" si="2">N6*T6 + O6*U6 + P6*V6</f>
        <v>66.851100000000002</v>
      </c>
      <c r="Y6" s="41">
        <f t="shared" ref="Y6:Y7" si="3">N6*(1-T6) + O6*(1-U6) + P6*(1-V6)</f>
        <v>21.149899999999999</v>
      </c>
      <c r="Z6" s="41">
        <f t="shared" ref="Z6:Z7" si="4">Q6*W6 + M6*(1-S6)</f>
        <v>172.25287500000002</v>
      </c>
      <c r="AA6" s="26">
        <f t="shared" ref="AA6:AA7" si="5" xml:space="preserve"> Q6*(1-W6) + M6*S6</f>
        <v>37.644625000000005</v>
      </c>
      <c r="AB6" s="27">
        <f t="shared" ref="AB6:AB7" si="6">SUM(X6:AA6)</f>
        <v>297.89850000000001</v>
      </c>
      <c r="AC6" s="28">
        <f t="shared" ref="AC6:AC7" si="7">X6 / (X6+AA6)</f>
        <v>0.63974961655129914</v>
      </c>
      <c r="AD6" s="29">
        <f t="shared" ref="AD6:AD7" si="8">Z6 / (Z6+Y6)</f>
        <v>0.8906432443898491</v>
      </c>
      <c r="AE6" s="22"/>
      <c r="AF6" s="10">
        <v>1633</v>
      </c>
      <c r="AG6" s="11">
        <v>566</v>
      </c>
      <c r="AH6" s="11">
        <v>2220</v>
      </c>
      <c r="AI6" s="12">
        <v>461</v>
      </c>
      <c r="AJ6" s="11">
        <f t="shared" ref="AJ6:AJ7" si="9">SUM(AF6:AI6)</f>
        <v>4880</v>
      </c>
      <c r="AK6" s="11">
        <f>AK7</f>
        <v>32113</v>
      </c>
      <c r="AL6" s="46">
        <f t="shared" si="0"/>
        <v>50.851680004982406</v>
      </c>
      <c r="AM6" s="47">
        <f t="shared" si="0"/>
        <v>17.625260797807741</v>
      </c>
      <c r="AN6" s="47">
        <f t="shared" si="0"/>
        <v>69.130881574440252</v>
      </c>
      <c r="AO6" s="48">
        <f t="shared" si="0"/>
        <v>14.355556939557189</v>
      </c>
      <c r="AP6" s="53">
        <f t="shared" ref="AP6:AP7" si="10">SUM(AL6:AO6)</f>
        <v>151.96337931678761</v>
      </c>
      <c r="AQ6" s="13">
        <f t="shared" ref="AQ6:AQ7" si="11">AL6 / (AL6+AO6)</f>
        <v>0.77984718242597895</v>
      </c>
      <c r="AR6" s="14">
        <f t="shared" ref="AR6:AR7" si="12">AN6 / (AN6+AM6)</f>
        <v>0.79684134960516873</v>
      </c>
      <c r="AT6" s="55">
        <f t="shared" ref="AT6:AU7" si="13">AQ6/AC6</f>
        <v>1.218988120117843</v>
      </c>
      <c r="AU6" s="55">
        <f t="shared" si="13"/>
        <v>0.89468073173457796</v>
      </c>
    </row>
    <row r="7" spans="2:47" ht="43" customHeight="1" x14ac:dyDescent="0.2">
      <c r="B7" s="1" t="s">
        <v>1</v>
      </c>
      <c r="C7" s="1" t="s">
        <v>4</v>
      </c>
      <c r="D7" s="34">
        <v>1</v>
      </c>
      <c r="E7" s="37">
        <v>1</v>
      </c>
      <c r="F7" s="37">
        <v>1</v>
      </c>
      <c r="G7" s="37">
        <v>1</v>
      </c>
      <c r="H7" s="35">
        <v>1</v>
      </c>
      <c r="I7" s="82"/>
      <c r="J7" s="82"/>
      <c r="K7" s="82"/>
      <c r="L7" s="82"/>
      <c r="M7" s="59">
        <f>$I$5*D7*1000</f>
        <v>70.400000000000006</v>
      </c>
      <c r="N7" s="39">
        <f>$J$5*E7*1000</f>
        <v>15.79</v>
      </c>
      <c r="O7" s="39">
        <f>$K$5*F7*1000</f>
        <v>125.13</v>
      </c>
      <c r="P7" s="39">
        <f>$L$5*G7*1000</f>
        <v>19.490000000000002</v>
      </c>
      <c r="Q7" s="39">
        <f>(1-$K$5-$L$5-I5-J5)*H7*1000</f>
        <v>769.19</v>
      </c>
      <c r="R7" s="40">
        <f t="shared" si="1"/>
        <v>1000</v>
      </c>
      <c r="S7" s="60">
        <v>0.5</v>
      </c>
      <c r="T7" s="61">
        <v>0.54</v>
      </c>
      <c r="U7" s="61">
        <v>0.72</v>
      </c>
      <c r="V7" s="61">
        <v>1</v>
      </c>
      <c r="W7" s="62">
        <v>0.85</v>
      </c>
      <c r="X7" s="25">
        <f t="shared" si="2"/>
        <v>118.11019999999999</v>
      </c>
      <c r="Y7" s="41">
        <f t="shared" si="3"/>
        <v>42.299799999999998</v>
      </c>
      <c r="Z7" s="41">
        <f t="shared" si="4"/>
        <v>689.01150000000007</v>
      </c>
      <c r="AA7" s="26">
        <f t="shared" si="5"/>
        <v>150.57850000000002</v>
      </c>
      <c r="AB7" s="27">
        <f t="shared" si="6"/>
        <v>1000</v>
      </c>
      <c r="AC7" s="30">
        <f t="shared" si="7"/>
        <v>0.43958007910269387</v>
      </c>
      <c r="AD7" s="31">
        <f t="shared" si="8"/>
        <v>0.94215896841741675</v>
      </c>
      <c r="AE7" s="23"/>
      <c r="AF7" s="15">
        <v>3572</v>
      </c>
      <c r="AG7" s="16">
        <v>1308</v>
      </c>
      <c r="AH7" s="16">
        <v>22379</v>
      </c>
      <c r="AI7" s="17">
        <v>4854</v>
      </c>
      <c r="AJ7" s="11">
        <f t="shared" si="9"/>
        <v>32113</v>
      </c>
      <c r="AK7" s="11">
        <f>AJ7</f>
        <v>32113</v>
      </c>
      <c r="AL7" s="49">
        <f t="shared" si="0"/>
        <v>111.23221125400929</v>
      </c>
      <c r="AM7" s="50">
        <f t="shared" si="0"/>
        <v>40.731168062778316</v>
      </c>
      <c r="AN7" s="50">
        <f t="shared" si="0"/>
        <v>696.88288232180116</v>
      </c>
      <c r="AO7" s="51">
        <f t="shared" si="0"/>
        <v>151.15373836141126</v>
      </c>
      <c r="AP7" s="54">
        <f t="shared" si="10"/>
        <v>1000</v>
      </c>
      <c r="AQ7" s="18">
        <f t="shared" si="11"/>
        <v>0.42392594350818896</v>
      </c>
      <c r="AR7" s="19">
        <f t="shared" si="12"/>
        <v>0.9447798370414151</v>
      </c>
      <c r="AT7" s="55">
        <f t="shared" si="13"/>
        <v>0.96438843264585739</v>
      </c>
      <c r="AU7" s="55">
        <f t="shared" si="13"/>
        <v>1.0027817690133554</v>
      </c>
    </row>
    <row r="8" spans="2:47" ht="17" customHeight="1" x14ac:dyDescent="0.2">
      <c r="U8" s="20" t="s">
        <v>46</v>
      </c>
    </row>
    <row r="9" spans="2:47" ht="51" x14ac:dyDescent="0.2">
      <c r="B9" s="3"/>
      <c r="G9" s="64"/>
      <c r="H9" s="75" t="s">
        <v>69</v>
      </c>
      <c r="L9" s="78" t="s">
        <v>67</v>
      </c>
      <c r="M9" s="70" t="s">
        <v>49</v>
      </c>
      <c r="N9" s="70" t="s">
        <v>63</v>
      </c>
      <c r="O9" s="70" t="s">
        <v>60</v>
      </c>
      <c r="P9" s="70" t="s">
        <v>61</v>
      </c>
      <c r="Q9" s="70" t="s">
        <v>64</v>
      </c>
      <c r="R9" s="65" t="s">
        <v>68</v>
      </c>
      <c r="AF9" s="20" t="s">
        <v>26</v>
      </c>
    </row>
    <row r="10" spans="2:47" ht="17" x14ac:dyDescent="0.2">
      <c r="D10" s="95"/>
      <c r="E10" s="95"/>
      <c r="F10" s="95"/>
      <c r="G10" s="76" t="s">
        <v>70</v>
      </c>
      <c r="H10" s="67">
        <f>R5/1000</f>
        <v>2.83349E-2</v>
      </c>
      <c r="L10" s="66" t="s">
        <v>70</v>
      </c>
      <c r="M10" s="71">
        <f>M5/$R5</f>
        <v>2.4845685003299818E-2</v>
      </c>
      <c r="N10" s="71">
        <f>N5/$R5</f>
        <v>5.5726330426435239E-2</v>
      </c>
      <c r="O10" s="71">
        <f t="shared" ref="O10:P10" si="14">O5/$R5</f>
        <v>0.44161087563393553</v>
      </c>
      <c r="P10" s="71">
        <f t="shared" si="14"/>
        <v>0.20635329575894037</v>
      </c>
      <c r="Q10" s="71">
        <f t="shared" ref="Q10" si="15">Q5/$R5</f>
        <v>0.27146381317738905</v>
      </c>
      <c r="R10" s="72">
        <f>SUM(N5:P5)/R5</f>
        <v>0.70369050181931114</v>
      </c>
      <c r="AF10" s="20" t="s">
        <v>40</v>
      </c>
      <c r="AI10" s="41"/>
    </row>
    <row r="11" spans="2:47" ht="17" x14ac:dyDescent="0.2">
      <c r="G11" s="76" t="s">
        <v>65</v>
      </c>
      <c r="H11" s="67">
        <f>R6/1000</f>
        <v>0.29789850000000001</v>
      </c>
      <c r="L11" s="66" t="s">
        <v>65</v>
      </c>
      <c r="M11" s="71">
        <f t="shared" ref="M11" si="16">M6/$R6</f>
        <v>5.9080525749542215E-2</v>
      </c>
      <c r="N11" s="71">
        <f t="shared" ref="N11:P11" si="17">N6/$R6</f>
        <v>2.6502315385945212E-2</v>
      </c>
      <c r="O11" s="71">
        <f t="shared" si="17"/>
        <v>0.21002119849546069</v>
      </c>
      <c r="P11" s="71">
        <f t="shared" si="17"/>
        <v>5.8882471714359085E-2</v>
      </c>
      <c r="Q11" s="71">
        <f t="shared" ref="Q11" si="18">Q6/$R6</f>
        <v>0.64551348865469282</v>
      </c>
      <c r="R11" s="72">
        <f>SUM(N6:P6)/R6</f>
        <v>0.29540598559576497</v>
      </c>
      <c r="AF11" s="20" t="s">
        <v>41</v>
      </c>
    </row>
    <row r="12" spans="2:47" ht="17" x14ac:dyDescent="0.2">
      <c r="G12" s="77" t="s">
        <v>66</v>
      </c>
      <c r="H12" s="69">
        <f>R7/1000</f>
        <v>1</v>
      </c>
      <c r="L12" s="68" t="s">
        <v>66</v>
      </c>
      <c r="M12" s="73">
        <f t="shared" ref="M12" si="19">M7/$R7</f>
        <v>7.0400000000000004E-2</v>
      </c>
      <c r="N12" s="73">
        <f t="shared" ref="N12:P12" si="20">N7/$R7</f>
        <v>1.5789999999999998E-2</v>
      </c>
      <c r="O12" s="73">
        <f t="shared" si="20"/>
        <v>0.12512999999999999</v>
      </c>
      <c r="P12" s="73">
        <f t="shared" si="20"/>
        <v>1.949E-2</v>
      </c>
      <c r="Q12" s="73">
        <f t="shared" ref="Q12" si="21">Q7/$R7</f>
        <v>0.76919000000000004</v>
      </c>
      <c r="R12" s="74">
        <f>SUM(N7:P7)/R7</f>
        <v>0.16041</v>
      </c>
      <c r="AF12" s="20" t="s">
        <v>29</v>
      </c>
    </row>
    <row r="13" spans="2:47" x14ac:dyDescent="0.2">
      <c r="AF13" s="20" t="s">
        <v>27</v>
      </c>
    </row>
    <row r="14" spans="2:47" x14ac:dyDescent="0.2">
      <c r="AF14" s="20" t="s">
        <v>42</v>
      </c>
    </row>
    <row r="15" spans="2:47" x14ac:dyDescent="0.2">
      <c r="AF15" s="20" t="s">
        <v>43</v>
      </c>
    </row>
    <row r="16" spans="2:47" x14ac:dyDescent="0.2">
      <c r="AF16" s="20" t="s">
        <v>30</v>
      </c>
    </row>
    <row r="17" spans="32:32" x14ac:dyDescent="0.2">
      <c r="AF17" s="20"/>
    </row>
    <row r="18" spans="32:32" x14ac:dyDescent="0.2">
      <c r="AF18" s="20"/>
    </row>
    <row r="19" spans="32:32" x14ac:dyDescent="0.2">
      <c r="AF19" s="20"/>
    </row>
    <row r="20" spans="32:32" x14ac:dyDescent="0.2">
      <c r="AF20" s="20"/>
    </row>
  </sheetData>
  <mergeCells count="20">
    <mergeCell ref="D10:F10"/>
    <mergeCell ref="D3:H3"/>
    <mergeCell ref="K3:K4"/>
    <mergeCell ref="L3:L4"/>
    <mergeCell ref="AL3:AO3"/>
    <mergeCell ref="AT3:AU3"/>
    <mergeCell ref="I3:I4"/>
    <mergeCell ref="J3:J4"/>
    <mergeCell ref="I5:I7"/>
    <mergeCell ref="S3:W3"/>
    <mergeCell ref="J5:J7"/>
    <mergeCell ref="AF2:AR2"/>
    <mergeCell ref="K5:K7"/>
    <mergeCell ref="AC3:AD3"/>
    <mergeCell ref="M3:R3"/>
    <mergeCell ref="X3:AA3"/>
    <mergeCell ref="L5:L7"/>
    <mergeCell ref="X2:AD2"/>
    <mergeCell ref="AF3:AI3"/>
    <mergeCell ref="AQ3:AR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3DA5-66D0-1A41-9501-F459AB83602B}">
  <dimension ref="B2:D3"/>
  <sheetViews>
    <sheetView zoomScale="130" zoomScaleNormal="130" workbookViewId="0">
      <selection activeCell="D2" sqref="D2"/>
    </sheetView>
  </sheetViews>
  <sheetFormatPr baseColWidth="10" defaultRowHeight="16" x14ac:dyDescent="0.2"/>
  <cols>
    <col min="3" max="3" width="12.1640625" customWidth="1"/>
  </cols>
  <sheetData>
    <row r="2" spans="2:4" x14ac:dyDescent="0.2">
      <c r="B2" t="s">
        <v>54</v>
      </c>
      <c r="C2" t="s">
        <v>55</v>
      </c>
      <c r="D2" t="s">
        <v>59</v>
      </c>
    </row>
    <row r="3" spans="2:4" x14ac:dyDescent="0.2">
      <c r="B3" t="s">
        <v>56</v>
      </c>
      <c r="C3" t="s">
        <v>57</v>
      </c>
      <c r="D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Maya, Sigal</cp:lastModifiedBy>
  <dcterms:created xsi:type="dcterms:W3CDTF">2025-03-24T16:29:45Z</dcterms:created>
  <dcterms:modified xsi:type="dcterms:W3CDTF">2025-06-03T20:04:21Z</dcterms:modified>
</cp:coreProperties>
</file>