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ya/Documents/GitHub/GRAM/gram_results/2025_Mar_paper1_BHAfalsepositiverate/"/>
    </mc:Choice>
  </mc:AlternateContent>
  <xr:revisionPtr revIDLastSave="0" documentId="13_ncr:1_{B1A4C1DA-ADF6-8C41-AA8F-B4DCB586A383}" xr6:coauthVersionLast="47" xr6:coauthVersionMax="47" xr10:uidLastSave="{00000000-0000-0000-0000-000000000000}"/>
  <bookViews>
    <workbookView xWindow="8160" yWindow="3800" windowWidth="37660" windowHeight="18880" xr2:uid="{639DA2B3-8AB3-B74B-A1A5-0847942A5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1" l="1"/>
  <c r="Y5" i="1"/>
  <c r="Y6" i="1"/>
  <c r="W7" i="1"/>
  <c r="V7" i="1"/>
  <c r="T7" i="1"/>
  <c r="Z7" i="1" s="1"/>
  <c r="U6" i="1"/>
  <c r="W6" i="1"/>
  <c r="U7" i="1"/>
  <c r="V6" i="1"/>
  <c r="T6" i="1"/>
  <c r="T5" i="1"/>
  <c r="U5" i="1"/>
  <c r="V5" i="1"/>
  <c r="W5" i="1"/>
  <c r="Z6" i="1"/>
  <c r="AA6" i="1" l="1"/>
  <c r="AA5" i="1"/>
  <c r="X5" i="1"/>
  <c r="AA7" i="1"/>
  <c r="X6" i="1"/>
  <c r="Z5" i="1"/>
  <c r="X7" i="1"/>
  <c r="G6" i="1"/>
  <c r="L6" i="1" s="1"/>
  <c r="H6" i="1"/>
  <c r="N6" i="1" s="1"/>
  <c r="H7" i="1"/>
  <c r="O7" i="1" s="1"/>
  <c r="G7" i="1"/>
  <c r="L7" i="1" s="1"/>
  <c r="H5" i="1"/>
  <c r="O5" i="1" s="1"/>
  <c r="G5" i="1"/>
  <c r="M5" i="1" s="1"/>
  <c r="N5" i="1" l="1"/>
  <c r="M6" i="1"/>
  <c r="R6" i="1" s="1"/>
  <c r="R5" i="1"/>
  <c r="Q7" i="1"/>
  <c r="M7" i="1"/>
  <c r="P7" i="1" s="1"/>
  <c r="N7" i="1"/>
  <c r="L5" i="1"/>
  <c r="O6" i="1"/>
  <c r="P6" i="1" s="1"/>
  <c r="I5" i="1"/>
  <c r="I7" i="1"/>
  <c r="I6" i="1"/>
  <c r="R7" i="1" l="1"/>
  <c r="Q6" i="1"/>
  <c r="Q5" i="1"/>
  <c r="P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JGK</author>
    <author>Sigal Maya</author>
  </authors>
  <commentList>
    <comment ref="J3" authorId="0" shapeId="0" xr:uid="{578FB2E0-8136-2345-8354-AFF49D28F38C}">
      <text>
        <r>
          <rPr>
            <b/>
            <sz val="10"/>
            <color rgb="FF000000"/>
            <rFont val="Tahoma"/>
            <family val="2"/>
          </rPr>
          <t>JGK: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Assumes that clinical perceptions / spontaneity of complaints is associated to some extent with test results.</t>
        </r>
      </text>
    </comment>
    <comment ref="T7" authorId="1" shapeId="0" xr:uid="{8A6B7D29-30EA-F749-B97B-23564C31A663}">
      <text>
        <r>
          <rPr>
            <b/>
            <sz val="10"/>
            <color rgb="FF000000"/>
            <rFont val="Tahoma"/>
            <family val="2"/>
          </rPr>
          <t>Sigal Maya: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this to be greater than above.</t>
        </r>
      </text>
    </comment>
  </commentList>
</comments>
</file>

<file path=xl/sharedStrings.xml><?xml version="1.0" encoding="utf-8"?>
<sst xmlns="http://schemas.openxmlformats.org/spreadsheetml/2006/main" count="49" uniqueCount="41">
  <si>
    <t>Spontaneous concern in primary care</t>
  </si>
  <si>
    <t>Screening everyone</t>
  </si>
  <si>
    <t>Strategy</t>
  </si>
  <si>
    <t>Qualitative Expectation</t>
  </si>
  <si>
    <t>Low actual prev among tested so many FP + low PPV (many FP). High NPV. Few missed.</t>
  </si>
  <si>
    <t>Higher actual prev among tested hence high PPV, many missed due to non-testing.</t>
  </si>
  <si>
    <t>If prompting yields actual prev among testers btwn spontan &amp; screening, intermed PPV.</t>
  </si>
  <si>
    <t>% of CI (no prior dx)</t>
  </si>
  <si>
    <t>% of Cog Normal</t>
  </si>
  <si>
    <t>CI</t>
  </si>
  <si>
    <t>Cog Nml</t>
  </si>
  <si>
    <t>Testing Likelihood</t>
  </si>
  <si>
    <t>Test Perf</t>
  </si>
  <si>
    <t>Sens</t>
  </si>
  <si>
    <t>Spec</t>
  </si>
  <si>
    <t>Predictive Value</t>
  </si>
  <si>
    <t>PPV</t>
  </si>
  <si>
    <t>NPV</t>
  </si>
  <si>
    <r>
      <t xml:space="preserve">Of 1000 </t>
    </r>
    <r>
      <rPr>
        <b/>
        <i/>
        <sz val="12"/>
        <color theme="1"/>
        <rFont val="Aptos Narrow"/>
        <scheme val="minor"/>
      </rPr>
      <t>potential</t>
    </r>
    <r>
      <rPr>
        <b/>
        <sz val="12"/>
        <color theme="1"/>
        <rFont val="Aptos Narrow"/>
        <scheme val="minor"/>
      </rPr>
      <t xml:space="preserve"> testers</t>
    </r>
  </si>
  <si>
    <t>Total tests</t>
  </si>
  <si>
    <t>Systematic query in AWV (or other regular clinical visit)</t>
  </si>
  <si>
    <t>Prev of CI
(among individuals
w/o dx)</t>
  </si>
  <si>
    <t>Test Results</t>
  </si>
  <si>
    <t>TP</t>
  </si>
  <si>
    <t>FN</t>
  </si>
  <si>
    <t>TN</t>
  </si>
  <si>
    <t>FP</t>
  </si>
  <si>
    <t>sum</t>
  </si>
  <si>
    <r>
      <t>Goal:</t>
    </r>
    <r>
      <rPr>
        <sz val="12"/>
        <color theme="1"/>
        <rFont val="Aptos Narrow"/>
        <scheme val="minor"/>
      </rPr>
      <t xml:space="preserve"> Contemplate how different testing strategies will affect testing results. Implementation in GRAM will parallel this, presumably.</t>
    </r>
  </si>
  <si>
    <r>
      <t>NB</t>
    </r>
    <r>
      <rPr>
        <sz val="12"/>
        <color theme="1"/>
        <rFont val="Aptos Narrow"/>
        <scheme val="minor"/>
      </rPr>
      <t xml:space="preserve"> -- this will vary for MCI vs (mild) dementia due to different input values … for now I don't differentiate)</t>
    </r>
  </si>
  <si>
    <t>From GRAM</t>
  </si>
  <si>
    <t>total potential testers</t>
  </si>
  <si>
    <t>(1) Testing is done at 70 years of age (there are 7899 of them in GRAM)</t>
  </si>
  <si>
    <t>(2) 80% of population has any insurance coverage</t>
  </si>
  <si>
    <t>(3) 75% of those with insurance has regular providers -- so total of 60% will have access to BHA, even in universal BHA</t>
  </si>
  <si>
    <t xml:space="preserve">(4) Of those who truly have cognitive impairment and visit a doctor regularly, </t>
  </si>
  <si>
    <t xml:space="preserve">        15% of those with MCI,  40% of those with mild dementia, and 85% of those moderate to severe dementia will have a prior diagnosis (not eligible for BHA)</t>
  </si>
  <si>
    <t xml:space="preserve">        This is intended to reflect the rates of underdiagnosis in these conditions (8%, 20%, 50% diagnosed, respectively</t>
  </si>
  <si>
    <t>(5) Does NOT differ test performance by scenario (all have the same test performance for BHA)</t>
  </si>
  <si>
    <t>(6) Does vary test performance by disease severity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</si>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</sst>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i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9C0006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3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" fontId="6" fillId="2" borderId="7" xfId="0" applyNumberFormat="1" applyFont="1" applyFill="1" applyBorder="1" applyAlignment="1">
      <alignment horizontal="center" vertical="center" wrapText="1"/>
    </xf>
    <xf numFmtId="1" fontId="6" fillId="2" borderId="0" xfId="0" applyNumberFormat="1" applyFont="1" applyFill="1" applyAlignment="1">
      <alignment horizontal="center" vertical="center" wrapText="1"/>
    </xf>
    <xf numFmtId="1" fontId="6" fillId="2" borderId="8" xfId="0" applyNumberFormat="1" applyFont="1" applyFill="1" applyBorder="1" applyAlignment="1">
      <alignment horizontal="center" vertical="center" wrapText="1"/>
    </xf>
    <xf numFmtId="165" fontId="6" fillId="2" borderId="0" xfId="0" applyNumberFormat="1" applyFont="1" applyFill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164" fontId="6" fillId="2" borderId="8" xfId="1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 wrapText="1"/>
    </xf>
    <xf numFmtId="164" fontId="6" fillId="2" borderId="9" xfId="1" applyNumberFormat="1" applyFont="1" applyFill="1" applyBorder="1" applyAlignment="1">
      <alignment horizontal="center" vertical="center" wrapText="1"/>
    </xf>
    <xf numFmtId="164" fontId="6" fillId="2" borderId="1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164" fontId="6" fillId="0" borderId="0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4" fontId="6" fillId="0" borderId="7" xfId="1" applyNumberFormat="1" applyFont="1" applyFill="1" applyBorder="1" applyAlignment="1">
      <alignment horizontal="center" vertical="center" wrapText="1"/>
    </xf>
    <xf numFmtId="164" fontId="6" fillId="0" borderId="8" xfId="1" applyNumberFormat="1" applyFont="1" applyFill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164" fontId="6" fillId="0" borderId="9" xfId="1" applyNumberFormat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8" fillId="3" borderId="9" xfId="2" applyNumberFormat="1" applyBorder="1" applyAlignment="1">
      <alignment horizontal="center" vertical="center" wrapText="1"/>
    </xf>
    <xf numFmtId="9" fontId="9" fillId="0" borderId="7" xfId="1" applyFont="1" applyBorder="1" applyAlignment="1">
      <alignment horizontal="center" vertical="center" wrapText="1"/>
    </xf>
    <xf numFmtId="9" fontId="9" fillId="0" borderId="8" xfId="1" applyFont="1" applyBorder="1" applyAlignment="1">
      <alignment horizontal="center" vertical="center" wrapText="1"/>
    </xf>
    <xf numFmtId="9" fontId="9" fillId="0" borderId="9" xfId="1" applyFont="1" applyBorder="1" applyAlignment="1">
      <alignment horizontal="center" vertical="center" wrapText="1"/>
    </xf>
    <xf numFmtId="9" fontId="9" fillId="0" borderId="10" xfId="1" applyFont="1" applyBorder="1" applyAlignment="1">
      <alignment horizontal="center" vertical="center" wrapText="1"/>
    </xf>
    <xf numFmtId="9" fontId="10" fillId="0" borderId="11" xfId="1" applyFont="1" applyBorder="1" applyAlignment="1">
      <alignment horizontal="center" vertical="center" wrapText="1"/>
    </xf>
    <xf numFmtId="9" fontId="10" fillId="0" borderId="0" xfId="1" applyFont="1" applyBorder="1" applyAlignment="1">
      <alignment horizontal="center" vertical="center" wrapText="1"/>
    </xf>
    <xf numFmtId="9" fontId="10" fillId="0" borderId="1" xfId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825502</xdr:colOff>
      <xdr:row>10</xdr:row>
      <xdr:rowOff>81641</xdr:rowOff>
    </xdr:from>
    <xdr:to>
      <xdr:col>2</xdr:col>
      <xdr:colOff>2458357</xdr:colOff>
      <xdr:row>22</xdr:row>
      <xdr:rowOff>172357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3AF8A7-936E-9495-6CAB-D7CA9FB1B517}"/>
            </a:ext>
          </a:extLst>
        </xdr:cNvPr>
        <xdr:cNvSpPr txBox="1"/>
      </xdr:nvSpPr>
      <xdr:spPr>
        <a:xfrm>
          <a:off x="988788" y="3882570"/>
          <a:ext cx="3483426" cy="248557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Kate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20 March 2025 call: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expected test performance of different testing policies?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Requiring a concern in primary care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 systematically asking on AWV (annual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well visit)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 screening everyone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Could compare BHA v MiniCog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MiniCog screening studies in primary care I think with Rosenbloom M and/or Borson S as authors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[sent]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A6FA-729B-EB46-B696-1DACF665CBFC}">
  <dimension ref="B1:AA20"/>
  <sheetViews>
    <sheetView tabSelected="1" topLeftCell="C1" zoomScale="170" zoomScaleNormal="170" workbookViewId="0">
      <selection activeCell="I9" sqref="I9"/>
    </sheetView>
  </sheetViews>
  <sheetFormatPr baseColWidth="10" defaultRowHeight="16" x14ac:dyDescent="0.2"/>
  <cols>
    <col min="1" max="1" width="2.1640625" style="1" customWidth="1"/>
    <col min="2" max="2" width="24.33203125" style="1" customWidth="1"/>
    <col min="3" max="3" width="37.83203125" style="1" customWidth="1"/>
    <col min="4" max="5" width="10.1640625" style="1" customWidth="1"/>
    <col min="6" max="6" width="10.6640625" style="1" customWidth="1"/>
    <col min="7" max="9" width="6.83203125" style="1" customWidth="1"/>
    <col min="10" max="11" width="6.5" style="1" customWidth="1"/>
    <col min="12" max="15" width="4.83203125" style="1" customWidth="1"/>
    <col min="16" max="16" width="8" style="1" hidden="1" customWidth="1"/>
    <col min="17" max="18" width="6.6640625" style="1" customWidth="1"/>
    <col min="19" max="19" width="1.83203125" style="1" customWidth="1"/>
    <col min="20" max="23" width="5.1640625" style="1" customWidth="1"/>
    <col min="24" max="24" width="7.6640625" style="1" customWidth="1"/>
    <col min="25" max="25" width="11.5" style="1" customWidth="1"/>
    <col min="26" max="27" width="8" style="1" customWidth="1"/>
    <col min="28" max="16384" width="10.83203125" style="1"/>
  </cols>
  <sheetData>
    <row r="1" spans="2:27" ht="35" customHeight="1" x14ac:dyDescent="0.2">
      <c r="B1" s="3" t="s">
        <v>28</v>
      </c>
    </row>
    <row r="2" spans="2:27" ht="16" customHeight="1" x14ac:dyDescent="0.2">
      <c r="B2" s="3"/>
      <c r="L2" s="45"/>
      <c r="M2" s="45"/>
      <c r="N2" s="45"/>
      <c r="O2" s="45"/>
      <c r="P2" s="45"/>
      <c r="Q2" s="45"/>
      <c r="R2" s="45"/>
      <c r="S2" s="2"/>
      <c r="T2" s="46" t="s">
        <v>30</v>
      </c>
      <c r="U2" s="46"/>
      <c r="V2" s="46"/>
      <c r="W2" s="46"/>
      <c r="X2" s="46"/>
      <c r="Y2" s="46"/>
      <c r="Z2" s="46"/>
      <c r="AA2" s="46"/>
    </row>
    <row r="3" spans="2:27" ht="34" customHeight="1" x14ac:dyDescent="0.2">
      <c r="D3" s="42" t="s">
        <v>11</v>
      </c>
      <c r="E3" s="43"/>
      <c r="F3" s="50" t="s">
        <v>21</v>
      </c>
      <c r="G3" s="42" t="s">
        <v>18</v>
      </c>
      <c r="H3" s="44"/>
      <c r="I3" s="43"/>
      <c r="J3" s="42" t="s">
        <v>12</v>
      </c>
      <c r="K3" s="43"/>
      <c r="L3" s="42" t="s">
        <v>22</v>
      </c>
      <c r="M3" s="44"/>
      <c r="N3" s="44"/>
      <c r="O3" s="43"/>
      <c r="P3" s="30"/>
      <c r="Q3" s="42" t="s">
        <v>15</v>
      </c>
      <c r="R3" s="43"/>
      <c r="S3" s="27"/>
      <c r="T3" s="47" t="s">
        <v>22</v>
      </c>
      <c r="U3" s="48"/>
      <c r="V3" s="48"/>
      <c r="W3" s="49"/>
      <c r="X3" s="12"/>
      <c r="Y3" s="12"/>
      <c r="Z3" s="47" t="s">
        <v>15</v>
      </c>
      <c r="AA3" s="49"/>
    </row>
    <row r="4" spans="2:27" s="2" customFormat="1" ht="37" customHeight="1" x14ac:dyDescent="0.2">
      <c r="B4" s="2" t="s">
        <v>2</v>
      </c>
      <c r="C4" s="2" t="s">
        <v>3</v>
      </c>
      <c r="D4" s="4" t="s">
        <v>7</v>
      </c>
      <c r="E4" s="5" t="s">
        <v>8</v>
      </c>
      <c r="F4" s="51"/>
      <c r="G4" s="4" t="s">
        <v>9</v>
      </c>
      <c r="H4" s="2" t="s">
        <v>10</v>
      </c>
      <c r="I4" s="5" t="s">
        <v>19</v>
      </c>
      <c r="J4" s="4" t="s">
        <v>13</v>
      </c>
      <c r="K4" s="5" t="s">
        <v>14</v>
      </c>
      <c r="L4" s="4" t="s">
        <v>23</v>
      </c>
      <c r="M4" s="2" t="s">
        <v>24</v>
      </c>
      <c r="N4" s="2" t="s">
        <v>25</v>
      </c>
      <c r="O4" s="5" t="s">
        <v>26</v>
      </c>
      <c r="P4" s="2" t="s">
        <v>27</v>
      </c>
      <c r="Q4" s="4" t="s">
        <v>16</v>
      </c>
      <c r="R4" s="5" t="s">
        <v>17</v>
      </c>
      <c r="T4" s="13" t="s">
        <v>23</v>
      </c>
      <c r="U4" s="14" t="s">
        <v>24</v>
      </c>
      <c r="V4" s="14" t="s">
        <v>25</v>
      </c>
      <c r="W4" s="15" t="s">
        <v>26</v>
      </c>
      <c r="X4" s="14" t="s">
        <v>40</v>
      </c>
      <c r="Y4" s="14" t="s">
        <v>31</v>
      </c>
      <c r="Z4" s="13" t="s">
        <v>16</v>
      </c>
      <c r="AA4" s="15" t="s">
        <v>17</v>
      </c>
    </row>
    <row r="5" spans="2:27" ht="43" customHeight="1" x14ac:dyDescent="0.2">
      <c r="B5" s="1" t="s">
        <v>0</v>
      </c>
      <c r="C5" s="1" t="s">
        <v>5</v>
      </c>
      <c r="D5" s="53">
        <v>0.75</v>
      </c>
      <c r="E5" s="54">
        <v>0.15</v>
      </c>
      <c r="F5" s="57">
        <v>0.1</v>
      </c>
      <c r="G5" s="6">
        <f>$F$5*D5*1000</f>
        <v>75.000000000000014</v>
      </c>
      <c r="H5" s="10">
        <f>(1-$F$5)*E5*1000</f>
        <v>135</v>
      </c>
      <c r="I5" s="7">
        <f>G5+H5</f>
        <v>210</v>
      </c>
      <c r="J5" s="60">
        <v>0.9</v>
      </c>
      <c r="K5" s="61">
        <v>0.8</v>
      </c>
      <c r="L5" s="31">
        <f>G5*J5</f>
        <v>67.500000000000014</v>
      </c>
      <c r="M5" s="32">
        <f>G5*(1-J5)</f>
        <v>7.5</v>
      </c>
      <c r="N5" s="32">
        <f>H5*K5</f>
        <v>108</v>
      </c>
      <c r="O5" s="33">
        <f>H5*(1-K5)</f>
        <v>26.999999999999993</v>
      </c>
      <c r="P5" s="34">
        <f>SUM(L5:O5)</f>
        <v>210</v>
      </c>
      <c r="Q5" s="35">
        <f>L5 / (L5+O5)</f>
        <v>0.71428571428571441</v>
      </c>
      <c r="R5" s="36">
        <f>N5 / (N5+M5)</f>
        <v>0.93506493506493504</v>
      </c>
      <c r="S5" s="28"/>
      <c r="T5" s="16">
        <f xml:space="preserve"> (489+110)</f>
        <v>599</v>
      </c>
      <c r="U5" s="17">
        <f>(160+3)</f>
        <v>163</v>
      </c>
      <c r="V5" s="17">
        <f>702</f>
        <v>702</v>
      </c>
      <c r="W5" s="18">
        <f>115</f>
        <v>115</v>
      </c>
      <c r="X5" s="19">
        <f>SUM(T5:W5)</f>
        <v>1579</v>
      </c>
      <c r="Y5" s="19">
        <f>5775+1502+622</f>
        <v>7899</v>
      </c>
      <c r="Z5" s="20">
        <f>T5 / (T5+W5)</f>
        <v>0.83893557422969189</v>
      </c>
      <c r="AA5" s="21">
        <f>V5 / (V5+U5)</f>
        <v>0.81156069364161854</v>
      </c>
    </row>
    <row r="6" spans="2:27" ht="43" customHeight="1" x14ac:dyDescent="0.2">
      <c r="B6" s="1" t="s">
        <v>20</v>
      </c>
      <c r="C6" s="1" t="s">
        <v>6</v>
      </c>
      <c r="D6" s="53">
        <v>0.75</v>
      </c>
      <c r="E6" s="54">
        <v>0.4</v>
      </c>
      <c r="F6" s="58"/>
      <c r="G6" s="6">
        <f>$F$5*D6*1000</f>
        <v>75.000000000000014</v>
      </c>
      <c r="H6" s="10">
        <f>(1-$F$5)*E6*1000</f>
        <v>360.00000000000006</v>
      </c>
      <c r="I6" s="7">
        <f t="shared" ref="I6:I7" si="0">G6+H6</f>
        <v>435.00000000000006</v>
      </c>
      <c r="J6" s="60">
        <v>0.85</v>
      </c>
      <c r="K6" s="61">
        <v>0.85</v>
      </c>
      <c r="L6" s="31">
        <f t="shared" ref="L6:L7" si="1">G6*J6</f>
        <v>63.750000000000007</v>
      </c>
      <c r="M6" s="32">
        <f t="shared" ref="M6:M7" si="2">G6*(1-J6)</f>
        <v>11.250000000000004</v>
      </c>
      <c r="N6" s="32">
        <f t="shared" ref="N6:N7" si="3">H6*K6</f>
        <v>306.00000000000006</v>
      </c>
      <c r="O6" s="33">
        <f t="shared" ref="O6:O7" si="4">H6*(1-K6)</f>
        <v>54.000000000000014</v>
      </c>
      <c r="P6" s="34">
        <f t="shared" ref="P6:P7" si="5">SUM(L6:O6)</f>
        <v>435.00000000000006</v>
      </c>
      <c r="Q6" s="35">
        <f t="shared" ref="Q6:Q7" si="6">L6 / (L6+O6)</f>
        <v>0.5414012738853502</v>
      </c>
      <c r="R6" s="36">
        <f t="shared" ref="R6:R7" si="7">N6 / (N6+M6)</f>
        <v>0.96453900709219864</v>
      </c>
      <c r="S6" s="28"/>
      <c r="T6" s="16">
        <f xml:space="preserve"> (522+108)</f>
        <v>630</v>
      </c>
      <c r="U6" s="17">
        <f>(183+2)</f>
        <v>185</v>
      </c>
      <c r="V6" s="17">
        <f>1150</f>
        <v>1150</v>
      </c>
      <c r="W6" s="18">
        <f>194</f>
        <v>194</v>
      </c>
      <c r="X6" s="19">
        <f t="shared" ref="X6:X7" si="8">SUM(T6:W6)</f>
        <v>2159</v>
      </c>
      <c r="Y6" s="19">
        <f>5775+1502+622</f>
        <v>7899</v>
      </c>
      <c r="Z6" s="20">
        <f t="shared" ref="Z6:Z7" si="9">T6 / (T6+W6)</f>
        <v>0.7645631067961165</v>
      </c>
      <c r="AA6" s="21">
        <f>V6 / (V6+U6)</f>
        <v>0.86142322097378277</v>
      </c>
    </row>
    <row r="7" spans="2:27" ht="43" customHeight="1" x14ac:dyDescent="0.2">
      <c r="B7" s="1" t="s">
        <v>1</v>
      </c>
      <c r="C7" s="1" t="s">
        <v>4</v>
      </c>
      <c r="D7" s="55">
        <v>1</v>
      </c>
      <c r="E7" s="56">
        <v>1</v>
      </c>
      <c r="F7" s="59"/>
      <c r="G7" s="8">
        <f>$F$5*D7*1000</f>
        <v>100</v>
      </c>
      <c r="H7" s="11">
        <f>(1-$F$5)*E7*1000</f>
        <v>900</v>
      </c>
      <c r="I7" s="9">
        <f t="shared" si="0"/>
        <v>1000</v>
      </c>
      <c r="J7" s="62">
        <v>0.8</v>
      </c>
      <c r="K7" s="63">
        <v>0.9</v>
      </c>
      <c r="L7" s="37">
        <f t="shared" si="1"/>
        <v>80</v>
      </c>
      <c r="M7" s="38">
        <f t="shared" si="2"/>
        <v>19.999999999999996</v>
      </c>
      <c r="N7" s="38">
        <f t="shared" si="3"/>
        <v>810</v>
      </c>
      <c r="O7" s="39">
        <f t="shared" si="4"/>
        <v>89.999999999999986</v>
      </c>
      <c r="P7" s="34">
        <f t="shared" si="5"/>
        <v>1000</v>
      </c>
      <c r="Q7" s="40">
        <f t="shared" si="6"/>
        <v>0.47058823529411764</v>
      </c>
      <c r="R7" s="41">
        <f t="shared" si="7"/>
        <v>0.97590361445783136</v>
      </c>
      <c r="S7" s="29"/>
      <c r="T7" s="52">
        <f xml:space="preserve"> (470+65)</f>
        <v>535</v>
      </c>
      <c r="U7" s="22">
        <f>(163+2)</f>
        <v>165</v>
      </c>
      <c r="V7" s="22">
        <f>3189</f>
        <v>3189</v>
      </c>
      <c r="W7" s="23">
        <f>527</f>
        <v>527</v>
      </c>
      <c r="X7" s="19">
        <f t="shared" si="8"/>
        <v>4416</v>
      </c>
      <c r="Y7" s="19">
        <f>5775+1502+622</f>
        <v>7899</v>
      </c>
      <c r="Z7" s="24">
        <f t="shared" si="9"/>
        <v>0.50376647834274957</v>
      </c>
      <c r="AA7" s="25">
        <f>V7 / (V7+U7)</f>
        <v>0.95080500894454378</v>
      </c>
    </row>
    <row r="8" spans="2:27" ht="17" customHeight="1" x14ac:dyDescent="0.2"/>
    <row r="9" spans="2:27" x14ac:dyDescent="0.2">
      <c r="B9" s="3" t="s">
        <v>29</v>
      </c>
      <c r="T9" s="26" t="s">
        <v>32</v>
      </c>
    </row>
    <row r="10" spans="2:27" x14ac:dyDescent="0.2">
      <c r="T10" s="26" t="s">
        <v>33</v>
      </c>
    </row>
    <row r="11" spans="2:27" x14ac:dyDescent="0.2">
      <c r="T11" s="26" t="s">
        <v>34</v>
      </c>
    </row>
    <row r="12" spans="2:27" x14ac:dyDescent="0.2">
      <c r="T12" s="26" t="s">
        <v>35</v>
      </c>
    </row>
    <row r="13" spans="2:27" x14ac:dyDescent="0.2">
      <c r="T13" s="26" t="s">
        <v>36</v>
      </c>
    </row>
    <row r="14" spans="2:27" x14ac:dyDescent="0.2">
      <c r="T14" s="26" t="s">
        <v>37</v>
      </c>
    </row>
    <row r="15" spans="2:27" x14ac:dyDescent="0.2">
      <c r="T15" s="26" t="s">
        <v>38</v>
      </c>
    </row>
    <row r="16" spans="2:27" x14ac:dyDescent="0.2">
      <c r="T16" s="26" t="s">
        <v>39</v>
      </c>
    </row>
    <row r="17" spans="20:20" x14ac:dyDescent="0.2">
      <c r="T17" s="26"/>
    </row>
    <row r="18" spans="20:20" x14ac:dyDescent="0.2">
      <c r="T18" s="26"/>
    </row>
    <row r="19" spans="20:20" x14ac:dyDescent="0.2">
      <c r="T19" s="26"/>
    </row>
    <row r="20" spans="20:20" x14ac:dyDescent="0.2">
      <c r="T20" s="26"/>
    </row>
  </sheetData>
  <mergeCells count="11">
    <mergeCell ref="L2:R2"/>
    <mergeCell ref="T2:AA2"/>
    <mergeCell ref="T3:W3"/>
    <mergeCell ref="Z3:AA3"/>
    <mergeCell ref="D3:E3"/>
    <mergeCell ref="F3:F4"/>
    <mergeCell ref="F5:F7"/>
    <mergeCell ref="J3:K3"/>
    <mergeCell ref="Q3:R3"/>
    <mergeCell ref="G3:I3"/>
    <mergeCell ref="L3:O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JGK</dc:creator>
  <cp:lastModifiedBy>Maya, Sigal</cp:lastModifiedBy>
  <dcterms:created xsi:type="dcterms:W3CDTF">2025-03-24T16:29:45Z</dcterms:created>
  <dcterms:modified xsi:type="dcterms:W3CDTF">2025-03-25T18:23:24Z</dcterms:modified>
</cp:coreProperties>
</file>