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ya/Documents/GitHub/GRAM/gram_analysis/2025_Mar_paper1_BHAfalsepositiverate/Validation/"/>
    </mc:Choice>
  </mc:AlternateContent>
  <xr:revisionPtr revIDLastSave="0" documentId="13_ncr:1_{DC8659C8-D782-A841-8D1B-5450DEF6CE1A}" xr6:coauthVersionLast="47" xr6:coauthVersionMax="47" xr10:uidLastSave="{00000000-0000-0000-0000-000000000000}"/>
  <bookViews>
    <workbookView xWindow="9780" yWindow="4420" windowWidth="29400" windowHeight="18380" xr2:uid="{639DA2B3-8AB3-B74B-A1A5-0847942A50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V7" i="1" s="1"/>
  <c r="N6" i="1"/>
  <c r="N5" i="1"/>
  <c r="T6" i="1"/>
  <c r="U6" i="1"/>
  <c r="V6" i="1"/>
  <c r="W6" i="1"/>
  <c r="T7" i="1"/>
  <c r="U7" i="1"/>
  <c r="U5" i="1"/>
  <c r="T5" i="1"/>
  <c r="O6" i="1"/>
  <c r="O5" i="1"/>
  <c r="L7" i="1"/>
  <c r="L6" i="1"/>
  <c r="L5" i="1"/>
  <c r="K7" i="1"/>
  <c r="K6" i="1"/>
  <c r="K5" i="1"/>
  <c r="M5" i="1"/>
  <c r="M6" i="1"/>
  <c r="M7" i="1"/>
  <c r="AH5" i="1"/>
  <c r="AI5" i="1"/>
  <c r="AJ5" i="1"/>
  <c r="AK5" i="1"/>
  <c r="AH6" i="1"/>
  <c r="AI6" i="1"/>
  <c r="AJ6" i="1"/>
  <c r="AK6" i="1"/>
  <c r="AH7" i="1"/>
  <c r="AI7" i="1"/>
  <c r="AJ7" i="1"/>
  <c r="AK7" i="1"/>
  <c r="AM5" i="1"/>
  <c r="AF7" i="1"/>
  <c r="AM6" i="1"/>
  <c r="W7" i="1" l="1"/>
  <c r="O7" i="1"/>
  <c r="AL5" i="1"/>
  <c r="AL6" i="1"/>
  <c r="AL7" i="1"/>
  <c r="AM7" i="1"/>
  <c r="AN6" i="1"/>
  <c r="AN5" i="1"/>
  <c r="AF5" i="1"/>
  <c r="AN7" i="1"/>
  <c r="AF6" i="1"/>
  <c r="W5" i="1"/>
  <c r="Y7" i="1" l="1"/>
  <c r="AP7" i="1" s="1"/>
  <c r="Z6" i="1"/>
  <c r="AQ6" i="1" s="1"/>
  <c r="V5" i="1"/>
  <c r="Z5" i="1" l="1"/>
  <c r="AQ5" i="1" s="1"/>
  <c r="X6" i="1"/>
  <c r="X7" i="1"/>
  <c r="Z7" i="1"/>
  <c r="AQ7" i="1" s="1"/>
  <c r="Y6" i="1"/>
  <c r="AP6" i="1" s="1"/>
  <c r="Y5" i="1"/>
  <c r="AP5" i="1" s="1"/>
  <c r="X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Sigal Maya</author>
  </authors>
  <commentList>
    <comment ref="G4" authorId="0" shapeId="0" xr:uid="{C084C9A6-89DC-E44E-918B-09829CB75BD0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Kate: these are probably too high</t>
        </r>
      </text>
    </comment>
    <comment ref="AG4" authorId="0" shapeId="0" xr:uid="{3675CA99-A1CE-2A4B-8BC7-6705EAEC3E92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i.e., no prior dx AND has access to care</t>
        </r>
      </text>
    </comment>
    <comment ref="AB11" authorId="0" shapeId="0" xr:uid="{FC523D72-91AA-8F47-8F3B-BC1DC98A7029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todo: commonwealth fund Mirror Mirror report
</t>
        </r>
        <r>
          <rPr>
            <sz val="10"/>
            <color rgb="FF000000"/>
            <rFont val="Tahoma"/>
            <family val="2"/>
          </rPr>
          <t>what % have access to regular care</t>
        </r>
      </text>
    </comment>
  </commentList>
</comments>
</file>

<file path=xl/sharedStrings.xml><?xml version="1.0" encoding="utf-8"?>
<sst xmlns="http://schemas.openxmlformats.org/spreadsheetml/2006/main" count="66" uniqueCount="51">
  <si>
    <t>Spontaneous concern in primary care</t>
  </si>
  <si>
    <t>Screening everyone</t>
  </si>
  <si>
    <t>Strategy</t>
  </si>
  <si>
    <t>Qualitative Expectation</t>
  </si>
  <si>
    <t>Low actual prev among tested so many FP + low PPV (many FP). High NPV. Few missed.</t>
  </si>
  <si>
    <t>Higher actual prev among tested hence high PPV, many missed due to non-testing.</t>
  </si>
  <si>
    <t>If prompting yields actual prev among testers btwn spontan &amp; screening, intermed PPV.</t>
  </si>
  <si>
    <t>% of Cog Normal</t>
  </si>
  <si>
    <t>Cog Nml</t>
  </si>
  <si>
    <t>Testing Likelihood</t>
  </si>
  <si>
    <t>Test Perf</t>
  </si>
  <si>
    <t>Spec</t>
  </si>
  <si>
    <t>Predictive Value</t>
  </si>
  <si>
    <t>PPV</t>
  </si>
  <si>
    <t>NPV</t>
  </si>
  <si>
    <r>
      <t xml:space="preserve">Of 1000 </t>
    </r>
    <r>
      <rPr>
        <b/>
        <i/>
        <sz val="12"/>
        <color theme="1"/>
        <rFont val="Aptos Narrow"/>
        <scheme val="minor"/>
      </rPr>
      <t>potential</t>
    </r>
    <r>
      <rPr>
        <b/>
        <sz val="12"/>
        <color theme="1"/>
        <rFont val="Aptos Narrow"/>
        <scheme val="minor"/>
      </rPr>
      <t xml:space="preserve"> testers</t>
    </r>
  </si>
  <si>
    <t>Total tests</t>
  </si>
  <si>
    <t>Systematic query in AWV (or other regular clinical visit)</t>
  </si>
  <si>
    <t>Test Results</t>
  </si>
  <si>
    <t>TP</t>
  </si>
  <si>
    <t>FN</t>
  </si>
  <si>
    <t>TN</t>
  </si>
  <si>
    <t>FP</t>
  </si>
  <si>
    <t>sum</t>
  </si>
  <si>
    <r>
      <t>Goal:</t>
    </r>
    <r>
      <rPr>
        <sz val="12"/>
        <color theme="1"/>
        <rFont val="Aptos Narrow"/>
        <scheme val="minor"/>
      </rPr>
      <t xml:space="preserve"> Contemplate how different testing strategies will affect testing results. Implementation in GRAM will parallel this, presumably.</t>
    </r>
  </si>
  <si>
    <t>From GRAM</t>
  </si>
  <si>
    <t>(1) Testing is done at 70 years of age (there are 7899 of them in GRAM)</t>
  </si>
  <si>
    <t xml:space="preserve">        15% of those with MCI,  40% of those with mild dementia, and 85% of those moderate to severe dementia will have a prior diagnosis (not eligible for BHA)</t>
  </si>
  <si>
    <t>total tests</t>
  </si>
  <si>
    <t xml:space="preserve">(4) Of those who truly have cognitive impairment AND visit a doctor regularly, </t>
  </si>
  <si>
    <t>(6) Does vary test performance by disease severity (better sens for dementia than for mci)</t>
  </si>
  <si>
    <t>% of dem (no prior dx)</t>
  </si>
  <si>
    <t>% of MCI (no prior dx)</t>
  </si>
  <si>
    <t>MCI</t>
  </si>
  <si>
    <t>Dem</t>
  </si>
  <si>
    <t>Prev of MCI
(among individuals
w/o dx)</t>
  </si>
  <si>
    <t>Prev of dem
(among individuals
w/o dx)</t>
  </si>
  <si>
    <t>Sens for MCI</t>
  </si>
  <si>
    <t>Sens for dem</t>
  </si>
  <si>
    <t>total eligible</t>
  </si>
  <si>
    <t>(2) 98% of population has any insurance coverage at age 70</t>
  </si>
  <si>
    <t>(3) 75% of those with insurance have a regular provider</t>
  </si>
  <si>
    <t xml:space="preserve">        This is intended to reflect the rates of underdiagnosis in these conditions (8%, 20%, 50% diagnosed, respectively)</t>
  </si>
  <si>
    <t>(5) Does NOT differ test performance by testing scenario (all have the same test performance for BHA), but possible to add</t>
  </si>
  <si>
    <t>Test Results (standardized to 1000 eligible)</t>
  </si>
  <si>
    <t>Delta</t>
  </si>
  <si>
    <t>Use these values in base model but do SA</t>
  </si>
  <si>
    <t>% of ML (no prior dx)</t>
  </si>
  <si>
    <t>Prev of ML
(among individuals
w/o dx)</t>
  </si>
  <si>
    <t>ML</t>
  </si>
  <si>
    <t>Sens for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</si>
</sst>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_(* #,##0.0000_);_(* \(#,##0.0000\);_(* &quot;-&quot;??_);_(@_)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i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" fontId="6" fillId="2" borderId="7" xfId="0" applyNumberFormat="1" applyFont="1" applyFill="1" applyBorder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1" fontId="6" fillId="2" borderId="8" xfId="0" applyNumberFormat="1" applyFont="1" applyFill="1" applyBorder="1" applyAlignment="1">
      <alignment horizontal="center" vertical="center" wrapText="1"/>
    </xf>
    <xf numFmtId="164" fontId="6" fillId="2" borderId="7" xfId="1" applyNumberFormat="1" applyFont="1" applyFill="1" applyBorder="1" applyAlignment="1">
      <alignment horizontal="center" vertical="center" wrapText="1"/>
    </xf>
    <xf numFmtId="164" fontId="6" fillId="2" borderId="8" xfId="1" applyNumberFormat="1" applyFont="1" applyFill="1" applyBorder="1" applyAlignment="1">
      <alignment horizontal="center"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6" fillId="2" borderId="10" xfId="0" applyNumberFormat="1" applyFont="1" applyFill="1" applyBorder="1" applyAlignment="1">
      <alignment horizontal="center" vertical="center" wrapText="1"/>
    </xf>
    <xf numFmtId="164" fontId="6" fillId="2" borderId="9" xfId="1" applyNumberFormat="1" applyFont="1" applyFill="1" applyBorder="1" applyAlignment="1">
      <alignment horizontal="center" vertical="center" wrapText="1"/>
    </xf>
    <xf numFmtId="164" fontId="6" fillId="2" borderId="1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164" fontId="6" fillId="0" borderId="0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4" fontId="6" fillId="0" borderId="7" xfId="1" applyNumberFormat="1" applyFont="1" applyFill="1" applyBorder="1" applyAlignment="1">
      <alignment horizontal="center" vertical="center" wrapText="1"/>
    </xf>
    <xf numFmtId="164" fontId="6" fillId="0" borderId="8" xfId="1" applyNumberFormat="1" applyFont="1" applyFill="1" applyBorder="1" applyAlignment="1">
      <alignment horizontal="center" vertical="center" wrapText="1"/>
    </xf>
    <xf numFmtId="1" fontId="6" fillId="0" borderId="9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 wrapText="1"/>
    </xf>
    <xf numFmtId="164" fontId="6" fillId="0" borderId="9" xfId="1" applyNumberFormat="1" applyFont="1" applyFill="1" applyBorder="1" applyAlignment="1">
      <alignment horizontal="center" vertical="center" wrapText="1"/>
    </xf>
    <xf numFmtId="164" fontId="6" fillId="0" borderId="10" xfId="1" applyNumberFormat="1" applyFont="1" applyFill="1" applyBorder="1" applyAlignment="1">
      <alignment horizontal="center" vertical="center" wrapText="1"/>
    </xf>
    <xf numFmtId="9" fontId="8" fillId="0" borderId="7" xfId="1" applyFont="1" applyBorder="1" applyAlignment="1">
      <alignment horizontal="center" vertical="center" wrapText="1"/>
    </xf>
    <xf numFmtId="9" fontId="8" fillId="0" borderId="8" xfId="1" applyFont="1" applyBorder="1" applyAlignment="1">
      <alignment horizontal="center" vertical="center" wrapText="1"/>
    </xf>
    <xf numFmtId="9" fontId="8" fillId="0" borderId="9" xfId="1" applyFont="1" applyBorder="1" applyAlignment="1">
      <alignment horizontal="center" vertical="center" wrapText="1"/>
    </xf>
    <xf numFmtId="9" fontId="8" fillId="0" borderId="10" xfId="1" applyFont="1" applyBorder="1" applyAlignment="1">
      <alignment horizontal="center" vertical="center" wrapText="1"/>
    </xf>
    <xf numFmtId="9" fontId="8" fillId="0" borderId="0" xfId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1" fontId="0" fillId="2" borderId="7" xfId="2" applyNumberFormat="1" applyFont="1" applyFill="1" applyBorder="1" applyAlignment="1">
      <alignment horizontal="center" vertical="center" wrapText="1"/>
    </xf>
    <xf numFmtId="1" fontId="0" fillId="2" borderId="0" xfId="2" applyNumberFormat="1" applyFont="1" applyFill="1" applyBorder="1" applyAlignment="1">
      <alignment horizontal="center" vertical="center" wrapText="1"/>
    </xf>
    <xf numFmtId="1" fontId="0" fillId="2" borderId="8" xfId="2" applyNumberFormat="1" applyFont="1" applyFill="1" applyBorder="1" applyAlignment="1">
      <alignment horizontal="center" vertical="center" wrapText="1"/>
    </xf>
    <xf numFmtId="1" fontId="0" fillId="2" borderId="9" xfId="2" applyNumberFormat="1" applyFont="1" applyFill="1" applyBorder="1" applyAlignment="1">
      <alignment horizontal="center" vertical="center" wrapText="1"/>
    </xf>
    <xf numFmtId="1" fontId="0" fillId="2" borderId="1" xfId="2" applyNumberFormat="1" applyFont="1" applyFill="1" applyBorder="1" applyAlignment="1">
      <alignment horizontal="center" vertical="center" wrapText="1"/>
    </xf>
    <xf numFmtId="1" fontId="0" fillId="2" borderId="10" xfId="2" applyNumberFormat="1" applyFont="1" applyFill="1" applyBorder="1" applyAlignment="1">
      <alignment horizontal="center" vertical="center" wrapText="1"/>
    </xf>
    <xf numFmtId="0" fontId="0" fillId="2" borderId="11" xfId="0" applyFill="1" applyBorder="1" applyAlignment="1">
      <alignment vertical="center" wrapText="1"/>
    </xf>
    <xf numFmtId="1" fontId="0" fillId="2" borderId="0" xfId="0" applyNumberFormat="1" applyFill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166" fontId="7" fillId="0" borderId="0" xfId="2" applyNumberFormat="1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0" fontId="9" fillId="0" borderId="11" xfId="1" applyNumberFormat="1" applyFont="1" applyBorder="1" applyAlignment="1">
      <alignment horizontal="center" vertical="center" wrapText="1"/>
    </xf>
    <xf numFmtId="10" fontId="9" fillId="0" borderId="0" xfId="1" applyNumberFormat="1" applyFont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2" fontId="8" fillId="0" borderId="0" xfId="0" applyNumberFormat="1" applyFont="1" applyBorder="1" applyAlignment="1">
      <alignment horizontal="center" vertical="center" wrapText="1"/>
    </xf>
    <xf numFmtId="2" fontId="8" fillId="0" borderId="8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0" borderId="10" xfId="0" applyNumberFormat="1" applyFont="1" applyBorder="1" applyAlignment="1">
      <alignment horizontal="center" vertical="center" wrapText="1"/>
    </xf>
    <xf numFmtId="1" fontId="6" fillId="0" borderId="0" xfId="0" applyNumberFormat="1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825502</xdr:colOff>
      <xdr:row>10</xdr:row>
      <xdr:rowOff>81641</xdr:rowOff>
    </xdr:from>
    <xdr:to>
      <xdr:col>2</xdr:col>
      <xdr:colOff>2458357</xdr:colOff>
      <xdr:row>22</xdr:row>
      <xdr:rowOff>172357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3AF8A7-936E-9495-6CAB-D7CA9FB1B517}"/>
            </a:ext>
          </a:extLst>
        </xdr:cNvPr>
        <xdr:cNvSpPr txBox="1"/>
      </xdr:nvSpPr>
      <xdr:spPr>
        <a:xfrm>
          <a:off x="988788" y="3882570"/>
          <a:ext cx="3483426" cy="24855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Kate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20 March 2025 call: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expected test performance of different testing policies?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Requiring a concern in primary care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 systematically asking on AWV (annual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well visit)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 screening everyone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Could compare BHA v MiniCog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are MiniCog screening studies in primary care I think with Rosenbloom M and/or Borson S as authors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[sent]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A6FA-729B-EB46-B696-1DACF665CBFC}">
  <dimension ref="B1:AQ20"/>
  <sheetViews>
    <sheetView tabSelected="1" topLeftCell="M1" zoomScale="140" zoomScaleNormal="140" workbookViewId="0">
      <selection activeCell="AM14" sqref="AM14"/>
    </sheetView>
  </sheetViews>
  <sheetFormatPr baseColWidth="10" defaultRowHeight="16" x14ac:dyDescent="0.2"/>
  <cols>
    <col min="1" max="1" width="2.1640625" style="1" customWidth="1"/>
    <col min="2" max="2" width="24.33203125" style="1" customWidth="1"/>
    <col min="3" max="3" width="37.83203125" style="1" customWidth="1"/>
    <col min="4" max="5" width="11" style="1" customWidth="1"/>
    <col min="6" max="6" width="11.1640625" style="1" customWidth="1"/>
    <col min="7" max="8" width="10.1640625" style="1" customWidth="1"/>
    <col min="9" max="10" width="10.6640625" style="1" customWidth="1"/>
    <col min="11" max="15" width="6.83203125" style="1" customWidth="1"/>
    <col min="16" max="17" width="7.1640625" style="1" customWidth="1"/>
    <col min="18" max="19" width="7.33203125" style="1" customWidth="1"/>
    <col min="20" max="23" width="6.83203125" style="1" customWidth="1"/>
    <col min="24" max="24" width="8" style="1" hidden="1" customWidth="1"/>
    <col min="25" max="26" width="6.6640625" style="1" customWidth="1"/>
    <col min="27" max="27" width="1.83203125" style="1" customWidth="1"/>
    <col min="28" max="31" width="6.33203125" style="1" hidden="1" customWidth="1"/>
    <col min="32" max="32" width="7.6640625" style="1" hidden="1" customWidth="1"/>
    <col min="33" max="33" width="11.5" style="1" hidden="1" customWidth="1"/>
    <col min="34" max="37" width="6.83203125" style="1" customWidth="1"/>
    <col min="38" max="38" width="10.83203125" style="1" customWidth="1"/>
    <col min="39" max="40" width="8" style="1" customWidth="1"/>
    <col min="41" max="41" width="2.83203125" style="1" customWidth="1"/>
    <col min="42" max="43" width="9.33203125" style="1" customWidth="1"/>
    <col min="44" max="16384" width="10.83203125" style="1"/>
  </cols>
  <sheetData>
    <row r="1" spans="2:43" ht="35" customHeight="1" x14ac:dyDescent="0.2">
      <c r="B1" s="3" t="s">
        <v>24</v>
      </c>
    </row>
    <row r="2" spans="2:43" ht="16" customHeight="1" x14ac:dyDescent="0.2">
      <c r="B2" s="3"/>
      <c r="T2" s="67"/>
      <c r="U2" s="67"/>
      <c r="V2" s="67"/>
      <c r="W2" s="67"/>
      <c r="X2" s="67"/>
      <c r="Y2" s="67"/>
      <c r="Z2" s="67"/>
      <c r="AA2" s="2"/>
      <c r="AB2" s="68" t="s">
        <v>25</v>
      </c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</row>
    <row r="3" spans="2:43" ht="34" customHeight="1" x14ac:dyDescent="0.2">
      <c r="D3" s="59" t="s">
        <v>9</v>
      </c>
      <c r="E3" s="60"/>
      <c r="F3" s="60"/>
      <c r="G3" s="61"/>
      <c r="H3" s="62" t="s">
        <v>48</v>
      </c>
      <c r="I3" s="62" t="s">
        <v>35</v>
      </c>
      <c r="J3" s="62" t="s">
        <v>36</v>
      </c>
      <c r="K3" s="59" t="s">
        <v>15</v>
      </c>
      <c r="L3" s="60"/>
      <c r="M3" s="60"/>
      <c r="N3" s="60"/>
      <c r="O3" s="61"/>
      <c r="P3" s="76" t="s">
        <v>10</v>
      </c>
      <c r="Q3" s="75"/>
      <c r="R3" s="75"/>
      <c r="S3" s="77"/>
      <c r="T3" s="59" t="s">
        <v>18</v>
      </c>
      <c r="U3" s="60"/>
      <c r="V3" s="60"/>
      <c r="W3" s="61"/>
      <c r="X3" s="24"/>
      <c r="Y3" s="59" t="s">
        <v>12</v>
      </c>
      <c r="Z3" s="61"/>
      <c r="AA3" s="21"/>
      <c r="AB3" s="64" t="s">
        <v>18</v>
      </c>
      <c r="AC3" s="65"/>
      <c r="AD3" s="65"/>
      <c r="AE3" s="66"/>
      <c r="AF3" s="6"/>
      <c r="AG3" s="6"/>
      <c r="AH3" s="64" t="s">
        <v>44</v>
      </c>
      <c r="AI3" s="65"/>
      <c r="AJ3" s="65"/>
      <c r="AK3" s="66"/>
      <c r="AL3" s="55"/>
      <c r="AM3" s="64" t="s">
        <v>12</v>
      </c>
      <c r="AN3" s="66"/>
      <c r="AP3" s="67" t="s">
        <v>45</v>
      </c>
      <c r="AQ3" s="67"/>
    </row>
    <row r="4" spans="2:43" s="2" customFormat="1" ht="37" customHeight="1" x14ac:dyDescent="0.2">
      <c r="B4" s="2" t="s">
        <v>2</v>
      </c>
      <c r="C4" s="2" t="s">
        <v>3</v>
      </c>
      <c r="D4" s="4" t="s">
        <v>47</v>
      </c>
      <c r="E4" s="72" t="s">
        <v>32</v>
      </c>
      <c r="F4" s="2" t="s">
        <v>31</v>
      </c>
      <c r="G4" s="5" t="s">
        <v>7</v>
      </c>
      <c r="H4" s="63"/>
      <c r="I4" s="63"/>
      <c r="J4" s="63"/>
      <c r="K4" s="78" t="s">
        <v>49</v>
      </c>
      <c r="L4" s="79" t="s">
        <v>33</v>
      </c>
      <c r="M4" s="79" t="s">
        <v>34</v>
      </c>
      <c r="N4" s="79" t="s">
        <v>8</v>
      </c>
      <c r="O4" s="73" t="s">
        <v>16</v>
      </c>
      <c r="P4" s="78" t="s">
        <v>50</v>
      </c>
      <c r="Q4" s="79" t="s">
        <v>37</v>
      </c>
      <c r="R4" s="79" t="s">
        <v>38</v>
      </c>
      <c r="S4" s="73" t="s">
        <v>11</v>
      </c>
      <c r="T4" s="78" t="s">
        <v>19</v>
      </c>
      <c r="U4" s="79" t="s">
        <v>20</v>
      </c>
      <c r="V4" s="79" t="s">
        <v>21</v>
      </c>
      <c r="W4" s="73" t="s">
        <v>22</v>
      </c>
      <c r="X4" s="2" t="s">
        <v>23</v>
      </c>
      <c r="Y4" s="4" t="s">
        <v>13</v>
      </c>
      <c r="Z4" s="5" t="s">
        <v>14</v>
      </c>
      <c r="AB4" s="45" t="s">
        <v>19</v>
      </c>
      <c r="AC4" s="46" t="s">
        <v>20</v>
      </c>
      <c r="AD4" s="46" t="s">
        <v>21</v>
      </c>
      <c r="AE4" s="47" t="s">
        <v>22</v>
      </c>
      <c r="AF4" s="8" t="s">
        <v>28</v>
      </c>
      <c r="AG4" s="8" t="s">
        <v>39</v>
      </c>
      <c r="AH4" s="45" t="s">
        <v>19</v>
      </c>
      <c r="AI4" s="46" t="s">
        <v>20</v>
      </c>
      <c r="AJ4" s="46" t="s">
        <v>21</v>
      </c>
      <c r="AK4" s="47" t="s">
        <v>22</v>
      </c>
      <c r="AL4" s="8" t="s">
        <v>28</v>
      </c>
      <c r="AM4" s="7" t="s">
        <v>13</v>
      </c>
      <c r="AN4" s="9" t="s">
        <v>14</v>
      </c>
      <c r="AO4" s="1"/>
      <c r="AP4" s="2" t="s">
        <v>13</v>
      </c>
      <c r="AQ4" s="2" t="s">
        <v>14</v>
      </c>
    </row>
    <row r="5" spans="2:43" ht="43" customHeight="1" x14ac:dyDescent="0.2">
      <c r="B5" s="1" t="s">
        <v>0</v>
      </c>
      <c r="C5" s="1" t="s">
        <v>5</v>
      </c>
      <c r="D5" s="35">
        <v>0.6</v>
      </c>
      <c r="E5" s="39">
        <v>0.6</v>
      </c>
      <c r="F5" s="39">
        <v>0.9</v>
      </c>
      <c r="G5" s="36">
        <v>0.03</v>
      </c>
      <c r="H5" s="69">
        <v>1.634E-2</v>
      </c>
      <c r="I5" s="69">
        <v>0.11778</v>
      </c>
      <c r="J5" s="69">
        <v>1.575E-2</v>
      </c>
      <c r="K5" s="48">
        <f>$H$5*D5*1000</f>
        <v>9.8040000000000003</v>
      </c>
      <c r="L5" s="74">
        <f>$I$5*E5*1000</f>
        <v>70.667999999999992</v>
      </c>
      <c r="M5" s="74">
        <f>$J$5*F5*1000</f>
        <v>14.175000000000001</v>
      </c>
      <c r="N5" s="74">
        <f>(1-$I$5-$J$5-H5)*G5*1000</f>
        <v>25.503899999999994</v>
      </c>
      <c r="O5" s="41">
        <f>K5+L5+M5+N5</f>
        <v>120.15089999999998</v>
      </c>
      <c r="P5" s="81">
        <v>0.73</v>
      </c>
      <c r="Q5" s="82">
        <v>0.97</v>
      </c>
      <c r="R5" s="82">
        <v>1</v>
      </c>
      <c r="S5" s="83">
        <v>1</v>
      </c>
      <c r="T5" s="25">
        <f>K5*P5 +L5*Q5+ M5*R5</f>
        <v>89.879879999999986</v>
      </c>
      <c r="U5" s="87">
        <f>K5*(1-P5) + L5*(1-Q5)+M5*(1-R5)</f>
        <v>4.767120000000002</v>
      </c>
      <c r="V5" s="87">
        <f>N5*S5</f>
        <v>25.503899999999994</v>
      </c>
      <c r="W5" s="26">
        <f>N5*(1-S5)</f>
        <v>0</v>
      </c>
      <c r="X5" s="27">
        <f>SUM(T5:W5)</f>
        <v>120.15089999999998</v>
      </c>
      <c r="Y5" s="28">
        <f>T5 / (T5+W5)</f>
        <v>1</v>
      </c>
      <c r="Z5" s="29">
        <f>V5 / (V5+U5)</f>
        <v>0.84251868618896875</v>
      </c>
      <c r="AA5" s="22"/>
      <c r="AB5" s="10">
        <v>533</v>
      </c>
      <c r="AC5" s="11">
        <v>26</v>
      </c>
      <c r="AD5" s="11">
        <v>152</v>
      </c>
      <c r="AE5" s="12">
        <v>0</v>
      </c>
      <c r="AF5" s="11">
        <f>SUM(AB5:AE5)</f>
        <v>711</v>
      </c>
      <c r="AG5" s="11">
        <v>6419</v>
      </c>
      <c r="AH5" s="49">
        <f t="shared" ref="AH5:AK7" si="0">AB5*1000 / $AG5</f>
        <v>83.034740613802768</v>
      </c>
      <c r="AI5" s="50">
        <f t="shared" si="0"/>
        <v>4.0504751518928179</v>
      </c>
      <c r="AJ5" s="50">
        <f t="shared" si="0"/>
        <v>23.679700887988783</v>
      </c>
      <c r="AK5" s="51">
        <f t="shared" si="0"/>
        <v>0</v>
      </c>
      <c r="AL5" s="56">
        <f>SUM(AH5:AK5)</f>
        <v>110.76491665368437</v>
      </c>
      <c r="AM5" s="13">
        <f>AB5 / (AB5+AE5)</f>
        <v>1</v>
      </c>
      <c r="AN5" s="14">
        <f>AD5 / (AD5+AC5)</f>
        <v>0.8539325842696629</v>
      </c>
      <c r="AO5" s="2"/>
      <c r="AP5" s="58">
        <f>AM5/Y5</f>
        <v>1</v>
      </c>
      <c r="AQ5" s="58">
        <f>AN5/Z5</f>
        <v>1.0135473530353654</v>
      </c>
    </row>
    <row r="6" spans="2:43" ht="43" customHeight="1" x14ac:dyDescent="0.2">
      <c r="B6" s="1" t="s">
        <v>17</v>
      </c>
      <c r="C6" s="1" t="s">
        <v>6</v>
      </c>
      <c r="D6" s="35">
        <v>0.7</v>
      </c>
      <c r="E6" s="39">
        <v>0.7</v>
      </c>
      <c r="F6" s="39">
        <v>1</v>
      </c>
      <c r="G6" s="36">
        <v>0.13</v>
      </c>
      <c r="H6" s="70"/>
      <c r="I6" s="70"/>
      <c r="J6" s="70"/>
      <c r="K6" s="48">
        <f>$H$5*D6*1000</f>
        <v>11.438000000000001</v>
      </c>
      <c r="L6" s="74">
        <f>$I$5*E6*1000</f>
        <v>82.445999999999998</v>
      </c>
      <c r="M6" s="74">
        <f>$J$5*F6*1000</f>
        <v>15.75</v>
      </c>
      <c r="N6" s="74">
        <f>(1-$I$5-$J$5-H5)*G6*1000</f>
        <v>110.51690000000001</v>
      </c>
      <c r="O6" s="41">
        <f>K6+L6+M6+N6</f>
        <v>220.15090000000001</v>
      </c>
      <c r="P6" s="81">
        <v>0.7</v>
      </c>
      <c r="Q6" s="82">
        <v>0.8</v>
      </c>
      <c r="R6" s="82">
        <v>1</v>
      </c>
      <c r="S6" s="83">
        <v>0.92</v>
      </c>
      <c r="T6" s="25">
        <f t="shared" ref="T6:T7" si="1">K6*P6 +L6*Q6+ M6*R6</f>
        <v>89.713400000000007</v>
      </c>
      <c r="U6" s="87">
        <f t="shared" ref="U6:U7" si="2">K6*(1-P6) + L6*(1-Q6)+M6*(1-R6)</f>
        <v>19.920599999999997</v>
      </c>
      <c r="V6" s="87">
        <f t="shared" ref="V6:V7" si="3">N6*S6</f>
        <v>101.67554800000001</v>
      </c>
      <c r="W6" s="26">
        <f t="shared" ref="W6:W7" si="4">N6*(1-S6)</f>
        <v>8.841351999999997</v>
      </c>
      <c r="X6" s="27">
        <f t="shared" ref="X6:X7" si="5">SUM(T6:W6)</f>
        <v>220.15090000000001</v>
      </c>
      <c r="Y6" s="28">
        <f t="shared" ref="Y6:Y7" si="6">T6 / (T6+W6)</f>
        <v>0.91028994725693191</v>
      </c>
      <c r="Z6" s="29">
        <f t="shared" ref="Z6:Z7" si="7">V6 / (V6+U6)</f>
        <v>0.83617408669886484</v>
      </c>
      <c r="AA6" s="22"/>
      <c r="AB6" s="10">
        <v>540</v>
      </c>
      <c r="AC6" s="11">
        <v>109</v>
      </c>
      <c r="AD6" s="11">
        <v>641</v>
      </c>
      <c r="AE6" s="12">
        <v>53</v>
      </c>
      <c r="AF6" s="11">
        <f t="shared" ref="AF6:AF7" si="8">SUM(AB6:AE6)</f>
        <v>1343</v>
      </c>
      <c r="AG6" s="11">
        <v>6419</v>
      </c>
      <c r="AH6" s="49">
        <f t="shared" si="0"/>
        <v>84.125253154696992</v>
      </c>
      <c r="AI6" s="50">
        <f t="shared" si="0"/>
        <v>16.980838136781429</v>
      </c>
      <c r="AJ6" s="50">
        <f t="shared" si="0"/>
        <v>99.859791244742169</v>
      </c>
      <c r="AK6" s="51">
        <f t="shared" si="0"/>
        <v>8.2567378096276673</v>
      </c>
      <c r="AL6" s="56">
        <f t="shared" ref="AL6:AL7" si="9">SUM(AH6:AK6)</f>
        <v>209.22262034584827</v>
      </c>
      <c r="AM6" s="13">
        <f t="shared" ref="AM6:AM7" si="10">AB6 / (AB6+AE6)</f>
        <v>0.91062394603709951</v>
      </c>
      <c r="AN6" s="14">
        <f>AD6 / (AD6+AC6)</f>
        <v>0.85466666666666669</v>
      </c>
      <c r="AP6" s="58">
        <f t="shared" ref="AP6:AQ7" si="11">AM6/Y6</f>
        <v>1.0003669147189576</v>
      </c>
      <c r="AQ6" s="58">
        <f t="shared" si="11"/>
        <v>1.0221157056430783</v>
      </c>
    </row>
    <row r="7" spans="2:43" ht="43" customHeight="1" x14ac:dyDescent="0.2">
      <c r="B7" s="1" t="s">
        <v>1</v>
      </c>
      <c r="C7" s="1" t="s">
        <v>4</v>
      </c>
      <c r="D7" s="37">
        <v>1</v>
      </c>
      <c r="E7" s="40">
        <v>1</v>
      </c>
      <c r="F7" s="40">
        <v>1</v>
      </c>
      <c r="G7" s="38">
        <v>1</v>
      </c>
      <c r="H7" s="71"/>
      <c r="I7" s="71"/>
      <c r="J7" s="71"/>
      <c r="K7" s="80">
        <f>$H$5*D7*1000</f>
        <v>16.34</v>
      </c>
      <c r="L7" s="42">
        <f>$I$5*E7*1000</f>
        <v>117.78</v>
      </c>
      <c r="M7" s="42">
        <f>$J$5*F7*1000</f>
        <v>15.75</v>
      </c>
      <c r="N7" s="42">
        <f>(1-$I$5-$J$5-H5)*G7*1000</f>
        <v>850.13</v>
      </c>
      <c r="O7" s="43">
        <f>K7+L7+M7+N7</f>
        <v>1000</v>
      </c>
      <c r="P7" s="84">
        <v>0.6</v>
      </c>
      <c r="Q7" s="85">
        <v>0.72</v>
      </c>
      <c r="R7" s="85">
        <v>0.99</v>
      </c>
      <c r="S7" s="86">
        <v>0.85</v>
      </c>
      <c r="T7" s="30">
        <f t="shared" si="1"/>
        <v>110.1981</v>
      </c>
      <c r="U7" s="31">
        <f t="shared" si="2"/>
        <v>39.671900000000001</v>
      </c>
      <c r="V7" s="31">
        <f t="shared" si="3"/>
        <v>722.6105</v>
      </c>
      <c r="W7" s="32">
        <f t="shared" si="4"/>
        <v>127.51950000000002</v>
      </c>
      <c r="X7" s="27">
        <f t="shared" si="5"/>
        <v>1000</v>
      </c>
      <c r="Y7" s="33">
        <f t="shared" si="6"/>
        <v>0.4635672747831881</v>
      </c>
      <c r="Z7" s="34">
        <f t="shared" si="7"/>
        <v>0.94795642664713231</v>
      </c>
      <c r="AA7" s="23"/>
      <c r="AB7" s="15">
        <v>677</v>
      </c>
      <c r="AC7" s="16">
        <v>240</v>
      </c>
      <c r="AD7" s="16">
        <v>4722</v>
      </c>
      <c r="AE7" s="17">
        <v>780</v>
      </c>
      <c r="AF7" s="11">
        <f t="shared" si="8"/>
        <v>6419</v>
      </c>
      <c r="AG7" s="11">
        <v>6419</v>
      </c>
      <c r="AH7" s="52">
        <f t="shared" si="0"/>
        <v>105.4681414550553</v>
      </c>
      <c r="AI7" s="53">
        <f t="shared" si="0"/>
        <v>37.389001402087551</v>
      </c>
      <c r="AJ7" s="53">
        <f t="shared" si="0"/>
        <v>735.62860258607259</v>
      </c>
      <c r="AK7" s="54">
        <f t="shared" si="0"/>
        <v>121.51425455678455</v>
      </c>
      <c r="AL7" s="57">
        <f t="shared" si="9"/>
        <v>1000</v>
      </c>
      <c r="AM7" s="18">
        <f t="shared" si="10"/>
        <v>0.46465339739190115</v>
      </c>
      <c r="AN7" s="19">
        <f>AD7 / (AD7+AC7)</f>
        <v>0.95163240628778722</v>
      </c>
      <c r="AP7" s="58">
        <f t="shared" si="11"/>
        <v>1.0023429665289056</v>
      </c>
      <c r="AQ7" s="58">
        <f t="shared" si="11"/>
        <v>1.0038777938914942</v>
      </c>
    </row>
    <row r="8" spans="2:43" ht="17" customHeight="1" x14ac:dyDescent="0.2">
      <c r="Q8" s="20" t="s">
        <v>46</v>
      </c>
    </row>
    <row r="9" spans="2:43" x14ac:dyDescent="0.2">
      <c r="B9" s="3"/>
      <c r="AB9" s="20" t="s">
        <v>26</v>
      </c>
    </row>
    <row r="10" spans="2:43" x14ac:dyDescent="0.2">
      <c r="AB10" s="20" t="s">
        <v>40</v>
      </c>
      <c r="AE10" s="44"/>
    </row>
    <row r="11" spans="2:43" x14ac:dyDescent="0.2">
      <c r="AB11" s="20" t="s">
        <v>41</v>
      </c>
    </row>
    <row r="12" spans="2:43" x14ac:dyDescent="0.2">
      <c r="AB12" s="20" t="s">
        <v>29</v>
      </c>
    </row>
    <row r="13" spans="2:43" x14ac:dyDescent="0.2">
      <c r="AB13" s="20" t="s">
        <v>27</v>
      </c>
    </row>
    <row r="14" spans="2:43" x14ac:dyDescent="0.2">
      <c r="AB14" s="20" t="s">
        <v>42</v>
      </c>
    </row>
    <row r="15" spans="2:43" x14ac:dyDescent="0.2">
      <c r="AB15" s="20" t="s">
        <v>43</v>
      </c>
    </row>
    <row r="16" spans="2:43" x14ac:dyDescent="0.2">
      <c r="AB16" s="20" t="s">
        <v>30</v>
      </c>
    </row>
    <row r="17" spans="28:28" x14ac:dyDescent="0.2">
      <c r="AB17" s="20"/>
    </row>
    <row r="18" spans="28:28" x14ac:dyDescent="0.2">
      <c r="AB18" s="20"/>
    </row>
    <row r="19" spans="28:28" x14ac:dyDescent="0.2">
      <c r="AB19" s="20"/>
    </row>
    <row r="20" spans="28:28" x14ac:dyDescent="0.2">
      <c r="AB20" s="20"/>
    </row>
  </sheetData>
  <mergeCells count="17">
    <mergeCell ref="H5:H7"/>
    <mergeCell ref="P3:S3"/>
    <mergeCell ref="AB2:AN2"/>
    <mergeCell ref="I5:I7"/>
    <mergeCell ref="Y3:Z3"/>
    <mergeCell ref="K3:O3"/>
    <mergeCell ref="T3:W3"/>
    <mergeCell ref="J5:J7"/>
    <mergeCell ref="T2:Z2"/>
    <mergeCell ref="AB3:AE3"/>
    <mergeCell ref="AM3:AN3"/>
    <mergeCell ref="D3:G3"/>
    <mergeCell ref="I3:I4"/>
    <mergeCell ref="J3:J4"/>
    <mergeCell ref="AH3:AK3"/>
    <mergeCell ref="AP3:AQ3"/>
    <mergeCell ref="H3:H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JGK</dc:creator>
  <cp:lastModifiedBy>Maya, Sigal</cp:lastModifiedBy>
  <dcterms:created xsi:type="dcterms:W3CDTF">2025-03-24T16:29:45Z</dcterms:created>
  <dcterms:modified xsi:type="dcterms:W3CDTF">2025-04-08T20:33:19Z</dcterms:modified>
</cp:coreProperties>
</file>