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xr:revisionPtr revIDLastSave="0" documentId="13_ncr:1000001_{3FCEC170-8107-0142-A781-285F99AB46A8}" xr6:coauthVersionLast="45" xr6:coauthVersionMax="45" xr10:uidLastSave="{00000000-0000-0000-0000-000000000000}"/>
  <bookViews>
    <workbookView xWindow="0" yWindow="0" windowWidth="0" windowHeight="0" activeTab="3" xr2:uid="{00000000-000D-0000-FFFF-FFFF00000000}"/>
  </bookViews>
  <sheets>
    <sheet name="PT-BR" sheetId="1" r:id="rId1"/>
    <sheet name="EN" sheetId="2" r:id="rId2"/>
    <sheet name="SP" sheetId="3" r:id="rId3"/>
    <sheet name="INDIC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9" i="3" l="1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  <c r="D239" i="2"/>
  <c r="C239" i="2"/>
  <c r="B239" i="2"/>
  <c r="D238" i="2"/>
  <c r="C238" i="2"/>
  <c r="B238" i="2"/>
  <c r="D237" i="2"/>
  <c r="C237" i="2"/>
  <c r="B237" i="2"/>
  <c r="C236" i="2"/>
  <c r="B236" i="2"/>
  <c r="D235" i="2"/>
  <c r="C235" i="2"/>
  <c r="B235" i="2"/>
  <c r="D234" i="2"/>
  <c r="C234" i="2"/>
  <c r="B234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C217" i="2"/>
  <c r="B217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C209" i="2"/>
  <c r="B209" i="2"/>
  <c r="C208" i="2"/>
  <c r="B208" i="2"/>
  <c r="D207" i="2"/>
  <c r="C207" i="2"/>
  <c r="B207" i="2"/>
  <c r="D206" i="2"/>
  <c r="C206" i="2"/>
  <c r="B206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C187" i="2"/>
  <c r="B187" i="2"/>
  <c r="D186" i="2"/>
  <c r="C186" i="2"/>
  <c r="B186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C156" i="2"/>
  <c r="B156" i="2"/>
  <c r="D155" i="2"/>
  <c r="C155" i="2"/>
  <c r="B155" i="2"/>
  <c r="C154" i="2"/>
  <c r="B154" i="2"/>
  <c r="D153" i="2"/>
  <c r="C153" i="2"/>
  <c r="B153" i="2"/>
  <c r="D152" i="2"/>
  <c r="C152" i="2"/>
  <c r="B152" i="2"/>
  <c r="C151" i="2"/>
  <c r="B151" i="2"/>
  <c r="C150" i="2"/>
  <c r="B150" i="2"/>
  <c r="D149" i="2"/>
  <c r="C149" i="2"/>
  <c r="B149" i="2"/>
  <c r="D148" i="2"/>
  <c r="C148" i="2"/>
  <c r="B148" i="2"/>
  <c r="D147" i="2"/>
  <c r="C147" i="2"/>
  <c r="B147" i="2"/>
  <c r="C146" i="2"/>
  <c r="B146" i="2"/>
  <c r="D145" i="2"/>
  <c r="C145" i="2"/>
  <c r="B145" i="2"/>
  <c r="D144" i="2"/>
  <c r="C144" i="2"/>
  <c r="B144" i="2"/>
  <c r="C143" i="2"/>
  <c r="B143" i="2"/>
  <c r="D142" i="2"/>
  <c r="C142" i="2"/>
  <c r="B142" i="2"/>
  <c r="C141" i="2"/>
  <c r="B141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C132" i="2"/>
  <c r="B132" i="2"/>
  <c r="D131" i="2"/>
  <c r="C131" i="2"/>
  <c r="B131" i="2"/>
  <c r="C130" i="2"/>
  <c r="B130" i="2"/>
  <c r="D129" i="2"/>
  <c r="C129" i="2"/>
  <c r="B129" i="2"/>
  <c r="D128" i="2"/>
  <c r="C128" i="2"/>
  <c r="B128" i="2"/>
  <c r="C127" i="2"/>
  <c r="B127" i="2"/>
  <c r="C126" i="2"/>
  <c r="B126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C99" i="2"/>
  <c r="B99" i="2"/>
  <c r="C98" i="2"/>
  <c r="B98" i="2"/>
  <c r="D97" i="2"/>
  <c r="C97" i="2"/>
  <c r="B97" i="2"/>
  <c r="D96" i="2"/>
  <c r="C96" i="2"/>
  <c r="B96" i="2"/>
  <c r="C95" i="2"/>
  <c r="B95" i="2"/>
  <c r="C94" i="2"/>
  <c r="B94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C67" i="2"/>
  <c r="B67" i="2"/>
  <c r="D66" i="2"/>
  <c r="C66" i="2"/>
  <c r="B66" i="2"/>
  <c r="D65" i="2"/>
  <c r="C65" i="2"/>
  <c r="B65" i="2"/>
  <c r="C64" i="2"/>
  <c r="B64" i="2"/>
  <c r="D63" i="2"/>
  <c r="C63" i="2"/>
  <c r="B63" i="2"/>
  <c r="C62" i="2"/>
  <c r="B62" i="2"/>
  <c r="D61" i="2"/>
  <c r="C61" i="2"/>
  <c r="B61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C45" i="2"/>
  <c r="B45" i="2"/>
  <c r="D44" i="2"/>
  <c r="C44" i="2"/>
  <c r="B44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C38" i="2"/>
  <c r="B38" i="2"/>
  <c r="D37" i="2"/>
  <c r="C37" i="2"/>
  <c r="B37" i="2"/>
  <c r="D36" i="2"/>
  <c r="C36" i="2"/>
  <c r="B36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C30" i="2"/>
  <c r="B30" i="2"/>
  <c r="D29" i="2"/>
  <c r="C29" i="2"/>
  <c r="B29" i="2"/>
  <c r="D28" i="2"/>
  <c r="C28" i="2"/>
  <c r="B28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C21" i="2"/>
  <c r="B21" i="2"/>
  <c r="C20" i="2"/>
  <c r="B20" i="2"/>
  <c r="D19" i="2"/>
  <c r="C19" i="2"/>
  <c r="B19" i="2"/>
  <c r="C18" i="2"/>
  <c r="B18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1" i="2"/>
  <c r="B11" i="2"/>
  <c r="C10" i="2"/>
  <c r="B10" i="2"/>
  <c r="D9" i="2"/>
  <c r="C9" i="2"/>
  <c r="B9" i="2"/>
  <c r="D8" i="2"/>
  <c r="C8" i="2"/>
  <c r="B8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B1" i="2"/>
  <c r="B239" i="1"/>
  <c r="D239" i="1"/>
  <c r="C239" i="1"/>
  <c r="B238" i="1"/>
  <c r="D238" i="1"/>
  <c r="C238" i="1"/>
  <c r="B237" i="1"/>
  <c r="D237" i="1"/>
  <c r="C237" i="1"/>
  <c r="B236" i="1"/>
  <c r="D236" i="1"/>
  <c r="C236" i="1"/>
  <c r="B235" i="1"/>
  <c r="D235" i="1"/>
  <c r="C235" i="1"/>
  <c r="B234" i="1"/>
  <c r="D234" i="1"/>
  <c r="C234" i="1"/>
  <c r="B233" i="1"/>
  <c r="D233" i="1"/>
  <c r="C233" i="1"/>
  <c r="B232" i="1"/>
  <c r="D232" i="1"/>
  <c r="C232" i="1"/>
  <c r="B231" i="1"/>
  <c r="D231" i="1"/>
  <c r="C231" i="1"/>
  <c r="B230" i="1"/>
  <c r="D230" i="1"/>
  <c r="C230" i="1"/>
  <c r="B229" i="1"/>
  <c r="D229" i="1"/>
  <c r="C229" i="1"/>
  <c r="B228" i="1"/>
  <c r="D228" i="1"/>
  <c r="C228" i="1"/>
  <c r="B227" i="1"/>
  <c r="D227" i="1"/>
  <c r="C227" i="1"/>
  <c r="B226" i="1"/>
  <c r="D226" i="1"/>
  <c r="C226" i="1"/>
  <c r="B225" i="1"/>
  <c r="D225" i="1"/>
  <c r="C225" i="1"/>
  <c r="B224" i="1"/>
  <c r="D224" i="1"/>
  <c r="C224" i="1"/>
  <c r="B223" i="1"/>
  <c r="D223" i="1"/>
  <c r="C223" i="1"/>
  <c r="B222" i="1"/>
  <c r="D222" i="1"/>
  <c r="C222" i="1"/>
  <c r="B221" i="1"/>
  <c r="D221" i="1"/>
  <c r="C221" i="1"/>
  <c r="B220" i="1"/>
  <c r="D220" i="1"/>
  <c r="C220" i="1"/>
  <c r="B219" i="1"/>
  <c r="D219" i="1"/>
  <c r="C219" i="1"/>
  <c r="B218" i="1"/>
  <c r="D218" i="1"/>
  <c r="C218" i="1"/>
  <c r="B217" i="1"/>
  <c r="D217" i="1"/>
  <c r="C217" i="1"/>
  <c r="B216" i="1"/>
  <c r="D216" i="1"/>
  <c r="C216" i="1"/>
  <c r="B215" i="1"/>
  <c r="D215" i="1"/>
  <c r="C215" i="1"/>
  <c r="B214" i="1"/>
  <c r="D214" i="1"/>
  <c r="C214" i="1"/>
  <c r="B213" i="1"/>
  <c r="D213" i="1"/>
  <c r="C213" i="1"/>
  <c r="B212" i="1"/>
  <c r="D212" i="1"/>
  <c r="C212" i="1"/>
  <c r="B211" i="1"/>
  <c r="D211" i="1"/>
  <c r="C211" i="1"/>
  <c r="B210" i="1"/>
  <c r="D210" i="1"/>
  <c r="C210" i="1"/>
  <c r="B209" i="1"/>
  <c r="D209" i="1"/>
  <c r="C209" i="1"/>
  <c r="B208" i="1"/>
  <c r="D208" i="1"/>
  <c r="C208" i="1"/>
  <c r="B207" i="1"/>
  <c r="D207" i="1"/>
  <c r="C207" i="1"/>
  <c r="B206" i="1"/>
  <c r="D206" i="1"/>
  <c r="C206" i="1"/>
  <c r="B205" i="1"/>
  <c r="D205" i="1"/>
  <c r="C205" i="1"/>
  <c r="B204" i="1"/>
  <c r="D204" i="1"/>
  <c r="C204" i="1"/>
  <c r="B203" i="1"/>
  <c r="D203" i="1"/>
  <c r="C203" i="1"/>
  <c r="B202" i="1"/>
  <c r="D202" i="1"/>
  <c r="C202" i="1"/>
  <c r="B201" i="1"/>
  <c r="D201" i="1"/>
  <c r="C201" i="1"/>
  <c r="B200" i="1"/>
  <c r="D200" i="1"/>
  <c r="C200" i="1"/>
  <c r="B199" i="1"/>
  <c r="D199" i="1"/>
  <c r="C199" i="1"/>
  <c r="B198" i="1"/>
  <c r="D198" i="1"/>
  <c r="C198" i="1"/>
  <c r="B197" i="1"/>
  <c r="D197" i="1"/>
  <c r="C197" i="1"/>
  <c r="B196" i="1"/>
  <c r="D196" i="1"/>
  <c r="C196" i="1"/>
  <c r="B195" i="1"/>
  <c r="D195" i="1"/>
  <c r="C195" i="1"/>
  <c r="B194" i="1"/>
  <c r="D194" i="1"/>
  <c r="C194" i="1"/>
  <c r="B193" i="1"/>
  <c r="D193" i="1"/>
  <c r="C193" i="1"/>
  <c r="B192" i="1"/>
  <c r="D192" i="1"/>
  <c r="C192" i="1"/>
  <c r="B191" i="1"/>
  <c r="D191" i="1"/>
  <c r="C191" i="1"/>
  <c r="B190" i="1"/>
  <c r="D190" i="1"/>
  <c r="C190" i="1"/>
  <c r="B189" i="1"/>
  <c r="D189" i="1"/>
  <c r="C189" i="1"/>
  <c r="B188" i="1"/>
  <c r="D188" i="1"/>
  <c r="C188" i="1"/>
  <c r="B187" i="1"/>
  <c r="D187" i="1"/>
  <c r="C187" i="1"/>
  <c r="B186" i="1"/>
  <c r="D186" i="1"/>
  <c r="C186" i="1"/>
  <c r="B185" i="1"/>
  <c r="D185" i="1"/>
  <c r="C185" i="1"/>
  <c r="B184" i="1"/>
  <c r="D184" i="1"/>
  <c r="C184" i="1"/>
  <c r="B183" i="1"/>
  <c r="D183" i="1"/>
  <c r="C183" i="1"/>
  <c r="B182" i="1"/>
  <c r="D182" i="1"/>
  <c r="C182" i="1"/>
  <c r="B181" i="1"/>
  <c r="D181" i="1"/>
  <c r="C181" i="1"/>
  <c r="B180" i="1"/>
  <c r="D180" i="1"/>
  <c r="C180" i="1"/>
  <c r="B179" i="1"/>
  <c r="D179" i="1"/>
  <c r="C179" i="1"/>
  <c r="B178" i="1"/>
  <c r="D178" i="1"/>
  <c r="C178" i="1"/>
  <c r="B177" i="1"/>
  <c r="D177" i="1"/>
  <c r="C177" i="1"/>
  <c r="B176" i="1"/>
  <c r="D176" i="1"/>
  <c r="C176" i="1"/>
  <c r="B175" i="1"/>
  <c r="D175" i="1"/>
  <c r="C175" i="1"/>
  <c r="B174" i="1"/>
  <c r="D174" i="1"/>
  <c r="C174" i="1"/>
  <c r="B173" i="1"/>
  <c r="D173" i="1"/>
  <c r="C173" i="1"/>
  <c r="B172" i="1"/>
  <c r="D172" i="1"/>
  <c r="C172" i="1"/>
  <c r="B171" i="1"/>
  <c r="D171" i="1"/>
  <c r="C171" i="1"/>
  <c r="B170" i="1"/>
  <c r="D170" i="1"/>
  <c r="C170" i="1"/>
  <c r="B169" i="1"/>
  <c r="D169" i="1"/>
  <c r="C169" i="1"/>
  <c r="B168" i="1"/>
  <c r="D168" i="1"/>
  <c r="C168" i="1"/>
  <c r="B167" i="1"/>
  <c r="D167" i="1"/>
  <c r="C167" i="1"/>
  <c r="B166" i="1"/>
  <c r="D166" i="1"/>
  <c r="C166" i="1"/>
  <c r="B165" i="1"/>
  <c r="D165" i="1"/>
  <c r="C165" i="1"/>
  <c r="B164" i="1"/>
  <c r="D164" i="1"/>
  <c r="C164" i="1"/>
  <c r="B163" i="1"/>
  <c r="D163" i="1"/>
  <c r="C163" i="1"/>
  <c r="B162" i="1"/>
  <c r="D162" i="1"/>
  <c r="C162" i="1"/>
  <c r="B161" i="1"/>
  <c r="D161" i="1"/>
  <c r="C161" i="1"/>
  <c r="B160" i="1"/>
  <c r="D160" i="1"/>
  <c r="C160" i="1"/>
  <c r="B159" i="1"/>
  <c r="D159" i="1"/>
  <c r="C159" i="1"/>
  <c r="B158" i="1"/>
  <c r="D158" i="1"/>
  <c r="C158" i="1"/>
  <c r="B157" i="1"/>
  <c r="D157" i="1"/>
  <c r="C157" i="1"/>
  <c r="B156" i="1"/>
  <c r="D156" i="1"/>
  <c r="C156" i="1"/>
  <c r="B155" i="1"/>
  <c r="D155" i="1"/>
  <c r="C155" i="1"/>
  <c r="B154" i="1"/>
  <c r="D154" i="1"/>
  <c r="C154" i="1"/>
  <c r="B153" i="1"/>
  <c r="D153" i="1"/>
  <c r="C153" i="1"/>
  <c r="B152" i="1"/>
  <c r="D152" i="1"/>
  <c r="C152" i="1"/>
  <c r="B151" i="1"/>
  <c r="D151" i="1"/>
  <c r="C151" i="1"/>
  <c r="B150" i="1"/>
  <c r="D150" i="1"/>
  <c r="C150" i="1"/>
  <c r="B149" i="1"/>
  <c r="D149" i="1"/>
  <c r="C149" i="1"/>
  <c r="B148" i="1"/>
  <c r="D148" i="1"/>
  <c r="C148" i="1"/>
  <c r="B147" i="1"/>
  <c r="D147" i="1"/>
  <c r="C147" i="1"/>
  <c r="B146" i="1"/>
  <c r="D146" i="1"/>
  <c r="C146" i="1"/>
  <c r="B145" i="1"/>
  <c r="D145" i="1"/>
  <c r="C145" i="1"/>
  <c r="B144" i="1"/>
  <c r="D144" i="1"/>
  <c r="C144" i="1"/>
  <c r="B143" i="1"/>
  <c r="D143" i="1"/>
  <c r="C143" i="1"/>
  <c r="B142" i="1"/>
  <c r="D142" i="1"/>
  <c r="C142" i="1"/>
  <c r="B141" i="1"/>
  <c r="D141" i="1"/>
  <c r="C141" i="1"/>
  <c r="B140" i="1"/>
  <c r="D140" i="1"/>
  <c r="C140" i="1"/>
  <c r="B139" i="1"/>
  <c r="D139" i="1"/>
  <c r="C139" i="1"/>
  <c r="B138" i="1"/>
  <c r="D138" i="1"/>
  <c r="C138" i="1"/>
  <c r="B137" i="1"/>
  <c r="D137" i="1"/>
  <c r="C137" i="1"/>
  <c r="B136" i="1"/>
  <c r="D136" i="1"/>
  <c r="C136" i="1"/>
  <c r="B135" i="1"/>
  <c r="D135" i="1"/>
  <c r="C135" i="1"/>
  <c r="B134" i="1"/>
  <c r="D134" i="1"/>
  <c r="C134" i="1"/>
  <c r="B133" i="1"/>
  <c r="D133" i="1"/>
  <c r="C133" i="1"/>
  <c r="B132" i="1"/>
  <c r="D132" i="1"/>
  <c r="C132" i="1"/>
  <c r="B131" i="1"/>
  <c r="D131" i="1"/>
  <c r="C131" i="1"/>
  <c r="B130" i="1"/>
  <c r="D130" i="1"/>
  <c r="C130" i="1"/>
  <c r="B129" i="1"/>
  <c r="D129" i="1"/>
  <c r="C129" i="1"/>
  <c r="B128" i="1"/>
  <c r="D128" i="1"/>
  <c r="C128" i="1"/>
  <c r="B127" i="1"/>
  <c r="D127" i="1"/>
  <c r="C127" i="1"/>
  <c r="B126" i="1"/>
  <c r="D126" i="1"/>
  <c r="C126" i="1"/>
  <c r="B125" i="1"/>
  <c r="D125" i="1"/>
  <c r="C125" i="1"/>
  <c r="B124" i="1"/>
  <c r="D124" i="1"/>
  <c r="C124" i="1"/>
  <c r="B123" i="1"/>
  <c r="D123" i="1"/>
  <c r="C123" i="1"/>
  <c r="B122" i="1"/>
  <c r="D122" i="1"/>
  <c r="C122" i="1"/>
  <c r="B121" i="1"/>
  <c r="D121" i="1"/>
  <c r="C121" i="1"/>
  <c r="B120" i="1"/>
  <c r="D120" i="1"/>
  <c r="C120" i="1"/>
  <c r="B119" i="1"/>
  <c r="D119" i="1"/>
  <c r="C119" i="1"/>
  <c r="B118" i="1"/>
  <c r="D118" i="1"/>
  <c r="C118" i="1"/>
  <c r="B117" i="1"/>
  <c r="D117" i="1"/>
  <c r="C117" i="1"/>
  <c r="B116" i="1"/>
  <c r="D116" i="1"/>
  <c r="C116" i="1"/>
  <c r="B115" i="1"/>
  <c r="D115" i="1"/>
  <c r="C115" i="1"/>
  <c r="B114" i="1"/>
  <c r="D114" i="1"/>
  <c r="C114" i="1"/>
  <c r="B113" i="1"/>
  <c r="D113" i="1"/>
  <c r="C113" i="1"/>
  <c r="B112" i="1"/>
  <c r="D112" i="1"/>
  <c r="C112" i="1"/>
  <c r="B111" i="1"/>
  <c r="D111" i="1"/>
  <c r="C111" i="1"/>
  <c r="B110" i="1"/>
  <c r="D110" i="1"/>
  <c r="C110" i="1"/>
  <c r="B109" i="1"/>
  <c r="D109" i="1"/>
  <c r="C109" i="1"/>
  <c r="B108" i="1"/>
  <c r="D108" i="1"/>
  <c r="C108" i="1"/>
  <c r="B107" i="1"/>
  <c r="D107" i="1"/>
  <c r="C107" i="1"/>
  <c r="B106" i="1"/>
  <c r="D106" i="1"/>
  <c r="C106" i="1"/>
  <c r="B105" i="1"/>
  <c r="D105" i="1"/>
  <c r="C105" i="1"/>
  <c r="B104" i="1"/>
  <c r="D104" i="1"/>
  <c r="C104" i="1"/>
  <c r="B103" i="1"/>
  <c r="D103" i="1"/>
  <c r="C103" i="1"/>
  <c r="B102" i="1"/>
  <c r="D102" i="1"/>
  <c r="C102" i="1"/>
  <c r="B101" i="1"/>
  <c r="D101" i="1"/>
  <c r="C101" i="1"/>
  <c r="B100" i="1"/>
  <c r="D100" i="1"/>
  <c r="C100" i="1"/>
  <c r="B99" i="1"/>
  <c r="D99" i="1"/>
  <c r="C99" i="1"/>
  <c r="B98" i="1"/>
  <c r="D98" i="1"/>
  <c r="C98" i="1"/>
  <c r="B97" i="1"/>
  <c r="D97" i="1"/>
  <c r="C97" i="1"/>
  <c r="B96" i="1"/>
  <c r="D96" i="1"/>
  <c r="C96" i="1"/>
  <c r="B95" i="1"/>
  <c r="D95" i="1"/>
  <c r="C95" i="1"/>
  <c r="B94" i="1"/>
  <c r="D94" i="1"/>
  <c r="C94" i="1"/>
  <c r="B93" i="1"/>
  <c r="D93" i="1"/>
  <c r="C93" i="1"/>
  <c r="B92" i="1"/>
  <c r="D92" i="1"/>
  <c r="C92" i="1"/>
  <c r="B91" i="1"/>
  <c r="D91" i="1"/>
  <c r="C91" i="1"/>
  <c r="B90" i="1"/>
  <c r="D90" i="1"/>
  <c r="C90" i="1"/>
  <c r="B89" i="1"/>
  <c r="D89" i="1"/>
  <c r="C89" i="1"/>
  <c r="B88" i="1"/>
  <c r="D88" i="1"/>
  <c r="C88" i="1"/>
  <c r="B87" i="1"/>
  <c r="D87" i="1"/>
  <c r="C87" i="1"/>
  <c r="B86" i="1"/>
  <c r="D86" i="1"/>
  <c r="C86" i="1"/>
  <c r="B85" i="1"/>
  <c r="D85" i="1"/>
  <c r="C85" i="1"/>
  <c r="B84" i="1"/>
  <c r="D84" i="1"/>
  <c r="C84" i="1"/>
  <c r="B83" i="1"/>
  <c r="D83" i="1"/>
  <c r="C83" i="1"/>
  <c r="B82" i="1"/>
  <c r="D82" i="1"/>
  <c r="C82" i="1"/>
  <c r="B81" i="1"/>
  <c r="D81" i="1"/>
  <c r="C81" i="1"/>
  <c r="B80" i="1"/>
  <c r="D80" i="1"/>
  <c r="C80" i="1"/>
  <c r="B79" i="1"/>
  <c r="D79" i="1"/>
  <c r="C79" i="1"/>
  <c r="B78" i="1"/>
  <c r="D78" i="1"/>
  <c r="C78" i="1"/>
  <c r="B77" i="1"/>
  <c r="D77" i="1"/>
  <c r="C77" i="1"/>
  <c r="B76" i="1"/>
  <c r="D76" i="1"/>
  <c r="C76" i="1"/>
  <c r="B75" i="1"/>
  <c r="D75" i="1"/>
  <c r="C75" i="1"/>
  <c r="B74" i="1"/>
  <c r="D74" i="1"/>
  <c r="C74" i="1"/>
  <c r="B73" i="1"/>
  <c r="D73" i="1"/>
  <c r="C73" i="1"/>
  <c r="B72" i="1"/>
  <c r="D72" i="1"/>
  <c r="C72" i="1"/>
  <c r="B71" i="1"/>
  <c r="D71" i="1"/>
  <c r="C71" i="1"/>
  <c r="B70" i="1"/>
  <c r="D70" i="1"/>
  <c r="C70" i="1"/>
  <c r="B69" i="1"/>
  <c r="D69" i="1"/>
  <c r="C69" i="1"/>
  <c r="B68" i="1"/>
  <c r="D68" i="1"/>
  <c r="C68" i="1"/>
  <c r="B67" i="1"/>
  <c r="D67" i="1"/>
  <c r="C67" i="1"/>
  <c r="B66" i="1"/>
  <c r="D66" i="1"/>
  <c r="C66" i="1"/>
  <c r="B65" i="1"/>
  <c r="D65" i="1"/>
  <c r="C65" i="1"/>
  <c r="B64" i="1"/>
  <c r="D64" i="1"/>
  <c r="C64" i="1"/>
  <c r="B63" i="1"/>
  <c r="D63" i="1"/>
  <c r="C63" i="1"/>
  <c r="B62" i="1"/>
  <c r="D62" i="1"/>
  <c r="C62" i="1"/>
  <c r="B61" i="1"/>
  <c r="D61" i="1"/>
  <c r="C61" i="1"/>
  <c r="B60" i="1"/>
  <c r="D60" i="1"/>
  <c r="C60" i="1"/>
  <c r="B59" i="1"/>
  <c r="D59" i="1"/>
  <c r="C59" i="1"/>
  <c r="B58" i="1"/>
  <c r="D58" i="1"/>
  <c r="C58" i="1"/>
  <c r="B57" i="1"/>
  <c r="D57" i="1"/>
  <c r="C57" i="1"/>
  <c r="B56" i="1"/>
  <c r="D56" i="1"/>
  <c r="C56" i="1"/>
  <c r="B55" i="1"/>
  <c r="D55" i="1"/>
  <c r="C55" i="1"/>
  <c r="B54" i="1"/>
  <c r="D54" i="1"/>
  <c r="C54" i="1"/>
  <c r="B53" i="1"/>
  <c r="D53" i="1"/>
  <c r="C53" i="1"/>
  <c r="B52" i="1"/>
  <c r="D52" i="1"/>
  <c r="C52" i="1"/>
  <c r="B51" i="1"/>
  <c r="D51" i="1"/>
  <c r="C51" i="1"/>
  <c r="B50" i="1"/>
  <c r="D50" i="1"/>
  <c r="C50" i="1"/>
  <c r="B49" i="1"/>
  <c r="D49" i="1"/>
  <c r="C49" i="1"/>
  <c r="B48" i="1"/>
  <c r="D48" i="1"/>
  <c r="C48" i="1"/>
  <c r="B47" i="1"/>
  <c r="D47" i="1"/>
  <c r="C47" i="1"/>
  <c r="B46" i="1"/>
  <c r="D46" i="1"/>
  <c r="C46" i="1"/>
  <c r="B45" i="1"/>
  <c r="D45" i="1"/>
  <c r="C45" i="1"/>
  <c r="B44" i="1"/>
  <c r="D44" i="1"/>
  <c r="C44" i="1"/>
  <c r="B43" i="1"/>
  <c r="D43" i="1"/>
  <c r="C43" i="1"/>
  <c r="B42" i="1"/>
  <c r="D42" i="1"/>
  <c r="C42" i="1"/>
  <c r="B41" i="1"/>
  <c r="D41" i="1"/>
  <c r="C41" i="1"/>
  <c r="B40" i="1"/>
  <c r="D40" i="1"/>
  <c r="C40" i="1"/>
  <c r="B39" i="1"/>
  <c r="D39" i="1"/>
  <c r="C39" i="1"/>
  <c r="B38" i="1"/>
  <c r="D38" i="1"/>
  <c r="C38" i="1"/>
  <c r="B37" i="1"/>
  <c r="D37" i="1"/>
  <c r="C37" i="1"/>
  <c r="B36" i="1"/>
  <c r="D36" i="1"/>
  <c r="C36" i="1"/>
  <c r="B35" i="1"/>
  <c r="D35" i="1"/>
  <c r="C35" i="1"/>
  <c r="B34" i="1"/>
  <c r="D34" i="1"/>
  <c r="C34" i="1"/>
  <c r="B33" i="1"/>
  <c r="D33" i="1"/>
  <c r="C33" i="1"/>
  <c r="B32" i="1"/>
  <c r="D32" i="1"/>
  <c r="C32" i="1"/>
  <c r="B31" i="1"/>
  <c r="D31" i="1"/>
  <c r="C31" i="1"/>
  <c r="B30" i="1"/>
  <c r="D30" i="1"/>
  <c r="C30" i="1"/>
  <c r="B29" i="1"/>
  <c r="D29" i="1"/>
  <c r="C29" i="1"/>
  <c r="B28" i="1"/>
  <c r="D28" i="1"/>
  <c r="C28" i="1"/>
  <c r="B27" i="1"/>
  <c r="D27" i="1"/>
  <c r="C27" i="1"/>
  <c r="B26" i="1"/>
  <c r="D26" i="1"/>
  <c r="C26" i="1"/>
  <c r="B25" i="1"/>
  <c r="D25" i="1"/>
  <c r="C25" i="1"/>
  <c r="B24" i="1"/>
  <c r="D24" i="1"/>
  <c r="C24" i="1"/>
  <c r="B23" i="1"/>
  <c r="D23" i="1"/>
  <c r="C23" i="1"/>
  <c r="B22" i="1"/>
  <c r="D22" i="1"/>
  <c r="C22" i="1"/>
  <c r="B21" i="1"/>
  <c r="D21" i="1"/>
  <c r="C21" i="1"/>
  <c r="B20" i="1"/>
  <c r="D20" i="1"/>
  <c r="C20" i="1"/>
  <c r="B19" i="1"/>
  <c r="D19" i="1"/>
  <c r="C19" i="1"/>
  <c r="B18" i="1"/>
  <c r="D18" i="1"/>
  <c r="C18" i="1"/>
  <c r="B17" i="1"/>
  <c r="D17" i="1"/>
  <c r="C17" i="1"/>
  <c r="B16" i="1"/>
  <c r="D16" i="1"/>
  <c r="C16" i="1"/>
  <c r="B15" i="1"/>
  <c r="D15" i="1"/>
  <c r="C15" i="1"/>
  <c r="B14" i="1"/>
  <c r="D14" i="1"/>
  <c r="C14" i="1"/>
  <c r="B13" i="1"/>
  <c r="D13" i="1"/>
  <c r="C13" i="1"/>
  <c r="B12" i="1"/>
  <c r="D12" i="1"/>
  <c r="C12" i="1"/>
  <c r="B11" i="1"/>
  <c r="D11" i="1"/>
  <c r="C11" i="1"/>
  <c r="B10" i="1"/>
  <c r="D10" i="1"/>
  <c r="C10" i="1"/>
  <c r="B9" i="1"/>
  <c r="D9" i="1"/>
  <c r="C9" i="1"/>
  <c r="B8" i="1"/>
  <c r="D8" i="1"/>
  <c r="C8" i="1"/>
  <c r="B7" i="1"/>
  <c r="D7" i="1"/>
  <c r="C7" i="1"/>
  <c r="B6" i="1"/>
  <c r="D6" i="1"/>
  <c r="C6" i="1"/>
  <c r="B5" i="1"/>
  <c r="D5" i="1"/>
  <c r="C5" i="1"/>
  <c r="B4" i="1"/>
  <c r="D4" i="1"/>
  <c r="C4" i="1"/>
  <c r="B3" i="1"/>
  <c r="D3" i="1"/>
  <c r="C3" i="1"/>
  <c r="B2" i="1"/>
  <c r="D2" i="1"/>
  <c r="C2" i="1"/>
  <c r="B1" i="1"/>
  <c r="C1" i="1"/>
</calcChain>
</file>

<file path=xl/sharedStrings.xml><?xml version="1.0" encoding="utf-8"?>
<sst xmlns="http://schemas.openxmlformats.org/spreadsheetml/2006/main" count="1725" uniqueCount="1434">
  <si>
    <t>CODIGO;PORTUGUES</t>
  </si>
  <si>
    <t>ca-ad;Andorra</t>
  </si>
  <si>
    <t>ar-ae;Emirados Árabes Unidos</t>
  </si>
  <si>
    <t>prs-af;Afeganistão</t>
  </si>
  <si>
    <t>en-ag;Antígua e Barbuda</t>
  </si>
  <si>
    <t>en-ai;Anguila</t>
  </si>
  <si>
    <t>sq-al;Albânia</t>
  </si>
  <si>
    <t>hy-am;Armênia</t>
  </si>
  <si>
    <t>pt-ao;Angola</t>
  </si>
  <si>
    <t>es-ar;Argentina</t>
  </si>
  <si>
    <t>en-as;Samoa Americana</t>
  </si>
  <si>
    <t>de-at;Áustria</t>
  </si>
  <si>
    <t>en-au;Austrália</t>
  </si>
  <si>
    <t>nl-aw;Aruba</t>
  </si>
  <si>
    <t>az-latn-az;Azerbaijão</t>
  </si>
  <si>
    <t>bs-latn-ba;Bósnia e Herzegovina</t>
  </si>
  <si>
    <t>en-bb;Barbados</t>
  </si>
  <si>
    <t>bn-bd;Bangladesh</t>
  </si>
  <si>
    <t>fr-be;Bélgica - Francês</t>
  </si>
  <si>
    <t>nl-be;Bélgica - Holandês</t>
  </si>
  <si>
    <t>fr-bf;Burquina Faso</t>
  </si>
  <si>
    <t>bg-bg;Bulgária</t>
  </si>
  <si>
    <t>ar-bh;Bahrein</t>
  </si>
  <si>
    <t>fr-bi;Burundi</t>
  </si>
  <si>
    <t>fr-bj;Benin</t>
  </si>
  <si>
    <t>fr-bl;São Bartolomeu</t>
  </si>
  <si>
    <t>en-bm;Bermudas</t>
  </si>
  <si>
    <t>ms-bn;Brunei</t>
  </si>
  <si>
    <t>es-bo;Bolívia</t>
  </si>
  <si>
    <t>pt-br;Brasil</t>
  </si>
  <si>
    <t>en-bs;Bahamas</t>
  </si>
  <si>
    <t>bo-bt;Butão</t>
  </si>
  <si>
    <t>en-bw;Botsuana</t>
  </si>
  <si>
    <t>be-by;Belarus</t>
  </si>
  <si>
    <t>en-bz;Belize</t>
  </si>
  <si>
    <t>fr-ca;Canadá - Francês</t>
  </si>
  <si>
    <t>en-ca;Canadá - Inglês</t>
  </si>
  <si>
    <t>en-cc;Ilhas Cocos (Keeling)</t>
  </si>
  <si>
    <t>fr-cd;Congo (RDC)</t>
  </si>
  <si>
    <t>fr-cf;República Centro-Africana</t>
  </si>
  <si>
    <t>fr-cg;Congo</t>
  </si>
  <si>
    <t>de-ch;Suíça - Alemão</t>
  </si>
  <si>
    <t>fr-ch;Suíça - Francês</t>
  </si>
  <si>
    <t>fr-ci;Côte d'Ivoire</t>
  </si>
  <si>
    <t>en-ck;Ilhas Cook</t>
  </si>
  <si>
    <t>es-cl;Chile</t>
  </si>
  <si>
    <t>fr-cm;Camarões</t>
  </si>
  <si>
    <t>zh-cn;China</t>
  </si>
  <si>
    <t>es-co;Colômbia</t>
  </si>
  <si>
    <t>es-cr;Costa Rica</t>
  </si>
  <si>
    <t>pt-cv;Cabo Verde</t>
  </si>
  <si>
    <t>nl-cw;Curaçao</t>
  </si>
  <si>
    <t>en-cx;Ilha Christmas</t>
  </si>
  <si>
    <t>en-cy;Chipre</t>
  </si>
  <si>
    <t>cs-cz;Tchéquia</t>
  </si>
  <si>
    <t>de-de;Alemanha</t>
  </si>
  <si>
    <t>fr-dj;Djibuti</t>
  </si>
  <si>
    <t>da-dk;Dinamarca</t>
  </si>
  <si>
    <t>en-dm;Dominica</t>
  </si>
  <si>
    <t>es-do;República Dominicana</t>
  </si>
  <si>
    <t>ar-dz;Argélia</t>
  </si>
  <si>
    <t>es-ec;Equador</t>
  </si>
  <si>
    <t>et-ee;Estônia</t>
  </si>
  <si>
    <t>ar-eg;Egito</t>
  </si>
  <si>
    <t>ti-er;Eritreia</t>
  </si>
  <si>
    <t>es-es;Espanha</t>
  </si>
  <si>
    <t>am-et;Etiópia</t>
  </si>
  <si>
    <t>fi-fi;Finlândia</t>
  </si>
  <si>
    <t>en-fj;Fiji</t>
  </si>
  <si>
    <t>en-fk;Ilhas Malvinas</t>
  </si>
  <si>
    <t>en-fm;Micronésia</t>
  </si>
  <si>
    <t>fo-fo;Ilhas Faroe</t>
  </si>
  <si>
    <t>fr-fr;França</t>
  </si>
  <si>
    <t>fr-ga;Gabão</t>
  </si>
  <si>
    <t>en-gb;Reino Unido</t>
  </si>
  <si>
    <t>en-gd;Granada</t>
  </si>
  <si>
    <t>ka-ge;Geórgia</t>
  </si>
  <si>
    <t>fr-gf;Guiana Francesa</t>
  </si>
  <si>
    <t>en-gg;Guernsey</t>
  </si>
  <si>
    <t>en-gh;Gana</t>
  </si>
  <si>
    <t>en-gi;Gibraltar</t>
  </si>
  <si>
    <t>kl-gl;Groenlândia</t>
  </si>
  <si>
    <t>en-gm;Gâmbia</t>
  </si>
  <si>
    <t>fr-gn;Guiné</t>
  </si>
  <si>
    <t>fr-gp;Guadalupe</t>
  </si>
  <si>
    <t>es-gq;Guiné Equatorial</t>
  </si>
  <si>
    <t>el-gr;Grécia</t>
  </si>
  <si>
    <t>es-gt;Guatemala</t>
  </si>
  <si>
    <t>en-gu;Guam</t>
  </si>
  <si>
    <t>pt-gw;Guiné-Bissau</t>
  </si>
  <si>
    <t>en-gy;Guiana</t>
  </si>
  <si>
    <t>zh-hk;RAE de Hong Kong</t>
  </si>
  <si>
    <t>es-hn;Honduras</t>
  </si>
  <si>
    <t>hr-hr;Croácia</t>
  </si>
  <si>
    <t>fr-ht;Haiti</t>
  </si>
  <si>
    <t>hu-hu;Hungria</t>
  </si>
  <si>
    <t>id-id;Indonésia</t>
  </si>
  <si>
    <t>en-ie;Irlanda</t>
  </si>
  <si>
    <t>he-il;Israel</t>
  </si>
  <si>
    <t>en-in;Índia</t>
  </si>
  <si>
    <t>ar-iq;Iraque</t>
  </si>
  <si>
    <t>fa-ir;Irã</t>
  </si>
  <si>
    <t>is-is;Islândia</t>
  </si>
  <si>
    <t>it-it;Itália</t>
  </si>
  <si>
    <t>en-je;Jersey</t>
  </si>
  <si>
    <t>en-jm;Jamaica</t>
  </si>
  <si>
    <t>ar-jo;Jordânia</t>
  </si>
  <si>
    <t>ja-jp;Japão</t>
  </si>
  <si>
    <t>sw-ke;Quênia</t>
  </si>
  <si>
    <t>ky-kg;Quirguistão</t>
  </si>
  <si>
    <t>km-kh;Camboja</t>
  </si>
  <si>
    <t>en-ki;Quiribati</t>
  </si>
  <si>
    <t>fr-km;Comores</t>
  </si>
  <si>
    <t>en-kn;São Cristóvão e Névis</t>
  </si>
  <si>
    <t>ko-kr;Coreia do Sul</t>
  </si>
  <si>
    <t>ar-kw;Kuwait</t>
  </si>
  <si>
    <t>en-ky;Ilhas Cayman</t>
  </si>
  <si>
    <t>kk-kz;Cazaquistão</t>
  </si>
  <si>
    <t>lo-la;Laos</t>
  </si>
  <si>
    <t>ar-lb;Líbano</t>
  </si>
  <si>
    <t>en-lc;Santa Lúcia</t>
  </si>
  <si>
    <t>de-li;Liechtenstein</t>
  </si>
  <si>
    <t>si-lk;Sri Lanka</t>
  </si>
  <si>
    <t>en-lr;Libéria</t>
  </si>
  <si>
    <t>en-ls;Lesoto</t>
  </si>
  <si>
    <t>lt-lt;Lituânia</t>
  </si>
  <si>
    <t>fr-lu;Luxemburgo</t>
  </si>
  <si>
    <t>lv-lv;Letônia</t>
  </si>
  <si>
    <t>ar-ly;Líbia</t>
  </si>
  <si>
    <t>ar-ma;Marrocos</t>
  </si>
  <si>
    <t>fr-mc;Mônaco</t>
  </si>
  <si>
    <t>ro-md;Moldova</t>
  </si>
  <si>
    <t>sr-me;Montenegro</t>
  </si>
  <si>
    <t>fr-mf;Saint Martin</t>
  </si>
  <si>
    <t>fr-mg;Madagascar</t>
  </si>
  <si>
    <t>en-mh;Ilhas Marshall</t>
  </si>
  <si>
    <t>mk-mk;Macedônia do Norte</t>
  </si>
  <si>
    <t>fr-ml;Mali</t>
  </si>
  <si>
    <t>en-mm;Myanmar</t>
  </si>
  <si>
    <t>mn-mn;Mongólia</t>
  </si>
  <si>
    <t>zh-mo;RAE de Macau</t>
  </si>
  <si>
    <t>en-mp;Ilhas Marianas do Norte</t>
  </si>
  <si>
    <t>fr-mq;Martinica</t>
  </si>
  <si>
    <t>ar-mr;Mauritânia</t>
  </si>
  <si>
    <t>en-ms;Montserrat</t>
  </si>
  <si>
    <t>mt-mt;Malta</t>
  </si>
  <si>
    <t>en-mu;Maurício</t>
  </si>
  <si>
    <t>dv-mv;Maldivas</t>
  </si>
  <si>
    <t>en-mw;Malaui</t>
  </si>
  <si>
    <t>es-mx;México</t>
  </si>
  <si>
    <t>ms-my;Malásia</t>
  </si>
  <si>
    <t>pt-mz;Moçambique</t>
  </si>
  <si>
    <t>af-na;Namíbia</t>
  </si>
  <si>
    <t>fr-nc;Nova Caledônia</t>
  </si>
  <si>
    <t>fr-ne;Níger</t>
  </si>
  <si>
    <t>en-nf;Ilha Norfolk</t>
  </si>
  <si>
    <t>en-ng;Nigéria</t>
  </si>
  <si>
    <t>es-ni;Nicarágua</t>
  </si>
  <si>
    <t>nl-nl;Países Baixos</t>
  </si>
  <si>
    <t>nb-no;Noruega</t>
  </si>
  <si>
    <t>ne-np;Nepal</t>
  </si>
  <si>
    <t>en-nr;Nauru</t>
  </si>
  <si>
    <t>en-nu;Niue</t>
  </si>
  <si>
    <t>en-nz;Nova Zelândia</t>
  </si>
  <si>
    <t>ar-om;Omã</t>
  </si>
  <si>
    <t>es-pa;Panamá</t>
  </si>
  <si>
    <t>es-pe;Peru</t>
  </si>
  <si>
    <t>fr-pf;Polinésia Francesa</t>
  </si>
  <si>
    <t>en-pg;Papua-Nova Guiné</t>
  </si>
  <si>
    <t>en-ph;Filipinas</t>
  </si>
  <si>
    <t>ur-pk;Paquistão</t>
  </si>
  <si>
    <t>pl-pl;Polônia</t>
  </si>
  <si>
    <t>fr-pm;São Pedro e Miquelão</t>
  </si>
  <si>
    <t>en-pn;Ilhas Pitcairn</t>
  </si>
  <si>
    <t>es-pr;Porto Rico</t>
  </si>
  <si>
    <t>ar-ps;Autoridade Palestina</t>
  </si>
  <si>
    <t>pt-pt;Portugal</t>
  </si>
  <si>
    <t>en-pw;Palau</t>
  </si>
  <si>
    <t>es-py;Paraguai</t>
  </si>
  <si>
    <t>ar-qa;Catar</t>
  </si>
  <si>
    <t>fr-re;Reunião</t>
  </si>
  <si>
    <t>ro-ro;Romênia</t>
  </si>
  <si>
    <t>sr-latn-rs;Sérvia</t>
  </si>
  <si>
    <t>ru-ru;Rússia</t>
  </si>
  <si>
    <t>rw-rw;Ruanda</t>
  </si>
  <si>
    <t>ar-sa;Arábia Saudita</t>
  </si>
  <si>
    <t>en-sb;Ilhas Salomão</t>
  </si>
  <si>
    <t>en-sc;Seicheles</t>
  </si>
  <si>
    <t>ar-sd;Sudão</t>
  </si>
  <si>
    <t>sv-se;Suécia</t>
  </si>
  <si>
    <t>en-sg;Singapura</t>
  </si>
  <si>
    <t>en-sh;Santa Helena, Ascensão e Tristão da Cunha</t>
  </si>
  <si>
    <t>sl-si;Eslovênia</t>
  </si>
  <si>
    <t>sk-sk;Eslováquia</t>
  </si>
  <si>
    <t>en-sl;Serra Leoa</t>
  </si>
  <si>
    <t>it-sm;San Marino</t>
  </si>
  <si>
    <t>fr-sn;Senegal</t>
  </si>
  <si>
    <t>so-so;Somália</t>
  </si>
  <si>
    <t>nl-sr;Suriname</t>
  </si>
  <si>
    <t>en-ss;Sudão do Sul</t>
  </si>
  <si>
    <t>pt-st;São Tomé e Príncipe</t>
  </si>
  <si>
    <t>es-sv;El Salvador</t>
  </si>
  <si>
    <t>nl-sx;Sint Maarten</t>
  </si>
  <si>
    <t>ar-sy;Síria</t>
  </si>
  <si>
    <t>en-sz;Essuatíni</t>
  </si>
  <si>
    <t>en-tc;Ilhas Turcas e Caicos</t>
  </si>
  <si>
    <t>fr-td;Chade</t>
  </si>
  <si>
    <t>fr-tg;Togo</t>
  </si>
  <si>
    <t>th-th;Tailândia</t>
  </si>
  <si>
    <t>tg-cyrl-tj;Tadjiquistão</t>
  </si>
  <si>
    <t>en-tk;Tokelau</t>
  </si>
  <si>
    <t>tk-tm;Turcomenistão</t>
  </si>
  <si>
    <t>ar-tn;Tunísia</t>
  </si>
  <si>
    <t>en-to;Tonga</t>
  </si>
  <si>
    <t>tr-tr;Turquia</t>
  </si>
  <si>
    <t>en-tt;Trinidad e Tobago</t>
  </si>
  <si>
    <t>en-tv;Tuvalu</t>
  </si>
  <si>
    <t>zh-tw;Taiwan</t>
  </si>
  <si>
    <t>en-tz;Tanzânia</t>
  </si>
  <si>
    <t>uk-ua;Ucrânia</t>
  </si>
  <si>
    <t>en-ug;Uganda</t>
  </si>
  <si>
    <t>es-us;Estados Unidos - Espanhol</t>
  </si>
  <si>
    <t>en-us;Estados Unidos - Inglês</t>
  </si>
  <si>
    <t>es-uy;Uruguai</t>
  </si>
  <si>
    <t>uz-latn-uz;Uzbequistão</t>
  </si>
  <si>
    <t>it-va;Cidade do Vaticano</t>
  </si>
  <si>
    <t>en-vc;São Vicente e Granadinas</t>
  </si>
  <si>
    <t>es-ve;Venezuela</t>
  </si>
  <si>
    <t>en-vg;Ilhas Virgens Britânicas</t>
  </si>
  <si>
    <t>en-vi;Ilhas Virgens Americanas</t>
  </si>
  <si>
    <t>vi-vn;Vietnã</t>
  </si>
  <si>
    <t>en-vu;Vanuatu</t>
  </si>
  <si>
    <t>fr-wf;Wallis e Futuna</t>
  </si>
  <si>
    <t>en-ws;Samoa</t>
  </si>
  <si>
    <t>ar-ye;Iêmen</t>
  </si>
  <si>
    <t>fr-yt;Mayotte</t>
  </si>
  <si>
    <t>en-za;África do Sul</t>
  </si>
  <si>
    <t>en-zm;Zâmbia</t>
  </si>
  <si>
    <t>en-zw;Zimbábue</t>
  </si>
  <si>
    <t>CODIGO;INGLES;PORTUGUES</t>
  </si>
  <si>
    <t>prs-af;Afghanistan;Afeganistão</t>
  </si>
  <si>
    <t>en-za;South Africa;África do Sul</t>
  </si>
  <si>
    <t>sq-al;Albania;Albânia</t>
  </si>
  <si>
    <t>de-de;Germany;Alemanha</t>
  </si>
  <si>
    <t>ca-ad;Andorra;Andorra</t>
  </si>
  <si>
    <t>en-ao;Angola;</t>
  </si>
  <si>
    <t>Angola</t>
  </si>
  <si>
    <t>en-ai;Anguilla;Anguila</t>
  </si>
  <si>
    <t>en-ag;Antigua and Barbuda;Antígua e Barbuda</t>
  </si>
  <si>
    <t>en-sa;Saudi Arabia;</t>
  </si>
  <si>
    <t>Arábia Saudita</t>
  </si>
  <si>
    <t>en-dz;Algeria;</t>
  </si>
  <si>
    <t>Argélia</t>
  </si>
  <si>
    <t>es-ar;Argentina;Argentina</t>
  </si>
  <si>
    <t>hy-am;Armenia;Armênia</t>
  </si>
  <si>
    <t>nl-aw;Aruba;Aruba</t>
  </si>
  <si>
    <t>en-au;Australia;Austrália</t>
  </si>
  <si>
    <t>de-at;Austria;Áustria</t>
  </si>
  <si>
    <t>en-ps;Palestinian Authority;</t>
  </si>
  <si>
    <t>Autoridade Palestina</t>
  </si>
  <si>
    <t>en-az;Azerbaijan;</t>
  </si>
  <si>
    <t>Azerbaijão</t>
  </si>
  <si>
    <t>en-bs;Bahamas;Bahamas</t>
  </si>
  <si>
    <t>en-bh;Bahrain;</t>
  </si>
  <si>
    <t>Bahrein</t>
  </si>
  <si>
    <t>en-bd;Bangladesh;</t>
  </si>
  <si>
    <t>Bangladesh</t>
  </si>
  <si>
    <t>en-bb;Barbados;Barbados</t>
  </si>
  <si>
    <t>be-by;Belarus;Belarus</t>
  </si>
  <si>
    <t>fr-be;Belgium - French;Bélgica - Francês</t>
  </si>
  <si>
    <t>nl-be;Belgium - Dutch;Bélgica - Holandês</t>
  </si>
  <si>
    <t>en-bz;Belize;Belize</t>
  </si>
  <si>
    <t>en-bj;Benin;</t>
  </si>
  <si>
    <t>Benin</t>
  </si>
  <si>
    <t>en-bm;Bermuda;Bermudas</t>
  </si>
  <si>
    <t>es-bo;Bolivia;Bolívia</t>
  </si>
  <si>
    <t>en-ba;Bosnia &amp; Herzegovina;</t>
  </si>
  <si>
    <t>Bósnia e Herzegovina</t>
  </si>
  <si>
    <t>en-bw;Botswana;Botsuana</t>
  </si>
  <si>
    <t>pt-br;Brazil;Brasil</t>
  </si>
  <si>
    <t>ms-bn;Brunei;Brunei</t>
  </si>
  <si>
    <t>bg-bg;Bulgaria;Bulgária</t>
  </si>
  <si>
    <t>en-bf;Burkina Faso;</t>
  </si>
  <si>
    <t>Burquina Faso</t>
  </si>
  <si>
    <t>en-bi;Burundi;Burundi</t>
  </si>
  <si>
    <t>bo-bt;Bhutan;Butão</t>
  </si>
  <si>
    <t>en-cv;Cabo Verde;</t>
  </si>
  <si>
    <t>Cabo Verde</t>
  </si>
  <si>
    <t>en-cm;Cameroon;Camarões</t>
  </si>
  <si>
    <t>km-kh;Cambodia;Camboja</t>
  </si>
  <si>
    <t>fr-ca;Canada - French;Canadá - Francês</t>
  </si>
  <si>
    <t>en-ca;Canada - English;Canadá - Inglês</t>
  </si>
  <si>
    <t>en-qa;Qatar;</t>
  </si>
  <si>
    <t>Catar</t>
  </si>
  <si>
    <t>kk-kz;Kazakhstan;Cazaquistão</t>
  </si>
  <si>
    <t>en-td;Chad;</t>
  </si>
  <si>
    <t>Chade</t>
  </si>
  <si>
    <t>es-cl;Chile;Chile</t>
  </si>
  <si>
    <t>zh-cn;China;China</t>
  </si>
  <si>
    <t>en-cy;Cyprus;Chipre</t>
  </si>
  <si>
    <t>it-va;Vatican City;Cidade do Vaticano</t>
  </si>
  <si>
    <t>es-co;Colombia;Colômbia</t>
  </si>
  <si>
    <t>fr-km;Comoros;Comores</t>
  </si>
  <si>
    <t>fr-cg;Congo;Congo</t>
  </si>
  <si>
    <t>fr-cd;Congo (DRC);Congo (RDC)</t>
  </si>
  <si>
    <t>ko-kr;Korea;Coreia do Sul</t>
  </si>
  <si>
    <t>es-cr;Costa Rica;Costa Rica</t>
  </si>
  <si>
    <t>fr-ci;Côte d'Ivoire;Côte d'Ivoire</t>
  </si>
  <si>
    <t>hr-hr;Croatia;Croácia</t>
  </si>
  <si>
    <t>nl-cw;Curaçao;Curaçao</t>
  </si>
  <si>
    <t>en-dk;Denmark;Dinamarca</t>
  </si>
  <si>
    <t>en-dj;Djibouti;</t>
  </si>
  <si>
    <t>Djibuti</t>
  </si>
  <si>
    <t>en-dm;Dominica;Dominica</t>
  </si>
  <si>
    <t>en-eg;Egypt;</t>
  </si>
  <si>
    <t>Egito</t>
  </si>
  <si>
    <t>es-sv;El Salvador;El Salvador</t>
  </si>
  <si>
    <t>en-ae;United Arab Emirates;</t>
  </si>
  <si>
    <t>Emirados Árabes Unidos</t>
  </si>
  <si>
    <t>es-ec;Ecuador;Equador</t>
  </si>
  <si>
    <t>en-er;Eritrea;Eritreia</t>
  </si>
  <si>
    <t>en-sk;Slovakia;</t>
  </si>
  <si>
    <t>Eslováquia</t>
  </si>
  <si>
    <t>sl-si;Slovenia;Eslovênia</t>
  </si>
  <si>
    <t>es-es;Spain;Espanha</t>
  </si>
  <si>
    <t>en-sz;Eswatini;Essuatíni</t>
  </si>
  <si>
    <t>es-us;United States - Spanish;Estados Unidos - Espanhol</t>
  </si>
  <si>
    <t>en-us;United States - English;Estados Unidos - Inglês</t>
  </si>
  <si>
    <t>et-ee;Estonia;Estônia</t>
  </si>
  <si>
    <t>am-et;Ethiopia;Etiópia</t>
  </si>
  <si>
    <t>en-fj;Fiji;Fiji</t>
  </si>
  <si>
    <t>en-ph;Philippines;Filipinas</t>
  </si>
  <si>
    <t>en-fi;Finland;Finlândia</t>
  </si>
  <si>
    <t>fr-fr;France;França</t>
  </si>
  <si>
    <t>fr-ga;Gabon;Gabão</t>
  </si>
  <si>
    <t>en-gm;Gambia;Gâmbia</t>
  </si>
  <si>
    <t>en-gh;Ghana;Gana</t>
  </si>
  <si>
    <t>ka-ge;Georgia;Geórgia</t>
  </si>
  <si>
    <t>en-gi;Gibraltar;Gibraltar</t>
  </si>
  <si>
    <t>en-gd;Grenada;Granada</t>
  </si>
  <si>
    <t>en-gr;Greece;</t>
  </si>
  <si>
    <t>Grécia</t>
  </si>
  <si>
    <t>kl-gl;Greenland;Groenlândia</t>
  </si>
  <si>
    <t>fr-gp;Guadeloupe;Guadalupe</t>
  </si>
  <si>
    <t>en-gu;Guam;Guam</t>
  </si>
  <si>
    <t>es-gt;Guatemala;Guatemala</t>
  </si>
  <si>
    <t>en-gg;Guernsey;Guernsey</t>
  </si>
  <si>
    <t>en-gy;Guyana;Guiana</t>
  </si>
  <si>
    <t>fr-gf;French Guiana;Guiana Francesa</t>
  </si>
  <si>
    <t>en-gn;Guinea;</t>
  </si>
  <si>
    <t>Guiné</t>
  </si>
  <si>
    <t>en-gq;Equatorial Guinea;</t>
  </si>
  <si>
    <t>Guiné Equatorial</t>
  </si>
  <si>
    <t>en-gw;Guinea-Bissau;</t>
  </si>
  <si>
    <t>Guiné-Bissau</t>
  </si>
  <si>
    <t>fr-ht;Haiti;Haiti</t>
  </si>
  <si>
    <t>es-hn;Honduras;Honduras</t>
  </si>
  <si>
    <t>en-hu;Hungary;</t>
  </si>
  <si>
    <t>Hungria</t>
  </si>
  <si>
    <t>en-ye;Yemen;</t>
  </si>
  <si>
    <t>Iêmen</t>
  </si>
  <si>
    <t>en-cx;Christmas Island;Ilha Christmas</t>
  </si>
  <si>
    <t>en-nf;Norfolk Island;Ilha Norfolk</t>
  </si>
  <si>
    <t>en-ky;Cayman Islands;Ilhas Cayman</t>
  </si>
  <si>
    <t>en-cc;Cocos (Keeling) Islands;Ilhas Cocos (Keeling)</t>
  </si>
  <si>
    <t>en-ck;Cook Islands;Ilhas Cook</t>
  </si>
  <si>
    <t>fo-fo;Faroe Islands;Ilhas Faroe</t>
  </si>
  <si>
    <t>en-fk;Falkland Islands;Ilhas Malvinas</t>
  </si>
  <si>
    <t>en-mp;Northern Mariana Islands;Ilhas Marianas do Norte</t>
  </si>
  <si>
    <t>en-mh;Marshall Islands;Ilhas Marshall</t>
  </si>
  <si>
    <t>en-pn;Pitcairn Islands;Ilhas Pitcairn</t>
  </si>
  <si>
    <t>en-sb;Solomon Islands;Ilhas Salomão</t>
  </si>
  <si>
    <t>en-tc;Turks and Caicos Islands;Ilhas Turcas e Caicos</t>
  </si>
  <si>
    <t>en-vi;U.S. Virgin Islands;Ilhas Virgens Americanas</t>
  </si>
  <si>
    <t>en-vg;British Virgin Islands;Ilhas Virgens Britânicas</t>
  </si>
  <si>
    <t>en-in;India;Índia</t>
  </si>
  <si>
    <t>en-id;Indonesia;Indonésia</t>
  </si>
  <si>
    <t>fa-ir;Iran;Irã</t>
  </si>
  <si>
    <t>en-iq;Iraq;</t>
  </si>
  <si>
    <t>Iraque</t>
  </si>
  <si>
    <t>en-ie;Ireland;Irlanda</t>
  </si>
  <si>
    <t>is-is;Iceland;Islândia</t>
  </si>
  <si>
    <t>en-il;Israel;Israel</t>
  </si>
  <si>
    <t>it-it;Italy;Itália</t>
  </si>
  <si>
    <t>en-jm;Jamaica;Jamaica</t>
  </si>
  <si>
    <t>ja-jp;Japan;Japão</t>
  </si>
  <si>
    <t>en-je;Jersey;Jersey</t>
  </si>
  <si>
    <t>en-jo;Jordan;</t>
  </si>
  <si>
    <t>Jordânia</t>
  </si>
  <si>
    <t>en-kw;Kuwait;</t>
  </si>
  <si>
    <t>Kuwait</t>
  </si>
  <si>
    <t>en-la;Laos;</t>
  </si>
  <si>
    <t>Laos</t>
  </si>
  <si>
    <t>en-ls;Lesotho;Lesoto</t>
  </si>
  <si>
    <t>lv-lv;Latvia;Letônia</t>
  </si>
  <si>
    <t>en-lb;Lebanon;</t>
  </si>
  <si>
    <t>Líbano</t>
  </si>
  <si>
    <t>en-lr;Liberia;Libéria</t>
  </si>
  <si>
    <t>en-ly;Libya;</t>
  </si>
  <si>
    <t>Líbia</t>
  </si>
  <si>
    <t>de-li;Liechtenstein;Liechtenstein</t>
  </si>
  <si>
    <t>lt-lt;Lithuania;Lituânia</t>
  </si>
  <si>
    <t>fr-lu;Luxembourg;Luxemburgo</t>
  </si>
  <si>
    <t>mk-mk;North Macedonia;Macedônia do Norte</t>
  </si>
  <si>
    <t>fr-mg;Madagascar;Madagascar</t>
  </si>
  <si>
    <t>en-my;Malaysia;Malásia</t>
  </si>
  <si>
    <t>en-mw;Malawi;Malaui</t>
  </si>
  <si>
    <t>en-mv;Maldives;</t>
  </si>
  <si>
    <t>Maldivas</t>
  </si>
  <si>
    <t>en-ml;Mali;</t>
  </si>
  <si>
    <t>Mali</t>
  </si>
  <si>
    <t>mt-mt;Malta;Malta</t>
  </si>
  <si>
    <t>en-ma;Morocco;</t>
  </si>
  <si>
    <t>Marrocos</t>
  </si>
  <si>
    <t>fr-mq;Martinique;Martinica</t>
  </si>
  <si>
    <t>en-mu;Mauritius;Maurício</t>
  </si>
  <si>
    <t>en-mr;Mauritania;</t>
  </si>
  <si>
    <t>Mauritânia</t>
  </si>
  <si>
    <t>fr-yt;Mayotte;Mayotte</t>
  </si>
  <si>
    <t>es-mx;Mexico;México</t>
  </si>
  <si>
    <t>en-fm;Micronesia;Micronésia</t>
  </si>
  <si>
    <t>en-mz;Mozambique;</t>
  </si>
  <si>
    <t>Moçambique</t>
  </si>
  <si>
    <t>en-md;Moldova;</t>
  </si>
  <si>
    <t>Moldova</t>
  </si>
  <si>
    <t>fr-mc;Monaco;Mônaco</t>
  </si>
  <si>
    <t>mn-mn;Mongolia;Mongólia</t>
  </si>
  <si>
    <t>en-me;Montenegro;</t>
  </si>
  <si>
    <t>Montenegro</t>
  </si>
  <si>
    <t>en-ms;Montserrat;Montserrat</t>
  </si>
  <si>
    <t>en-mm;Myanmar;</t>
  </si>
  <si>
    <t>Myanmar</t>
  </si>
  <si>
    <t>en-na;Namibia;Namíbia</t>
  </si>
  <si>
    <t>en-nr;Nauru;Nauru</t>
  </si>
  <si>
    <t>ne-np;Nepal;Nepal</t>
  </si>
  <si>
    <t>es-ni;Nicaragua;Nicarágua</t>
  </si>
  <si>
    <t>en-ne;Niger;</t>
  </si>
  <si>
    <t>Níger</t>
  </si>
  <si>
    <t>en-ng;Nigeria;Nigéria</t>
  </si>
  <si>
    <t>en-nu;Niue;Niue</t>
  </si>
  <si>
    <t>nb-no;Norway;Noruega</t>
  </si>
  <si>
    <t>fr-nc;New Caledonia;Nova Caledônia</t>
  </si>
  <si>
    <t>en-nz;New Zealand;Nova Zelândia</t>
  </si>
  <si>
    <t>en-om;Oman;</t>
  </si>
  <si>
    <t>Omã</t>
  </si>
  <si>
    <t>nl-nl;Netherlands;Países Baixos</t>
  </si>
  <si>
    <t>en-pw;Palau;Palau</t>
  </si>
  <si>
    <t>es-pa;Panama;Panamá</t>
  </si>
  <si>
    <t>en-pg;Papua New Guinea;Papua-Nova Guiné</t>
  </si>
  <si>
    <t>en-pk;Pakistan;Paquistão</t>
  </si>
  <si>
    <t>es-py;Paraguay;Paraguai</t>
  </si>
  <si>
    <t>es-pe;Peru;Peru</t>
  </si>
  <si>
    <t>fr-pf;French Polynesia;Polinésia Francesa</t>
  </si>
  <si>
    <t>pl-pl;Poland;Polônia</t>
  </si>
  <si>
    <t>es-pr;Puerto Rico;Porto Rico</t>
  </si>
  <si>
    <t>pt-pt;Portugal;Portugal</t>
  </si>
  <si>
    <t>sw-ke;Kenya;Quênia</t>
  </si>
  <si>
    <t>ky-kg;Kyrgyzstan;Quirguistão</t>
  </si>
  <si>
    <t>en-ki;Kiribati;Quiribati</t>
  </si>
  <si>
    <t>en-hk;Hong Kong SAR;RAE de Hong Kong</t>
  </si>
  <si>
    <t>en-mo;Macao SAR;RAE de Macau</t>
  </si>
  <si>
    <t>en-gb;United Kingdom;Reino Unido</t>
  </si>
  <si>
    <t>en-cf;Central African Republic;</t>
  </si>
  <si>
    <t>República Centro-Africana</t>
  </si>
  <si>
    <t>es-do;Dominican Republic;República Dominicana</t>
  </si>
  <si>
    <t>en-re;Réunion;</t>
  </si>
  <si>
    <t>Reunião</t>
  </si>
  <si>
    <t>ro-ro;Romania;Romênia</t>
  </si>
  <si>
    <t>rw-rw;Rwanda;Ruanda</t>
  </si>
  <si>
    <t>ru-ru;Russia;Rússia</t>
  </si>
  <si>
    <t>fr-mf;Saint Martin;Saint Martin</t>
  </si>
  <si>
    <t>en-ws;Samoa;Samoa</t>
  </si>
  <si>
    <t>en-as;American Samoa;Samoa Americana</t>
  </si>
  <si>
    <t>en-sm;San Marino;</t>
  </si>
  <si>
    <t>San Marino</t>
  </si>
  <si>
    <t>en-sh;St Helena, Ascension, Tristan da Cunha;Santa Helena, Ascensão e Tristão da Cunha</t>
  </si>
  <si>
    <t>en-lc;Saint Lucia;Santa Lúcia</t>
  </si>
  <si>
    <t>fr-bl;Saint Barthélemy;São Bartolomeu</t>
  </si>
  <si>
    <t>en-kn;Saint Kitts and Nevis;São Cristóvão e Névis</t>
  </si>
  <si>
    <t>fr-pm;Saint Pierre and Miquelon;São Pedro e Miquelão</t>
  </si>
  <si>
    <t>en-st;São Tomé &amp; Príncipe;</t>
  </si>
  <si>
    <t>São Tomé e Príncipe</t>
  </si>
  <si>
    <t>en-vc;Saint Vincent and the Grenadines;São Vicente e Granadinas</t>
  </si>
  <si>
    <t>en-sc;Seychelles;Seicheles</t>
  </si>
  <si>
    <t>fr-sn;Senegal;Senegal</t>
  </si>
  <si>
    <t>en-sl;Sierra Leone;Serra Leoa</t>
  </si>
  <si>
    <t>en-rs;Serbia;</t>
  </si>
  <si>
    <t>Sérvia</t>
  </si>
  <si>
    <t>en-sg;Singapore;Singapura</t>
  </si>
  <si>
    <t>nl-sx;Sint Maarten;Sint Maarten</t>
  </si>
  <si>
    <t>en-sy;Syria;</t>
  </si>
  <si>
    <t>Síria</t>
  </si>
  <si>
    <t>en-so;Somalia;</t>
  </si>
  <si>
    <t>Somália</t>
  </si>
  <si>
    <t>si-lk;Sri Lanka;Sri Lanka</t>
  </si>
  <si>
    <t>en-sd;Sudan;Sudão</t>
  </si>
  <si>
    <t>en-ss;South Sudan;Sudão do Sul</t>
  </si>
  <si>
    <t>sv-se;Sweden;Suécia</t>
  </si>
  <si>
    <t>de-ch;Switzerland - German;Suíça - Alemão</t>
  </si>
  <si>
    <t>fr-ch;Switzerland - French;Suíça - Francês</t>
  </si>
  <si>
    <t>en-sr;Suriname;</t>
  </si>
  <si>
    <t>Suriname</t>
  </si>
  <si>
    <t>en-tj;Tajikistan;</t>
  </si>
  <si>
    <t>Tadjiquistão</t>
  </si>
  <si>
    <t>th-th;Thailand;Tailândia</t>
  </si>
  <si>
    <t>zh-tw;Taiwan;Taiwan</t>
  </si>
  <si>
    <t>en-tz;Tanzania;Tanzânia</t>
  </si>
  <si>
    <t>cs-cz;Czechia;Tchéquia</t>
  </si>
  <si>
    <t>fr-tg;Togo;Togo</t>
  </si>
  <si>
    <t>en-tk;Tokelau;Tokelau</t>
  </si>
  <si>
    <t>en-to;Tonga;Tonga</t>
  </si>
  <si>
    <t>en-tt;Trinidad and Tobago;Trinidad e Tobago</t>
  </si>
  <si>
    <t>en-tn;Tunisia</t>
  </si>
  <si>
    <t>Tunísia</t>
  </si>
  <si>
    <t>tk-tm;Turkmenistan;Turcomenistão</t>
  </si>
  <si>
    <t>tr-tr;Turkey;Turquia</t>
  </si>
  <si>
    <t>en-tv;Tuvalu;Tuvalu</t>
  </si>
  <si>
    <t>uk-ua;Ukraine;Ucrânia</t>
  </si>
  <si>
    <t>en-ug;Uganda;Uganda</t>
  </si>
  <si>
    <t>es-uy;Uruguay;Uruguai</t>
  </si>
  <si>
    <t>en-uz;Uzbekistan;</t>
  </si>
  <si>
    <t>Uzbequistão</t>
  </si>
  <si>
    <t>en-vu;Vanuatu;Vanuatu</t>
  </si>
  <si>
    <t>es-ve;Venezuela;Venezuela</t>
  </si>
  <si>
    <t>en-vn;Vietnam;</t>
  </si>
  <si>
    <t>Vietnã</t>
  </si>
  <si>
    <t>fr-wf;Wallis and Futuna;Wallis e Futuna</t>
  </si>
  <si>
    <t>en-zm;Zambia;Zâmbia</t>
  </si>
  <si>
    <t>en-zw;Zimbabwe;Zimbábue</t>
  </si>
  <si>
    <t>CODIGO;ESPANHOL;PORTUGUES</t>
  </si>
  <si>
    <t>prs-af;Afganistán;Afeganistão</t>
  </si>
  <si>
    <t>en-za;Sudáfrica;África do Sul</t>
  </si>
  <si>
    <t>de-de;Alemania;Alemanha</t>
  </si>
  <si>
    <t>pt-ao;Angola;Angola</t>
  </si>
  <si>
    <t>en-ai;Anguila;Anguila</t>
  </si>
  <si>
    <t>en-ag;Antigua y Barbuda;Antígua e Barbuda</t>
  </si>
  <si>
    <t>ar-sa;Arabia Saudí;Arábia Saudita</t>
  </si>
  <si>
    <t>ar-dz;Argelia;Argélia</t>
  </si>
  <si>
    <t>ar-ps;Autoridad Palestina;Autoridade Palestina</t>
  </si>
  <si>
    <t>az-latn-az;Azerbaiyán;Azerbaijão</t>
  </si>
  <si>
    <t>ar-bh;Baréin;Bahrein</t>
  </si>
  <si>
    <t>bn-bd;Bangladés;Bangladesh</t>
  </si>
  <si>
    <t>be-by;Belarús;Belarus</t>
  </si>
  <si>
    <t>fr-be;Bélgica - Francés;Bélgica - Francês</t>
  </si>
  <si>
    <t>nl-be;Bélgica - Neerlandés;Bélgica - Holandês</t>
  </si>
  <si>
    <t>en-bz;Belice;Belize</t>
  </si>
  <si>
    <t>fr-bj;Benín;Benin</t>
  </si>
  <si>
    <t>en-bm;Bermudas;Bermudas</t>
  </si>
  <si>
    <t>bs-latn-ba;Bosnia y Herzegovina;Bósnia e Herzegovina</t>
  </si>
  <si>
    <t>en-bw;Botsuana;Botsuana</t>
  </si>
  <si>
    <t>pt-br;Brasil;Brasil</t>
  </si>
  <si>
    <t>ms-bn;Brunéi;Brunei</t>
  </si>
  <si>
    <t>fr-bf;Burkina Faso;Burquina Faso</t>
  </si>
  <si>
    <t>fr-bi;Burundi;Burundi</t>
  </si>
  <si>
    <t>bo-bt;Bután;Butão</t>
  </si>
  <si>
    <t>pt-cv;Cabo Verde;Cabo Verde</t>
  </si>
  <si>
    <t>fr-cm;Camerún;Camarões</t>
  </si>
  <si>
    <t>km-kh;Camboya;Camboja</t>
  </si>
  <si>
    <t>fr-ca;Canadá - Francés;Canadá - Francês</t>
  </si>
  <si>
    <t>en-ca;Canadá - Inglés;Canadá - Inglês</t>
  </si>
  <si>
    <t>ar-qa;Catar;Catar</t>
  </si>
  <si>
    <t>kk-kz;Kazajistán;Cazaquistão</t>
  </si>
  <si>
    <t>fr-td;Chad;Chade</t>
  </si>
  <si>
    <t>en-cy;Chipre;Chipre</t>
  </si>
  <si>
    <t>it-va;Ciudad del Vaticano;Cidade do Vaticano</t>
  </si>
  <si>
    <t>fr-km;Comoras;Comores</t>
  </si>
  <si>
    <t>fr-cd;Congo (RDC);Congo (RDC)</t>
  </si>
  <si>
    <t>ko-kr;Corea del Sur;Coreia do Sul</t>
  </si>
  <si>
    <t>hr-hr;Croacia;Croácia</t>
  </si>
  <si>
    <t>nl-cw;Curazao;Curaçao</t>
  </si>
  <si>
    <t>da-dk;Dinamarca;Dinamarca</t>
  </si>
  <si>
    <t>fr-dj;Yibuti;Djibuti</t>
  </si>
  <si>
    <t>es-dm;Dominica;Dominica</t>
  </si>
  <si>
    <t>ar-eg;Egipto;Egito</t>
  </si>
  <si>
    <t>ar-ae;Emiratos Árabes Unidos;Emirados Árabes Unidos</t>
  </si>
  <si>
    <t>ti-er;Eritrea;Eritreia</t>
  </si>
  <si>
    <t>sk-sk;Eslovaquia;Eslováquia</t>
  </si>
  <si>
    <t>sl-si;Eslovenia;Eslovênia</t>
  </si>
  <si>
    <t>es-es;España;Espanha</t>
  </si>
  <si>
    <t>en-sz;Suazilandia;Essuatíni</t>
  </si>
  <si>
    <t>es-us;Estados Unidos - Español;Estados Unidos - Espanhol</t>
  </si>
  <si>
    <t>en-us;Estados Unidos - Inglés;Estados Unidos - Inglês</t>
  </si>
  <si>
    <t>am-et;Etiopía;Etiópia</t>
  </si>
  <si>
    <t>en-fj;Fiyi;Fiji</t>
  </si>
  <si>
    <t>en-ph;Filipinas;Filipinas</t>
  </si>
  <si>
    <t>fi-fi;Finlandia;Finlândia</t>
  </si>
  <si>
    <t>fr-fr;Francia;França</t>
  </si>
  <si>
    <t>fr-ga;Gabón;Gabão</t>
  </si>
  <si>
    <t>en-gd;Granada;Granada</t>
  </si>
  <si>
    <t>el-gr;Grecia;Grécia</t>
  </si>
  <si>
    <t>kl-gl;Groenlandia;Groenlândia</t>
  </si>
  <si>
    <t>fr-gp;Guadalupe;Guadalupe</t>
  </si>
  <si>
    <t>en-gg;Guernesey;Guernsey</t>
  </si>
  <si>
    <t>fr-gf;Guayana Francesa;Guiana Francesa</t>
  </si>
  <si>
    <t>fr-gn;Guinea;Guiné</t>
  </si>
  <si>
    <t>es-gq;Guinea Ecuatorial;Guiné Equatorial</t>
  </si>
  <si>
    <t>pt-gw;Guinea-Bisáu;Guiné-Bissau</t>
  </si>
  <si>
    <t>fr-ht;Haití;Haiti</t>
  </si>
  <si>
    <t>hu-hu;Hungría;Hungria</t>
  </si>
  <si>
    <t>ar-ye;Yemen;Iêmen</t>
  </si>
  <si>
    <t>en-cx;Isla Christmas;Ilha Christmas</t>
  </si>
  <si>
    <t>en-nf;Isla Norfolk;Ilha Norfolk</t>
  </si>
  <si>
    <t>en-ky;Islas Caimán;Ilhas Cayman</t>
  </si>
  <si>
    <t>en-cc;Islas Cocos;Ilhas Cocos (Keeling)</t>
  </si>
  <si>
    <t>en-ck;Islas Cook;Ilhas Cook</t>
  </si>
  <si>
    <t>fo-fo;Islas Feroe;Ilhas Faroe</t>
  </si>
  <si>
    <t>en-fk;Islas Malvinas;Ilhas Malvinas</t>
  </si>
  <si>
    <t>en-mp;Islas Marianas del Norte;Ilhas Marianas do Norte</t>
  </si>
  <si>
    <t>en-mh;Islas Marshall;Ilhas Marshall</t>
  </si>
  <si>
    <t>en-pn;Islas Pitcairn;Ilhas Pitcairn</t>
  </si>
  <si>
    <t>en-sb;Islas Salomón;Ilhas Salomão</t>
  </si>
  <si>
    <t>en-tc;Islas Turcas y Caicos;Ilhas Turcas e Caicos</t>
  </si>
  <si>
    <t>en-vi;Islas Vírgenes de EE. UU.;Ilhas Virgens Americanas</t>
  </si>
  <si>
    <t>en-vg;Islas Vírgenes Británicas;Ilhas Virgens Britânicas</t>
  </si>
  <si>
    <t>id-id;Indonesia;Indonésia</t>
  </si>
  <si>
    <t>fa-ir;Irán;Irã</t>
  </si>
  <si>
    <t>ar-iq;Irak;Iraque</t>
  </si>
  <si>
    <t>en-ie;Irlanda;Irlanda</t>
  </si>
  <si>
    <t>is-is;Islandia;Islândia</t>
  </si>
  <si>
    <t>he-il;Israel;Israel</t>
  </si>
  <si>
    <t>it-it;Italia;Itália</t>
  </si>
  <si>
    <t>ja-jp;Japón;Japão</t>
  </si>
  <si>
    <t>ar-jo;Jordania;Jordânia</t>
  </si>
  <si>
    <t>ar-kw;Kuwait;Kuwait</t>
  </si>
  <si>
    <t>lo-la;Laos;Laos</t>
  </si>
  <si>
    <t>en-ls;Lesoto;Lesoto</t>
  </si>
  <si>
    <t>lv-lv;Letonia;Letônia</t>
  </si>
  <si>
    <t>ar-lb;Líbano;Líbano</t>
  </si>
  <si>
    <t>ar-ly;Libia;Líbia</t>
  </si>
  <si>
    <t>lt-lt;Lituania;Lituânia</t>
  </si>
  <si>
    <t>fr-lu;Luxemburgo;Luxemburgo</t>
  </si>
  <si>
    <t>mk-mk;Macedonia del Norte;Macedônia do Norte</t>
  </si>
  <si>
    <t>ms-my;Malasia;Malásia</t>
  </si>
  <si>
    <t>en-mw;Malaui;Malaui</t>
  </si>
  <si>
    <t>dv-mv;Maldivas;Maldivas</t>
  </si>
  <si>
    <t>fr-ml;Mali;Mali</t>
  </si>
  <si>
    <t>ar-ma;Marruecos;Marrocos</t>
  </si>
  <si>
    <t>fr-mq;Martinica;Martinica</t>
  </si>
  <si>
    <t>en-mu;Mauricio;Maurício</t>
  </si>
  <si>
    <t>ar-mr;Mauritania;Mauritânia</t>
  </si>
  <si>
    <t>es-mx;México;México</t>
  </si>
  <si>
    <t>pt-mz;Mozambique;Moçambique</t>
  </si>
  <si>
    <t>ro-md;Moldova;Moldova</t>
  </si>
  <si>
    <t>fr-mc;Mónaco;Mônaco</t>
  </si>
  <si>
    <t>sr-me;Montenegro;Montenegro</t>
  </si>
  <si>
    <t>en-mm;Myanmar;Myanmar</t>
  </si>
  <si>
    <t>af-na;Namibia;Namíbia</t>
  </si>
  <si>
    <t>fr-ne;Níger;Níger</t>
  </si>
  <si>
    <t>nb-no;Noruega;Noruega</t>
  </si>
  <si>
    <t>fr-nc;Nueva Caledonia;Nova Caledônia</t>
  </si>
  <si>
    <t>en-nz;Nueva Zelanda;Nova Zelândia</t>
  </si>
  <si>
    <t>ar-om;Omán;Omã</t>
  </si>
  <si>
    <t>nl-nl;Países Bajos;Países Baixos</t>
  </si>
  <si>
    <t>en-pw;Palaos;Palau</t>
  </si>
  <si>
    <t>es-pa;Panamá;Panamá</t>
  </si>
  <si>
    <t>en-pg;Papúa Nueva Guinea;Papua-Nova Guiné</t>
  </si>
  <si>
    <t>ur-pk;Pakistán;Paquistão</t>
  </si>
  <si>
    <t>es-pe;Perú;Peru</t>
  </si>
  <si>
    <t>fr-pf;Polinesia Francesa;Polinésia Francesa</t>
  </si>
  <si>
    <t>pl-pl;Polonia;Polônia</t>
  </si>
  <si>
    <t>sw-ke;Kenia;Quênia</t>
  </si>
  <si>
    <t>ky-kg;Kirguistán;Quirguistão</t>
  </si>
  <si>
    <t>zh-hk;RAE de Hong Kong;RAE de Hong Kong</t>
  </si>
  <si>
    <t>zh-mo;RAE de Macao;RAE de Macau</t>
  </si>
  <si>
    <t>en-gb;Reino Unido;Reino Unido</t>
  </si>
  <si>
    <t>fr-cf;República Centroafricana;República Centro-Africana</t>
  </si>
  <si>
    <t>es-do;República Dominicana;República Dominicana</t>
  </si>
  <si>
    <t>fr-re;Reunión;Reunião</t>
  </si>
  <si>
    <t>ro-ro;Rumania;Romênia</t>
  </si>
  <si>
    <t>rw-rw;Ruanda;Ruanda</t>
  </si>
  <si>
    <t>ru-ru;Rusia;Rússia</t>
  </si>
  <si>
    <t>fr-mf;San Martín;Saint Martin</t>
  </si>
  <si>
    <t>en-as;Samoa Americana;Samoa Americana</t>
  </si>
  <si>
    <t>it-sm;San Marino;San Marino</t>
  </si>
  <si>
    <t>en-sh;Santa Elena, Ascensión y Tristán da Cunha;Santa Helena, Ascensão e Tristão da Cunha</t>
  </si>
  <si>
    <t>en-lc;Santa Lucía;Santa Lúcia</t>
  </si>
  <si>
    <t>fr-bl;San Bartolomé;São Bartolomeu</t>
  </si>
  <si>
    <t>en-kn;San Cristóbal y Nieves;São Cristóvão e Névis</t>
  </si>
  <si>
    <t>fr-pm;San Pedro y Miquelón;São Pedro e Miquelão</t>
  </si>
  <si>
    <t>pt-st;Santo Tomé y Príncipe;São Tomé e Príncipe</t>
  </si>
  <si>
    <t>en-vc;San Vicente y las Granadinas;São Vicente e Granadinas</t>
  </si>
  <si>
    <t>en-sl;Sierra Leona;Serra Leoa</t>
  </si>
  <si>
    <t>sr-latn-rs;Serbia;Sérvia</t>
  </si>
  <si>
    <t>en-sg;Singapur;Singapura</t>
  </si>
  <si>
    <t>ar-sy;Siria;Síria</t>
  </si>
  <si>
    <t>so-so;Somalia;Somália</t>
  </si>
  <si>
    <t>ar-sd;Sudán;Sudão</t>
  </si>
  <si>
    <t>en-ss;Sudán del Sur;Sudão do Sul</t>
  </si>
  <si>
    <t>sv-se;Suecia;Suécia</t>
  </si>
  <si>
    <t>de-ch;Suiza - Alemán;Suíça - Alemão</t>
  </si>
  <si>
    <t>fr-ch;Suiza - Francés;Suíça - Francês</t>
  </si>
  <si>
    <t>nl-sr;Surinam;Suriname</t>
  </si>
  <si>
    <t>tg-cyrl-tj;Tayikistán;Tadjiquistão</t>
  </si>
  <si>
    <t>th-th;Tailandia;Tailândia</t>
  </si>
  <si>
    <t>zh-tw;Taiwán;Taiwan</t>
  </si>
  <si>
    <t>cs-cz;Chequia;Tchéquia</t>
  </si>
  <si>
    <t>en-tt;Trinidad y Tobago;Trinidad e Tobago</t>
  </si>
  <si>
    <t>ar-tn;Túnez;Tunísia</t>
  </si>
  <si>
    <t>tk-tm;Turkmenistán;Turcomenistão</t>
  </si>
  <si>
    <t>tr-tr;Turquía;Turquia</t>
  </si>
  <si>
    <t>uk-ua;Ucrania;Ucrânia</t>
  </si>
  <si>
    <t>uz-latn-uz;Uzbekistán;Uzbequistão</t>
  </si>
  <si>
    <t>vi-vn;Vietnam;Vietnã</t>
  </si>
  <si>
    <t>fr-wf;Wallis y Futuna;Wallis e Futuna</t>
  </si>
  <si>
    <t>en-zw;Zimbabue;Zimbábue</t>
  </si>
  <si>
    <t>CODIGO</t>
  </si>
  <si>
    <t>PORTUGUES</t>
  </si>
  <si>
    <t>INGLES</t>
  </si>
  <si>
    <t>ESPANHOL</t>
  </si>
  <si>
    <t>prs-af</t>
  </si>
  <si>
    <t>Afeganistão</t>
  </si>
  <si>
    <t>Afghanistan</t>
  </si>
  <si>
    <t>Afganistán</t>
  </si>
  <si>
    <t>en-za</t>
  </si>
  <si>
    <t>África do Sul</t>
  </si>
  <si>
    <t>South Africa</t>
  </si>
  <si>
    <t>Sudáfrica</t>
  </si>
  <si>
    <t>sq-al</t>
  </si>
  <si>
    <t>Albânia</t>
  </si>
  <si>
    <t>Albania</t>
  </si>
  <si>
    <t>de-de</t>
  </si>
  <si>
    <t>Alemanha</t>
  </si>
  <si>
    <t>Germany</t>
  </si>
  <si>
    <t>Alemania</t>
  </si>
  <si>
    <t>ca-ad</t>
  </si>
  <si>
    <t>Andorra</t>
  </si>
  <si>
    <t>pt-ao</t>
  </si>
  <si>
    <t>en-ai</t>
  </si>
  <si>
    <t>Anguila</t>
  </si>
  <si>
    <t>Anguilla</t>
  </si>
  <si>
    <t>en-ag</t>
  </si>
  <si>
    <t>Antígua e Barbuda</t>
  </si>
  <si>
    <t>Antigua and Barbuda</t>
  </si>
  <si>
    <t>Antigua y Barbuda</t>
  </si>
  <si>
    <t>ar-sa</t>
  </si>
  <si>
    <t>Saudi Arabia</t>
  </si>
  <si>
    <t>Arabia Saudí</t>
  </si>
  <si>
    <t>ar-dz</t>
  </si>
  <si>
    <t>Algeria</t>
  </si>
  <si>
    <t>Argelia</t>
  </si>
  <si>
    <t>es-ar</t>
  </si>
  <si>
    <t>Argentina</t>
  </si>
  <si>
    <t>hy-am</t>
  </si>
  <si>
    <t>Armênia</t>
  </si>
  <si>
    <t>Armenia</t>
  </si>
  <si>
    <t>nl-aw</t>
  </si>
  <si>
    <t>Aruba</t>
  </si>
  <si>
    <t>en-au</t>
  </si>
  <si>
    <t>Austrália</t>
  </si>
  <si>
    <t>Australia</t>
  </si>
  <si>
    <t>de-at</t>
  </si>
  <si>
    <t>Áustria</t>
  </si>
  <si>
    <t>Austria</t>
  </si>
  <si>
    <t>ar-ps</t>
  </si>
  <si>
    <t>Palestinian Authority</t>
  </si>
  <si>
    <t>Autoridad Palestina</t>
  </si>
  <si>
    <t>az-latn-az</t>
  </si>
  <si>
    <t>Azerbaijan</t>
  </si>
  <si>
    <t>Azerbaiyán</t>
  </si>
  <si>
    <t>en-bs</t>
  </si>
  <si>
    <t>Bahamas</t>
  </si>
  <si>
    <t>ar-bh</t>
  </si>
  <si>
    <t>Bahrain</t>
  </si>
  <si>
    <t>Baréin</t>
  </si>
  <si>
    <t>bn-bd</t>
  </si>
  <si>
    <t>Bangladés</t>
  </si>
  <si>
    <t>en-bb</t>
  </si>
  <si>
    <t>Barbados</t>
  </si>
  <si>
    <t>be-by</t>
  </si>
  <si>
    <t>Belarus</t>
  </si>
  <si>
    <t>Belarús</t>
  </si>
  <si>
    <t>fr-be</t>
  </si>
  <si>
    <t>Bélgica - Francês</t>
  </si>
  <si>
    <t>Belgium - French</t>
  </si>
  <si>
    <t>Bélgica - Francés</t>
  </si>
  <si>
    <t>nl-be</t>
  </si>
  <si>
    <t>Bélgica - Holandês</t>
  </si>
  <si>
    <t>Belgium - Dutch</t>
  </si>
  <si>
    <t>Bélgica - Neerlandés</t>
  </si>
  <si>
    <t>en-bz</t>
  </si>
  <si>
    <t>Belize</t>
  </si>
  <si>
    <t>Belice</t>
  </si>
  <si>
    <t>fr-bj</t>
  </si>
  <si>
    <t>Benín</t>
  </si>
  <si>
    <t>en-bm</t>
  </si>
  <si>
    <t>Bermudas</t>
  </si>
  <si>
    <t>Bermuda</t>
  </si>
  <si>
    <t>es-bo</t>
  </si>
  <si>
    <t>Bolívia</t>
  </si>
  <si>
    <t>Bolivia</t>
  </si>
  <si>
    <t>bs-latn-ba</t>
  </si>
  <si>
    <t>Bosnia &amp; Herzegovina</t>
  </si>
  <si>
    <t>Bosnia y Herzegovina</t>
  </si>
  <si>
    <t>en-bw</t>
  </si>
  <si>
    <t>Botsuana</t>
  </si>
  <si>
    <t>Botswana</t>
  </si>
  <si>
    <t>pt-br</t>
  </si>
  <si>
    <t>Brasil</t>
  </si>
  <si>
    <t>Brazil</t>
  </si>
  <si>
    <t>ms-bn</t>
  </si>
  <si>
    <t>Brunei</t>
  </si>
  <si>
    <t>Brunéi</t>
  </si>
  <si>
    <t>bg-bg</t>
  </si>
  <si>
    <t>Bulgária</t>
  </si>
  <si>
    <t>Bulgaria</t>
  </si>
  <si>
    <t>fr-bf</t>
  </si>
  <si>
    <t>Burkina Faso</t>
  </si>
  <si>
    <t>fr-bi</t>
  </si>
  <si>
    <t>Burundi</t>
  </si>
  <si>
    <t>bo-bt</t>
  </si>
  <si>
    <t>Butão</t>
  </si>
  <si>
    <t>Bhutan</t>
  </si>
  <si>
    <t>Bután</t>
  </si>
  <si>
    <t>pt-cv</t>
  </si>
  <si>
    <t>fr-cm</t>
  </si>
  <si>
    <t>Camarões</t>
  </si>
  <si>
    <t>Cameroon</t>
  </si>
  <si>
    <t>Camerún</t>
  </si>
  <si>
    <t>km-kh</t>
  </si>
  <si>
    <t>Camboja</t>
  </si>
  <si>
    <t>Cambodia</t>
  </si>
  <si>
    <t>Camboya</t>
  </si>
  <si>
    <t>fr-ca</t>
  </si>
  <si>
    <t>Canadá - Francês</t>
  </si>
  <si>
    <t>Canada - French</t>
  </si>
  <si>
    <t>Canadá - Francés</t>
  </si>
  <si>
    <t>en-ca</t>
  </si>
  <si>
    <t>Canadá - Inglês</t>
  </si>
  <si>
    <t>Canada - English</t>
  </si>
  <si>
    <t>Canadá - Inglés</t>
  </si>
  <si>
    <t>ar-qa</t>
  </si>
  <si>
    <t>Qatar</t>
  </si>
  <si>
    <t>kk-kz</t>
  </si>
  <si>
    <t>Cazaquistão</t>
  </si>
  <si>
    <t>Kazakhstan</t>
  </si>
  <si>
    <t>Kazajistán</t>
  </si>
  <si>
    <t>fr-td</t>
  </si>
  <si>
    <t>Chad</t>
  </si>
  <si>
    <t>es-cl</t>
  </si>
  <si>
    <t>Chile</t>
  </si>
  <si>
    <t>zh-cn</t>
  </si>
  <si>
    <t>China</t>
  </si>
  <si>
    <t>en-cy</t>
  </si>
  <si>
    <t>Chipre</t>
  </si>
  <si>
    <t>Cyprus</t>
  </si>
  <si>
    <t>it-va</t>
  </si>
  <si>
    <t>Cidade do Vaticano</t>
  </si>
  <si>
    <t>Vatican City</t>
  </si>
  <si>
    <t>Ciudad del Vaticano</t>
  </si>
  <si>
    <t>es-co</t>
  </si>
  <si>
    <t>Colômbia</t>
  </si>
  <si>
    <t>Colombia</t>
  </si>
  <si>
    <t>fr-km</t>
  </si>
  <si>
    <t>Comores</t>
  </si>
  <si>
    <t>Comoros</t>
  </si>
  <si>
    <t>Comoras</t>
  </si>
  <si>
    <t>fr-cg</t>
  </si>
  <si>
    <t>Congo</t>
  </si>
  <si>
    <t>fr-cd</t>
  </si>
  <si>
    <t>Congo (RDC)</t>
  </si>
  <si>
    <t>Congo (DRC)</t>
  </si>
  <si>
    <t>ko-kr</t>
  </si>
  <si>
    <t>Coreia do Sul</t>
  </si>
  <si>
    <t>Korea</t>
  </si>
  <si>
    <t>Corea del Sur</t>
  </si>
  <si>
    <t>es-cr</t>
  </si>
  <si>
    <t>Costa Rica</t>
  </si>
  <si>
    <t>fr-ci</t>
  </si>
  <si>
    <t>Côte d'Ivoire</t>
  </si>
  <si>
    <t>hr-hr</t>
  </si>
  <si>
    <t>Croácia</t>
  </si>
  <si>
    <t>Croatia</t>
  </si>
  <si>
    <t>Croacia</t>
  </si>
  <si>
    <t>nl-cw</t>
  </si>
  <si>
    <t>Curaçao</t>
  </si>
  <si>
    <t>Curazao</t>
  </si>
  <si>
    <t>da-dk</t>
  </si>
  <si>
    <t>Dinamarca</t>
  </si>
  <si>
    <t>Denmark</t>
  </si>
  <si>
    <t>fr-dj</t>
  </si>
  <si>
    <t>Djibouti</t>
  </si>
  <si>
    <t>Yibuti</t>
  </si>
  <si>
    <t>en-dm</t>
  </si>
  <si>
    <t>Dominica</t>
  </si>
  <si>
    <t>ar-eg</t>
  </si>
  <si>
    <t>Egypt</t>
  </si>
  <si>
    <t>Egipto</t>
  </si>
  <si>
    <t>es-sv</t>
  </si>
  <si>
    <t>El Salvador</t>
  </si>
  <si>
    <t>ar-ae</t>
  </si>
  <si>
    <t>United Arab Emirates</t>
  </si>
  <si>
    <t>Emiratos Árabes Unidos</t>
  </si>
  <si>
    <t>es-ec</t>
  </si>
  <si>
    <t>Equador</t>
  </si>
  <si>
    <t>Ecuador</t>
  </si>
  <si>
    <t>ti-er</t>
  </si>
  <si>
    <t>Eritreia</t>
  </si>
  <si>
    <t>Eritrea</t>
  </si>
  <si>
    <t>sk-sk</t>
  </si>
  <si>
    <t>Slovakia</t>
  </si>
  <si>
    <t>Eslovaquia</t>
  </si>
  <si>
    <t>sl-si</t>
  </si>
  <si>
    <t>Eslovênia</t>
  </si>
  <si>
    <t>Slovenia</t>
  </si>
  <si>
    <t>Eslovenia</t>
  </si>
  <si>
    <t>es-es</t>
  </si>
  <si>
    <t>Espanha</t>
  </si>
  <si>
    <t>Spain</t>
  </si>
  <si>
    <t>España</t>
  </si>
  <si>
    <t>en-sz</t>
  </si>
  <si>
    <t>Essuatíni</t>
  </si>
  <si>
    <t>Eswatini</t>
  </si>
  <si>
    <t>Suazilandia</t>
  </si>
  <si>
    <t>es-us</t>
  </si>
  <si>
    <t>Estados Unidos - Espanhol</t>
  </si>
  <si>
    <t>United States - Spanish</t>
  </si>
  <si>
    <t>Estados Unidos - Español</t>
  </si>
  <si>
    <t>en-us</t>
  </si>
  <si>
    <t>Estados Unidos - Inglês</t>
  </si>
  <si>
    <t>United States - English</t>
  </si>
  <si>
    <t>Estados Unidos - Inglés</t>
  </si>
  <si>
    <t>et-ee</t>
  </si>
  <si>
    <t>Estônia</t>
  </si>
  <si>
    <t>Estonia</t>
  </si>
  <si>
    <t>am-et</t>
  </si>
  <si>
    <t>Etiópia</t>
  </si>
  <si>
    <t>Ethiopia</t>
  </si>
  <si>
    <t>Etiopía</t>
  </si>
  <si>
    <t>en-fj</t>
  </si>
  <si>
    <t>Fiji</t>
  </si>
  <si>
    <t>Fiyi</t>
  </si>
  <si>
    <t>en-ph</t>
  </si>
  <si>
    <t>Filipinas</t>
  </si>
  <si>
    <t>Philippines</t>
  </si>
  <si>
    <t>fi-fi</t>
  </si>
  <si>
    <t>Finlândia</t>
  </si>
  <si>
    <t>Finland</t>
  </si>
  <si>
    <t>Finlandia</t>
  </si>
  <si>
    <t>fr-fr</t>
  </si>
  <si>
    <t>França</t>
  </si>
  <si>
    <t>France</t>
  </si>
  <si>
    <t>Francia</t>
  </si>
  <si>
    <t>fr-ga</t>
  </si>
  <si>
    <t>Gabão</t>
  </si>
  <si>
    <t>Gabon</t>
  </si>
  <si>
    <t>Gabón</t>
  </si>
  <si>
    <t>en-gm</t>
  </si>
  <si>
    <t>Gâmbia</t>
  </si>
  <si>
    <t>Gambia</t>
  </si>
  <si>
    <t>en-gh</t>
  </si>
  <si>
    <t>Gana</t>
  </si>
  <si>
    <t>Ghana</t>
  </si>
  <si>
    <t>ka-ge</t>
  </si>
  <si>
    <t>Geórgia</t>
  </si>
  <si>
    <t>Georgia</t>
  </si>
  <si>
    <t>en-gi</t>
  </si>
  <si>
    <t>Gibraltar</t>
  </si>
  <si>
    <t>en-gd</t>
  </si>
  <si>
    <t>Granada</t>
  </si>
  <si>
    <t>Grenada</t>
  </si>
  <si>
    <t>el-gr</t>
  </si>
  <si>
    <t>Greece</t>
  </si>
  <si>
    <t>Grecia</t>
  </si>
  <si>
    <t>kl-gl</t>
  </si>
  <si>
    <t>Groenlândia</t>
  </si>
  <si>
    <t>Greenland</t>
  </si>
  <si>
    <t>Groenlandia</t>
  </si>
  <si>
    <t>fr-gp</t>
  </si>
  <si>
    <t>Guadalupe</t>
  </si>
  <si>
    <t>Guadeloupe</t>
  </si>
  <si>
    <t>en-gu</t>
  </si>
  <si>
    <t>Guam</t>
  </si>
  <si>
    <t>es-gt</t>
  </si>
  <si>
    <t>Guatemala</t>
  </si>
  <si>
    <t>en-gg</t>
  </si>
  <si>
    <t>Guernsey</t>
  </si>
  <si>
    <t>Guernesey</t>
  </si>
  <si>
    <t>en-gy</t>
  </si>
  <si>
    <t>Guiana</t>
  </si>
  <si>
    <t>Guyana</t>
  </si>
  <si>
    <t>fr-gf</t>
  </si>
  <si>
    <t>Guiana Francesa</t>
  </si>
  <si>
    <t>French Guiana</t>
  </si>
  <si>
    <t>Guayana Francesa</t>
  </si>
  <si>
    <t>fr-gn</t>
  </si>
  <si>
    <t>Guinea</t>
  </si>
  <si>
    <t>es-gq</t>
  </si>
  <si>
    <t>Equatorial Guinea</t>
  </si>
  <si>
    <t>Guinea Ecuatorial</t>
  </si>
  <si>
    <t>pt-gw</t>
  </si>
  <si>
    <t>Guinea-Bissau</t>
  </si>
  <si>
    <t>Guinea-Bisáu</t>
  </si>
  <si>
    <t>fr-ht</t>
  </si>
  <si>
    <t>Haiti</t>
  </si>
  <si>
    <t>Haití</t>
  </si>
  <si>
    <t>es-hn</t>
  </si>
  <si>
    <t>Honduras</t>
  </si>
  <si>
    <t>hu-hu</t>
  </si>
  <si>
    <t>Hungary</t>
  </si>
  <si>
    <t>Hungría</t>
  </si>
  <si>
    <t>ar-ye</t>
  </si>
  <si>
    <t>Yemen</t>
  </si>
  <si>
    <t>en-cx</t>
  </si>
  <si>
    <t>Ilha Christmas</t>
  </si>
  <si>
    <t>Christmas Island</t>
  </si>
  <si>
    <t>Isla Christmas</t>
  </si>
  <si>
    <t>en-nf</t>
  </si>
  <si>
    <t>Ilha Norfolk</t>
  </si>
  <si>
    <t>Norfolk Island</t>
  </si>
  <si>
    <t>Isla Norfolk</t>
  </si>
  <si>
    <t>en-ky</t>
  </si>
  <si>
    <t>Ilhas Cayman</t>
  </si>
  <si>
    <t>Cayman Islands</t>
  </si>
  <si>
    <t>Islas Caimán</t>
  </si>
  <si>
    <t>en-cc</t>
  </si>
  <si>
    <t>Ilhas Cocos (Keeling)</t>
  </si>
  <si>
    <t>Cocos (Keeling) Islands</t>
  </si>
  <si>
    <t>Islas Cocos</t>
  </si>
  <si>
    <t>en-ck</t>
  </si>
  <si>
    <t>Ilhas Cook</t>
  </si>
  <si>
    <t>Cook Islands</t>
  </si>
  <si>
    <t>Islas Cook</t>
  </si>
  <si>
    <t>fo-fo</t>
  </si>
  <si>
    <t>Ilhas Faroe</t>
  </si>
  <si>
    <t>Faroe Islands</t>
  </si>
  <si>
    <t>Islas Feroe</t>
  </si>
  <si>
    <t>en-fk</t>
  </si>
  <si>
    <t>Ilhas Malvinas</t>
  </si>
  <si>
    <t>Falkland Islands</t>
  </si>
  <si>
    <t>Islas Malvinas</t>
  </si>
  <si>
    <t>en-mp</t>
  </si>
  <si>
    <t>Ilhas Marianas do Norte</t>
  </si>
  <si>
    <t>Northern Mariana Islands</t>
  </si>
  <si>
    <t>Islas Marianas del Norte</t>
  </si>
  <si>
    <t>en-mh</t>
  </si>
  <si>
    <t>Ilhas Marshall</t>
  </si>
  <si>
    <t>Marshall Islands</t>
  </si>
  <si>
    <t>Islas Marshall</t>
  </si>
  <si>
    <t>en-pn</t>
  </si>
  <si>
    <t>Ilhas Pitcairn</t>
  </si>
  <si>
    <t>Pitcairn Islands</t>
  </si>
  <si>
    <t>Islas Pitcairn</t>
  </si>
  <si>
    <t>en-sb</t>
  </si>
  <si>
    <t>Ilhas Salomão</t>
  </si>
  <si>
    <t>Solomon Islands</t>
  </si>
  <si>
    <t>Islas Salomón</t>
  </si>
  <si>
    <t>en-tc</t>
  </si>
  <si>
    <t>Ilhas Turcas e Caicos</t>
  </si>
  <si>
    <t>Turks and Caicos Islands</t>
  </si>
  <si>
    <t>Islas Turcas y Caicos</t>
  </si>
  <si>
    <t>en-vi</t>
  </si>
  <si>
    <t>Ilhas Virgens Americanas</t>
  </si>
  <si>
    <t>U.S. Virgin Islands</t>
  </si>
  <si>
    <t>Islas Vírgenes de EE. UU.</t>
  </si>
  <si>
    <t>en-vg</t>
  </si>
  <si>
    <t>Ilhas Virgens Britânicas</t>
  </si>
  <si>
    <t>British Virgin Islands</t>
  </si>
  <si>
    <t>Islas Vírgenes Británicas</t>
  </si>
  <si>
    <t>en-in</t>
  </si>
  <si>
    <t>Índia</t>
  </si>
  <si>
    <t>India</t>
  </si>
  <si>
    <t>id-id</t>
  </si>
  <si>
    <t>Indonésia</t>
  </si>
  <si>
    <t>Indonesia</t>
  </si>
  <si>
    <t>fa-ir</t>
  </si>
  <si>
    <t>Irã</t>
  </si>
  <si>
    <t>Iran</t>
  </si>
  <si>
    <t>Irán</t>
  </si>
  <si>
    <t>ar-iq</t>
  </si>
  <si>
    <t>Iraq</t>
  </si>
  <si>
    <t>Irak</t>
  </si>
  <si>
    <t>en-ie</t>
  </si>
  <si>
    <t>Irlanda</t>
  </si>
  <si>
    <t>Ireland</t>
  </si>
  <si>
    <t>is-is</t>
  </si>
  <si>
    <t>Islândia</t>
  </si>
  <si>
    <t>Iceland</t>
  </si>
  <si>
    <t>Islandia</t>
  </si>
  <si>
    <t>he-il</t>
  </si>
  <si>
    <t>Israel</t>
  </si>
  <si>
    <t>it-it</t>
  </si>
  <si>
    <t>Itália</t>
  </si>
  <si>
    <t>Italy</t>
  </si>
  <si>
    <t>Italia</t>
  </si>
  <si>
    <t>en-jm</t>
  </si>
  <si>
    <t>Jamaica</t>
  </si>
  <si>
    <t>ja-jp</t>
  </si>
  <si>
    <t>Japão</t>
  </si>
  <si>
    <t>Japan</t>
  </si>
  <si>
    <t>Japón</t>
  </si>
  <si>
    <t>en-je</t>
  </si>
  <si>
    <t>Jersey</t>
  </si>
  <si>
    <t>ar-jo</t>
  </si>
  <si>
    <t>Jordan</t>
  </si>
  <si>
    <t>Jordania</t>
  </si>
  <si>
    <t>ar-kw</t>
  </si>
  <si>
    <t>lo-la</t>
  </si>
  <si>
    <t>en-ls</t>
  </si>
  <si>
    <t>Lesoto</t>
  </si>
  <si>
    <t>Lesotho</t>
  </si>
  <si>
    <t>lv-lv</t>
  </si>
  <si>
    <t>Letônia</t>
  </si>
  <si>
    <t>Latvia</t>
  </si>
  <si>
    <t>Letonia</t>
  </si>
  <si>
    <t>ar-lb</t>
  </si>
  <si>
    <t>Lebanon</t>
  </si>
  <si>
    <t>en-lr</t>
  </si>
  <si>
    <t>Libéria</t>
  </si>
  <si>
    <t>Liberia</t>
  </si>
  <si>
    <t>ar-ly</t>
  </si>
  <si>
    <t>Libya</t>
  </si>
  <si>
    <t>Libia</t>
  </si>
  <si>
    <t>de-li</t>
  </si>
  <si>
    <t>Liechtenstein</t>
  </si>
  <si>
    <t>lt-lt</t>
  </si>
  <si>
    <t>Lituânia</t>
  </si>
  <si>
    <t>Lithuania</t>
  </si>
  <si>
    <t>Lituania</t>
  </si>
  <si>
    <t>fr-lu</t>
  </si>
  <si>
    <t>Luxemburgo</t>
  </si>
  <si>
    <t>Luxembourg</t>
  </si>
  <si>
    <t>mk-mk</t>
  </si>
  <si>
    <t>Macedônia do Norte</t>
  </si>
  <si>
    <t>North Macedonia</t>
  </si>
  <si>
    <t>Macedonia del Norte</t>
  </si>
  <si>
    <t>fr-mg</t>
  </si>
  <si>
    <t>Madagascar</t>
  </si>
  <si>
    <t>ms-my</t>
  </si>
  <si>
    <t>Malásia</t>
  </si>
  <si>
    <t>Malaysia</t>
  </si>
  <si>
    <t>Malasia</t>
  </si>
  <si>
    <t>en-mw</t>
  </si>
  <si>
    <t>Malaui</t>
  </si>
  <si>
    <t>Malawi</t>
  </si>
  <si>
    <t>dv-mv</t>
  </si>
  <si>
    <t>Maldives</t>
  </si>
  <si>
    <t>fr-ml</t>
  </si>
  <si>
    <t>mt-mt</t>
  </si>
  <si>
    <t>Malta</t>
  </si>
  <si>
    <t>ar-ma</t>
  </si>
  <si>
    <t>Morocco</t>
  </si>
  <si>
    <t>Marruecos</t>
  </si>
  <si>
    <t>fr-mq</t>
  </si>
  <si>
    <t>Martinica</t>
  </si>
  <si>
    <t>Martinique</t>
  </si>
  <si>
    <t>en-mu</t>
  </si>
  <si>
    <t>Maurício</t>
  </si>
  <si>
    <t>Mauritius</t>
  </si>
  <si>
    <t>Mauricio</t>
  </si>
  <si>
    <t>ar-mr</t>
  </si>
  <si>
    <t>Mauritania</t>
  </si>
  <si>
    <t>fr-yt</t>
  </si>
  <si>
    <t>Mayotte</t>
  </si>
  <si>
    <t>es-mx</t>
  </si>
  <si>
    <t>México</t>
  </si>
  <si>
    <t>Mexico</t>
  </si>
  <si>
    <t>en-fm</t>
  </si>
  <si>
    <t>Micronésia</t>
  </si>
  <si>
    <t>Micronesia</t>
  </si>
  <si>
    <t>pt-mz</t>
  </si>
  <si>
    <t>Mozambique</t>
  </si>
  <si>
    <t>ro-md</t>
  </si>
  <si>
    <t>fr-mc</t>
  </si>
  <si>
    <t>Mônaco</t>
  </si>
  <si>
    <t>Monaco</t>
  </si>
  <si>
    <t>Mónaco</t>
  </si>
  <si>
    <t>mn-mn</t>
  </si>
  <si>
    <t>Mongólia</t>
  </si>
  <si>
    <t>Mongolia</t>
  </si>
  <si>
    <t>sr-me</t>
  </si>
  <si>
    <t>en-ms</t>
  </si>
  <si>
    <t>Montserrat</t>
  </si>
  <si>
    <t>en-mm</t>
  </si>
  <si>
    <t>af-na</t>
  </si>
  <si>
    <t>Namíbia</t>
  </si>
  <si>
    <t>Namibia</t>
  </si>
  <si>
    <t>en-nr</t>
  </si>
  <si>
    <t>Nauru</t>
  </si>
  <si>
    <t>ne-np</t>
  </si>
  <si>
    <t>Nepal</t>
  </si>
  <si>
    <t>es-ni</t>
  </si>
  <si>
    <t>Nicarágua</t>
  </si>
  <si>
    <t>Nicaragua</t>
  </si>
  <si>
    <t>fr-ne</t>
  </si>
  <si>
    <t>Niger</t>
  </si>
  <si>
    <t>en-ng</t>
  </si>
  <si>
    <t>Nigéria</t>
  </si>
  <si>
    <t>Nigeria</t>
  </si>
  <si>
    <t>en-nu</t>
  </si>
  <si>
    <t>Niue</t>
  </si>
  <si>
    <t>nb-no</t>
  </si>
  <si>
    <t>Noruega</t>
  </si>
  <si>
    <t>Norway</t>
  </si>
  <si>
    <t>fr-nc</t>
  </si>
  <si>
    <t>Nova Caledônia</t>
  </si>
  <si>
    <t>New Caledonia</t>
  </si>
  <si>
    <t>Nueva Caledonia</t>
  </si>
  <si>
    <t>en-nz</t>
  </si>
  <si>
    <t>Nova Zelândia</t>
  </si>
  <si>
    <t>New Zealand</t>
  </si>
  <si>
    <t>Nueva Zelanda</t>
  </si>
  <si>
    <t>ar-om</t>
  </si>
  <si>
    <t>Oman</t>
  </si>
  <si>
    <t>Omán</t>
  </si>
  <si>
    <t>nl-nl</t>
  </si>
  <si>
    <t>Países Baixos</t>
  </si>
  <si>
    <t>Netherlands</t>
  </si>
  <si>
    <t>Países Bajos</t>
  </si>
  <si>
    <t>en-pw</t>
  </si>
  <si>
    <t>Palau</t>
  </si>
  <si>
    <t>Palaos</t>
  </si>
  <si>
    <t>es-pa</t>
  </si>
  <si>
    <t>Panamá</t>
  </si>
  <si>
    <t>Panama</t>
  </si>
  <si>
    <t>en-pg</t>
  </si>
  <si>
    <t>Papua-Nova Guiné</t>
  </si>
  <si>
    <t>Papua New Guinea</t>
  </si>
  <si>
    <t>Papúa Nueva Guinea</t>
  </si>
  <si>
    <t>ur-pk</t>
  </si>
  <si>
    <t>Paquistão</t>
  </si>
  <si>
    <t>Pakistan</t>
  </si>
  <si>
    <t>Pakistán</t>
  </si>
  <si>
    <t>es-py</t>
  </si>
  <si>
    <t>Paraguai</t>
  </si>
  <si>
    <t>Paraguay</t>
  </si>
  <si>
    <t>es-pe</t>
  </si>
  <si>
    <t>Peru</t>
  </si>
  <si>
    <t>Perú</t>
  </si>
  <si>
    <t>fr-pf</t>
  </si>
  <si>
    <t>Polinésia Francesa</t>
  </si>
  <si>
    <t>French Polynesia</t>
  </si>
  <si>
    <t>Polinesia Francesa</t>
  </si>
  <si>
    <t>pl-pl</t>
  </si>
  <si>
    <t>Polônia</t>
  </si>
  <si>
    <t>Poland</t>
  </si>
  <si>
    <t>Polonia</t>
  </si>
  <si>
    <t>es-pr</t>
  </si>
  <si>
    <t>Porto Rico</t>
  </si>
  <si>
    <t>Puerto Rico</t>
  </si>
  <si>
    <t>pt-pt</t>
  </si>
  <si>
    <t>Portugal</t>
  </si>
  <si>
    <t>sw-ke</t>
  </si>
  <si>
    <t>Quênia</t>
  </si>
  <si>
    <t>Kenya</t>
  </si>
  <si>
    <t>Kenia</t>
  </si>
  <si>
    <t>ky-kg</t>
  </si>
  <si>
    <t>Quirguistão</t>
  </si>
  <si>
    <t>Kyrgyzstan</t>
  </si>
  <si>
    <t>Kirguistán</t>
  </si>
  <si>
    <t>en-ki</t>
  </si>
  <si>
    <t>Quiribati</t>
  </si>
  <si>
    <t>Kiribati</t>
  </si>
  <si>
    <t>zh-hk</t>
  </si>
  <si>
    <t>RAE de Hong Kong</t>
  </si>
  <si>
    <t>Hong Kong SAR</t>
  </si>
  <si>
    <t>zh-mo</t>
  </si>
  <si>
    <t>RAE de Macau</t>
  </si>
  <si>
    <t>Macao SAR</t>
  </si>
  <si>
    <t>RAE de Macao</t>
  </si>
  <si>
    <t>en-gb</t>
  </si>
  <si>
    <t>Reino Unido</t>
  </si>
  <si>
    <t>United Kingdom</t>
  </si>
  <si>
    <t>fr-cf</t>
  </si>
  <si>
    <t>Central African Republic</t>
  </si>
  <si>
    <t>República Centroafricana</t>
  </si>
  <si>
    <t>es-do</t>
  </si>
  <si>
    <t>República Dominicana</t>
  </si>
  <si>
    <t>Dominican Republic</t>
  </si>
  <si>
    <t>fr-re</t>
  </si>
  <si>
    <t>Réunion</t>
  </si>
  <si>
    <t>Reunión</t>
  </si>
  <si>
    <t>ro-ro</t>
  </si>
  <si>
    <t>Romênia</t>
  </si>
  <si>
    <t>Romania</t>
  </si>
  <si>
    <t>Rumania</t>
  </si>
  <si>
    <t>rw-rw</t>
  </si>
  <si>
    <t>Ruanda</t>
  </si>
  <si>
    <t>Rwanda</t>
  </si>
  <si>
    <t>ru-ru</t>
  </si>
  <si>
    <t>Rússia</t>
  </si>
  <si>
    <t>Russia</t>
  </si>
  <si>
    <t>Rusia</t>
  </si>
  <si>
    <t>fr-mf</t>
  </si>
  <si>
    <t>Saint Martin</t>
  </si>
  <si>
    <t>San Martín</t>
  </si>
  <si>
    <t>en-ws</t>
  </si>
  <si>
    <t>Samoa</t>
  </si>
  <si>
    <t>en-as</t>
  </si>
  <si>
    <t>Samoa Americana</t>
  </si>
  <si>
    <t>American Samoa</t>
  </si>
  <si>
    <t>it-sm</t>
  </si>
  <si>
    <t>en-sh</t>
  </si>
  <si>
    <t>Santa Helena, Ascensão e Tristão da Cunha</t>
  </si>
  <si>
    <t>St Helena, Ascension, Tristan da Cunha</t>
  </si>
  <si>
    <t>Santa Elena, Ascensión y Tristán da Cunha</t>
  </si>
  <si>
    <t>en-lc</t>
  </si>
  <si>
    <t>Santa Lúcia</t>
  </si>
  <si>
    <t>Saint Lucia</t>
  </si>
  <si>
    <t>Santa Lucía</t>
  </si>
  <si>
    <t>fr-bl</t>
  </si>
  <si>
    <t>São Bartolomeu</t>
  </si>
  <si>
    <t>Saint Barthélemy</t>
  </si>
  <si>
    <t>San Bartolomé</t>
  </si>
  <si>
    <t>en-kn</t>
  </si>
  <si>
    <t>São Cristóvão e Névis</t>
  </si>
  <si>
    <t>Saint Kitts and Nevis</t>
  </si>
  <si>
    <t>San Cristóbal y Nieves</t>
  </si>
  <si>
    <t>fr-pm</t>
  </si>
  <si>
    <t>São Pedro e Miquelão</t>
  </si>
  <si>
    <t>Saint Pierre and Miquelon</t>
  </si>
  <si>
    <t>San Pedro y Miquelón</t>
  </si>
  <si>
    <t>pt-st</t>
  </si>
  <si>
    <t>São Tomé &amp; Príncipe</t>
  </si>
  <si>
    <t>Santo Tomé y Príncipe</t>
  </si>
  <si>
    <t>en-vc</t>
  </si>
  <si>
    <t>São Vicente e Granadinas</t>
  </si>
  <si>
    <t>Saint Vincent and the Grenadines</t>
  </si>
  <si>
    <t>San Vicente y las Granadinas</t>
  </si>
  <si>
    <t>en-sc</t>
  </si>
  <si>
    <t>Seicheles</t>
  </si>
  <si>
    <t>Seychelles</t>
  </si>
  <si>
    <t>fr-sn</t>
  </si>
  <si>
    <t>Senegal</t>
  </si>
  <si>
    <t>en-sl</t>
  </si>
  <si>
    <t>Serra Leoa</t>
  </si>
  <si>
    <t>Sierra Leone</t>
  </si>
  <si>
    <t>Sierra Leona</t>
  </si>
  <si>
    <t>sr-latn-rs</t>
  </si>
  <si>
    <t>Serbia</t>
  </si>
  <si>
    <t>en-sg</t>
  </si>
  <si>
    <t>Singapura</t>
  </si>
  <si>
    <t>Singapore</t>
  </si>
  <si>
    <t>Singapur</t>
  </si>
  <si>
    <t>nl-sx</t>
  </si>
  <si>
    <t>Sint Maarten</t>
  </si>
  <si>
    <t>ar-sy</t>
  </si>
  <si>
    <t>Syria</t>
  </si>
  <si>
    <t>Siria</t>
  </si>
  <si>
    <t>so-so</t>
  </si>
  <si>
    <t>Somalia</t>
  </si>
  <si>
    <t>si-lk</t>
  </si>
  <si>
    <t>Sri Lanka</t>
  </si>
  <si>
    <t>ar-sd</t>
  </si>
  <si>
    <t>Sudão</t>
  </si>
  <si>
    <t>Sudan</t>
  </si>
  <si>
    <t>Sudán</t>
  </si>
  <si>
    <t>en-ss</t>
  </si>
  <si>
    <t>Sudão do Sul</t>
  </si>
  <si>
    <t>South Sudan</t>
  </si>
  <si>
    <t>Sudán del Sur</t>
  </si>
  <si>
    <t>sv-se</t>
  </si>
  <si>
    <t>Suécia</t>
  </si>
  <si>
    <t>Sweden</t>
  </si>
  <si>
    <t>Suecia</t>
  </si>
  <si>
    <t>de-ch</t>
  </si>
  <si>
    <t>Suíça - Alemão</t>
  </si>
  <si>
    <t>Switzerland - German</t>
  </si>
  <si>
    <t>Suiza - Alemán</t>
  </si>
  <si>
    <t>fr-ch</t>
  </si>
  <si>
    <t>Suíça - Francês</t>
  </si>
  <si>
    <t>Switzerland - French</t>
  </si>
  <si>
    <t>Suiza - Francés</t>
  </si>
  <si>
    <t>nl-sr</t>
  </si>
  <si>
    <t>Surinam</t>
  </si>
  <si>
    <t>tg-cyrl-tj</t>
  </si>
  <si>
    <t>Tajikistan</t>
  </si>
  <si>
    <t>Tayikistán</t>
  </si>
  <si>
    <t>th-th</t>
  </si>
  <si>
    <t>Tailândia</t>
  </si>
  <si>
    <t>Thailand</t>
  </si>
  <si>
    <t>Tailandia</t>
  </si>
  <si>
    <t>zh-tw</t>
  </si>
  <si>
    <t>Taiwan</t>
  </si>
  <si>
    <t>Taiwán</t>
  </si>
  <si>
    <t>en-tz</t>
  </si>
  <si>
    <t>Tanzânia</t>
  </si>
  <si>
    <t>Tanzania</t>
  </si>
  <si>
    <t>cs-cz</t>
  </si>
  <si>
    <t>Tchéquia</t>
  </si>
  <si>
    <t>Czechia</t>
  </si>
  <si>
    <t>Chequia</t>
  </si>
  <si>
    <t>fr-tg</t>
  </si>
  <si>
    <t>Togo</t>
  </si>
  <si>
    <t>en-tk</t>
  </si>
  <si>
    <t>Tokelau</t>
  </si>
  <si>
    <t>en-to</t>
  </si>
  <si>
    <t>Tonga</t>
  </si>
  <si>
    <t>en-tt</t>
  </si>
  <si>
    <t>Trinidad e Tobago</t>
  </si>
  <si>
    <t>Trinidad and Tobago</t>
  </si>
  <si>
    <t>Trinidad y Tobago</t>
  </si>
  <si>
    <t>ar-tn</t>
  </si>
  <si>
    <t>Tunisia</t>
  </si>
  <si>
    <t>Túnez</t>
  </si>
  <si>
    <t>tk-tm</t>
  </si>
  <si>
    <t>Turcomenistão</t>
  </si>
  <si>
    <t>Turkmenistan</t>
  </si>
  <si>
    <t>Turkmenistán</t>
  </si>
  <si>
    <t>tr-tr</t>
  </si>
  <si>
    <t>Turquia</t>
  </si>
  <si>
    <t>Turkey</t>
  </si>
  <si>
    <t>Turquía</t>
  </si>
  <si>
    <t>en-tv</t>
  </si>
  <si>
    <t>Tuvalu</t>
  </si>
  <si>
    <t>uk-ua</t>
  </si>
  <si>
    <t>Ucrânia</t>
  </si>
  <si>
    <t>Ukraine</t>
  </si>
  <si>
    <t>Ucrania</t>
  </si>
  <si>
    <t>en-ug</t>
  </si>
  <si>
    <t>Uganda</t>
  </si>
  <si>
    <t>es-uy</t>
  </si>
  <si>
    <t>Uruguai</t>
  </si>
  <si>
    <t>Uruguay</t>
  </si>
  <si>
    <t>uz-latn-uz</t>
  </si>
  <si>
    <t>Uzbekistan</t>
  </si>
  <si>
    <t>Uzbekistán</t>
  </si>
  <si>
    <t>en-vu</t>
  </si>
  <si>
    <t>Vanuatu</t>
  </si>
  <si>
    <t>es-ve</t>
  </si>
  <si>
    <t>Venezuela</t>
  </si>
  <si>
    <t>vi-vn</t>
  </si>
  <si>
    <t>Vietnam</t>
  </si>
  <si>
    <t>fr-wf</t>
  </si>
  <si>
    <t>Wallis e Futuna</t>
  </si>
  <si>
    <t>Wallis and Futuna</t>
  </si>
  <si>
    <t>Wallis y Futuna</t>
  </si>
  <si>
    <t>en-zm</t>
  </si>
  <si>
    <t>Zâmbia</t>
  </si>
  <si>
    <t>Zambia</t>
  </si>
  <si>
    <t>en-zw</t>
  </si>
  <si>
    <t>Zimbábue</t>
  </si>
  <si>
    <t>Zimbabwe</t>
  </si>
  <si>
    <t>Zimbabue</t>
  </si>
  <si>
    <t>CODPAIS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</si>
</sst>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9"/>
  <sheetViews>
    <sheetView topLeftCell="C1" workbookViewId="0">
      <pane ySplit="1" topLeftCell="C2" activePane="bottomLeft" state="frozen"/>
      <selection activeCell="C1" sqref="C1"/>
      <selection pane="bottomLeft" activeCell="D1" sqref="D1"/>
    </sheetView>
  </sheetViews>
  <sheetFormatPr defaultColWidth="14.42578125" defaultRowHeight="15" customHeight="1" x14ac:dyDescent="0.15"/>
  <cols>
    <col min="1" max="1" width="14.42578125" customWidth="1"/>
    <col min="2" max="2" width="9.3046875" customWidth="1"/>
    <col min="3" max="3" width="37.890625" customWidth="1"/>
    <col min="4" max="6" width="14.42578125" customWidth="1"/>
  </cols>
  <sheetData>
    <row r="1" spans="1:4" ht="15.75" customHeight="1" x14ac:dyDescent="0.15">
      <c r="A1" s="1" t="s">
        <v>0</v>
      </c>
      <c r="B1" t="str">
        <f ca="1">IFERROR(__xludf.DUMMYFUNCTION("SPLIT(A1,"";"")"),"CODIGO")</f>
        <v>CODIGO</v>
      </c>
      <c r="C1" t="str">
        <f ca="1">IFERROR(__xludf.DUMMYFUNCTION("""COMPUTED_VALUE"""),"PORTUGUES")</f>
        <v>PORTUGUES</v>
      </c>
      <c r="D1" t="s">
        <v>1433</v>
      </c>
    </row>
    <row r="2" spans="1:4" ht="15.75" customHeight="1" x14ac:dyDescent="0.15">
      <c r="A2" s="1" t="s">
        <v>1</v>
      </c>
      <c r="B2" t="str">
        <f ca="1">IFERROR(__xludf.DUMMYFUNCTION("SPLIT(A2,"";"")"),"ca-ad")</f>
        <v>ca-ad</v>
      </c>
      <c r="C2" t="str">
        <f ca="1">IFERROR(__xludf.DUMMYFUNCTION("""COMPUTED_VALUE"""),"Andorra")</f>
        <v>Andorra</v>
      </c>
      <c r="D2" t="str">
        <f t="shared" ref="D1:D239" ca="1" si="0">RIGHT(B2,2)</f>
        <v>ad</v>
      </c>
    </row>
    <row r="3" spans="1:4" ht="15.75" customHeight="1" x14ac:dyDescent="0.15">
      <c r="A3" s="1" t="s">
        <v>2</v>
      </c>
      <c r="B3" t="str">
        <f ca="1">IFERROR(__xludf.DUMMYFUNCTION("SPLIT(A3,"";"")"),"ar-ae")</f>
        <v>ar-ae</v>
      </c>
      <c r="C3" t="str">
        <f ca="1">IFERROR(__xludf.DUMMYFUNCTION("""COMPUTED_VALUE"""),"Emirados Árabes Unidos")</f>
        <v>Emirados Árabes Unidos</v>
      </c>
      <c r="D3" t="str">
        <f t="shared" ca="1" si="0"/>
        <v>ae</v>
      </c>
    </row>
    <row r="4" spans="1:4" ht="15.75" customHeight="1" x14ac:dyDescent="0.15">
      <c r="A4" s="1" t="s">
        <v>3</v>
      </c>
      <c r="B4" t="str">
        <f ca="1">IFERROR(__xludf.DUMMYFUNCTION("SPLIT(A4,"";"")"),"prs-af")</f>
        <v>prs-af</v>
      </c>
      <c r="C4" t="str">
        <f ca="1">IFERROR(__xludf.DUMMYFUNCTION("""COMPUTED_VALUE"""),"Afeganistão")</f>
        <v>Afeganistão</v>
      </c>
      <c r="D4" t="str">
        <f t="shared" ca="1" si="0"/>
        <v>af</v>
      </c>
    </row>
    <row r="5" spans="1:4" ht="15.75" customHeight="1" x14ac:dyDescent="0.15">
      <c r="A5" s="1" t="s">
        <v>4</v>
      </c>
      <c r="B5" t="str">
        <f ca="1">IFERROR(__xludf.DUMMYFUNCTION("SPLIT(A5,"";"")"),"en-ag")</f>
        <v>en-ag</v>
      </c>
      <c r="C5" t="str">
        <f ca="1">IFERROR(__xludf.DUMMYFUNCTION("""COMPUTED_VALUE"""),"Antígua e Barbuda")</f>
        <v>Antígua e Barbuda</v>
      </c>
      <c r="D5" t="str">
        <f t="shared" ca="1" si="0"/>
        <v>ag</v>
      </c>
    </row>
    <row r="6" spans="1:4" ht="15.75" customHeight="1" x14ac:dyDescent="0.15">
      <c r="A6" s="1" t="s">
        <v>5</v>
      </c>
      <c r="B6" t="str">
        <f ca="1">IFERROR(__xludf.DUMMYFUNCTION("SPLIT(A6,"";"")"),"en-ai")</f>
        <v>en-ai</v>
      </c>
      <c r="C6" t="str">
        <f ca="1">IFERROR(__xludf.DUMMYFUNCTION("""COMPUTED_VALUE"""),"Anguila")</f>
        <v>Anguila</v>
      </c>
      <c r="D6" t="str">
        <f t="shared" ca="1" si="0"/>
        <v>ai</v>
      </c>
    </row>
    <row r="7" spans="1:4" ht="15.75" customHeight="1" x14ac:dyDescent="0.15">
      <c r="A7" s="1" t="s">
        <v>6</v>
      </c>
      <c r="B7" t="str">
        <f ca="1">IFERROR(__xludf.DUMMYFUNCTION("SPLIT(A7,"";"")"),"sq-al")</f>
        <v>sq-al</v>
      </c>
      <c r="C7" t="str">
        <f ca="1">IFERROR(__xludf.DUMMYFUNCTION("""COMPUTED_VALUE"""),"Albânia")</f>
        <v>Albânia</v>
      </c>
      <c r="D7" t="str">
        <f t="shared" ca="1" si="0"/>
        <v>al</v>
      </c>
    </row>
    <row r="8" spans="1:4" ht="15.75" customHeight="1" x14ac:dyDescent="0.15">
      <c r="A8" s="1" t="s">
        <v>7</v>
      </c>
      <c r="B8" t="str">
        <f ca="1">IFERROR(__xludf.DUMMYFUNCTION("SPLIT(A8,"";"")"),"hy-am")</f>
        <v>hy-am</v>
      </c>
      <c r="C8" t="str">
        <f ca="1">IFERROR(__xludf.DUMMYFUNCTION("""COMPUTED_VALUE"""),"Armênia")</f>
        <v>Armênia</v>
      </c>
      <c r="D8" t="str">
        <f t="shared" ca="1" si="0"/>
        <v>am</v>
      </c>
    </row>
    <row r="9" spans="1:4" ht="15.75" customHeight="1" x14ac:dyDescent="0.15">
      <c r="A9" s="1" t="s">
        <v>8</v>
      </c>
      <c r="B9" t="str">
        <f ca="1">IFERROR(__xludf.DUMMYFUNCTION("SPLIT(A9,"";"")"),"pt-ao")</f>
        <v>pt-ao</v>
      </c>
      <c r="C9" t="str">
        <f ca="1">IFERROR(__xludf.DUMMYFUNCTION("""COMPUTED_VALUE"""),"Angola")</f>
        <v>Angola</v>
      </c>
      <c r="D9" t="str">
        <f t="shared" ca="1" si="0"/>
        <v>ao</v>
      </c>
    </row>
    <row r="10" spans="1:4" ht="15.75" customHeight="1" x14ac:dyDescent="0.15">
      <c r="A10" s="1" t="s">
        <v>9</v>
      </c>
      <c r="B10" t="str">
        <f ca="1">IFERROR(__xludf.DUMMYFUNCTION("SPLIT(A10,"";"")"),"es-ar")</f>
        <v>es-ar</v>
      </c>
      <c r="C10" t="str">
        <f ca="1">IFERROR(__xludf.DUMMYFUNCTION("""COMPUTED_VALUE"""),"Argentina")</f>
        <v>Argentina</v>
      </c>
      <c r="D10" t="str">
        <f t="shared" ca="1" si="0"/>
        <v>ar</v>
      </c>
    </row>
    <row r="11" spans="1:4" ht="15.75" customHeight="1" x14ac:dyDescent="0.15">
      <c r="A11" s="1" t="s">
        <v>10</v>
      </c>
      <c r="B11" t="str">
        <f ca="1">IFERROR(__xludf.DUMMYFUNCTION("SPLIT(A11,"";"")"),"en-as")</f>
        <v>en-as</v>
      </c>
      <c r="C11" t="str">
        <f ca="1">IFERROR(__xludf.DUMMYFUNCTION("""COMPUTED_VALUE"""),"Samoa Americana")</f>
        <v>Samoa Americana</v>
      </c>
      <c r="D11" t="str">
        <f t="shared" ca="1" si="0"/>
        <v>as</v>
      </c>
    </row>
    <row r="12" spans="1:4" ht="15.75" customHeight="1" x14ac:dyDescent="0.15">
      <c r="A12" s="1" t="s">
        <v>11</v>
      </c>
      <c r="B12" t="str">
        <f ca="1">IFERROR(__xludf.DUMMYFUNCTION("SPLIT(A12,"";"")"),"de-at")</f>
        <v>de-at</v>
      </c>
      <c r="C12" t="str">
        <f ca="1">IFERROR(__xludf.DUMMYFUNCTION("""COMPUTED_VALUE"""),"Áustria")</f>
        <v>Áustria</v>
      </c>
      <c r="D12" t="str">
        <f t="shared" ca="1" si="0"/>
        <v>at</v>
      </c>
    </row>
    <row r="13" spans="1:4" ht="15.75" customHeight="1" x14ac:dyDescent="0.15">
      <c r="A13" s="1" t="s">
        <v>12</v>
      </c>
      <c r="B13" t="str">
        <f ca="1">IFERROR(__xludf.DUMMYFUNCTION("SPLIT(A13,"";"")"),"en-au")</f>
        <v>en-au</v>
      </c>
      <c r="C13" t="str">
        <f ca="1">IFERROR(__xludf.DUMMYFUNCTION("""COMPUTED_VALUE"""),"Austrália")</f>
        <v>Austrália</v>
      </c>
      <c r="D13" t="str">
        <f t="shared" ca="1" si="0"/>
        <v>au</v>
      </c>
    </row>
    <row r="14" spans="1:4" ht="15.75" customHeight="1" x14ac:dyDescent="0.15">
      <c r="A14" s="1" t="s">
        <v>13</v>
      </c>
      <c r="B14" t="str">
        <f ca="1">IFERROR(__xludf.DUMMYFUNCTION("SPLIT(A14,"";"")"),"nl-aw")</f>
        <v>nl-aw</v>
      </c>
      <c r="C14" t="str">
        <f ca="1">IFERROR(__xludf.DUMMYFUNCTION("""COMPUTED_VALUE"""),"Aruba")</f>
        <v>Aruba</v>
      </c>
      <c r="D14" t="str">
        <f t="shared" ca="1" si="0"/>
        <v>aw</v>
      </c>
    </row>
    <row r="15" spans="1:4" ht="15.75" customHeight="1" x14ac:dyDescent="0.15">
      <c r="A15" s="1" t="s">
        <v>14</v>
      </c>
      <c r="B15" t="str">
        <f ca="1">IFERROR(__xludf.DUMMYFUNCTION("SPLIT(A15,"";"")"),"az-latn-az")</f>
        <v>az-latn-az</v>
      </c>
      <c r="C15" t="str">
        <f ca="1">IFERROR(__xludf.DUMMYFUNCTION("""COMPUTED_VALUE"""),"Azerbaijão")</f>
        <v>Azerbaijão</v>
      </c>
      <c r="D15" t="str">
        <f t="shared" ca="1" si="0"/>
        <v>az</v>
      </c>
    </row>
    <row r="16" spans="1:4" ht="15.75" customHeight="1" x14ac:dyDescent="0.15">
      <c r="A16" s="1" t="s">
        <v>15</v>
      </c>
      <c r="B16" t="str">
        <f ca="1">IFERROR(__xludf.DUMMYFUNCTION("SPLIT(A16,"";"")"),"bs-latn-ba")</f>
        <v>bs-latn-ba</v>
      </c>
      <c r="C16" t="str">
        <f ca="1">IFERROR(__xludf.DUMMYFUNCTION("""COMPUTED_VALUE"""),"Bósnia e Herzegovina")</f>
        <v>Bósnia e Herzegovina</v>
      </c>
      <c r="D16" t="str">
        <f t="shared" ca="1" si="0"/>
        <v>ba</v>
      </c>
    </row>
    <row r="17" spans="1:4" ht="15.75" customHeight="1" x14ac:dyDescent="0.15">
      <c r="A17" s="1" t="s">
        <v>16</v>
      </c>
      <c r="B17" t="str">
        <f ca="1">IFERROR(__xludf.DUMMYFUNCTION("SPLIT(A17,"";"")"),"en-bb")</f>
        <v>en-bb</v>
      </c>
      <c r="C17" t="str">
        <f ca="1">IFERROR(__xludf.DUMMYFUNCTION("""COMPUTED_VALUE"""),"Barbados")</f>
        <v>Barbados</v>
      </c>
      <c r="D17" t="str">
        <f t="shared" ca="1" si="0"/>
        <v>bb</v>
      </c>
    </row>
    <row r="18" spans="1:4" ht="15.75" customHeight="1" x14ac:dyDescent="0.15">
      <c r="A18" s="1" t="s">
        <v>17</v>
      </c>
      <c r="B18" t="str">
        <f ca="1">IFERROR(__xludf.DUMMYFUNCTION("SPLIT(A18,"";"")"),"bn-bd")</f>
        <v>bn-bd</v>
      </c>
      <c r="C18" t="str">
        <f ca="1">IFERROR(__xludf.DUMMYFUNCTION("""COMPUTED_VALUE"""),"Bangladesh")</f>
        <v>Bangladesh</v>
      </c>
      <c r="D18" t="str">
        <f t="shared" ca="1" si="0"/>
        <v>bd</v>
      </c>
    </row>
    <row r="19" spans="1:4" ht="15.75" customHeight="1" x14ac:dyDescent="0.15">
      <c r="A19" s="1" t="s">
        <v>18</v>
      </c>
      <c r="B19" t="str">
        <f ca="1">IFERROR(__xludf.DUMMYFUNCTION("SPLIT(A19,"";"")"),"fr-be")</f>
        <v>fr-be</v>
      </c>
      <c r="C19" t="str">
        <f ca="1">IFERROR(__xludf.DUMMYFUNCTION("""COMPUTED_VALUE"""),"Bélgica - Francês")</f>
        <v>Bélgica - Francês</v>
      </c>
      <c r="D19" t="str">
        <f t="shared" ca="1" si="0"/>
        <v>be</v>
      </c>
    </row>
    <row r="20" spans="1:4" ht="15.75" customHeight="1" x14ac:dyDescent="0.15">
      <c r="A20" s="1" t="s">
        <v>19</v>
      </c>
      <c r="B20" t="str">
        <f ca="1">IFERROR(__xludf.DUMMYFUNCTION("SPLIT(A20,"";"")"),"nl-be")</f>
        <v>nl-be</v>
      </c>
      <c r="C20" t="str">
        <f ca="1">IFERROR(__xludf.DUMMYFUNCTION("""COMPUTED_VALUE"""),"Bélgica - Holandês")</f>
        <v>Bélgica - Holandês</v>
      </c>
      <c r="D20" t="str">
        <f t="shared" ca="1" si="0"/>
        <v>be</v>
      </c>
    </row>
    <row r="21" spans="1:4" ht="15.75" customHeight="1" x14ac:dyDescent="0.15">
      <c r="A21" s="1" t="s">
        <v>20</v>
      </c>
      <c r="B21" t="str">
        <f ca="1">IFERROR(__xludf.DUMMYFUNCTION("SPLIT(A21,"";"")"),"fr-bf")</f>
        <v>fr-bf</v>
      </c>
      <c r="C21" t="str">
        <f ca="1">IFERROR(__xludf.DUMMYFUNCTION("""COMPUTED_VALUE"""),"Burquina Faso")</f>
        <v>Burquina Faso</v>
      </c>
      <c r="D21" t="str">
        <f t="shared" ca="1" si="0"/>
        <v>bf</v>
      </c>
    </row>
    <row r="22" spans="1:4" ht="15.75" customHeight="1" x14ac:dyDescent="0.15">
      <c r="A22" s="1" t="s">
        <v>21</v>
      </c>
      <c r="B22" t="str">
        <f ca="1">IFERROR(__xludf.DUMMYFUNCTION("SPLIT(A22,"";"")"),"bg-bg")</f>
        <v>bg-bg</v>
      </c>
      <c r="C22" t="str">
        <f ca="1">IFERROR(__xludf.DUMMYFUNCTION("""COMPUTED_VALUE"""),"Bulgária")</f>
        <v>Bulgária</v>
      </c>
      <c r="D22" t="str">
        <f t="shared" ca="1" si="0"/>
        <v>bg</v>
      </c>
    </row>
    <row r="23" spans="1:4" ht="15.75" customHeight="1" x14ac:dyDescent="0.15">
      <c r="A23" s="1" t="s">
        <v>22</v>
      </c>
      <c r="B23" t="str">
        <f ca="1">IFERROR(__xludf.DUMMYFUNCTION("SPLIT(A23,"";"")"),"ar-bh")</f>
        <v>ar-bh</v>
      </c>
      <c r="C23" t="str">
        <f ca="1">IFERROR(__xludf.DUMMYFUNCTION("""COMPUTED_VALUE"""),"Bahrein")</f>
        <v>Bahrein</v>
      </c>
      <c r="D23" t="str">
        <f t="shared" ca="1" si="0"/>
        <v>bh</v>
      </c>
    </row>
    <row r="24" spans="1:4" ht="15.75" customHeight="1" x14ac:dyDescent="0.15">
      <c r="A24" s="1" t="s">
        <v>23</v>
      </c>
      <c r="B24" t="str">
        <f ca="1">IFERROR(__xludf.DUMMYFUNCTION("SPLIT(A24,"";"")"),"fr-bi")</f>
        <v>fr-bi</v>
      </c>
      <c r="C24" t="str">
        <f ca="1">IFERROR(__xludf.DUMMYFUNCTION("""COMPUTED_VALUE"""),"Burundi")</f>
        <v>Burundi</v>
      </c>
      <c r="D24" t="str">
        <f t="shared" ca="1" si="0"/>
        <v>bi</v>
      </c>
    </row>
    <row r="25" spans="1:4" ht="15.75" customHeight="1" x14ac:dyDescent="0.15">
      <c r="A25" s="1" t="s">
        <v>24</v>
      </c>
      <c r="B25" t="str">
        <f ca="1">IFERROR(__xludf.DUMMYFUNCTION("SPLIT(A25,"";"")"),"fr-bj")</f>
        <v>fr-bj</v>
      </c>
      <c r="C25" t="str">
        <f ca="1">IFERROR(__xludf.DUMMYFUNCTION("""COMPUTED_VALUE"""),"Benin")</f>
        <v>Benin</v>
      </c>
      <c r="D25" t="str">
        <f t="shared" ca="1" si="0"/>
        <v>bj</v>
      </c>
    </row>
    <row r="26" spans="1:4" ht="15.75" customHeight="1" x14ac:dyDescent="0.15">
      <c r="A26" s="1" t="s">
        <v>25</v>
      </c>
      <c r="B26" t="str">
        <f ca="1">IFERROR(__xludf.DUMMYFUNCTION("SPLIT(A26,"";"")"),"fr-bl")</f>
        <v>fr-bl</v>
      </c>
      <c r="C26" t="str">
        <f ca="1">IFERROR(__xludf.DUMMYFUNCTION("""COMPUTED_VALUE"""),"São Bartolomeu")</f>
        <v>São Bartolomeu</v>
      </c>
      <c r="D26" t="str">
        <f t="shared" ca="1" si="0"/>
        <v>bl</v>
      </c>
    </row>
    <row r="27" spans="1:4" ht="15.75" customHeight="1" x14ac:dyDescent="0.15">
      <c r="A27" s="1" t="s">
        <v>26</v>
      </c>
      <c r="B27" t="str">
        <f ca="1">IFERROR(__xludf.DUMMYFUNCTION("SPLIT(A27,"";"")"),"en-bm")</f>
        <v>en-bm</v>
      </c>
      <c r="C27" t="str">
        <f ca="1">IFERROR(__xludf.DUMMYFUNCTION("""COMPUTED_VALUE"""),"Bermudas")</f>
        <v>Bermudas</v>
      </c>
      <c r="D27" t="str">
        <f t="shared" ca="1" si="0"/>
        <v>bm</v>
      </c>
    </row>
    <row r="28" spans="1:4" ht="15.75" customHeight="1" x14ac:dyDescent="0.15">
      <c r="A28" s="1" t="s">
        <v>27</v>
      </c>
      <c r="B28" t="str">
        <f ca="1">IFERROR(__xludf.DUMMYFUNCTION("SPLIT(A28,"";"")"),"ms-bn")</f>
        <v>ms-bn</v>
      </c>
      <c r="C28" t="str">
        <f ca="1">IFERROR(__xludf.DUMMYFUNCTION("""COMPUTED_VALUE"""),"Brunei")</f>
        <v>Brunei</v>
      </c>
      <c r="D28" t="str">
        <f t="shared" ca="1" si="0"/>
        <v>bn</v>
      </c>
    </row>
    <row r="29" spans="1:4" ht="15.75" customHeight="1" x14ac:dyDescent="0.15">
      <c r="A29" s="1" t="s">
        <v>28</v>
      </c>
      <c r="B29" t="str">
        <f ca="1">IFERROR(__xludf.DUMMYFUNCTION("SPLIT(A29,"";"")"),"es-bo")</f>
        <v>es-bo</v>
      </c>
      <c r="C29" t="str">
        <f ca="1">IFERROR(__xludf.DUMMYFUNCTION("""COMPUTED_VALUE"""),"Bolívia")</f>
        <v>Bolívia</v>
      </c>
      <c r="D29" t="str">
        <f t="shared" ca="1" si="0"/>
        <v>bo</v>
      </c>
    </row>
    <row r="30" spans="1:4" ht="15.75" customHeight="1" x14ac:dyDescent="0.15">
      <c r="A30" s="1" t="s">
        <v>29</v>
      </c>
      <c r="B30" t="str">
        <f ca="1">IFERROR(__xludf.DUMMYFUNCTION("SPLIT(A30,"";"")"),"pt-br")</f>
        <v>pt-br</v>
      </c>
      <c r="C30" t="str">
        <f ca="1">IFERROR(__xludf.DUMMYFUNCTION("""COMPUTED_VALUE"""),"Brasil")</f>
        <v>Brasil</v>
      </c>
      <c r="D30" t="str">
        <f t="shared" ca="1" si="0"/>
        <v>br</v>
      </c>
    </row>
    <row r="31" spans="1:4" ht="15.75" customHeight="1" x14ac:dyDescent="0.15">
      <c r="A31" s="1" t="s">
        <v>30</v>
      </c>
      <c r="B31" t="str">
        <f ca="1">IFERROR(__xludf.DUMMYFUNCTION("SPLIT(A31,"";"")"),"en-bs")</f>
        <v>en-bs</v>
      </c>
      <c r="C31" t="str">
        <f ca="1">IFERROR(__xludf.DUMMYFUNCTION("""COMPUTED_VALUE"""),"Bahamas")</f>
        <v>Bahamas</v>
      </c>
      <c r="D31" t="str">
        <f t="shared" ca="1" si="0"/>
        <v>bs</v>
      </c>
    </row>
    <row r="32" spans="1:4" ht="15.75" customHeight="1" x14ac:dyDescent="0.15">
      <c r="A32" s="1" t="s">
        <v>31</v>
      </c>
      <c r="B32" t="str">
        <f ca="1">IFERROR(__xludf.DUMMYFUNCTION("SPLIT(A32,"";"")"),"bo-bt")</f>
        <v>bo-bt</v>
      </c>
      <c r="C32" t="str">
        <f ca="1">IFERROR(__xludf.DUMMYFUNCTION("""COMPUTED_VALUE"""),"Butão")</f>
        <v>Butão</v>
      </c>
      <c r="D32" t="str">
        <f t="shared" ca="1" si="0"/>
        <v>bt</v>
      </c>
    </row>
    <row r="33" spans="1:4" ht="15.75" customHeight="1" x14ac:dyDescent="0.15">
      <c r="A33" s="1" t="s">
        <v>32</v>
      </c>
      <c r="B33" t="str">
        <f ca="1">IFERROR(__xludf.DUMMYFUNCTION("SPLIT(A33,"";"")"),"en-bw")</f>
        <v>en-bw</v>
      </c>
      <c r="C33" t="str">
        <f ca="1">IFERROR(__xludf.DUMMYFUNCTION("""COMPUTED_VALUE"""),"Botsuana")</f>
        <v>Botsuana</v>
      </c>
      <c r="D33" t="str">
        <f t="shared" ca="1" si="0"/>
        <v>bw</v>
      </c>
    </row>
    <row r="34" spans="1:4" ht="15.75" customHeight="1" x14ac:dyDescent="0.15">
      <c r="A34" s="1" t="s">
        <v>33</v>
      </c>
      <c r="B34" t="str">
        <f ca="1">IFERROR(__xludf.DUMMYFUNCTION("SPLIT(A34,"";"")"),"be-by")</f>
        <v>be-by</v>
      </c>
      <c r="C34" t="str">
        <f ca="1">IFERROR(__xludf.DUMMYFUNCTION("""COMPUTED_VALUE"""),"Belarus")</f>
        <v>Belarus</v>
      </c>
      <c r="D34" t="str">
        <f t="shared" ca="1" si="0"/>
        <v>by</v>
      </c>
    </row>
    <row r="35" spans="1:4" ht="15.75" customHeight="1" x14ac:dyDescent="0.15">
      <c r="A35" s="1" t="s">
        <v>34</v>
      </c>
      <c r="B35" t="str">
        <f ca="1">IFERROR(__xludf.DUMMYFUNCTION("SPLIT(A35,"";"")"),"en-bz")</f>
        <v>en-bz</v>
      </c>
      <c r="C35" t="str">
        <f ca="1">IFERROR(__xludf.DUMMYFUNCTION("""COMPUTED_VALUE"""),"Belize")</f>
        <v>Belize</v>
      </c>
      <c r="D35" t="str">
        <f t="shared" ca="1" si="0"/>
        <v>bz</v>
      </c>
    </row>
    <row r="36" spans="1:4" ht="15.75" customHeight="1" x14ac:dyDescent="0.15">
      <c r="A36" s="1" t="s">
        <v>35</v>
      </c>
      <c r="B36" t="str">
        <f ca="1">IFERROR(__xludf.DUMMYFUNCTION("SPLIT(A36,"";"")"),"fr-ca")</f>
        <v>fr-ca</v>
      </c>
      <c r="C36" t="str">
        <f ca="1">IFERROR(__xludf.DUMMYFUNCTION("""COMPUTED_VALUE"""),"Canadá - Francês")</f>
        <v>Canadá - Francês</v>
      </c>
      <c r="D36" t="str">
        <f t="shared" ca="1" si="0"/>
        <v>ca</v>
      </c>
    </row>
    <row r="37" spans="1:4" ht="15.75" customHeight="1" x14ac:dyDescent="0.15">
      <c r="A37" s="1" t="s">
        <v>36</v>
      </c>
      <c r="B37" t="str">
        <f ca="1">IFERROR(__xludf.DUMMYFUNCTION("SPLIT(A37,"";"")"),"en-ca")</f>
        <v>en-ca</v>
      </c>
      <c r="C37" t="str">
        <f ca="1">IFERROR(__xludf.DUMMYFUNCTION("""COMPUTED_VALUE"""),"Canadá - Inglês")</f>
        <v>Canadá - Inglês</v>
      </c>
      <c r="D37" t="str">
        <f t="shared" ca="1" si="0"/>
        <v>ca</v>
      </c>
    </row>
    <row r="38" spans="1:4" ht="15.75" customHeight="1" x14ac:dyDescent="0.15">
      <c r="A38" s="1" t="s">
        <v>37</v>
      </c>
      <c r="B38" t="str">
        <f ca="1">IFERROR(__xludf.DUMMYFUNCTION("SPLIT(A38,"";"")"),"en-cc")</f>
        <v>en-cc</v>
      </c>
      <c r="C38" t="str">
        <f ca="1">IFERROR(__xludf.DUMMYFUNCTION("""COMPUTED_VALUE"""),"Ilhas Cocos (Keeling)")</f>
        <v>Ilhas Cocos (Keeling)</v>
      </c>
      <c r="D38" t="str">
        <f t="shared" ca="1" si="0"/>
        <v>cc</v>
      </c>
    </row>
    <row r="39" spans="1:4" ht="15.75" customHeight="1" x14ac:dyDescent="0.15">
      <c r="A39" s="1" t="s">
        <v>38</v>
      </c>
      <c r="B39" t="str">
        <f ca="1">IFERROR(__xludf.DUMMYFUNCTION("SPLIT(A39,"";"")"),"fr-cd")</f>
        <v>fr-cd</v>
      </c>
      <c r="C39" t="str">
        <f ca="1">IFERROR(__xludf.DUMMYFUNCTION("""COMPUTED_VALUE"""),"Congo (RDC)")</f>
        <v>Congo (RDC)</v>
      </c>
      <c r="D39" t="str">
        <f t="shared" ca="1" si="0"/>
        <v>cd</v>
      </c>
    </row>
    <row r="40" spans="1:4" ht="15.75" customHeight="1" x14ac:dyDescent="0.15">
      <c r="A40" s="1" t="s">
        <v>39</v>
      </c>
      <c r="B40" t="str">
        <f ca="1">IFERROR(__xludf.DUMMYFUNCTION("SPLIT(A40,"";"")"),"fr-cf")</f>
        <v>fr-cf</v>
      </c>
      <c r="C40" t="str">
        <f ca="1">IFERROR(__xludf.DUMMYFUNCTION("""COMPUTED_VALUE"""),"República Centro-Africana")</f>
        <v>República Centro-Africana</v>
      </c>
      <c r="D40" t="str">
        <f t="shared" ca="1" si="0"/>
        <v>cf</v>
      </c>
    </row>
    <row r="41" spans="1:4" ht="15.75" customHeight="1" x14ac:dyDescent="0.15">
      <c r="A41" s="1" t="s">
        <v>40</v>
      </c>
      <c r="B41" t="str">
        <f ca="1">IFERROR(__xludf.DUMMYFUNCTION("SPLIT(A41,"";"")"),"fr-cg")</f>
        <v>fr-cg</v>
      </c>
      <c r="C41" t="str">
        <f ca="1">IFERROR(__xludf.DUMMYFUNCTION("""COMPUTED_VALUE"""),"Congo")</f>
        <v>Congo</v>
      </c>
      <c r="D41" t="str">
        <f t="shared" ca="1" si="0"/>
        <v>cg</v>
      </c>
    </row>
    <row r="42" spans="1:4" ht="15.75" customHeight="1" x14ac:dyDescent="0.15">
      <c r="A42" s="1" t="s">
        <v>41</v>
      </c>
      <c r="B42" t="str">
        <f ca="1">IFERROR(__xludf.DUMMYFUNCTION("SPLIT(A42,"";"")"),"de-ch")</f>
        <v>de-ch</v>
      </c>
      <c r="C42" t="str">
        <f ca="1">IFERROR(__xludf.DUMMYFUNCTION("""COMPUTED_VALUE"""),"Suíça - Alemão")</f>
        <v>Suíça - Alemão</v>
      </c>
      <c r="D42" t="str">
        <f t="shared" ca="1" si="0"/>
        <v>ch</v>
      </c>
    </row>
    <row r="43" spans="1:4" ht="15.75" customHeight="1" x14ac:dyDescent="0.15">
      <c r="A43" s="1" t="s">
        <v>42</v>
      </c>
      <c r="B43" t="str">
        <f ca="1">IFERROR(__xludf.DUMMYFUNCTION("SPLIT(A43,"";"")"),"fr-ch")</f>
        <v>fr-ch</v>
      </c>
      <c r="C43" t="str">
        <f ca="1">IFERROR(__xludf.DUMMYFUNCTION("""COMPUTED_VALUE"""),"Suíça - Francês")</f>
        <v>Suíça - Francês</v>
      </c>
      <c r="D43" t="str">
        <f t="shared" ca="1" si="0"/>
        <v>ch</v>
      </c>
    </row>
    <row r="44" spans="1:4" ht="15.75" customHeight="1" x14ac:dyDescent="0.15">
      <c r="A44" s="1" t="s">
        <v>43</v>
      </c>
      <c r="B44" t="str">
        <f ca="1">IFERROR(__xludf.DUMMYFUNCTION("SPLIT(A44,"";"")"),"fr-ci")</f>
        <v>fr-ci</v>
      </c>
      <c r="C44" t="str">
        <f ca="1">IFERROR(__xludf.DUMMYFUNCTION("""COMPUTED_VALUE"""),"Côte d'Ivoire")</f>
        <v>Côte d'Ivoire</v>
      </c>
      <c r="D44" t="str">
        <f t="shared" ca="1" si="0"/>
        <v>ci</v>
      </c>
    </row>
    <row r="45" spans="1:4" ht="15.75" customHeight="1" x14ac:dyDescent="0.15">
      <c r="A45" s="1" t="s">
        <v>44</v>
      </c>
      <c r="B45" t="str">
        <f ca="1">IFERROR(__xludf.DUMMYFUNCTION("SPLIT(A45,"";"")"),"en-ck")</f>
        <v>en-ck</v>
      </c>
      <c r="C45" t="str">
        <f ca="1">IFERROR(__xludf.DUMMYFUNCTION("""COMPUTED_VALUE"""),"Ilhas Cook")</f>
        <v>Ilhas Cook</v>
      </c>
      <c r="D45" t="str">
        <f t="shared" ca="1" si="0"/>
        <v>ck</v>
      </c>
    </row>
    <row r="46" spans="1:4" ht="15.75" customHeight="1" x14ac:dyDescent="0.15">
      <c r="A46" s="1" t="s">
        <v>45</v>
      </c>
      <c r="B46" t="str">
        <f ca="1">IFERROR(__xludf.DUMMYFUNCTION("SPLIT(A46,"";"")"),"es-cl")</f>
        <v>es-cl</v>
      </c>
      <c r="C46" t="str">
        <f ca="1">IFERROR(__xludf.DUMMYFUNCTION("""COMPUTED_VALUE"""),"Chile")</f>
        <v>Chile</v>
      </c>
      <c r="D46" t="str">
        <f t="shared" ca="1" si="0"/>
        <v>cl</v>
      </c>
    </row>
    <row r="47" spans="1:4" ht="15.75" customHeight="1" x14ac:dyDescent="0.15">
      <c r="A47" s="1" t="s">
        <v>46</v>
      </c>
      <c r="B47" t="str">
        <f ca="1">IFERROR(__xludf.DUMMYFUNCTION("SPLIT(A47,"";"")"),"fr-cm")</f>
        <v>fr-cm</v>
      </c>
      <c r="C47" t="str">
        <f ca="1">IFERROR(__xludf.DUMMYFUNCTION("""COMPUTED_VALUE"""),"Camarões")</f>
        <v>Camarões</v>
      </c>
      <c r="D47" t="str">
        <f t="shared" ca="1" si="0"/>
        <v>cm</v>
      </c>
    </row>
    <row r="48" spans="1:4" ht="15.75" customHeight="1" x14ac:dyDescent="0.15">
      <c r="A48" s="1" t="s">
        <v>47</v>
      </c>
      <c r="B48" t="str">
        <f ca="1">IFERROR(__xludf.DUMMYFUNCTION("SPLIT(A48,"";"")"),"zh-cn")</f>
        <v>zh-cn</v>
      </c>
      <c r="C48" t="str">
        <f ca="1">IFERROR(__xludf.DUMMYFUNCTION("""COMPUTED_VALUE"""),"China")</f>
        <v>China</v>
      </c>
      <c r="D48" t="str">
        <f t="shared" ca="1" si="0"/>
        <v>cn</v>
      </c>
    </row>
    <row r="49" spans="1:4" ht="15.75" customHeight="1" x14ac:dyDescent="0.15">
      <c r="A49" s="1" t="s">
        <v>48</v>
      </c>
      <c r="B49" t="str">
        <f ca="1">IFERROR(__xludf.DUMMYFUNCTION("SPLIT(A49,"";"")"),"es-co")</f>
        <v>es-co</v>
      </c>
      <c r="C49" t="str">
        <f ca="1">IFERROR(__xludf.DUMMYFUNCTION("""COMPUTED_VALUE"""),"Colômbia")</f>
        <v>Colômbia</v>
      </c>
      <c r="D49" t="str">
        <f t="shared" ca="1" si="0"/>
        <v>co</v>
      </c>
    </row>
    <row r="50" spans="1:4" ht="15.75" customHeight="1" x14ac:dyDescent="0.15">
      <c r="A50" s="1" t="s">
        <v>49</v>
      </c>
      <c r="B50" t="str">
        <f ca="1">IFERROR(__xludf.DUMMYFUNCTION("SPLIT(A50,"";"")"),"es-cr")</f>
        <v>es-cr</v>
      </c>
      <c r="C50" t="str">
        <f ca="1">IFERROR(__xludf.DUMMYFUNCTION("""COMPUTED_VALUE"""),"Costa Rica")</f>
        <v>Costa Rica</v>
      </c>
      <c r="D50" t="str">
        <f t="shared" ca="1" si="0"/>
        <v>cr</v>
      </c>
    </row>
    <row r="51" spans="1:4" ht="15.75" customHeight="1" x14ac:dyDescent="0.15">
      <c r="A51" s="1" t="s">
        <v>50</v>
      </c>
      <c r="B51" t="str">
        <f ca="1">IFERROR(__xludf.DUMMYFUNCTION("SPLIT(A51,"";"")"),"pt-cv")</f>
        <v>pt-cv</v>
      </c>
      <c r="C51" t="str">
        <f ca="1">IFERROR(__xludf.DUMMYFUNCTION("""COMPUTED_VALUE"""),"Cabo Verde")</f>
        <v>Cabo Verde</v>
      </c>
      <c r="D51" t="str">
        <f t="shared" ca="1" si="0"/>
        <v>cv</v>
      </c>
    </row>
    <row r="52" spans="1:4" ht="15.75" customHeight="1" x14ac:dyDescent="0.15">
      <c r="A52" s="1" t="s">
        <v>51</v>
      </c>
      <c r="B52" t="str">
        <f ca="1">IFERROR(__xludf.DUMMYFUNCTION("SPLIT(A52,"";"")"),"nl-cw")</f>
        <v>nl-cw</v>
      </c>
      <c r="C52" t="str">
        <f ca="1">IFERROR(__xludf.DUMMYFUNCTION("""COMPUTED_VALUE"""),"Curaçao")</f>
        <v>Curaçao</v>
      </c>
      <c r="D52" t="str">
        <f t="shared" ca="1" si="0"/>
        <v>cw</v>
      </c>
    </row>
    <row r="53" spans="1:4" ht="15.75" customHeight="1" x14ac:dyDescent="0.15">
      <c r="A53" s="1" t="s">
        <v>52</v>
      </c>
      <c r="B53" t="str">
        <f ca="1">IFERROR(__xludf.DUMMYFUNCTION("SPLIT(A53,"";"")"),"en-cx")</f>
        <v>en-cx</v>
      </c>
      <c r="C53" t="str">
        <f ca="1">IFERROR(__xludf.DUMMYFUNCTION("""COMPUTED_VALUE"""),"Ilha Christmas")</f>
        <v>Ilha Christmas</v>
      </c>
      <c r="D53" t="str">
        <f t="shared" ca="1" si="0"/>
        <v>cx</v>
      </c>
    </row>
    <row r="54" spans="1:4" ht="15.75" customHeight="1" x14ac:dyDescent="0.15">
      <c r="A54" s="1" t="s">
        <v>53</v>
      </c>
      <c r="B54" t="str">
        <f ca="1">IFERROR(__xludf.DUMMYFUNCTION("SPLIT(A54,"";"")"),"en-cy")</f>
        <v>en-cy</v>
      </c>
      <c r="C54" t="str">
        <f ca="1">IFERROR(__xludf.DUMMYFUNCTION("""COMPUTED_VALUE"""),"Chipre")</f>
        <v>Chipre</v>
      </c>
      <c r="D54" t="str">
        <f t="shared" ca="1" si="0"/>
        <v>cy</v>
      </c>
    </row>
    <row r="55" spans="1:4" ht="15.75" customHeight="1" x14ac:dyDescent="0.15">
      <c r="A55" s="1" t="s">
        <v>54</v>
      </c>
      <c r="B55" t="str">
        <f ca="1">IFERROR(__xludf.DUMMYFUNCTION("SPLIT(A55,"";"")"),"cs-cz")</f>
        <v>cs-cz</v>
      </c>
      <c r="C55" t="str">
        <f ca="1">IFERROR(__xludf.DUMMYFUNCTION("""COMPUTED_VALUE"""),"Tchéquia")</f>
        <v>Tchéquia</v>
      </c>
      <c r="D55" t="str">
        <f t="shared" ca="1" si="0"/>
        <v>cz</v>
      </c>
    </row>
    <row r="56" spans="1:4" ht="15.75" customHeight="1" x14ac:dyDescent="0.15">
      <c r="A56" s="1" t="s">
        <v>55</v>
      </c>
      <c r="B56" t="str">
        <f ca="1">IFERROR(__xludf.DUMMYFUNCTION("SPLIT(A56,"";"")"),"de-de")</f>
        <v>de-de</v>
      </c>
      <c r="C56" t="str">
        <f ca="1">IFERROR(__xludf.DUMMYFUNCTION("""COMPUTED_VALUE"""),"Alemanha")</f>
        <v>Alemanha</v>
      </c>
      <c r="D56" t="str">
        <f t="shared" ca="1" si="0"/>
        <v>de</v>
      </c>
    </row>
    <row r="57" spans="1:4" ht="15.75" customHeight="1" x14ac:dyDescent="0.15">
      <c r="A57" s="1" t="s">
        <v>56</v>
      </c>
      <c r="B57" t="str">
        <f ca="1">IFERROR(__xludf.DUMMYFUNCTION("SPLIT(A57,"";"")"),"fr-dj")</f>
        <v>fr-dj</v>
      </c>
      <c r="C57" t="str">
        <f ca="1">IFERROR(__xludf.DUMMYFUNCTION("""COMPUTED_VALUE"""),"Djibuti")</f>
        <v>Djibuti</v>
      </c>
      <c r="D57" t="str">
        <f t="shared" ca="1" si="0"/>
        <v>dj</v>
      </c>
    </row>
    <row r="58" spans="1:4" ht="15.75" customHeight="1" x14ac:dyDescent="0.15">
      <c r="A58" s="1" t="s">
        <v>57</v>
      </c>
      <c r="B58" t="str">
        <f ca="1">IFERROR(__xludf.DUMMYFUNCTION("SPLIT(A58,"";"")"),"da-dk")</f>
        <v>da-dk</v>
      </c>
      <c r="C58" t="str">
        <f ca="1">IFERROR(__xludf.DUMMYFUNCTION("""COMPUTED_VALUE"""),"Dinamarca")</f>
        <v>Dinamarca</v>
      </c>
      <c r="D58" t="str">
        <f t="shared" ca="1" si="0"/>
        <v>dk</v>
      </c>
    </row>
    <row r="59" spans="1:4" ht="15.75" customHeight="1" x14ac:dyDescent="0.15">
      <c r="A59" s="1" t="s">
        <v>58</v>
      </c>
      <c r="B59" t="str">
        <f ca="1">IFERROR(__xludf.DUMMYFUNCTION("SPLIT(A59,"";"")"),"en-dm")</f>
        <v>en-dm</v>
      </c>
      <c r="C59" t="str">
        <f ca="1">IFERROR(__xludf.DUMMYFUNCTION("""COMPUTED_VALUE"""),"Dominica")</f>
        <v>Dominica</v>
      </c>
      <c r="D59" t="str">
        <f t="shared" ca="1" si="0"/>
        <v>dm</v>
      </c>
    </row>
    <row r="60" spans="1:4" ht="15.75" customHeight="1" x14ac:dyDescent="0.15">
      <c r="A60" s="1" t="s">
        <v>59</v>
      </c>
      <c r="B60" t="str">
        <f ca="1">IFERROR(__xludf.DUMMYFUNCTION("SPLIT(A60,"";"")"),"es-do")</f>
        <v>es-do</v>
      </c>
      <c r="C60" t="str">
        <f ca="1">IFERROR(__xludf.DUMMYFUNCTION("""COMPUTED_VALUE"""),"República Dominicana")</f>
        <v>República Dominicana</v>
      </c>
      <c r="D60" t="str">
        <f t="shared" ca="1" si="0"/>
        <v>do</v>
      </c>
    </row>
    <row r="61" spans="1:4" ht="15.75" customHeight="1" x14ac:dyDescent="0.15">
      <c r="A61" s="1" t="s">
        <v>60</v>
      </c>
      <c r="B61" t="str">
        <f ca="1">IFERROR(__xludf.DUMMYFUNCTION("SPLIT(A61,"";"")"),"ar-dz")</f>
        <v>ar-dz</v>
      </c>
      <c r="C61" t="str">
        <f ca="1">IFERROR(__xludf.DUMMYFUNCTION("""COMPUTED_VALUE"""),"Argélia")</f>
        <v>Argélia</v>
      </c>
      <c r="D61" t="str">
        <f t="shared" ca="1" si="0"/>
        <v>dz</v>
      </c>
    </row>
    <row r="62" spans="1:4" ht="15.75" customHeight="1" x14ac:dyDescent="0.15">
      <c r="A62" s="1" t="s">
        <v>61</v>
      </c>
      <c r="B62" t="str">
        <f ca="1">IFERROR(__xludf.DUMMYFUNCTION("SPLIT(A62,"";"")"),"es-ec")</f>
        <v>es-ec</v>
      </c>
      <c r="C62" t="str">
        <f ca="1">IFERROR(__xludf.DUMMYFUNCTION("""COMPUTED_VALUE"""),"Equador")</f>
        <v>Equador</v>
      </c>
      <c r="D62" t="str">
        <f t="shared" ca="1" si="0"/>
        <v>ec</v>
      </c>
    </row>
    <row r="63" spans="1:4" ht="15.75" customHeight="1" x14ac:dyDescent="0.15">
      <c r="A63" s="1" t="s">
        <v>62</v>
      </c>
      <c r="B63" t="str">
        <f ca="1">IFERROR(__xludf.DUMMYFUNCTION("SPLIT(A63,"";"")"),"et-ee")</f>
        <v>et-ee</v>
      </c>
      <c r="C63" t="str">
        <f ca="1">IFERROR(__xludf.DUMMYFUNCTION("""COMPUTED_VALUE"""),"Estônia")</f>
        <v>Estônia</v>
      </c>
      <c r="D63" t="str">
        <f t="shared" ca="1" si="0"/>
        <v>ee</v>
      </c>
    </row>
    <row r="64" spans="1:4" ht="15.75" customHeight="1" x14ac:dyDescent="0.15">
      <c r="A64" s="1" t="s">
        <v>63</v>
      </c>
      <c r="B64" t="str">
        <f ca="1">IFERROR(__xludf.DUMMYFUNCTION("SPLIT(A64,"";"")"),"ar-eg")</f>
        <v>ar-eg</v>
      </c>
      <c r="C64" t="str">
        <f ca="1">IFERROR(__xludf.DUMMYFUNCTION("""COMPUTED_VALUE"""),"Egito")</f>
        <v>Egito</v>
      </c>
      <c r="D64" t="str">
        <f t="shared" ca="1" si="0"/>
        <v>eg</v>
      </c>
    </row>
    <row r="65" spans="1:4" ht="15.75" customHeight="1" x14ac:dyDescent="0.15">
      <c r="A65" s="1" t="s">
        <v>64</v>
      </c>
      <c r="B65" t="str">
        <f ca="1">IFERROR(__xludf.DUMMYFUNCTION("SPLIT(A65,"";"")"),"ti-er")</f>
        <v>ti-er</v>
      </c>
      <c r="C65" t="str">
        <f ca="1">IFERROR(__xludf.DUMMYFUNCTION("""COMPUTED_VALUE"""),"Eritreia")</f>
        <v>Eritreia</v>
      </c>
      <c r="D65" t="str">
        <f t="shared" ca="1" si="0"/>
        <v>er</v>
      </c>
    </row>
    <row r="66" spans="1:4" ht="15.75" customHeight="1" x14ac:dyDescent="0.15">
      <c r="A66" s="1" t="s">
        <v>65</v>
      </c>
      <c r="B66" t="str">
        <f ca="1">IFERROR(__xludf.DUMMYFUNCTION("SPLIT(A66,"";"")"),"es-es")</f>
        <v>es-es</v>
      </c>
      <c r="C66" t="str">
        <f ca="1">IFERROR(__xludf.DUMMYFUNCTION("""COMPUTED_VALUE"""),"Espanha")</f>
        <v>Espanha</v>
      </c>
      <c r="D66" t="str">
        <f t="shared" ca="1" si="0"/>
        <v>es</v>
      </c>
    </row>
    <row r="67" spans="1:4" ht="15.75" customHeight="1" x14ac:dyDescent="0.15">
      <c r="A67" s="1" t="s">
        <v>66</v>
      </c>
      <c r="B67" t="str">
        <f ca="1">IFERROR(__xludf.DUMMYFUNCTION("SPLIT(A67,"";"")"),"am-et")</f>
        <v>am-et</v>
      </c>
      <c r="C67" t="str">
        <f ca="1">IFERROR(__xludf.DUMMYFUNCTION("""COMPUTED_VALUE"""),"Etiópia")</f>
        <v>Etiópia</v>
      </c>
      <c r="D67" t="str">
        <f t="shared" ca="1" si="0"/>
        <v>et</v>
      </c>
    </row>
    <row r="68" spans="1:4" ht="15.75" customHeight="1" x14ac:dyDescent="0.15">
      <c r="A68" s="1" t="s">
        <v>67</v>
      </c>
      <c r="B68" t="str">
        <f ca="1">IFERROR(__xludf.DUMMYFUNCTION("SPLIT(A68,"";"")"),"fi-fi")</f>
        <v>fi-fi</v>
      </c>
      <c r="C68" t="str">
        <f ca="1">IFERROR(__xludf.DUMMYFUNCTION("""COMPUTED_VALUE"""),"Finlândia")</f>
        <v>Finlândia</v>
      </c>
      <c r="D68" t="str">
        <f t="shared" ca="1" si="0"/>
        <v>fi</v>
      </c>
    </row>
    <row r="69" spans="1:4" ht="15.75" customHeight="1" x14ac:dyDescent="0.15">
      <c r="A69" s="1" t="s">
        <v>68</v>
      </c>
      <c r="B69" t="str">
        <f ca="1">IFERROR(__xludf.DUMMYFUNCTION("SPLIT(A69,"";"")"),"en-fj")</f>
        <v>en-fj</v>
      </c>
      <c r="C69" t="str">
        <f ca="1">IFERROR(__xludf.DUMMYFUNCTION("""COMPUTED_VALUE"""),"Fiji")</f>
        <v>Fiji</v>
      </c>
      <c r="D69" t="str">
        <f t="shared" ca="1" si="0"/>
        <v>fj</v>
      </c>
    </row>
    <row r="70" spans="1:4" ht="15.75" customHeight="1" x14ac:dyDescent="0.15">
      <c r="A70" s="1" t="s">
        <v>69</v>
      </c>
      <c r="B70" t="str">
        <f ca="1">IFERROR(__xludf.DUMMYFUNCTION("SPLIT(A70,"";"")"),"en-fk")</f>
        <v>en-fk</v>
      </c>
      <c r="C70" t="str">
        <f ca="1">IFERROR(__xludf.DUMMYFUNCTION("""COMPUTED_VALUE"""),"Ilhas Malvinas")</f>
        <v>Ilhas Malvinas</v>
      </c>
      <c r="D70" t="str">
        <f t="shared" ca="1" si="0"/>
        <v>fk</v>
      </c>
    </row>
    <row r="71" spans="1:4" ht="15.75" customHeight="1" x14ac:dyDescent="0.15">
      <c r="A71" s="1" t="s">
        <v>70</v>
      </c>
      <c r="B71" t="str">
        <f ca="1">IFERROR(__xludf.DUMMYFUNCTION("SPLIT(A71,"";"")"),"en-fm")</f>
        <v>en-fm</v>
      </c>
      <c r="C71" t="str">
        <f ca="1">IFERROR(__xludf.DUMMYFUNCTION("""COMPUTED_VALUE"""),"Micronésia")</f>
        <v>Micronésia</v>
      </c>
      <c r="D71" t="str">
        <f t="shared" ca="1" si="0"/>
        <v>fm</v>
      </c>
    </row>
    <row r="72" spans="1:4" ht="15.75" customHeight="1" x14ac:dyDescent="0.15">
      <c r="A72" s="1" t="s">
        <v>71</v>
      </c>
      <c r="B72" t="str">
        <f ca="1">IFERROR(__xludf.DUMMYFUNCTION("SPLIT(A72,"";"")"),"fo-fo")</f>
        <v>fo-fo</v>
      </c>
      <c r="C72" t="str">
        <f ca="1">IFERROR(__xludf.DUMMYFUNCTION("""COMPUTED_VALUE"""),"Ilhas Faroe")</f>
        <v>Ilhas Faroe</v>
      </c>
      <c r="D72" t="str">
        <f t="shared" ca="1" si="0"/>
        <v>fo</v>
      </c>
    </row>
    <row r="73" spans="1:4" ht="15.75" customHeight="1" x14ac:dyDescent="0.15">
      <c r="A73" s="1" t="s">
        <v>72</v>
      </c>
      <c r="B73" t="str">
        <f ca="1">IFERROR(__xludf.DUMMYFUNCTION("SPLIT(A73,"";"")"),"fr-fr")</f>
        <v>fr-fr</v>
      </c>
      <c r="C73" t="str">
        <f ca="1">IFERROR(__xludf.DUMMYFUNCTION("""COMPUTED_VALUE"""),"França")</f>
        <v>França</v>
      </c>
      <c r="D73" t="str">
        <f t="shared" ca="1" si="0"/>
        <v>fr</v>
      </c>
    </row>
    <row r="74" spans="1:4" ht="15.75" customHeight="1" x14ac:dyDescent="0.15">
      <c r="A74" s="1" t="s">
        <v>73</v>
      </c>
      <c r="B74" t="str">
        <f ca="1">IFERROR(__xludf.DUMMYFUNCTION("SPLIT(A74,"";"")"),"fr-ga")</f>
        <v>fr-ga</v>
      </c>
      <c r="C74" t="str">
        <f ca="1">IFERROR(__xludf.DUMMYFUNCTION("""COMPUTED_VALUE"""),"Gabão")</f>
        <v>Gabão</v>
      </c>
      <c r="D74" t="str">
        <f t="shared" ca="1" si="0"/>
        <v>ga</v>
      </c>
    </row>
    <row r="75" spans="1:4" ht="15.75" customHeight="1" x14ac:dyDescent="0.15">
      <c r="A75" s="1" t="s">
        <v>74</v>
      </c>
      <c r="B75" t="str">
        <f ca="1">IFERROR(__xludf.DUMMYFUNCTION("SPLIT(A75,"";"")"),"en-gb")</f>
        <v>en-gb</v>
      </c>
      <c r="C75" t="str">
        <f ca="1">IFERROR(__xludf.DUMMYFUNCTION("""COMPUTED_VALUE"""),"Reino Unido")</f>
        <v>Reino Unido</v>
      </c>
      <c r="D75" t="str">
        <f t="shared" ca="1" si="0"/>
        <v>gb</v>
      </c>
    </row>
    <row r="76" spans="1:4" ht="15.75" customHeight="1" x14ac:dyDescent="0.15">
      <c r="A76" s="1" t="s">
        <v>75</v>
      </c>
      <c r="B76" t="str">
        <f ca="1">IFERROR(__xludf.DUMMYFUNCTION("SPLIT(A76,"";"")"),"en-gd")</f>
        <v>en-gd</v>
      </c>
      <c r="C76" t="str">
        <f ca="1">IFERROR(__xludf.DUMMYFUNCTION("""COMPUTED_VALUE"""),"Granada")</f>
        <v>Granada</v>
      </c>
      <c r="D76" t="str">
        <f t="shared" ca="1" si="0"/>
        <v>gd</v>
      </c>
    </row>
    <row r="77" spans="1:4" ht="15.75" customHeight="1" x14ac:dyDescent="0.15">
      <c r="A77" s="1" t="s">
        <v>76</v>
      </c>
      <c r="B77" t="str">
        <f ca="1">IFERROR(__xludf.DUMMYFUNCTION("SPLIT(A77,"";"")"),"ka-ge")</f>
        <v>ka-ge</v>
      </c>
      <c r="C77" t="str">
        <f ca="1">IFERROR(__xludf.DUMMYFUNCTION("""COMPUTED_VALUE"""),"Geórgia")</f>
        <v>Geórgia</v>
      </c>
      <c r="D77" t="str">
        <f t="shared" ca="1" si="0"/>
        <v>ge</v>
      </c>
    </row>
    <row r="78" spans="1:4" ht="15.75" customHeight="1" x14ac:dyDescent="0.15">
      <c r="A78" s="1" t="s">
        <v>77</v>
      </c>
      <c r="B78" t="str">
        <f ca="1">IFERROR(__xludf.DUMMYFUNCTION("SPLIT(A78,"";"")"),"fr-gf")</f>
        <v>fr-gf</v>
      </c>
      <c r="C78" t="str">
        <f ca="1">IFERROR(__xludf.DUMMYFUNCTION("""COMPUTED_VALUE"""),"Guiana Francesa")</f>
        <v>Guiana Francesa</v>
      </c>
      <c r="D78" t="str">
        <f t="shared" ca="1" si="0"/>
        <v>gf</v>
      </c>
    </row>
    <row r="79" spans="1:4" ht="15.75" customHeight="1" x14ac:dyDescent="0.15">
      <c r="A79" s="1" t="s">
        <v>78</v>
      </c>
      <c r="B79" t="str">
        <f ca="1">IFERROR(__xludf.DUMMYFUNCTION("SPLIT(A79,"";"")"),"en-gg")</f>
        <v>en-gg</v>
      </c>
      <c r="C79" t="str">
        <f ca="1">IFERROR(__xludf.DUMMYFUNCTION("""COMPUTED_VALUE"""),"Guernsey")</f>
        <v>Guernsey</v>
      </c>
      <c r="D79" t="str">
        <f t="shared" ca="1" si="0"/>
        <v>gg</v>
      </c>
    </row>
    <row r="80" spans="1:4" ht="15.75" customHeight="1" x14ac:dyDescent="0.15">
      <c r="A80" s="1" t="s">
        <v>79</v>
      </c>
      <c r="B80" t="str">
        <f ca="1">IFERROR(__xludf.DUMMYFUNCTION("SPLIT(A80,"";"")"),"en-gh")</f>
        <v>en-gh</v>
      </c>
      <c r="C80" t="str">
        <f ca="1">IFERROR(__xludf.DUMMYFUNCTION("""COMPUTED_VALUE"""),"Gana")</f>
        <v>Gana</v>
      </c>
      <c r="D80" t="str">
        <f t="shared" ca="1" si="0"/>
        <v>gh</v>
      </c>
    </row>
    <row r="81" spans="1:4" ht="15.75" customHeight="1" x14ac:dyDescent="0.15">
      <c r="A81" s="1" t="s">
        <v>80</v>
      </c>
      <c r="B81" t="str">
        <f ca="1">IFERROR(__xludf.DUMMYFUNCTION("SPLIT(A81,"";"")"),"en-gi")</f>
        <v>en-gi</v>
      </c>
      <c r="C81" t="str">
        <f ca="1">IFERROR(__xludf.DUMMYFUNCTION("""COMPUTED_VALUE"""),"Gibraltar")</f>
        <v>Gibraltar</v>
      </c>
      <c r="D81" t="str">
        <f t="shared" ca="1" si="0"/>
        <v>gi</v>
      </c>
    </row>
    <row r="82" spans="1:4" ht="15.75" customHeight="1" x14ac:dyDescent="0.15">
      <c r="A82" s="1" t="s">
        <v>81</v>
      </c>
      <c r="B82" t="str">
        <f ca="1">IFERROR(__xludf.DUMMYFUNCTION("SPLIT(A82,"";"")"),"kl-gl")</f>
        <v>kl-gl</v>
      </c>
      <c r="C82" t="str">
        <f ca="1">IFERROR(__xludf.DUMMYFUNCTION("""COMPUTED_VALUE"""),"Groenlândia")</f>
        <v>Groenlândia</v>
      </c>
      <c r="D82" t="str">
        <f t="shared" ca="1" si="0"/>
        <v>gl</v>
      </c>
    </row>
    <row r="83" spans="1:4" ht="15.75" customHeight="1" x14ac:dyDescent="0.15">
      <c r="A83" s="1" t="s">
        <v>82</v>
      </c>
      <c r="B83" t="str">
        <f ca="1">IFERROR(__xludf.DUMMYFUNCTION("SPLIT(A83,"";"")"),"en-gm")</f>
        <v>en-gm</v>
      </c>
      <c r="C83" t="str">
        <f ca="1">IFERROR(__xludf.DUMMYFUNCTION("""COMPUTED_VALUE"""),"Gâmbia")</f>
        <v>Gâmbia</v>
      </c>
      <c r="D83" t="str">
        <f t="shared" ca="1" si="0"/>
        <v>gm</v>
      </c>
    </row>
    <row r="84" spans="1:4" ht="15.75" customHeight="1" x14ac:dyDescent="0.15">
      <c r="A84" s="1" t="s">
        <v>83</v>
      </c>
      <c r="B84" t="str">
        <f ca="1">IFERROR(__xludf.DUMMYFUNCTION("SPLIT(A84,"";"")"),"fr-gn")</f>
        <v>fr-gn</v>
      </c>
      <c r="C84" t="str">
        <f ca="1">IFERROR(__xludf.DUMMYFUNCTION("""COMPUTED_VALUE"""),"Guiné")</f>
        <v>Guiné</v>
      </c>
      <c r="D84" t="str">
        <f t="shared" ca="1" si="0"/>
        <v>gn</v>
      </c>
    </row>
    <row r="85" spans="1:4" ht="15.75" customHeight="1" x14ac:dyDescent="0.15">
      <c r="A85" s="1" t="s">
        <v>84</v>
      </c>
      <c r="B85" t="str">
        <f ca="1">IFERROR(__xludf.DUMMYFUNCTION("SPLIT(A85,"";"")"),"fr-gp")</f>
        <v>fr-gp</v>
      </c>
      <c r="C85" t="str">
        <f ca="1">IFERROR(__xludf.DUMMYFUNCTION("""COMPUTED_VALUE"""),"Guadalupe")</f>
        <v>Guadalupe</v>
      </c>
      <c r="D85" t="str">
        <f t="shared" ca="1" si="0"/>
        <v>gp</v>
      </c>
    </row>
    <row r="86" spans="1:4" ht="15.75" customHeight="1" x14ac:dyDescent="0.15">
      <c r="A86" s="1" t="s">
        <v>85</v>
      </c>
      <c r="B86" t="str">
        <f ca="1">IFERROR(__xludf.DUMMYFUNCTION("SPLIT(A86,"";"")"),"es-gq")</f>
        <v>es-gq</v>
      </c>
      <c r="C86" t="str">
        <f ca="1">IFERROR(__xludf.DUMMYFUNCTION("""COMPUTED_VALUE"""),"Guiné Equatorial")</f>
        <v>Guiné Equatorial</v>
      </c>
      <c r="D86" t="str">
        <f t="shared" ca="1" si="0"/>
        <v>gq</v>
      </c>
    </row>
    <row r="87" spans="1:4" ht="15.75" customHeight="1" x14ac:dyDescent="0.15">
      <c r="A87" s="1" t="s">
        <v>86</v>
      </c>
      <c r="B87" t="str">
        <f ca="1">IFERROR(__xludf.DUMMYFUNCTION("SPLIT(A87,"";"")"),"el-gr")</f>
        <v>el-gr</v>
      </c>
      <c r="C87" t="str">
        <f ca="1">IFERROR(__xludf.DUMMYFUNCTION("""COMPUTED_VALUE"""),"Grécia")</f>
        <v>Grécia</v>
      </c>
      <c r="D87" t="str">
        <f t="shared" ca="1" si="0"/>
        <v>gr</v>
      </c>
    </row>
    <row r="88" spans="1:4" ht="15.75" customHeight="1" x14ac:dyDescent="0.15">
      <c r="A88" s="1" t="s">
        <v>87</v>
      </c>
      <c r="B88" t="str">
        <f ca="1">IFERROR(__xludf.DUMMYFUNCTION("SPLIT(A88,"";"")"),"es-gt")</f>
        <v>es-gt</v>
      </c>
      <c r="C88" t="str">
        <f ca="1">IFERROR(__xludf.DUMMYFUNCTION("""COMPUTED_VALUE"""),"Guatemala")</f>
        <v>Guatemala</v>
      </c>
      <c r="D88" t="str">
        <f t="shared" ca="1" si="0"/>
        <v>gt</v>
      </c>
    </row>
    <row r="89" spans="1:4" ht="15.75" customHeight="1" x14ac:dyDescent="0.15">
      <c r="A89" s="1" t="s">
        <v>88</v>
      </c>
      <c r="B89" t="str">
        <f ca="1">IFERROR(__xludf.DUMMYFUNCTION("SPLIT(A89,"";"")"),"en-gu")</f>
        <v>en-gu</v>
      </c>
      <c r="C89" t="str">
        <f ca="1">IFERROR(__xludf.DUMMYFUNCTION("""COMPUTED_VALUE"""),"Guam")</f>
        <v>Guam</v>
      </c>
      <c r="D89" t="str">
        <f t="shared" ca="1" si="0"/>
        <v>gu</v>
      </c>
    </row>
    <row r="90" spans="1:4" ht="15.75" customHeight="1" x14ac:dyDescent="0.15">
      <c r="A90" s="1" t="s">
        <v>89</v>
      </c>
      <c r="B90" t="str">
        <f ca="1">IFERROR(__xludf.DUMMYFUNCTION("SPLIT(A90,"";"")"),"pt-gw")</f>
        <v>pt-gw</v>
      </c>
      <c r="C90" t="str">
        <f ca="1">IFERROR(__xludf.DUMMYFUNCTION("""COMPUTED_VALUE"""),"Guiné-Bissau")</f>
        <v>Guiné-Bissau</v>
      </c>
      <c r="D90" t="str">
        <f t="shared" ca="1" si="0"/>
        <v>gw</v>
      </c>
    </row>
    <row r="91" spans="1:4" ht="15.75" customHeight="1" x14ac:dyDescent="0.15">
      <c r="A91" s="1" t="s">
        <v>90</v>
      </c>
      <c r="B91" t="str">
        <f ca="1">IFERROR(__xludf.DUMMYFUNCTION("SPLIT(A91,"";"")"),"en-gy")</f>
        <v>en-gy</v>
      </c>
      <c r="C91" t="str">
        <f ca="1">IFERROR(__xludf.DUMMYFUNCTION("""COMPUTED_VALUE"""),"Guiana")</f>
        <v>Guiana</v>
      </c>
      <c r="D91" t="str">
        <f t="shared" ca="1" si="0"/>
        <v>gy</v>
      </c>
    </row>
    <row r="92" spans="1:4" ht="15.75" customHeight="1" x14ac:dyDescent="0.15">
      <c r="A92" s="1" t="s">
        <v>91</v>
      </c>
      <c r="B92" t="str">
        <f ca="1">IFERROR(__xludf.DUMMYFUNCTION("SPLIT(A92,"";"")"),"zh-hk")</f>
        <v>zh-hk</v>
      </c>
      <c r="C92" t="str">
        <f ca="1">IFERROR(__xludf.DUMMYFUNCTION("""COMPUTED_VALUE"""),"RAE de Hong Kong")</f>
        <v>RAE de Hong Kong</v>
      </c>
      <c r="D92" t="str">
        <f t="shared" ca="1" si="0"/>
        <v>hk</v>
      </c>
    </row>
    <row r="93" spans="1:4" ht="15.75" customHeight="1" x14ac:dyDescent="0.15">
      <c r="A93" s="1" t="s">
        <v>92</v>
      </c>
      <c r="B93" t="str">
        <f ca="1">IFERROR(__xludf.DUMMYFUNCTION("SPLIT(A93,"";"")"),"es-hn")</f>
        <v>es-hn</v>
      </c>
      <c r="C93" t="str">
        <f ca="1">IFERROR(__xludf.DUMMYFUNCTION("""COMPUTED_VALUE"""),"Honduras")</f>
        <v>Honduras</v>
      </c>
      <c r="D93" t="str">
        <f t="shared" ca="1" si="0"/>
        <v>hn</v>
      </c>
    </row>
    <row r="94" spans="1:4" ht="15.75" customHeight="1" x14ac:dyDescent="0.15">
      <c r="A94" s="1" t="s">
        <v>93</v>
      </c>
      <c r="B94" t="str">
        <f ca="1">IFERROR(__xludf.DUMMYFUNCTION("SPLIT(A94,"";"")"),"hr-hr")</f>
        <v>hr-hr</v>
      </c>
      <c r="C94" t="str">
        <f ca="1">IFERROR(__xludf.DUMMYFUNCTION("""COMPUTED_VALUE"""),"Croácia")</f>
        <v>Croácia</v>
      </c>
      <c r="D94" t="str">
        <f t="shared" ca="1" si="0"/>
        <v>hr</v>
      </c>
    </row>
    <row r="95" spans="1:4" ht="15.75" customHeight="1" x14ac:dyDescent="0.15">
      <c r="A95" s="1" t="s">
        <v>94</v>
      </c>
      <c r="B95" t="str">
        <f ca="1">IFERROR(__xludf.DUMMYFUNCTION("SPLIT(A95,"";"")"),"fr-ht")</f>
        <v>fr-ht</v>
      </c>
      <c r="C95" t="str">
        <f ca="1">IFERROR(__xludf.DUMMYFUNCTION("""COMPUTED_VALUE"""),"Haiti")</f>
        <v>Haiti</v>
      </c>
      <c r="D95" t="str">
        <f t="shared" ca="1" si="0"/>
        <v>ht</v>
      </c>
    </row>
    <row r="96" spans="1:4" ht="15.75" customHeight="1" x14ac:dyDescent="0.15">
      <c r="A96" s="1" t="s">
        <v>95</v>
      </c>
      <c r="B96" t="str">
        <f ca="1">IFERROR(__xludf.DUMMYFUNCTION("SPLIT(A96,"";"")"),"hu-hu")</f>
        <v>hu-hu</v>
      </c>
      <c r="C96" t="str">
        <f ca="1">IFERROR(__xludf.DUMMYFUNCTION("""COMPUTED_VALUE"""),"Hungria")</f>
        <v>Hungria</v>
      </c>
      <c r="D96" t="str">
        <f t="shared" ca="1" si="0"/>
        <v>hu</v>
      </c>
    </row>
    <row r="97" spans="1:4" ht="15.75" customHeight="1" x14ac:dyDescent="0.15">
      <c r="A97" s="1" t="s">
        <v>96</v>
      </c>
      <c r="B97" t="str">
        <f ca="1">IFERROR(__xludf.DUMMYFUNCTION("SPLIT(A97,"";"")"),"id-id")</f>
        <v>id-id</v>
      </c>
      <c r="C97" t="str">
        <f ca="1">IFERROR(__xludf.DUMMYFUNCTION("""COMPUTED_VALUE"""),"Indonésia")</f>
        <v>Indonésia</v>
      </c>
      <c r="D97" t="str">
        <f t="shared" ca="1" si="0"/>
        <v>id</v>
      </c>
    </row>
    <row r="98" spans="1:4" ht="15.75" customHeight="1" x14ac:dyDescent="0.15">
      <c r="A98" s="1" t="s">
        <v>97</v>
      </c>
      <c r="B98" t="str">
        <f ca="1">IFERROR(__xludf.DUMMYFUNCTION("SPLIT(A98,"";"")"),"en-ie")</f>
        <v>en-ie</v>
      </c>
      <c r="C98" t="str">
        <f ca="1">IFERROR(__xludf.DUMMYFUNCTION("""COMPUTED_VALUE"""),"Irlanda")</f>
        <v>Irlanda</v>
      </c>
      <c r="D98" t="str">
        <f t="shared" ca="1" si="0"/>
        <v>ie</v>
      </c>
    </row>
    <row r="99" spans="1:4" ht="15.75" customHeight="1" x14ac:dyDescent="0.15">
      <c r="A99" s="1" t="s">
        <v>98</v>
      </c>
      <c r="B99" t="str">
        <f ca="1">IFERROR(__xludf.DUMMYFUNCTION("SPLIT(A99,"";"")"),"he-il")</f>
        <v>he-il</v>
      </c>
      <c r="C99" t="str">
        <f ca="1">IFERROR(__xludf.DUMMYFUNCTION("""COMPUTED_VALUE"""),"Israel")</f>
        <v>Israel</v>
      </c>
      <c r="D99" t="str">
        <f t="shared" ca="1" si="0"/>
        <v>il</v>
      </c>
    </row>
    <row r="100" spans="1:4" ht="15.75" customHeight="1" x14ac:dyDescent="0.15">
      <c r="A100" s="1" t="s">
        <v>99</v>
      </c>
      <c r="B100" t="str">
        <f ca="1">IFERROR(__xludf.DUMMYFUNCTION("SPLIT(A100,"";"")"),"en-in")</f>
        <v>en-in</v>
      </c>
      <c r="C100" t="str">
        <f ca="1">IFERROR(__xludf.DUMMYFUNCTION("""COMPUTED_VALUE"""),"Índia")</f>
        <v>Índia</v>
      </c>
      <c r="D100" t="str">
        <f t="shared" ca="1" si="0"/>
        <v>in</v>
      </c>
    </row>
    <row r="101" spans="1:4" ht="15.75" customHeight="1" x14ac:dyDescent="0.15">
      <c r="A101" s="1" t="s">
        <v>100</v>
      </c>
      <c r="B101" t="str">
        <f ca="1">IFERROR(__xludf.DUMMYFUNCTION("SPLIT(A101,"";"")"),"ar-iq")</f>
        <v>ar-iq</v>
      </c>
      <c r="C101" t="str">
        <f ca="1">IFERROR(__xludf.DUMMYFUNCTION("""COMPUTED_VALUE"""),"Iraque")</f>
        <v>Iraque</v>
      </c>
      <c r="D101" t="str">
        <f t="shared" ca="1" si="0"/>
        <v>iq</v>
      </c>
    </row>
    <row r="102" spans="1:4" ht="15.75" customHeight="1" x14ac:dyDescent="0.15">
      <c r="A102" s="1" t="s">
        <v>101</v>
      </c>
      <c r="B102" t="str">
        <f ca="1">IFERROR(__xludf.DUMMYFUNCTION("SPLIT(A102,"";"")"),"fa-ir")</f>
        <v>fa-ir</v>
      </c>
      <c r="C102" t="str">
        <f ca="1">IFERROR(__xludf.DUMMYFUNCTION("""COMPUTED_VALUE"""),"Irã")</f>
        <v>Irã</v>
      </c>
      <c r="D102" t="str">
        <f t="shared" ca="1" si="0"/>
        <v>ir</v>
      </c>
    </row>
    <row r="103" spans="1:4" ht="15.75" customHeight="1" x14ac:dyDescent="0.15">
      <c r="A103" s="1" t="s">
        <v>102</v>
      </c>
      <c r="B103" t="str">
        <f ca="1">IFERROR(__xludf.DUMMYFUNCTION("SPLIT(A103,"";"")"),"is-is")</f>
        <v>is-is</v>
      </c>
      <c r="C103" t="str">
        <f ca="1">IFERROR(__xludf.DUMMYFUNCTION("""COMPUTED_VALUE"""),"Islândia")</f>
        <v>Islândia</v>
      </c>
      <c r="D103" t="str">
        <f t="shared" ca="1" si="0"/>
        <v>is</v>
      </c>
    </row>
    <row r="104" spans="1:4" ht="15.75" customHeight="1" x14ac:dyDescent="0.15">
      <c r="A104" s="1" t="s">
        <v>103</v>
      </c>
      <c r="B104" t="str">
        <f ca="1">IFERROR(__xludf.DUMMYFUNCTION("SPLIT(A104,"";"")"),"it-it")</f>
        <v>it-it</v>
      </c>
      <c r="C104" t="str">
        <f ca="1">IFERROR(__xludf.DUMMYFUNCTION("""COMPUTED_VALUE"""),"Itália")</f>
        <v>Itália</v>
      </c>
      <c r="D104" t="str">
        <f t="shared" ca="1" si="0"/>
        <v>it</v>
      </c>
    </row>
    <row r="105" spans="1:4" ht="15.75" customHeight="1" x14ac:dyDescent="0.15">
      <c r="A105" s="1" t="s">
        <v>104</v>
      </c>
      <c r="B105" t="str">
        <f ca="1">IFERROR(__xludf.DUMMYFUNCTION("SPLIT(A105,"";"")"),"en-je")</f>
        <v>en-je</v>
      </c>
      <c r="C105" t="str">
        <f ca="1">IFERROR(__xludf.DUMMYFUNCTION("""COMPUTED_VALUE"""),"Jersey")</f>
        <v>Jersey</v>
      </c>
      <c r="D105" t="str">
        <f t="shared" ca="1" si="0"/>
        <v>je</v>
      </c>
    </row>
    <row r="106" spans="1:4" ht="15.75" customHeight="1" x14ac:dyDescent="0.15">
      <c r="A106" s="1" t="s">
        <v>105</v>
      </c>
      <c r="B106" t="str">
        <f ca="1">IFERROR(__xludf.DUMMYFUNCTION("SPLIT(A106,"";"")"),"en-jm")</f>
        <v>en-jm</v>
      </c>
      <c r="C106" t="str">
        <f ca="1">IFERROR(__xludf.DUMMYFUNCTION("""COMPUTED_VALUE"""),"Jamaica")</f>
        <v>Jamaica</v>
      </c>
      <c r="D106" t="str">
        <f t="shared" ca="1" si="0"/>
        <v>jm</v>
      </c>
    </row>
    <row r="107" spans="1:4" ht="15.75" customHeight="1" x14ac:dyDescent="0.15">
      <c r="A107" s="1" t="s">
        <v>106</v>
      </c>
      <c r="B107" t="str">
        <f ca="1">IFERROR(__xludf.DUMMYFUNCTION("SPLIT(A107,"";"")"),"ar-jo")</f>
        <v>ar-jo</v>
      </c>
      <c r="C107" t="str">
        <f ca="1">IFERROR(__xludf.DUMMYFUNCTION("""COMPUTED_VALUE"""),"Jordânia")</f>
        <v>Jordânia</v>
      </c>
      <c r="D107" t="str">
        <f t="shared" ca="1" si="0"/>
        <v>jo</v>
      </c>
    </row>
    <row r="108" spans="1:4" ht="15.75" customHeight="1" x14ac:dyDescent="0.15">
      <c r="A108" s="1" t="s">
        <v>107</v>
      </c>
      <c r="B108" t="str">
        <f ca="1">IFERROR(__xludf.DUMMYFUNCTION("SPLIT(A108,"";"")"),"ja-jp")</f>
        <v>ja-jp</v>
      </c>
      <c r="C108" t="str">
        <f ca="1">IFERROR(__xludf.DUMMYFUNCTION("""COMPUTED_VALUE"""),"Japão")</f>
        <v>Japão</v>
      </c>
      <c r="D108" t="str">
        <f t="shared" ca="1" si="0"/>
        <v>jp</v>
      </c>
    </row>
    <row r="109" spans="1:4" ht="15.75" customHeight="1" x14ac:dyDescent="0.15">
      <c r="A109" s="1" t="s">
        <v>108</v>
      </c>
      <c r="B109" t="str">
        <f ca="1">IFERROR(__xludf.DUMMYFUNCTION("SPLIT(A109,"";"")"),"sw-ke")</f>
        <v>sw-ke</v>
      </c>
      <c r="C109" t="str">
        <f ca="1">IFERROR(__xludf.DUMMYFUNCTION("""COMPUTED_VALUE"""),"Quênia")</f>
        <v>Quênia</v>
      </c>
      <c r="D109" t="str">
        <f t="shared" ca="1" si="0"/>
        <v>ke</v>
      </c>
    </row>
    <row r="110" spans="1:4" ht="15.75" customHeight="1" x14ac:dyDescent="0.15">
      <c r="A110" s="1" t="s">
        <v>109</v>
      </c>
      <c r="B110" t="str">
        <f ca="1">IFERROR(__xludf.DUMMYFUNCTION("SPLIT(A110,"";"")"),"ky-kg")</f>
        <v>ky-kg</v>
      </c>
      <c r="C110" t="str">
        <f ca="1">IFERROR(__xludf.DUMMYFUNCTION("""COMPUTED_VALUE"""),"Quirguistão")</f>
        <v>Quirguistão</v>
      </c>
      <c r="D110" t="str">
        <f t="shared" ca="1" si="0"/>
        <v>kg</v>
      </c>
    </row>
    <row r="111" spans="1:4" ht="15.75" customHeight="1" x14ac:dyDescent="0.15">
      <c r="A111" s="1" t="s">
        <v>110</v>
      </c>
      <c r="B111" t="str">
        <f ca="1">IFERROR(__xludf.DUMMYFUNCTION("SPLIT(A111,"";"")"),"km-kh")</f>
        <v>km-kh</v>
      </c>
      <c r="C111" t="str">
        <f ca="1">IFERROR(__xludf.DUMMYFUNCTION("""COMPUTED_VALUE"""),"Camboja")</f>
        <v>Camboja</v>
      </c>
      <c r="D111" t="str">
        <f t="shared" ca="1" si="0"/>
        <v>kh</v>
      </c>
    </row>
    <row r="112" spans="1:4" ht="15.75" customHeight="1" x14ac:dyDescent="0.15">
      <c r="A112" s="1" t="s">
        <v>111</v>
      </c>
      <c r="B112" t="str">
        <f ca="1">IFERROR(__xludf.DUMMYFUNCTION("SPLIT(A112,"";"")"),"en-ki")</f>
        <v>en-ki</v>
      </c>
      <c r="C112" t="str">
        <f ca="1">IFERROR(__xludf.DUMMYFUNCTION("""COMPUTED_VALUE"""),"Quiribati")</f>
        <v>Quiribati</v>
      </c>
      <c r="D112" t="str">
        <f t="shared" ca="1" si="0"/>
        <v>ki</v>
      </c>
    </row>
    <row r="113" spans="1:4" ht="15.75" customHeight="1" x14ac:dyDescent="0.15">
      <c r="A113" s="1" t="s">
        <v>112</v>
      </c>
      <c r="B113" t="str">
        <f ca="1">IFERROR(__xludf.DUMMYFUNCTION("SPLIT(A113,"";"")"),"fr-km")</f>
        <v>fr-km</v>
      </c>
      <c r="C113" t="str">
        <f ca="1">IFERROR(__xludf.DUMMYFUNCTION("""COMPUTED_VALUE"""),"Comores")</f>
        <v>Comores</v>
      </c>
      <c r="D113" t="str">
        <f t="shared" ca="1" si="0"/>
        <v>km</v>
      </c>
    </row>
    <row r="114" spans="1:4" ht="15.75" customHeight="1" x14ac:dyDescent="0.15">
      <c r="A114" s="1" t="s">
        <v>113</v>
      </c>
      <c r="B114" t="str">
        <f ca="1">IFERROR(__xludf.DUMMYFUNCTION("SPLIT(A114,"";"")"),"en-kn")</f>
        <v>en-kn</v>
      </c>
      <c r="C114" t="str">
        <f ca="1">IFERROR(__xludf.DUMMYFUNCTION("""COMPUTED_VALUE"""),"São Cristóvão e Névis")</f>
        <v>São Cristóvão e Névis</v>
      </c>
      <c r="D114" t="str">
        <f t="shared" ca="1" si="0"/>
        <v>kn</v>
      </c>
    </row>
    <row r="115" spans="1:4" ht="15.75" customHeight="1" x14ac:dyDescent="0.15">
      <c r="A115" s="1" t="s">
        <v>114</v>
      </c>
      <c r="B115" t="str">
        <f ca="1">IFERROR(__xludf.DUMMYFUNCTION("SPLIT(A115,"";"")"),"ko-kr")</f>
        <v>ko-kr</v>
      </c>
      <c r="C115" t="str">
        <f ca="1">IFERROR(__xludf.DUMMYFUNCTION("""COMPUTED_VALUE"""),"Coreia do Sul")</f>
        <v>Coreia do Sul</v>
      </c>
      <c r="D115" t="str">
        <f t="shared" ca="1" si="0"/>
        <v>kr</v>
      </c>
    </row>
    <row r="116" spans="1:4" ht="15.75" customHeight="1" x14ac:dyDescent="0.15">
      <c r="A116" s="1" t="s">
        <v>115</v>
      </c>
      <c r="B116" t="str">
        <f ca="1">IFERROR(__xludf.DUMMYFUNCTION("SPLIT(A116,"";"")"),"ar-kw")</f>
        <v>ar-kw</v>
      </c>
      <c r="C116" t="str">
        <f ca="1">IFERROR(__xludf.DUMMYFUNCTION("""COMPUTED_VALUE"""),"Kuwait")</f>
        <v>Kuwait</v>
      </c>
      <c r="D116" t="str">
        <f t="shared" ca="1" si="0"/>
        <v>kw</v>
      </c>
    </row>
    <row r="117" spans="1:4" ht="15.75" customHeight="1" x14ac:dyDescent="0.15">
      <c r="A117" s="1" t="s">
        <v>116</v>
      </c>
      <c r="B117" t="str">
        <f ca="1">IFERROR(__xludf.DUMMYFUNCTION("SPLIT(A117,"";"")"),"en-ky")</f>
        <v>en-ky</v>
      </c>
      <c r="C117" t="str">
        <f ca="1">IFERROR(__xludf.DUMMYFUNCTION("""COMPUTED_VALUE"""),"Ilhas Cayman")</f>
        <v>Ilhas Cayman</v>
      </c>
      <c r="D117" t="str">
        <f t="shared" ca="1" si="0"/>
        <v>ky</v>
      </c>
    </row>
    <row r="118" spans="1:4" ht="15.75" customHeight="1" x14ac:dyDescent="0.15">
      <c r="A118" s="1" t="s">
        <v>117</v>
      </c>
      <c r="B118" t="str">
        <f ca="1">IFERROR(__xludf.DUMMYFUNCTION("SPLIT(A118,"";"")"),"kk-kz")</f>
        <v>kk-kz</v>
      </c>
      <c r="C118" t="str">
        <f ca="1">IFERROR(__xludf.DUMMYFUNCTION("""COMPUTED_VALUE"""),"Cazaquistão")</f>
        <v>Cazaquistão</v>
      </c>
      <c r="D118" t="str">
        <f t="shared" ca="1" si="0"/>
        <v>kz</v>
      </c>
    </row>
    <row r="119" spans="1:4" ht="15.75" customHeight="1" x14ac:dyDescent="0.15">
      <c r="A119" s="1" t="s">
        <v>118</v>
      </c>
      <c r="B119" t="str">
        <f ca="1">IFERROR(__xludf.DUMMYFUNCTION("SPLIT(A119,"";"")"),"lo-la")</f>
        <v>lo-la</v>
      </c>
      <c r="C119" t="str">
        <f ca="1">IFERROR(__xludf.DUMMYFUNCTION("""COMPUTED_VALUE"""),"Laos")</f>
        <v>Laos</v>
      </c>
      <c r="D119" t="str">
        <f t="shared" ca="1" si="0"/>
        <v>la</v>
      </c>
    </row>
    <row r="120" spans="1:4" ht="15.75" customHeight="1" x14ac:dyDescent="0.15">
      <c r="A120" s="1" t="s">
        <v>119</v>
      </c>
      <c r="B120" t="str">
        <f ca="1">IFERROR(__xludf.DUMMYFUNCTION("SPLIT(A120,"";"")"),"ar-lb")</f>
        <v>ar-lb</v>
      </c>
      <c r="C120" t="str">
        <f ca="1">IFERROR(__xludf.DUMMYFUNCTION("""COMPUTED_VALUE"""),"Líbano")</f>
        <v>Líbano</v>
      </c>
      <c r="D120" t="str">
        <f t="shared" ca="1" si="0"/>
        <v>lb</v>
      </c>
    </row>
    <row r="121" spans="1:4" ht="15.75" customHeight="1" x14ac:dyDescent="0.15">
      <c r="A121" s="1" t="s">
        <v>120</v>
      </c>
      <c r="B121" t="str">
        <f ca="1">IFERROR(__xludf.DUMMYFUNCTION("SPLIT(A121,"";"")"),"en-lc")</f>
        <v>en-lc</v>
      </c>
      <c r="C121" t="str">
        <f ca="1">IFERROR(__xludf.DUMMYFUNCTION("""COMPUTED_VALUE"""),"Santa Lúcia")</f>
        <v>Santa Lúcia</v>
      </c>
      <c r="D121" t="str">
        <f t="shared" ca="1" si="0"/>
        <v>lc</v>
      </c>
    </row>
    <row r="122" spans="1:4" ht="15.75" customHeight="1" x14ac:dyDescent="0.15">
      <c r="A122" s="1" t="s">
        <v>121</v>
      </c>
      <c r="B122" t="str">
        <f ca="1">IFERROR(__xludf.DUMMYFUNCTION("SPLIT(A122,"";"")"),"de-li")</f>
        <v>de-li</v>
      </c>
      <c r="C122" t="str">
        <f ca="1">IFERROR(__xludf.DUMMYFUNCTION("""COMPUTED_VALUE"""),"Liechtenstein")</f>
        <v>Liechtenstein</v>
      </c>
      <c r="D122" t="str">
        <f t="shared" ca="1" si="0"/>
        <v>li</v>
      </c>
    </row>
    <row r="123" spans="1:4" ht="15.75" customHeight="1" x14ac:dyDescent="0.15">
      <c r="A123" s="1" t="s">
        <v>122</v>
      </c>
      <c r="B123" t="str">
        <f ca="1">IFERROR(__xludf.DUMMYFUNCTION("SPLIT(A123,"";"")"),"si-lk")</f>
        <v>si-lk</v>
      </c>
      <c r="C123" t="str">
        <f ca="1">IFERROR(__xludf.DUMMYFUNCTION("""COMPUTED_VALUE"""),"Sri Lanka")</f>
        <v>Sri Lanka</v>
      </c>
      <c r="D123" t="str">
        <f t="shared" ca="1" si="0"/>
        <v>lk</v>
      </c>
    </row>
    <row r="124" spans="1:4" ht="15.75" customHeight="1" x14ac:dyDescent="0.15">
      <c r="A124" s="1" t="s">
        <v>123</v>
      </c>
      <c r="B124" t="str">
        <f ca="1">IFERROR(__xludf.DUMMYFUNCTION("SPLIT(A124,"";"")"),"en-lr")</f>
        <v>en-lr</v>
      </c>
      <c r="C124" t="str">
        <f ca="1">IFERROR(__xludf.DUMMYFUNCTION("""COMPUTED_VALUE"""),"Libéria")</f>
        <v>Libéria</v>
      </c>
      <c r="D124" t="str">
        <f t="shared" ca="1" si="0"/>
        <v>lr</v>
      </c>
    </row>
    <row r="125" spans="1:4" ht="15.75" customHeight="1" x14ac:dyDescent="0.15">
      <c r="A125" s="1" t="s">
        <v>124</v>
      </c>
      <c r="B125" t="str">
        <f ca="1">IFERROR(__xludf.DUMMYFUNCTION("SPLIT(A125,"";"")"),"en-ls")</f>
        <v>en-ls</v>
      </c>
      <c r="C125" t="str">
        <f ca="1">IFERROR(__xludf.DUMMYFUNCTION("""COMPUTED_VALUE"""),"Lesoto")</f>
        <v>Lesoto</v>
      </c>
      <c r="D125" t="str">
        <f t="shared" ca="1" si="0"/>
        <v>ls</v>
      </c>
    </row>
    <row r="126" spans="1:4" ht="15.75" customHeight="1" x14ac:dyDescent="0.15">
      <c r="A126" s="1" t="s">
        <v>125</v>
      </c>
      <c r="B126" t="str">
        <f ca="1">IFERROR(__xludf.DUMMYFUNCTION("SPLIT(A126,"";"")"),"lt-lt")</f>
        <v>lt-lt</v>
      </c>
      <c r="C126" t="str">
        <f ca="1">IFERROR(__xludf.DUMMYFUNCTION("""COMPUTED_VALUE"""),"Lituânia")</f>
        <v>Lituânia</v>
      </c>
      <c r="D126" t="str">
        <f t="shared" ca="1" si="0"/>
        <v>lt</v>
      </c>
    </row>
    <row r="127" spans="1:4" ht="15.75" customHeight="1" x14ac:dyDescent="0.15">
      <c r="A127" s="1" t="s">
        <v>126</v>
      </c>
      <c r="B127" t="str">
        <f ca="1">IFERROR(__xludf.DUMMYFUNCTION("SPLIT(A127,"";"")"),"fr-lu")</f>
        <v>fr-lu</v>
      </c>
      <c r="C127" t="str">
        <f ca="1">IFERROR(__xludf.DUMMYFUNCTION("""COMPUTED_VALUE"""),"Luxemburgo")</f>
        <v>Luxemburgo</v>
      </c>
      <c r="D127" t="str">
        <f t="shared" ca="1" si="0"/>
        <v>lu</v>
      </c>
    </row>
    <row r="128" spans="1:4" ht="15.75" customHeight="1" x14ac:dyDescent="0.15">
      <c r="A128" s="1" t="s">
        <v>127</v>
      </c>
      <c r="B128" t="str">
        <f ca="1">IFERROR(__xludf.DUMMYFUNCTION("SPLIT(A128,"";"")"),"lv-lv")</f>
        <v>lv-lv</v>
      </c>
      <c r="C128" t="str">
        <f ca="1">IFERROR(__xludf.DUMMYFUNCTION("""COMPUTED_VALUE"""),"Letônia")</f>
        <v>Letônia</v>
      </c>
      <c r="D128" t="str">
        <f t="shared" ca="1" si="0"/>
        <v>lv</v>
      </c>
    </row>
    <row r="129" spans="1:4" ht="15.75" customHeight="1" x14ac:dyDescent="0.15">
      <c r="A129" s="1" t="s">
        <v>128</v>
      </c>
      <c r="B129" t="str">
        <f ca="1">IFERROR(__xludf.DUMMYFUNCTION("SPLIT(A129,"";"")"),"ar-ly")</f>
        <v>ar-ly</v>
      </c>
      <c r="C129" t="str">
        <f ca="1">IFERROR(__xludf.DUMMYFUNCTION("""COMPUTED_VALUE"""),"Líbia")</f>
        <v>Líbia</v>
      </c>
      <c r="D129" t="str">
        <f t="shared" ca="1" si="0"/>
        <v>ly</v>
      </c>
    </row>
    <row r="130" spans="1:4" ht="15.75" customHeight="1" x14ac:dyDescent="0.15">
      <c r="A130" s="1" t="s">
        <v>129</v>
      </c>
      <c r="B130" t="str">
        <f ca="1">IFERROR(__xludf.DUMMYFUNCTION("SPLIT(A130,"";"")"),"ar-ma")</f>
        <v>ar-ma</v>
      </c>
      <c r="C130" t="str">
        <f ca="1">IFERROR(__xludf.DUMMYFUNCTION("""COMPUTED_VALUE"""),"Marrocos")</f>
        <v>Marrocos</v>
      </c>
      <c r="D130" t="str">
        <f t="shared" ca="1" si="0"/>
        <v>ma</v>
      </c>
    </row>
    <row r="131" spans="1:4" ht="15.75" customHeight="1" x14ac:dyDescent="0.15">
      <c r="A131" s="1" t="s">
        <v>130</v>
      </c>
      <c r="B131" t="str">
        <f ca="1">IFERROR(__xludf.DUMMYFUNCTION("SPLIT(A131,"";"")"),"fr-mc")</f>
        <v>fr-mc</v>
      </c>
      <c r="C131" t="str">
        <f ca="1">IFERROR(__xludf.DUMMYFUNCTION("""COMPUTED_VALUE"""),"Mônaco")</f>
        <v>Mônaco</v>
      </c>
      <c r="D131" t="str">
        <f t="shared" ca="1" si="0"/>
        <v>mc</v>
      </c>
    </row>
    <row r="132" spans="1:4" ht="15.75" customHeight="1" x14ac:dyDescent="0.15">
      <c r="A132" s="1" t="s">
        <v>131</v>
      </c>
      <c r="B132" t="str">
        <f ca="1">IFERROR(__xludf.DUMMYFUNCTION("SPLIT(A132,"";"")"),"ro-md")</f>
        <v>ro-md</v>
      </c>
      <c r="C132" t="str">
        <f ca="1">IFERROR(__xludf.DUMMYFUNCTION("""COMPUTED_VALUE"""),"Moldova")</f>
        <v>Moldova</v>
      </c>
      <c r="D132" t="str">
        <f t="shared" ca="1" si="0"/>
        <v>md</v>
      </c>
    </row>
    <row r="133" spans="1:4" ht="15.75" customHeight="1" x14ac:dyDescent="0.15">
      <c r="A133" s="1" t="s">
        <v>132</v>
      </c>
      <c r="B133" t="str">
        <f ca="1">IFERROR(__xludf.DUMMYFUNCTION("SPLIT(A133,"";"")"),"sr-me")</f>
        <v>sr-me</v>
      </c>
      <c r="C133" t="str">
        <f ca="1">IFERROR(__xludf.DUMMYFUNCTION("""COMPUTED_VALUE"""),"Montenegro")</f>
        <v>Montenegro</v>
      </c>
      <c r="D133" t="str">
        <f t="shared" ca="1" si="0"/>
        <v>me</v>
      </c>
    </row>
    <row r="134" spans="1:4" ht="15.75" customHeight="1" x14ac:dyDescent="0.15">
      <c r="A134" s="1" t="s">
        <v>133</v>
      </c>
      <c r="B134" t="str">
        <f ca="1">IFERROR(__xludf.DUMMYFUNCTION("SPLIT(A134,"";"")"),"fr-mf")</f>
        <v>fr-mf</v>
      </c>
      <c r="C134" t="str">
        <f ca="1">IFERROR(__xludf.DUMMYFUNCTION("""COMPUTED_VALUE"""),"Saint Martin")</f>
        <v>Saint Martin</v>
      </c>
      <c r="D134" t="str">
        <f t="shared" ca="1" si="0"/>
        <v>mf</v>
      </c>
    </row>
    <row r="135" spans="1:4" ht="15.75" customHeight="1" x14ac:dyDescent="0.15">
      <c r="A135" s="1" t="s">
        <v>134</v>
      </c>
      <c r="B135" t="str">
        <f ca="1">IFERROR(__xludf.DUMMYFUNCTION("SPLIT(A135,"";"")"),"fr-mg")</f>
        <v>fr-mg</v>
      </c>
      <c r="C135" t="str">
        <f ca="1">IFERROR(__xludf.DUMMYFUNCTION("""COMPUTED_VALUE"""),"Madagascar")</f>
        <v>Madagascar</v>
      </c>
      <c r="D135" t="str">
        <f t="shared" ca="1" si="0"/>
        <v>mg</v>
      </c>
    </row>
    <row r="136" spans="1:4" ht="15.75" customHeight="1" x14ac:dyDescent="0.15">
      <c r="A136" s="1" t="s">
        <v>135</v>
      </c>
      <c r="B136" t="str">
        <f ca="1">IFERROR(__xludf.DUMMYFUNCTION("SPLIT(A136,"";"")"),"en-mh")</f>
        <v>en-mh</v>
      </c>
      <c r="C136" t="str">
        <f ca="1">IFERROR(__xludf.DUMMYFUNCTION("""COMPUTED_VALUE"""),"Ilhas Marshall")</f>
        <v>Ilhas Marshall</v>
      </c>
      <c r="D136" t="str">
        <f t="shared" ca="1" si="0"/>
        <v>mh</v>
      </c>
    </row>
    <row r="137" spans="1:4" ht="15.75" customHeight="1" x14ac:dyDescent="0.15">
      <c r="A137" s="1" t="s">
        <v>136</v>
      </c>
      <c r="B137" t="str">
        <f ca="1">IFERROR(__xludf.DUMMYFUNCTION("SPLIT(A137,"";"")"),"mk-mk")</f>
        <v>mk-mk</v>
      </c>
      <c r="C137" t="str">
        <f ca="1">IFERROR(__xludf.DUMMYFUNCTION("""COMPUTED_VALUE"""),"Macedônia do Norte")</f>
        <v>Macedônia do Norte</v>
      </c>
      <c r="D137" t="str">
        <f t="shared" ca="1" si="0"/>
        <v>mk</v>
      </c>
    </row>
    <row r="138" spans="1:4" ht="15.75" customHeight="1" x14ac:dyDescent="0.15">
      <c r="A138" s="1" t="s">
        <v>137</v>
      </c>
      <c r="B138" t="str">
        <f ca="1">IFERROR(__xludf.DUMMYFUNCTION("SPLIT(A138,"";"")"),"fr-ml")</f>
        <v>fr-ml</v>
      </c>
      <c r="C138" t="str">
        <f ca="1">IFERROR(__xludf.DUMMYFUNCTION("""COMPUTED_VALUE"""),"Mali")</f>
        <v>Mali</v>
      </c>
      <c r="D138" t="str">
        <f t="shared" ca="1" si="0"/>
        <v>ml</v>
      </c>
    </row>
    <row r="139" spans="1:4" ht="15.75" customHeight="1" x14ac:dyDescent="0.15">
      <c r="A139" s="1" t="s">
        <v>138</v>
      </c>
      <c r="B139" t="str">
        <f ca="1">IFERROR(__xludf.DUMMYFUNCTION("SPLIT(A139,"";"")"),"en-mm")</f>
        <v>en-mm</v>
      </c>
      <c r="C139" t="str">
        <f ca="1">IFERROR(__xludf.DUMMYFUNCTION("""COMPUTED_VALUE"""),"Myanmar")</f>
        <v>Myanmar</v>
      </c>
      <c r="D139" t="str">
        <f t="shared" ca="1" si="0"/>
        <v>mm</v>
      </c>
    </row>
    <row r="140" spans="1:4" ht="15.75" customHeight="1" x14ac:dyDescent="0.15">
      <c r="A140" s="1" t="s">
        <v>139</v>
      </c>
      <c r="B140" t="str">
        <f ca="1">IFERROR(__xludf.DUMMYFUNCTION("SPLIT(A140,"";"")"),"mn-mn")</f>
        <v>mn-mn</v>
      </c>
      <c r="C140" t="str">
        <f ca="1">IFERROR(__xludf.DUMMYFUNCTION("""COMPUTED_VALUE"""),"Mongólia")</f>
        <v>Mongólia</v>
      </c>
      <c r="D140" t="str">
        <f t="shared" ca="1" si="0"/>
        <v>mn</v>
      </c>
    </row>
    <row r="141" spans="1:4" ht="15.75" customHeight="1" x14ac:dyDescent="0.15">
      <c r="A141" s="1" t="s">
        <v>140</v>
      </c>
      <c r="B141" t="str">
        <f ca="1">IFERROR(__xludf.DUMMYFUNCTION("SPLIT(A141,"";"")"),"zh-mo")</f>
        <v>zh-mo</v>
      </c>
      <c r="C141" t="str">
        <f ca="1">IFERROR(__xludf.DUMMYFUNCTION("""COMPUTED_VALUE"""),"RAE de Macau")</f>
        <v>RAE de Macau</v>
      </c>
      <c r="D141" t="str">
        <f t="shared" ca="1" si="0"/>
        <v>mo</v>
      </c>
    </row>
    <row r="142" spans="1:4" ht="15.75" customHeight="1" x14ac:dyDescent="0.15">
      <c r="A142" s="1" t="s">
        <v>141</v>
      </c>
      <c r="B142" t="str">
        <f ca="1">IFERROR(__xludf.DUMMYFUNCTION("SPLIT(A142,"";"")"),"en-mp")</f>
        <v>en-mp</v>
      </c>
      <c r="C142" t="str">
        <f ca="1">IFERROR(__xludf.DUMMYFUNCTION("""COMPUTED_VALUE"""),"Ilhas Marianas do Norte")</f>
        <v>Ilhas Marianas do Norte</v>
      </c>
      <c r="D142" t="str">
        <f t="shared" ca="1" si="0"/>
        <v>mp</v>
      </c>
    </row>
    <row r="143" spans="1:4" ht="15.75" customHeight="1" x14ac:dyDescent="0.15">
      <c r="A143" s="1" t="s">
        <v>142</v>
      </c>
      <c r="B143" t="str">
        <f ca="1">IFERROR(__xludf.DUMMYFUNCTION("SPLIT(A143,"";"")"),"fr-mq")</f>
        <v>fr-mq</v>
      </c>
      <c r="C143" t="str">
        <f ca="1">IFERROR(__xludf.DUMMYFUNCTION("""COMPUTED_VALUE"""),"Martinica")</f>
        <v>Martinica</v>
      </c>
      <c r="D143" t="str">
        <f t="shared" ca="1" si="0"/>
        <v>mq</v>
      </c>
    </row>
    <row r="144" spans="1:4" ht="15.75" customHeight="1" x14ac:dyDescent="0.15">
      <c r="A144" s="1" t="s">
        <v>143</v>
      </c>
      <c r="B144" t="str">
        <f ca="1">IFERROR(__xludf.DUMMYFUNCTION("SPLIT(A144,"";"")"),"ar-mr")</f>
        <v>ar-mr</v>
      </c>
      <c r="C144" t="str">
        <f ca="1">IFERROR(__xludf.DUMMYFUNCTION("""COMPUTED_VALUE"""),"Mauritânia")</f>
        <v>Mauritânia</v>
      </c>
      <c r="D144" t="str">
        <f t="shared" ca="1" si="0"/>
        <v>mr</v>
      </c>
    </row>
    <row r="145" spans="1:4" ht="15.75" customHeight="1" x14ac:dyDescent="0.15">
      <c r="A145" s="1" t="s">
        <v>144</v>
      </c>
      <c r="B145" t="str">
        <f ca="1">IFERROR(__xludf.DUMMYFUNCTION("SPLIT(A145,"";"")"),"en-ms")</f>
        <v>en-ms</v>
      </c>
      <c r="C145" t="str">
        <f ca="1">IFERROR(__xludf.DUMMYFUNCTION("""COMPUTED_VALUE"""),"Montserrat")</f>
        <v>Montserrat</v>
      </c>
      <c r="D145" t="str">
        <f t="shared" ca="1" si="0"/>
        <v>ms</v>
      </c>
    </row>
    <row r="146" spans="1:4" ht="15.75" customHeight="1" x14ac:dyDescent="0.15">
      <c r="A146" s="1" t="s">
        <v>145</v>
      </c>
      <c r="B146" t="str">
        <f ca="1">IFERROR(__xludf.DUMMYFUNCTION("SPLIT(A146,"";"")"),"mt-mt")</f>
        <v>mt-mt</v>
      </c>
      <c r="C146" t="str">
        <f ca="1">IFERROR(__xludf.DUMMYFUNCTION("""COMPUTED_VALUE"""),"Malta")</f>
        <v>Malta</v>
      </c>
      <c r="D146" t="str">
        <f t="shared" ca="1" si="0"/>
        <v>mt</v>
      </c>
    </row>
    <row r="147" spans="1:4" ht="15.75" customHeight="1" x14ac:dyDescent="0.15">
      <c r="A147" s="1" t="s">
        <v>146</v>
      </c>
      <c r="B147" t="str">
        <f ca="1">IFERROR(__xludf.DUMMYFUNCTION("SPLIT(A147,"";"")"),"en-mu")</f>
        <v>en-mu</v>
      </c>
      <c r="C147" t="str">
        <f ca="1">IFERROR(__xludf.DUMMYFUNCTION("""COMPUTED_VALUE"""),"Maurício")</f>
        <v>Maurício</v>
      </c>
      <c r="D147" t="str">
        <f t="shared" ca="1" si="0"/>
        <v>mu</v>
      </c>
    </row>
    <row r="148" spans="1:4" ht="15.75" customHeight="1" x14ac:dyDescent="0.15">
      <c r="A148" s="1" t="s">
        <v>147</v>
      </c>
      <c r="B148" t="str">
        <f ca="1">IFERROR(__xludf.DUMMYFUNCTION("SPLIT(A148,"";"")"),"dv-mv")</f>
        <v>dv-mv</v>
      </c>
      <c r="C148" t="str">
        <f ca="1">IFERROR(__xludf.DUMMYFUNCTION("""COMPUTED_VALUE"""),"Maldivas")</f>
        <v>Maldivas</v>
      </c>
      <c r="D148" t="str">
        <f t="shared" ca="1" si="0"/>
        <v>mv</v>
      </c>
    </row>
    <row r="149" spans="1:4" ht="15.75" customHeight="1" x14ac:dyDescent="0.15">
      <c r="A149" s="1" t="s">
        <v>148</v>
      </c>
      <c r="B149" t="str">
        <f ca="1">IFERROR(__xludf.DUMMYFUNCTION("SPLIT(A149,"";"")"),"en-mw")</f>
        <v>en-mw</v>
      </c>
      <c r="C149" t="str">
        <f ca="1">IFERROR(__xludf.DUMMYFUNCTION("""COMPUTED_VALUE"""),"Malaui")</f>
        <v>Malaui</v>
      </c>
      <c r="D149" t="str">
        <f t="shared" ca="1" si="0"/>
        <v>mw</v>
      </c>
    </row>
    <row r="150" spans="1:4" ht="15.75" customHeight="1" x14ac:dyDescent="0.15">
      <c r="A150" s="1" t="s">
        <v>149</v>
      </c>
      <c r="B150" t="str">
        <f ca="1">IFERROR(__xludf.DUMMYFUNCTION("SPLIT(A150,"";"")"),"es-mx")</f>
        <v>es-mx</v>
      </c>
      <c r="C150" t="str">
        <f ca="1">IFERROR(__xludf.DUMMYFUNCTION("""COMPUTED_VALUE"""),"México")</f>
        <v>México</v>
      </c>
      <c r="D150" t="str">
        <f t="shared" ca="1" si="0"/>
        <v>mx</v>
      </c>
    </row>
    <row r="151" spans="1:4" ht="15.75" customHeight="1" x14ac:dyDescent="0.15">
      <c r="A151" s="1" t="s">
        <v>150</v>
      </c>
      <c r="B151" t="str">
        <f ca="1">IFERROR(__xludf.DUMMYFUNCTION("SPLIT(A151,"";"")"),"ms-my")</f>
        <v>ms-my</v>
      </c>
      <c r="C151" t="str">
        <f ca="1">IFERROR(__xludf.DUMMYFUNCTION("""COMPUTED_VALUE"""),"Malásia")</f>
        <v>Malásia</v>
      </c>
      <c r="D151" t="str">
        <f t="shared" ca="1" si="0"/>
        <v>my</v>
      </c>
    </row>
    <row r="152" spans="1:4" ht="15.75" customHeight="1" x14ac:dyDescent="0.15">
      <c r="A152" s="1" t="s">
        <v>151</v>
      </c>
      <c r="B152" t="str">
        <f ca="1">IFERROR(__xludf.DUMMYFUNCTION("SPLIT(A152,"";"")"),"pt-mz")</f>
        <v>pt-mz</v>
      </c>
      <c r="C152" t="str">
        <f ca="1">IFERROR(__xludf.DUMMYFUNCTION("""COMPUTED_VALUE"""),"Moçambique")</f>
        <v>Moçambique</v>
      </c>
      <c r="D152" t="str">
        <f t="shared" ca="1" si="0"/>
        <v>mz</v>
      </c>
    </row>
    <row r="153" spans="1:4" ht="15.75" customHeight="1" x14ac:dyDescent="0.15">
      <c r="A153" s="1" t="s">
        <v>152</v>
      </c>
      <c r="B153" t="str">
        <f ca="1">IFERROR(__xludf.DUMMYFUNCTION("SPLIT(A153,"";"")"),"af-na")</f>
        <v>af-na</v>
      </c>
      <c r="C153" t="str">
        <f ca="1">IFERROR(__xludf.DUMMYFUNCTION("""COMPUTED_VALUE"""),"Namíbia")</f>
        <v>Namíbia</v>
      </c>
      <c r="D153" t="str">
        <f t="shared" ca="1" si="0"/>
        <v>na</v>
      </c>
    </row>
    <row r="154" spans="1:4" ht="15.75" customHeight="1" x14ac:dyDescent="0.15">
      <c r="A154" s="1" t="s">
        <v>153</v>
      </c>
      <c r="B154" t="str">
        <f ca="1">IFERROR(__xludf.DUMMYFUNCTION("SPLIT(A154,"";"")"),"fr-nc")</f>
        <v>fr-nc</v>
      </c>
      <c r="C154" t="str">
        <f ca="1">IFERROR(__xludf.DUMMYFUNCTION("""COMPUTED_VALUE"""),"Nova Caledônia")</f>
        <v>Nova Caledônia</v>
      </c>
      <c r="D154" t="str">
        <f t="shared" ca="1" si="0"/>
        <v>nc</v>
      </c>
    </row>
    <row r="155" spans="1:4" ht="15.75" customHeight="1" x14ac:dyDescent="0.15">
      <c r="A155" s="1" t="s">
        <v>154</v>
      </c>
      <c r="B155" t="str">
        <f ca="1">IFERROR(__xludf.DUMMYFUNCTION("SPLIT(A155,"";"")"),"fr-ne")</f>
        <v>fr-ne</v>
      </c>
      <c r="C155" t="str">
        <f ca="1">IFERROR(__xludf.DUMMYFUNCTION("""COMPUTED_VALUE"""),"Níger")</f>
        <v>Níger</v>
      </c>
      <c r="D155" t="str">
        <f t="shared" ca="1" si="0"/>
        <v>ne</v>
      </c>
    </row>
    <row r="156" spans="1:4" ht="15.75" customHeight="1" x14ac:dyDescent="0.15">
      <c r="A156" s="1" t="s">
        <v>155</v>
      </c>
      <c r="B156" t="str">
        <f ca="1">IFERROR(__xludf.DUMMYFUNCTION("SPLIT(A156,"";"")"),"en-nf")</f>
        <v>en-nf</v>
      </c>
      <c r="C156" t="str">
        <f ca="1">IFERROR(__xludf.DUMMYFUNCTION("""COMPUTED_VALUE"""),"Ilha Norfolk")</f>
        <v>Ilha Norfolk</v>
      </c>
      <c r="D156" t="str">
        <f t="shared" ca="1" si="0"/>
        <v>nf</v>
      </c>
    </row>
    <row r="157" spans="1:4" ht="15.75" customHeight="1" x14ac:dyDescent="0.15">
      <c r="A157" s="1" t="s">
        <v>156</v>
      </c>
      <c r="B157" t="str">
        <f ca="1">IFERROR(__xludf.DUMMYFUNCTION("SPLIT(A157,"";"")"),"en-ng")</f>
        <v>en-ng</v>
      </c>
      <c r="C157" t="str">
        <f ca="1">IFERROR(__xludf.DUMMYFUNCTION("""COMPUTED_VALUE"""),"Nigéria")</f>
        <v>Nigéria</v>
      </c>
      <c r="D157" t="str">
        <f t="shared" ca="1" si="0"/>
        <v>ng</v>
      </c>
    </row>
    <row r="158" spans="1:4" ht="15.75" customHeight="1" x14ac:dyDescent="0.15">
      <c r="A158" s="1" t="s">
        <v>157</v>
      </c>
      <c r="B158" t="str">
        <f ca="1">IFERROR(__xludf.DUMMYFUNCTION("SPLIT(A158,"";"")"),"es-ni")</f>
        <v>es-ni</v>
      </c>
      <c r="C158" t="str">
        <f ca="1">IFERROR(__xludf.DUMMYFUNCTION("""COMPUTED_VALUE"""),"Nicarágua")</f>
        <v>Nicarágua</v>
      </c>
      <c r="D158" t="str">
        <f t="shared" ca="1" si="0"/>
        <v>ni</v>
      </c>
    </row>
    <row r="159" spans="1:4" ht="15.75" customHeight="1" x14ac:dyDescent="0.15">
      <c r="A159" s="1" t="s">
        <v>158</v>
      </c>
      <c r="B159" t="str">
        <f ca="1">IFERROR(__xludf.DUMMYFUNCTION("SPLIT(A159,"";"")"),"nl-nl")</f>
        <v>nl-nl</v>
      </c>
      <c r="C159" t="str">
        <f ca="1">IFERROR(__xludf.DUMMYFUNCTION("""COMPUTED_VALUE"""),"Países Baixos")</f>
        <v>Países Baixos</v>
      </c>
      <c r="D159" t="str">
        <f t="shared" ca="1" si="0"/>
        <v>nl</v>
      </c>
    </row>
    <row r="160" spans="1:4" ht="15.75" customHeight="1" x14ac:dyDescent="0.15">
      <c r="A160" s="1" t="s">
        <v>159</v>
      </c>
      <c r="B160" t="str">
        <f ca="1">IFERROR(__xludf.DUMMYFUNCTION("SPLIT(A160,"";"")"),"nb-no")</f>
        <v>nb-no</v>
      </c>
      <c r="C160" t="str">
        <f ca="1">IFERROR(__xludf.DUMMYFUNCTION("""COMPUTED_VALUE"""),"Noruega")</f>
        <v>Noruega</v>
      </c>
      <c r="D160" t="str">
        <f t="shared" ca="1" si="0"/>
        <v>no</v>
      </c>
    </row>
    <row r="161" spans="1:4" ht="15.75" customHeight="1" x14ac:dyDescent="0.15">
      <c r="A161" s="1" t="s">
        <v>160</v>
      </c>
      <c r="B161" t="str">
        <f ca="1">IFERROR(__xludf.DUMMYFUNCTION("SPLIT(A161,"";"")"),"ne-np")</f>
        <v>ne-np</v>
      </c>
      <c r="C161" t="str">
        <f ca="1">IFERROR(__xludf.DUMMYFUNCTION("""COMPUTED_VALUE"""),"Nepal")</f>
        <v>Nepal</v>
      </c>
      <c r="D161" t="str">
        <f t="shared" ca="1" si="0"/>
        <v>np</v>
      </c>
    </row>
    <row r="162" spans="1:4" ht="15.75" customHeight="1" x14ac:dyDescent="0.15">
      <c r="A162" s="1" t="s">
        <v>161</v>
      </c>
      <c r="B162" t="str">
        <f ca="1">IFERROR(__xludf.DUMMYFUNCTION("SPLIT(A162,"";"")"),"en-nr")</f>
        <v>en-nr</v>
      </c>
      <c r="C162" t="str">
        <f ca="1">IFERROR(__xludf.DUMMYFUNCTION("""COMPUTED_VALUE"""),"Nauru")</f>
        <v>Nauru</v>
      </c>
      <c r="D162" t="str">
        <f t="shared" ca="1" si="0"/>
        <v>nr</v>
      </c>
    </row>
    <row r="163" spans="1:4" ht="15.75" customHeight="1" x14ac:dyDescent="0.15">
      <c r="A163" s="1" t="s">
        <v>162</v>
      </c>
      <c r="B163" t="str">
        <f ca="1">IFERROR(__xludf.DUMMYFUNCTION("SPLIT(A163,"";"")"),"en-nu")</f>
        <v>en-nu</v>
      </c>
      <c r="C163" t="str">
        <f ca="1">IFERROR(__xludf.DUMMYFUNCTION("""COMPUTED_VALUE"""),"Niue")</f>
        <v>Niue</v>
      </c>
      <c r="D163" t="str">
        <f t="shared" ca="1" si="0"/>
        <v>nu</v>
      </c>
    </row>
    <row r="164" spans="1:4" ht="15.75" customHeight="1" x14ac:dyDescent="0.15">
      <c r="A164" s="1" t="s">
        <v>163</v>
      </c>
      <c r="B164" t="str">
        <f ca="1">IFERROR(__xludf.DUMMYFUNCTION("SPLIT(A164,"";"")"),"en-nz")</f>
        <v>en-nz</v>
      </c>
      <c r="C164" t="str">
        <f ca="1">IFERROR(__xludf.DUMMYFUNCTION("""COMPUTED_VALUE"""),"Nova Zelândia")</f>
        <v>Nova Zelândia</v>
      </c>
      <c r="D164" t="str">
        <f t="shared" ca="1" si="0"/>
        <v>nz</v>
      </c>
    </row>
    <row r="165" spans="1:4" ht="15.75" customHeight="1" x14ac:dyDescent="0.15">
      <c r="A165" s="1" t="s">
        <v>164</v>
      </c>
      <c r="B165" t="str">
        <f ca="1">IFERROR(__xludf.DUMMYFUNCTION("SPLIT(A165,"";"")"),"ar-om")</f>
        <v>ar-om</v>
      </c>
      <c r="C165" t="str">
        <f ca="1">IFERROR(__xludf.DUMMYFUNCTION("""COMPUTED_VALUE"""),"Omã")</f>
        <v>Omã</v>
      </c>
      <c r="D165" t="str">
        <f t="shared" ca="1" si="0"/>
        <v>om</v>
      </c>
    </row>
    <row r="166" spans="1:4" ht="15.75" customHeight="1" x14ac:dyDescent="0.15">
      <c r="A166" s="1" t="s">
        <v>165</v>
      </c>
      <c r="B166" t="str">
        <f ca="1">IFERROR(__xludf.DUMMYFUNCTION("SPLIT(A166,"";"")"),"es-pa")</f>
        <v>es-pa</v>
      </c>
      <c r="C166" t="str">
        <f ca="1">IFERROR(__xludf.DUMMYFUNCTION("""COMPUTED_VALUE"""),"Panamá")</f>
        <v>Panamá</v>
      </c>
      <c r="D166" t="str">
        <f t="shared" ca="1" si="0"/>
        <v>pa</v>
      </c>
    </row>
    <row r="167" spans="1:4" ht="15.75" customHeight="1" x14ac:dyDescent="0.15">
      <c r="A167" s="1" t="s">
        <v>166</v>
      </c>
      <c r="B167" t="str">
        <f ca="1">IFERROR(__xludf.DUMMYFUNCTION("SPLIT(A167,"";"")"),"es-pe")</f>
        <v>es-pe</v>
      </c>
      <c r="C167" t="str">
        <f ca="1">IFERROR(__xludf.DUMMYFUNCTION("""COMPUTED_VALUE"""),"Peru")</f>
        <v>Peru</v>
      </c>
      <c r="D167" t="str">
        <f t="shared" ca="1" si="0"/>
        <v>pe</v>
      </c>
    </row>
    <row r="168" spans="1:4" ht="15.75" customHeight="1" x14ac:dyDescent="0.15">
      <c r="A168" s="1" t="s">
        <v>167</v>
      </c>
      <c r="B168" t="str">
        <f ca="1">IFERROR(__xludf.DUMMYFUNCTION("SPLIT(A168,"";"")"),"fr-pf")</f>
        <v>fr-pf</v>
      </c>
      <c r="C168" t="str">
        <f ca="1">IFERROR(__xludf.DUMMYFUNCTION("""COMPUTED_VALUE"""),"Polinésia Francesa")</f>
        <v>Polinésia Francesa</v>
      </c>
      <c r="D168" t="str">
        <f t="shared" ca="1" si="0"/>
        <v>pf</v>
      </c>
    </row>
    <row r="169" spans="1:4" ht="15.75" customHeight="1" x14ac:dyDescent="0.15">
      <c r="A169" s="1" t="s">
        <v>168</v>
      </c>
      <c r="B169" t="str">
        <f ca="1">IFERROR(__xludf.DUMMYFUNCTION("SPLIT(A169,"";"")"),"en-pg")</f>
        <v>en-pg</v>
      </c>
      <c r="C169" t="str">
        <f ca="1">IFERROR(__xludf.DUMMYFUNCTION("""COMPUTED_VALUE"""),"Papua-Nova Guiné")</f>
        <v>Papua-Nova Guiné</v>
      </c>
      <c r="D169" t="str">
        <f t="shared" ca="1" si="0"/>
        <v>pg</v>
      </c>
    </row>
    <row r="170" spans="1:4" ht="15.75" customHeight="1" x14ac:dyDescent="0.15">
      <c r="A170" s="1" t="s">
        <v>169</v>
      </c>
      <c r="B170" t="str">
        <f ca="1">IFERROR(__xludf.DUMMYFUNCTION("SPLIT(A170,"";"")"),"en-ph")</f>
        <v>en-ph</v>
      </c>
      <c r="C170" t="str">
        <f ca="1">IFERROR(__xludf.DUMMYFUNCTION("""COMPUTED_VALUE"""),"Filipinas")</f>
        <v>Filipinas</v>
      </c>
      <c r="D170" t="str">
        <f t="shared" ca="1" si="0"/>
        <v>ph</v>
      </c>
    </row>
    <row r="171" spans="1:4" ht="15.75" customHeight="1" x14ac:dyDescent="0.15">
      <c r="A171" s="1" t="s">
        <v>170</v>
      </c>
      <c r="B171" t="str">
        <f ca="1">IFERROR(__xludf.DUMMYFUNCTION("SPLIT(A171,"";"")"),"ur-pk")</f>
        <v>ur-pk</v>
      </c>
      <c r="C171" t="str">
        <f ca="1">IFERROR(__xludf.DUMMYFUNCTION("""COMPUTED_VALUE"""),"Paquistão")</f>
        <v>Paquistão</v>
      </c>
      <c r="D171" t="str">
        <f t="shared" ca="1" si="0"/>
        <v>pk</v>
      </c>
    </row>
    <row r="172" spans="1:4" ht="15.75" customHeight="1" x14ac:dyDescent="0.15">
      <c r="A172" s="1" t="s">
        <v>171</v>
      </c>
      <c r="B172" t="str">
        <f ca="1">IFERROR(__xludf.DUMMYFUNCTION("SPLIT(A172,"";"")"),"pl-pl")</f>
        <v>pl-pl</v>
      </c>
      <c r="C172" t="str">
        <f ca="1">IFERROR(__xludf.DUMMYFUNCTION("""COMPUTED_VALUE"""),"Polônia")</f>
        <v>Polônia</v>
      </c>
      <c r="D172" t="str">
        <f t="shared" ca="1" si="0"/>
        <v>pl</v>
      </c>
    </row>
    <row r="173" spans="1:4" ht="15.75" customHeight="1" x14ac:dyDescent="0.15">
      <c r="A173" s="1" t="s">
        <v>172</v>
      </c>
      <c r="B173" t="str">
        <f ca="1">IFERROR(__xludf.DUMMYFUNCTION("SPLIT(A173,"";"")"),"fr-pm")</f>
        <v>fr-pm</v>
      </c>
      <c r="C173" t="str">
        <f ca="1">IFERROR(__xludf.DUMMYFUNCTION("""COMPUTED_VALUE"""),"São Pedro e Miquelão")</f>
        <v>São Pedro e Miquelão</v>
      </c>
      <c r="D173" t="str">
        <f t="shared" ca="1" si="0"/>
        <v>pm</v>
      </c>
    </row>
    <row r="174" spans="1:4" ht="15.75" customHeight="1" x14ac:dyDescent="0.15">
      <c r="A174" s="1" t="s">
        <v>173</v>
      </c>
      <c r="B174" t="str">
        <f ca="1">IFERROR(__xludf.DUMMYFUNCTION("SPLIT(A174,"";"")"),"en-pn")</f>
        <v>en-pn</v>
      </c>
      <c r="C174" t="str">
        <f ca="1">IFERROR(__xludf.DUMMYFUNCTION("""COMPUTED_VALUE"""),"Ilhas Pitcairn")</f>
        <v>Ilhas Pitcairn</v>
      </c>
      <c r="D174" t="str">
        <f t="shared" ca="1" si="0"/>
        <v>pn</v>
      </c>
    </row>
    <row r="175" spans="1:4" ht="15.75" customHeight="1" x14ac:dyDescent="0.15">
      <c r="A175" s="1" t="s">
        <v>174</v>
      </c>
      <c r="B175" t="str">
        <f ca="1">IFERROR(__xludf.DUMMYFUNCTION("SPLIT(A175,"";"")"),"es-pr")</f>
        <v>es-pr</v>
      </c>
      <c r="C175" t="str">
        <f ca="1">IFERROR(__xludf.DUMMYFUNCTION("""COMPUTED_VALUE"""),"Porto Rico")</f>
        <v>Porto Rico</v>
      </c>
      <c r="D175" t="str">
        <f t="shared" ca="1" si="0"/>
        <v>pr</v>
      </c>
    </row>
    <row r="176" spans="1:4" ht="15.75" customHeight="1" x14ac:dyDescent="0.15">
      <c r="A176" s="1" t="s">
        <v>175</v>
      </c>
      <c r="B176" t="str">
        <f ca="1">IFERROR(__xludf.DUMMYFUNCTION("SPLIT(A176,"";"")"),"ar-ps")</f>
        <v>ar-ps</v>
      </c>
      <c r="C176" t="str">
        <f ca="1">IFERROR(__xludf.DUMMYFUNCTION("""COMPUTED_VALUE"""),"Autoridade Palestina")</f>
        <v>Autoridade Palestina</v>
      </c>
      <c r="D176" t="str">
        <f t="shared" ca="1" si="0"/>
        <v>ps</v>
      </c>
    </row>
    <row r="177" spans="1:4" ht="15.75" customHeight="1" x14ac:dyDescent="0.15">
      <c r="A177" s="1" t="s">
        <v>176</v>
      </c>
      <c r="B177" t="str">
        <f ca="1">IFERROR(__xludf.DUMMYFUNCTION("SPLIT(A177,"";"")"),"pt-pt")</f>
        <v>pt-pt</v>
      </c>
      <c r="C177" t="str">
        <f ca="1">IFERROR(__xludf.DUMMYFUNCTION("""COMPUTED_VALUE"""),"Portugal")</f>
        <v>Portugal</v>
      </c>
      <c r="D177" t="str">
        <f t="shared" ca="1" si="0"/>
        <v>pt</v>
      </c>
    </row>
    <row r="178" spans="1:4" ht="15.75" customHeight="1" x14ac:dyDescent="0.15">
      <c r="A178" s="1" t="s">
        <v>177</v>
      </c>
      <c r="B178" t="str">
        <f ca="1">IFERROR(__xludf.DUMMYFUNCTION("SPLIT(A178,"";"")"),"en-pw")</f>
        <v>en-pw</v>
      </c>
      <c r="C178" t="str">
        <f ca="1">IFERROR(__xludf.DUMMYFUNCTION("""COMPUTED_VALUE"""),"Palau")</f>
        <v>Palau</v>
      </c>
      <c r="D178" t="str">
        <f t="shared" ca="1" si="0"/>
        <v>pw</v>
      </c>
    </row>
    <row r="179" spans="1:4" ht="15.75" customHeight="1" x14ac:dyDescent="0.15">
      <c r="A179" s="1" t="s">
        <v>178</v>
      </c>
      <c r="B179" t="str">
        <f ca="1">IFERROR(__xludf.DUMMYFUNCTION("SPLIT(A179,"";"")"),"es-py")</f>
        <v>es-py</v>
      </c>
      <c r="C179" t="str">
        <f ca="1">IFERROR(__xludf.DUMMYFUNCTION("""COMPUTED_VALUE"""),"Paraguai")</f>
        <v>Paraguai</v>
      </c>
      <c r="D179" t="str">
        <f t="shared" ca="1" si="0"/>
        <v>py</v>
      </c>
    </row>
    <row r="180" spans="1:4" ht="15.75" customHeight="1" x14ac:dyDescent="0.15">
      <c r="A180" s="1" t="s">
        <v>179</v>
      </c>
      <c r="B180" t="str">
        <f ca="1">IFERROR(__xludf.DUMMYFUNCTION("SPLIT(A180,"";"")"),"ar-qa")</f>
        <v>ar-qa</v>
      </c>
      <c r="C180" t="str">
        <f ca="1">IFERROR(__xludf.DUMMYFUNCTION("""COMPUTED_VALUE"""),"Catar")</f>
        <v>Catar</v>
      </c>
      <c r="D180" t="str">
        <f t="shared" ca="1" si="0"/>
        <v>qa</v>
      </c>
    </row>
    <row r="181" spans="1:4" ht="15.75" customHeight="1" x14ac:dyDescent="0.15">
      <c r="A181" s="1" t="s">
        <v>180</v>
      </c>
      <c r="B181" t="str">
        <f ca="1">IFERROR(__xludf.DUMMYFUNCTION("SPLIT(A181,"";"")"),"fr-re")</f>
        <v>fr-re</v>
      </c>
      <c r="C181" t="str">
        <f ca="1">IFERROR(__xludf.DUMMYFUNCTION("""COMPUTED_VALUE"""),"Reunião")</f>
        <v>Reunião</v>
      </c>
      <c r="D181" t="str">
        <f t="shared" ca="1" si="0"/>
        <v>re</v>
      </c>
    </row>
    <row r="182" spans="1:4" ht="15.75" customHeight="1" x14ac:dyDescent="0.15">
      <c r="A182" s="1" t="s">
        <v>181</v>
      </c>
      <c r="B182" t="str">
        <f ca="1">IFERROR(__xludf.DUMMYFUNCTION("SPLIT(A182,"";"")"),"ro-ro")</f>
        <v>ro-ro</v>
      </c>
      <c r="C182" t="str">
        <f ca="1">IFERROR(__xludf.DUMMYFUNCTION("""COMPUTED_VALUE"""),"Romênia")</f>
        <v>Romênia</v>
      </c>
      <c r="D182" t="str">
        <f t="shared" ca="1" si="0"/>
        <v>ro</v>
      </c>
    </row>
    <row r="183" spans="1:4" ht="15.75" customHeight="1" x14ac:dyDescent="0.15">
      <c r="A183" s="1" t="s">
        <v>182</v>
      </c>
      <c r="B183" t="str">
        <f ca="1">IFERROR(__xludf.DUMMYFUNCTION("SPLIT(A183,"";"")"),"sr-latn-rs")</f>
        <v>sr-latn-rs</v>
      </c>
      <c r="C183" t="str">
        <f ca="1">IFERROR(__xludf.DUMMYFUNCTION("""COMPUTED_VALUE"""),"Sérvia")</f>
        <v>Sérvia</v>
      </c>
      <c r="D183" t="str">
        <f t="shared" ca="1" si="0"/>
        <v>rs</v>
      </c>
    </row>
    <row r="184" spans="1:4" ht="15.75" customHeight="1" x14ac:dyDescent="0.15">
      <c r="A184" s="1" t="s">
        <v>183</v>
      </c>
      <c r="B184" t="str">
        <f ca="1">IFERROR(__xludf.DUMMYFUNCTION("SPLIT(A184,"";"")"),"ru-ru")</f>
        <v>ru-ru</v>
      </c>
      <c r="C184" t="str">
        <f ca="1">IFERROR(__xludf.DUMMYFUNCTION("""COMPUTED_VALUE"""),"Rússia")</f>
        <v>Rússia</v>
      </c>
      <c r="D184" t="str">
        <f t="shared" ca="1" si="0"/>
        <v>ru</v>
      </c>
    </row>
    <row r="185" spans="1:4" ht="15.75" customHeight="1" x14ac:dyDescent="0.15">
      <c r="A185" s="1" t="s">
        <v>184</v>
      </c>
      <c r="B185" t="str">
        <f ca="1">IFERROR(__xludf.DUMMYFUNCTION("SPLIT(A185,"";"")"),"rw-rw")</f>
        <v>rw-rw</v>
      </c>
      <c r="C185" t="str">
        <f ca="1">IFERROR(__xludf.DUMMYFUNCTION("""COMPUTED_VALUE"""),"Ruanda")</f>
        <v>Ruanda</v>
      </c>
      <c r="D185" t="str">
        <f t="shared" ca="1" si="0"/>
        <v>rw</v>
      </c>
    </row>
    <row r="186" spans="1:4" ht="15.75" customHeight="1" x14ac:dyDescent="0.15">
      <c r="A186" s="1" t="s">
        <v>185</v>
      </c>
      <c r="B186" t="str">
        <f ca="1">IFERROR(__xludf.DUMMYFUNCTION("SPLIT(A186,"";"")"),"ar-sa")</f>
        <v>ar-sa</v>
      </c>
      <c r="C186" t="str">
        <f ca="1">IFERROR(__xludf.DUMMYFUNCTION("""COMPUTED_VALUE"""),"Arábia Saudita")</f>
        <v>Arábia Saudita</v>
      </c>
      <c r="D186" t="str">
        <f t="shared" ca="1" si="0"/>
        <v>sa</v>
      </c>
    </row>
    <row r="187" spans="1:4" ht="15.75" customHeight="1" x14ac:dyDescent="0.15">
      <c r="A187" s="1" t="s">
        <v>186</v>
      </c>
      <c r="B187" t="str">
        <f ca="1">IFERROR(__xludf.DUMMYFUNCTION("SPLIT(A187,"";"")"),"en-sb")</f>
        <v>en-sb</v>
      </c>
      <c r="C187" t="str">
        <f ca="1">IFERROR(__xludf.DUMMYFUNCTION("""COMPUTED_VALUE"""),"Ilhas Salomão")</f>
        <v>Ilhas Salomão</v>
      </c>
      <c r="D187" t="str">
        <f t="shared" ca="1" si="0"/>
        <v>sb</v>
      </c>
    </row>
    <row r="188" spans="1:4" ht="15.75" customHeight="1" x14ac:dyDescent="0.15">
      <c r="A188" s="1" t="s">
        <v>187</v>
      </c>
      <c r="B188" t="str">
        <f ca="1">IFERROR(__xludf.DUMMYFUNCTION("SPLIT(A188,"";"")"),"en-sc")</f>
        <v>en-sc</v>
      </c>
      <c r="C188" t="str">
        <f ca="1">IFERROR(__xludf.DUMMYFUNCTION("""COMPUTED_VALUE"""),"Seicheles")</f>
        <v>Seicheles</v>
      </c>
      <c r="D188" t="str">
        <f t="shared" ca="1" si="0"/>
        <v>sc</v>
      </c>
    </row>
    <row r="189" spans="1:4" ht="15.75" customHeight="1" x14ac:dyDescent="0.15">
      <c r="A189" s="1" t="s">
        <v>188</v>
      </c>
      <c r="B189" t="str">
        <f ca="1">IFERROR(__xludf.DUMMYFUNCTION("SPLIT(A189,"";"")"),"ar-sd")</f>
        <v>ar-sd</v>
      </c>
      <c r="C189" t="str">
        <f ca="1">IFERROR(__xludf.DUMMYFUNCTION("""COMPUTED_VALUE"""),"Sudão")</f>
        <v>Sudão</v>
      </c>
      <c r="D189" t="str">
        <f t="shared" ca="1" si="0"/>
        <v>sd</v>
      </c>
    </row>
    <row r="190" spans="1:4" ht="15.75" customHeight="1" x14ac:dyDescent="0.15">
      <c r="A190" s="1" t="s">
        <v>189</v>
      </c>
      <c r="B190" t="str">
        <f ca="1">IFERROR(__xludf.DUMMYFUNCTION("SPLIT(A190,"";"")"),"sv-se")</f>
        <v>sv-se</v>
      </c>
      <c r="C190" t="str">
        <f ca="1">IFERROR(__xludf.DUMMYFUNCTION("""COMPUTED_VALUE"""),"Suécia")</f>
        <v>Suécia</v>
      </c>
      <c r="D190" t="str">
        <f t="shared" ca="1" si="0"/>
        <v>se</v>
      </c>
    </row>
    <row r="191" spans="1:4" ht="15.75" customHeight="1" x14ac:dyDescent="0.15">
      <c r="A191" s="1" t="s">
        <v>190</v>
      </c>
      <c r="B191" t="str">
        <f ca="1">IFERROR(__xludf.DUMMYFUNCTION("SPLIT(A191,"";"")"),"en-sg")</f>
        <v>en-sg</v>
      </c>
      <c r="C191" t="str">
        <f ca="1">IFERROR(__xludf.DUMMYFUNCTION("""COMPUTED_VALUE"""),"Singapura")</f>
        <v>Singapura</v>
      </c>
      <c r="D191" t="str">
        <f t="shared" ca="1" si="0"/>
        <v>sg</v>
      </c>
    </row>
    <row r="192" spans="1:4" ht="15.75" customHeight="1" x14ac:dyDescent="0.15">
      <c r="A192" s="1" t="s">
        <v>191</v>
      </c>
      <c r="B192" t="str">
        <f ca="1">IFERROR(__xludf.DUMMYFUNCTION("SPLIT(A192,"";"")"),"en-sh")</f>
        <v>en-sh</v>
      </c>
      <c r="C192" t="str">
        <f ca="1">IFERROR(__xludf.DUMMYFUNCTION("""COMPUTED_VALUE"""),"Santa Helena, Ascensão e Tristão da Cunha")</f>
        <v>Santa Helena, Ascensão e Tristão da Cunha</v>
      </c>
      <c r="D192" t="str">
        <f t="shared" ca="1" si="0"/>
        <v>sh</v>
      </c>
    </row>
    <row r="193" spans="1:4" ht="15.75" customHeight="1" x14ac:dyDescent="0.15">
      <c r="A193" s="1" t="s">
        <v>192</v>
      </c>
      <c r="B193" t="str">
        <f ca="1">IFERROR(__xludf.DUMMYFUNCTION("SPLIT(A193,"";"")"),"sl-si")</f>
        <v>sl-si</v>
      </c>
      <c r="C193" t="str">
        <f ca="1">IFERROR(__xludf.DUMMYFUNCTION("""COMPUTED_VALUE"""),"Eslovênia")</f>
        <v>Eslovênia</v>
      </c>
      <c r="D193" t="str">
        <f t="shared" ca="1" si="0"/>
        <v>si</v>
      </c>
    </row>
    <row r="194" spans="1:4" ht="15.75" customHeight="1" x14ac:dyDescent="0.15">
      <c r="A194" s="1" t="s">
        <v>193</v>
      </c>
      <c r="B194" t="str">
        <f ca="1">IFERROR(__xludf.DUMMYFUNCTION("SPLIT(A194,"";"")"),"sk-sk")</f>
        <v>sk-sk</v>
      </c>
      <c r="C194" t="str">
        <f ca="1">IFERROR(__xludf.DUMMYFUNCTION("""COMPUTED_VALUE"""),"Eslováquia")</f>
        <v>Eslováquia</v>
      </c>
      <c r="D194" t="str">
        <f t="shared" ca="1" si="0"/>
        <v>sk</v>
      </c>
    </row>
    <row r="195" spans="1:4" ht="15.75" customHeight="1" x14ac:dyDescent="0.15">
      <c r="A195" s="1" t="s">
        <v>194</v>
      </c>
      <c r="B195" t="str">
        <f ca="1">IFERROR(__xludf.DUMMYFUNCTION("SPLIT(A195,"";"")"),"en-sl")</f>
        <v>en-sl</v>
      </c>
      <c r="C195" t="str">
        <f ca="1">IFERROR(__xludf.DUMMYFUNCTION("""COMPUTED_VALUE"""),"Serra Leoa")</f>
        <v>Serra Leoa</v>
      </c>
      <c r="D195" t="str">
        <f t="shared" ca="1" si="0"/>
        <v>sl</v>
      </c>
    </row>
    <row r="196" spans="1:4" ht="15.75" customHeight="1" x14ac:dyDescent="0.15">
      <c r="A196" s="1" t="s">
        <v>195</v>
      </c>
      <c r="B196" t="str">
        <f ca="1">IFERROR(__xludf.DUMMYFUNCTION("SPLIT(A196,"";"")"),"it-sm")</f>
        <v>it-sm</v>
      </c>
      <c r="C196" t="str">
        <f ca="1">IFERROR(__xludf.DUMMYFUNCTION("""COMPUTED_VALUE"""),"San Marino")</f>
        <v>San Marino</v>
      </c>
      <c r="D196" t="str">
        <f t="shared" ca="1" si="0"/>
        <v>sm</v>
      </c>
    </row>
    <row r="197" spans="1:4" ht="15.75" customHeight="1" x14ac:dyDescent="0.15">
      <c r="A197" s="1" t="s">
        <v>196</v>
      </c>
      <c r="B197" t="str">
        <f ca="1">IFERROR(__xludf.DUMMYFUNCTION("SPLIT(A197,"";"")"),"fr-sn")</f>
        <v>fr-sn</v>
      </c>
      <c r="C197" t="str">
        <f ca="1">IFERROR(__xludf.DUMMYFUNCTION("""COMPUTED_VALUE"""),"Senegal")</f>
        <v>Senegal</v>
      </c>
      <c r="D197" t="str">
        <f t="shared" ca="1" si="0"/>
        <v>sn</v>
      </c>
    </row>
    <row r="198" spans="1:4" ht="15.75" customHeight="1" x14ac:dyDescent="0.15">
      <c r="A198" s="1" t="s">
        <v>197</v>
      </c>
      <c r="B198" t="str">
        <f ca="1">IFERROR(__xludf.DUMMYFUNCTION("SPLIT(A198,"";"")"),"so-so")</f>
        <v>so-so</v>
      </c>
      <c r="C198" t="str">
        <f ca="1">IFERROR(__xludf.DUMMYFUNCTION("""COMPUTED_VALUE"""),"Somália")</f>
        <v>Somália</v>
      </c>
      <c r="D198" t="str">
        <f t="shared" ca="1" si="0"/>
        <v>so</v>
      </c>
    </row>
    <row r="199" spans="1:4" ht="15.75" customHeight="1" x14ac:dyDescent="0.15">
      <c r="A199" s="1" t="s">
        <v>198</v>
      </c>
      <c r="B199" t="str">
        <f ca="1">IFERROR(__xludf.DUMMYFUNCTION("SPLIT(A199,"";"")"),"nl-sr")</f>
        <v>nl-sr</v>
      </c>
      <c r="C199" t="str">
        <f ca="1">IFERROR(__xludf.DUMMYFUNCTION("""COMPUTED_VALUE"""),"Suriname")</f>
        <v>Suriname</v>
      </c>
      <c r="D199" t="str">
        <f t="shared" ca="1" si="0"/>
        <v>sr</v>
      </c>
    </row>
    <row r="200" spans="1:4" ht="15.75" customHeight="1" x14ac:dyDescent="0.15">
      <c r="A200" s="1" t="s">
        <v>199</v>
      </c>
      <c r="B200" t="str">
        <f ca="1">IFERROR(__xludf.DUMMYFUNCTION("SPLIT(A200,"";"")"),"en-ss")</f>
        <v>en-ss</v>
      </c>
      <c r="C200" t="str">
        <f ca="1">IFERROR(__xludf.DUMMYFUNCTION("""COMPUTED_VALUE"""),"Sudão do Sul")</f>
        <v>Sudão do Sul</v>
      </c>
      <c r="D200" t="str">
        <f t="shared" ca="1" si="0"/>
        <v>ss</v>
      </c>
    </row>
    <row r="201" spans="1:4" ht="15.75" customHeight="1" x14ac:dyDescent="0.15">
      <c r="A201" s="1" t="s">
        <v>200</v>
      </c>
      <c r="B201" t="str">
        <f ca="1">IFERROR(__xludf.DUMMYFUNCTION("SPLIT(A201,"";"")"),"pt-st")</f>
        <v>pt-st</v>
      </c>
      <c r="C201" t="str">
        <f ca="1">IFERROR(__xludf.DUMMYFUNCTION("""COMPUTED_VALUE"""),"São Tomé e Príncipe")</f>
        <v>São Tomé e Príncipe</v>
      </c>
      <c r="D201" t="str">
        <f t="shared" ca="1" si="0"/>
        <v>st</v>
      </c>
    </row>
    <row r="202" spans="1:4" ht="15.75" customHeight="1" x14ac:dyDescent="0.15">
      <c r="A202" s="1" t="s">
        <v>201</v>
      </c>
      <c r="B202" t="str">
        <f ca="1">IFERROR(__xludf.DUMMYFUNCTION("SPLIT(A202,"";"")"),"es-sv")</f>
        <v>es-sv</v>
      </c>
      <c r="C202" t="str">
        <f ca="1">IFERROR(__xludf.DUMMYFUNCTION("""COMPUTED_VALUE"""),"El Salvador")</f>
        <v>El Salvador</v>
      </c>
      <c r="D202" t="str">
        <f t="shared" ca="1" si="0"/>
        <v>sv</v>
      </c>
    </row>
    <row r="203" spans="1:4" ht="15.75" customHeight="1" x14ac:dyDescent="0.15">
      <c r="A203" s="1" t="s">
        <v>202</v>
      </c>
      <c r="B203" t="str">
        <f ca="1">IFERROR(__xludf.DUMMYFUNCTION("SPLIT(A203,"";"")"),"nl-sx")</f>
        <v>nl-sx</v>
      </c>
      <c r="C203" t="str">
        <f ca="1">IFERROR(__xludf.DUMMYFUNCTION("""COMPUTED_VALUE"""),"Sint Maarten")</f>
        <v>Sint Maarten</v>
      </c>
      <c r="D203" t="str">
        <f t="shared" ca="1" si="0"/>
        <v>sx</v>
      </c>
    </row>
    <row r="204" spans="1:4" ht="15.75" customHeight="1" x14ac:dyDescent="0.15">
      <c r="A204" s="1" t="s">
        <v>203</v>
      </c>
      <c r="B204" t="str">
        <f ca="1">IFERROR(__xludf.DUMMYFUNCTION("SPLIT(A204,"";"")"),"ar-sy")</f>
        <v>ar-sy</v>
      </c>
      <c r="C204" t="str">
        <f ca="1">IFERROR(__xludf.DUMMYFUNCTION("""COMPUTED_VALUE"""),"Síria")</f>
        <v>Síria</v>
      </c>
      <c r="D204" t="str">
        <f t="shared" ca="1" si="0"/>
        <v>sy</v>
      </c>
    </row>
    <row r="205" spans="1:4" ht="15.75" customHeight="1" x14ac:dyDescent="0.15">
      <c r="A205" s="1" t="s">
        <v>204</v>
      </c>
      <c r="B205" t="str">
        <f ca="1">IFERROR(__xludf.DUMMYFUNCTION("SPLIT(A205,"";"")"),"en-sz")</f>
        <v>en-sz</v>
      </c>
      <c r="C205" t="str">
        <f ca="1">IFERROR(__xludf.DUMMYFUNCTION("""COMPUTED_VALUE"""),"Essuatíni")</f>
        <v>Essuatíni</v>
      </c>
      <c r="D205" t="str">
        <f t="shared" ca="1" si="0"/>
        <v>sz</v>
      </c>
    </row>
    <row r="206" spans="1:4" ht="15.75" customHeight="1" x14ac:dyDescent="0.15">
      <c r="A206" s="1" t="s">
        <v>205</v>
      </c>
      <c r="B206" t="str">
        <f ca="1">IFERROR(__xludf.DUMMYFUNCTION("SPLIT(A206,"";"")"),"en-tc")</f>
        <v>en-tc</v>
      </c>
      <c r="C206" t="str">
        <f ca="1">IFERROR(__xludf.DUMMYFUNCTION("""COMPUTED_VALUE"""),"Ilhas Turcas e Caicos")</f>
        <v>Ilhas Turcas e Caicos</v>
      </c>
      <c r="D206" t="str">
        <f t="shared" ca="1" si="0"/>
        <v>tc</v>
      </c>
    </row>
    <row r="207" spans="1:4" ht="15.75" customHeight="1" x14ac:dyDescent="0.15">
      <c r="A207" s="1" t="s">
        <v>206</v>
      </c>
      <c r="B207" t="str">
        <f ca="1">IFERROR(__xludf.DUMMYFUNCTION("SPLIT(A207,"";"")"),"fr-td")</f>
        <v>fr-td</v>
      </c>
      <c r="C207" t="str">
        <f ca="1">IFERROR(__xludf.DUMMYFUNCTION("""COMPUTED_VALUE"""),"Chade")</f>
        <v>Chade</v>
      </c>
      <c r="D207" t="str">
        <f t="shared" ca="1" si="0"/>
        <v>td</v>
      </c>
    </row>
    <row r="208" spans="1:4" ht="15.75" customHeight="1" x14ac:dyDescent="0.15">
      <c r="A208" s="1" t="s">
        <v>207</v>
      </c>
      <c r="B208" t="str">
        <f ca="1">IFERROR(__xludf.DUMMYFUNCTION("SPLIT(A208,"";"")"),"fr-tg")</f>
        <v>fr-tg</v>
      </c>
      <c r="C208" t="str">
        <f ca="1">IFERROR(__xludf.DUMMYFUNCTION("""COMPUTED_VALUE"""),"Togo")</f>
        <v>Togo</v>
      </c>
      <c r="D208" t="str">
        <f t="shared" ca="1" si="0"/>
        <v>tg</v>
      </c>
    </row>
    <row r="209" spans="1:4" ht="15.75" customHeight="1" x14ac:dyDescent="0.15">
      <c r="A209" s="1" t="s">
        <v>208</v>
      </c>
      <c r="B209" t="str">
        <f ca="1">IFERROR(__xludf.DUMMYFUNCTION("SPLIT(A209,"";"")"),"th-th")</f>
        <v>th-th</v>
      </c>
      <c r="C209" t="str">
        <f ca="1">IFERROR(__xludf.DUMMYFUNCTION("""COMPUTED_VALUE"""),"Tailândia")</f>
        <v>Tailândia</v>
      </c>
      <c r="D209" t="str">
        <f t="shared" ca="1" si="0"/>
        <v>th</v>
      </c>
    </row>
    <row r="210" spans="1:4" ht="15.75" customHeight="1" x14ac:dyDescent="0.15">
      <c r="A210" s="1" t="s">
        <v>209</v>
      </c>
      <c r="B210" t="str">
        <f ca="1">IFERROR(__xludf.DUMMYFUNCTION("SPLIT(A210,"";"")"),"tg-cyrl-tj")</f>
        <v>tg-cyrl-tj</v>
      </c>
      <c r="C210" t="str">
        <f ca="1">IFERROR(__xludf.DUMMYFUNCTION("""COMPUTED_VALUE"""),"Tadjiquistão")</f>
        <v>Tadjiquistão</v>
      </c>
      <c r="D210" t="str">
        <f t="shared" ca="1" si="0"/>
        <v>tj</v>
      </c>
    </row>
    <row r="211" spans="1:4" ht="15.75" customHeight="1" x14ac:dyDescent="0.15">
      <c r="A211" s="1" t="s">
        <v>210</v>
      </c>
      <c r="B211" t="str">
        <f ca="1">IFERROR(__xludf.DUMMYFUNCTION("SPLIT(A211,"";"")"),"en-tk")</f>
        <v>en-tk</v>
      </c>
      <c r="C211" t="str">
        <f ca="1">IFERROR(__xludf.DUMMYFUNCTION("""COMPUTED_VALUE"""),"Tokelau")</f>
        <v>Tokelau</v>
      </c>
      <c r="D211" t="str">
        <f t="shared" ca="1" si="0"/>
        <v>tk</v>
      </c>
    </row>
    <row r="212" spans="1:4" ht="15.75" customHeight="1" x14ac:dyDescent="0.15">
      <c r="A212" s="1" t="s">
        <v>211</v>
      </c>
      <c r="B212" t="str">
        <f ca="1">IFERROR(__xludf.DUMMYFUNCTION("SPLIT(A212,"";"")"),"tk-tm")</f>
        <v>tk-tm</v>
      </c>
      <c r="C212" t="str">
        <f ca="1">IFERROR(__xludf.DUMMYFUNCTION("""COMPUTED_VALUE"""),"Turcomenistão")</f>
        <v>Turcomenistão</v>
      </c>
      <c r="D212" t="str">
        <f t="shared" ca="1" si="0"/>
        <v>tm</v>
      </c>
    </row>
    <row r="213" spans="1:4" ht="15.75" customHeight="1" x14ac:dyDescent="0.15">
      <c r="A213" s="1" t="s">
        <v>212</v>
      </c>
      <c r="B213" t="str">
        <f ca="1">IFERROR(__xludf.DUMMYFUNCTION("SPLIT(A213,"";"")"),"ar-tn")</f>
        <v>ar-tn</v>
      </c>
      <c r="C213" t="str">
        <f ca="1">IFERROR(__xludf.DUMMYFUNCTION("""COMPUTED_VALUE"""),"Tunísia")</f>
        <v>Tunísia</v>
      </c>
      <c r="D213" t="str">
        <f t="shared" ca="1" si="0"/>
        <v>tn</v>
      </c>
    </row>
    <row r="214" spans="1:4" ht="15.75" customHeight="1" x14ac:dyDescent="0.15">
      <c r="A214" s="1" t="s">
        <v>213</v>
      </c>
      <c r="B214" t="str">
        <f ca="1">IFERROR(__xludf.DUMMYFUNCTION("SPLIT(A214,"";"")"),"en-to")</f>
        <v>en-to</v>
      </c>
      <c r="C214" t="str">
        <f ca="1">IFERROR(__xludf.DUMMYFUNCTION("""COMPUTED_VALUE"""),"Tonga")</f>
        <v>Tonga</v>
      </c>
      <c r="D214" t="str">
        <f t="shared" ca="1" si="0"/>
        <v>to</v>
      </c>
    </row>
    <row r="215" spans="1:4" ht="15.75" customHeight="1" x14ac:dyDescent="0.15">
      <c r="A215" s="1" t="s">
        <v>214</v>
      </c>
      <c r="B215" t="str">
        <f ca="1">IFERROR(__xludf.DUMMYFUNCTION("SPLIT(A215,"";"")"),"tr-tr")</f>
        <v>tr-tr</v>
      </c>
      <c r="C215" t="str">
        <f ca="1">IFERROR(__xludf.DUMMYFUNCTION("""COMPUTED_VALUE"""),"Turquia")</f>
        <v>Turquia</v>
      </c>
      <c r="D215" t="str">
        <f t="shared" ca="1" si="0"/>
        <v>tr</v>
      </c>
    </row>
    <row r="216" spans="1:4" ht="15.75" customHeight="1" x14ac:dyDescent="0.15">
      <c r="A216" s="1" t="s">
        <v>215</v>
      </c>
      <c r="B216" t="str">
        <f ca="1">IFERROR(__xludf.DUMMYFUNCTION("SPLIT(A216,"";"")"),"en-tt")</f>
        <v>en-tt</v>
      </c>
      <c r="C216" t="str">
        <f ca="1">IFERROR(__xludf.DUMMYFUNCTION("""COMPUTED_VALUE"""),"Trinidad e Tobago")</f>
        <v>Trinidad e Tobago</v>
      </c>
      <c r="D216" t="str">
        <f t="shared" ca="1" si="0"/>
        <v>tt</v>
      </c>
    </row>
    <row r="217" spans="1:4" ht="15.75" customHeight="1" x14ac:dyDescent="0.15">
      <c r="A217" s="1" t="s">
        <v>216</v>
      </c>
      <c r="B217" t="str">
        <f ca="1">IFERROR(__xludf.DUMMYFUNCTION("SPLIT(A217,"";"")"),"en-tv")</f>
        <v>en-tv</v>
      </c>
      <c r="C217" t="str">
        <f ca="1">IFERROR(__xludf.DUMMYFUNCTION("""COMPUTED_VALUE"""),"Tuvalu")</f>
        <v>Tuvalu</v>
      </c>
      <c r="D217" t="str">
        <f t="shared" ca="1" si="0"/>
        <v>tv</v>
      </c>
    </row>
    <row r="218" spans="1:4" ht="15.75" customHeight="1" x14ac:dyDescent="0.15">
      <c r="A218" s="1" t="s">
        <v>217</v>
      </c>
      <c r="B218" t="str">
        <f ca="1">IFERROR(__xludf.DUMMYFUNCTION("SPLIT(A218,"";"")"),"zh-tw")</f>
        <v>zh-tw</v>
      </c>
      <c r="C218" t="str">
        <f ca="1">IFERROR(__xludf.DUMMYFUNCTION("""COMPUTED_VALUE"""),"Taiwan")</f>
        <v>Taiwan</v>
      </c>
      <c r="D218" t="str">
        <f t="shared" ca="1" si="0"/>
        <v>tw</v>
      </c>
    </row>
    <row r="219" spans="1:4" ht="15.75" customHeight="1" x14ac:dyDescent="0.15">
      <c r="A219" s="1" t="s">
        <v>218</v>
      </c>
      <c r="B219" t="str">
        <f ca="1">IFERROR(__xludf.DUMMYFUNCTION("SPLIT(A219,"";"")"),"en-tz")</f>
        <v>en-tz</v>
      </c>
      <c r="C219" t="str">
        <f ca="1">IFERROR(__xludf.DUMMYFUNCTION("""COMPUTED_VALUE"""),"Tanzânia")</f>
        <v>Tanzânia</v>
      </c>
      <c r="D219" t="str">
        <f t="shared" ca="1" si="0"/>
        <v>tz</v>
      </c>
    </row>
    <row r="220" spans="1:4" ht="15.75" customHeight="1" x14ac:dyDescent="0.15">
      <c r="A220" s="1" t="s">
        <v>219</v>
      </c>
      <c r="B220" t="str">
        <f ca="1">IFERROR(__xludf.DUMMYFUNCTION("SPLIT(A220,"";"")"),"uk-ua")</f>
        <v>uk-ua</v>
      </c>
      <c r="C220" t="str">
        <f ca="1">IFERROR(__xludf.DUMMYFUNCTION("""COMPUTED_VALUE"""),"Ucrânia")</f>
        <v>Ucrânia</v>
      </c>
      <c r="D220" t="str">
        <f t="shared" ca="1" si="0"/>
        <v>ua</v>
      </c>
    </row>
    <row r="221" spans="1:4" ht="15.75" customHeight="1" x14ac:dyDescent="0.15">
      <c r="A221" s="1" t="s">
        <v>220</v>
      </c>
      <c r="B221" t="str">
        <f ca="1">IFERROR(__xludf.DUMMYFUNCTION("SPLIT(A221,"";"")"),"en-ug")</f>
        <v>en-ug</v>
      </c>
      <c r="C221" t="str">
        <f ca="1">IFERROR(__xludf.DUMMYFUNCTION("""COMPUTED_VALUE"""),"Uganda")</f>
        <v>Uganda</v>
      </c>
      <c r="D221" t="str">
        <f t="shared" ca="1" si="0"/>
        <v>ug</v>
      </c>
    </row>
    <row r="222" spans="1:4" ht="15.75" customHeight="1" x14ac:dyDescent="0.15">
      <c r="A222" s="1" t="s">
        <v>221</v>
      </c>
      <c r="B222" t="str">
        <f ca="1">IFERROR(__xludf.DUMMYFUNCTION("SPLIT(A222,"";"")"),"es-us")</f>
        <v>es-us</v>
      </c>
      <c r="C222" t="str">
        <f ca="1">IFERROR(__xludf.DUMMYFUNCTION("""COMPUTED_VALUE"""),"Estados Unidos - Espanhol")</f>
        <v>Estados Unidos - Espanhol</v>
      </c>
      <c r="D222" t="str">
        <f t="shared" ca="1" si="0"/>
        <v>us</v>
      </c>
    </row>
    <row r="223" spans="1:4" ht="15.75" customHeight="1" x14ac:dyDescent="0.15">
      <c r="A223" s="1" t="s">
        <v>222</v>
      </c>
      <c r="B223" t="str">
        <f ca="1">IFERROR(__xludf.DUMMYFUNCTION("SPLIT(A223,"";"")"),"en-us")</f>
        <v>en-us</v>
      </c>
      <c r="C223" t="str">
        <f ca="1">IFERROR(__xludf.DUMMYFUNCTION("""COMPUTED_VALUE"""),"Estados Unidos - Inglês")</f>
        <v>Estados Unidos - Inglês</v>
      </c>
      <c r="D223" t="str">
        <f t="shared" ca="1" si="0"/>
        <v>us</v>
      </c>
    </row>
    <row r="224" spans="1:4" ht="15.75" customHeight="1" x14ac:dyDescent="0.15">
      <c r="A224" s="1" t="s">
        <v>223</v>
      </c>
      <c r="B224" t="str">
        <f ca="1">IFERROR(__xludf.DUMMYFUNCTION("SPLIT(A224,"";"")"),"es-uy")</f>
        <v>es-uy</v>
      </c>
      <c r="C224" t="str">
        <f ca="1">IFERROR(__xludf.DUMMYFUNCTION("""COMPUTED_VALUE"""),"Uruguai")</f>
        <v>Uruguai</v>
      </c>
      <c r="D224" t="str">
        <f t="shared" ca="1" si="0"/>
        <v>uy</v>
      </c>
    </row>
    <row r="225" spans="1:4" ht="15.75" customHeight="1" x14ac:dyDescent="0.15">
      <c r="A225" s="1" t="s">
        <v>224</v>
      </c>
      <c r="B225" t="str">
        <f ca="1">IFERROR(__xludf.DUMMYFUNCTION("SPLIT(A225,"";"")"),"uz-latn-uz")</f>
        <v>uz-latn-uz</v>
      </c>
      <c r="C225" t="str">
        <f ca="1">IFERROR(__xludf.DUMMYFUNCTION("""COMPUTED_VALUE"""),"Uzbequistão")</f>
        <v>Uzbequistão</v>
      </c>
      <c r="D225" t="str">
        <f t="shared" ca="1" si="0"/>
        <v>uz</v>
      </c>
    </row>
    <row r="226" spans="1:4" ht="15.75" customHeight="1" x14ac:dyDescent="0.15">
      <c r="A226" s="1" t="s">
        <v>225</v>
      </c>
      <c r="B226" t="str">
        <f ca="1">IFERROR(__xludf.DUMMYFUNCTION("SPLIT(A226,"";"")"),"it-va")</f>
        <v>it-va</v>
      </c>
      <c r="C226" t="str">
        <f ca="1">IFERROR(__xludf.DUMMYFUNCTION("""COMPUTED_VALUE"""),"Cidade do Vaticano")</f>
        <v>Cidade do Vaticano</v>
      </c>
      <c r="D226" t="str">
        <f t="shared" ca="1" si="0"/>
        <v>va</v>
      </c>
    </row>
    <row r="227" spans="1:4" ht="15.75" customHeight="1" x14ac:dyDescent="0.15">
      <c r="A227" s="1" t="s">
        <v>226</v>
      </c>
      <c r="B227" t="str">
        <f ca="1">IFERROR(__xludf.DUMMYFUNCTION("SPLIT(A227,"";"")"),"en-vc")</f>
        <v>en-vc</v>
      </c>
      <c r="C227" t="str">
        <f ca="1">IFERROR(__xludf.DUMMYFUNCTION("""COMPUTED_VALUE"""),"São Vicente e Granadinas")</f>
        <v>São Vicente e Granadinas</v>
      </c>
      <c r="D227" t="str">
        <f t="shared" ca="1" si="0"/>
        <v>vc</v>
      </c>
    </row>
    <row r="228" spans="1:4" ht="15.75" customHeight="1" x14ac:dyDescent="0.15">
      <c r="A228" s="1" t="s">
        <v>227</v>
      </c>
      <c r="B228" t="str">
        <f ca="1">IFERROR(__xludf.DUMMYFUNCTION("SPLIT(A228,"";"")"),"es-ve")</f>
        <v>es-ve</v>
      </c>
      <c r="C228" t="str">
        <f ca="1">IFERROR(__xludf.DUMMYFUNCTION("""COMPUTED_VALUE"""),"Venezuela")</f>
        <v>Venezuela</v>
      </c>
      <c r="D228" t="str">
        <f t="shared" ca="1" si="0"/>
        <v>ve</v>
      </c>
    </row>
    <row r="229" spans="1:4" ht="15.75" customHeight="1" x14ac:dyDescent="0.15">
      <c r="A229" s="1" t="s">
        <v>228</v>
      </c>
      <c r="B229" t="str">
        <f ca="1">IFERROR(__xludf.DUMMYFUNCTION("SPLIT(A229,"";"")"),"en-vg")</f>
        <v>en-vg</v>
      </c>
      <c r="C229" t="str">
        <f ca="1">IFERROR(__xludf.DUMMYFUNCTION("""COMPUTED_VALUE"""),"Ilhas Virgens Britânicas")</f>
        <v>Ilhas Virgens Britânicas</v>
      </c>
      <c r="D229" t="str">
        <f t="shared" ca="1" si="0"/>
        <v>vg</v>
      </c>
    </row>
    <row r="230" spans="1:4" ht="15.75" customHeight="1" x14ac:dyDescent="0.15">
      <c r="A230" s="1" t="s">
        <v>229</v>
      </c>
      <c r="B230" t="str">
        <f ca="1">IFERROR(__xludf.DUMMYFUNCTION("SPLIT(A230,"";"")"),"en-vi")</f>
        <v>en-vi</v>
      </c>
      <c r="C230" t="str">
        <f ca="1">IFERROR(__xludf.DUMMYFUNCTION("""COMPUTED_VALUE"""),"Ilhas Virgens Americanas")</f>
        <v>Ilhas Virgens Americanas</v>
      </c>
      <c r="D230" t="str">
        <f t="shared" ca="1" si="0"/>
        <v>vi</v>
      </c>
    </row>
    <row r="231" spans="1:4" ht="15.75" customHeight="1" x14ac:dyDescent="0.15">
      <c r="A231" s="1" t="s">
        <v>230</v>
      </c>
      <c r="B231" t="str">
        <f ca="1">IFERROR(__xludf.DUMMYFUNCTION("SPLIT(A231,"";"")"),"vi-vn")</f>
        <v>vi-vn</v>
      </c>
      <c r="C231" t="str">
        <f ca="1">IFERROR(__xludf.DUMMYFUNCTION("""COMPUTED_VALUE"""),"Vietnã")</f>
        <v>Vietnã</v>
      </c>
      <c r="D231" t="str">
        <f t="shared" ca="1" si="0"/>
        <v>vn</v>
      </c>
    </row>
    <row r="232" spans="1:4" ht="15.75" customHeight="1" x14ac:dyDescent="0.15">
      <c r="A232" s="1" t="s">
        <v>231</v>
      </c>
      <c r="B232" t="str">
        <f ca="1">IFERROR(__xludf.DUMMYFUNCTION("SPLIT(A232,"";"")"),"en-vu")</f>
        <v>en-vu</v>
      </c>
      <c r="C232" t="str">
        <f ca="1">IFERROR(__xludf.DUMMYFUNCTION("""COMPUTED_VALUE"""),"Vanuatu")</f>
        <v>Vanuatu</v>
      </c>
      <c r="D232" t="str">
        <f t="shared" ca="1" si="0"/>
        <v>vu</v>
      </c>
    </row>
    <row r="233" spans="1:4" ht="15.75" customHeight="1" x14ac:dyDescent="0.15">
      <c r="A233" s="1" t="s">
        <v>232</v>
      </c>
      <c r="B233" t="str">
        <f ca="1">IFERROR(__xludf.DUMMYFUNCTION("SPLIT(A233,"";"")"),"fr-wf")</f>
        <v>fr-wf</v>
      </c>
      <c r="C233" t="str">
        <f ca="1">IFERROR(__xludf.DUMMYFUNCTION("""COMPUTED_VALUE"""),"Wallis e Futuna")</f>
        <v>Wallis e Futuna</v>
      </c>
      <c r="D233" t="str">
        <f t="shared" ca="1" si="0"/>
        <v>wf</v>
      </c>
    </row>
    <row r="234" spans="1:4" ht="15.75" customHeight="1" x14ac:dyDescent="0.15">
      <c r="A234" s="1" t="s">
        <v>233</v>
      </c>
      <c r="B234" t="str">
        <f ca="1">IFERROR(__xludf.DUMMYFUNCTION("SPLIT(A234,"";"")"),"en-ws")</f>
        <v>en-ws</v>
      </c>
      <c r="C234" t="str">
        <f ca="1">IFERROR(__xludf.DUMMYFUNCTION("""COMPUTED_VALUE"""),"Samoa")</f>
        <v>Samoa</v>
      </c>
      <c r="D234" t="str">
        <f t="shared" ca="1" si="0"/>
        <v>ws</v>
      </c>
    </row>
    <row r="235" spans="1:4" ht="15.75" customHeight="1" x14ac:dyDescent="0.15">
      <c r="A235" s="1" t="s">
        <v>234</v>
      </c>
      <c r="B235" t="str">
        <f ca="1">IFERROR(__xludf.DUMMYFUNCTION("SPLIT(A235,"";"")"),"ar-ye")</f>
        <v>ar-ye</v>
      </c>
      <c r="C235" t="str">
        <f ca="1">IFERROR(__xludf.DUMMYFUNCTION("""COMPUTED_VALUE"""),"Iêmen")</f>
        <v>Iêmen</v>
      </c>
      <c r="D235" t="str">
        <f t="shared" ca="1" si="0"/>
        <v>ye</v>
      </c>
    </row>
    <row r="236" spans="1:4" ht="15.75" customHeight="1" x14ac:dyDescent="0.15">
      <c r="A236" s="1" t="s">
        <v>235</v>
      </c>
      <c r="B236" t="str">
        <f ca="1">IFERROR(__xludf.DUMMYFUNCTION("SPLIT(A236,"";"")"),"fr-yt")</f>
        <v>fr-yt</v>
      </c>
      <c r="C236" t="str">
        <f ca="1">IFERROR(__xludf.DUMMYFUNCTION("""COMPUTED_VALUE"""),"Mayotte")</f>
        <v>Mayotte</v>
      </c>
      <c r="D236" t="str">
        <f t="shared" ca="1" si="0"/>
        <v>yt</v>
      </c>
    </row>
    <row r="237" spans="1:4" ht="15.75" customHeight="1" x14ac:dyDescent="0.15">
      <c r="A237" s="1" t="s">
        <v>236</v>
      </c>
      <c r="B237" t="str">
        <f ca="1">IFERROR(__xludf.DUMMYFUNCTION("SPLIT(A237,"";"")"),"en-za")</f>
        <v>en-za</v>
      </c>
      <c r="C237" t="str">
        <f ca="1">IFERROR(__xludf.DUMMYFUNCTION("""COMPUTED_VALUE"""),"África do Sul")</f>
        <v>África do Sul</v>
      </c>
      <c r="D237" t="str">
        <f t="shared" ca="1" si="0"/>
        <v>za</v>
      </c>
    </row>
    <row r="238" spans="1:4" ht="15.75" customHeight="1" x14ac:dyDescent="0.15">
      <c r="A238" s="1" t="s">
        <v>237</v>
      </c>
      <c r="B238" t="str">
        <f ca="1">IFERROR(__xludf.DUMMYFUNCTION("SPLIT(A238,"";"")"),"en-zm")</f>
        <v>en-zm</v>
      </c>
      <c r="C238" t="str">
        <f ca="1">IFERROR(__xludf.DUMMYFUNCTION("""COMPUTED_VALUE"""),"Zâmbia")</f>
        <v>Zâmbia</v>
      </c>
      <c r="D238" t="str">
        <f t="shared" ca="1" si="0"/>
        <v>zm</v>
      </c>
    </row>
    <row r="239" spans="1:4" ht="15.75" customHeight="1" x14ac:dyDescent="0.15">
      <c r="A239" s="1" t="s">
        <v>238</v>
      </c>
      <c r="B239" t="str">
        <f ca="1">IFERROR(__xludf.DUMMYFUNCTION("SPLIT(A239,"";"")"),"en-zw")</f>
        <v>en-zw</v>
      </c>
      <c r="C239" t="str">
        <f ca="1">IFERROR(__xludf.DUMMYFUNCTION("""COMPUTED_VALUE"""),"Zimbábue")</f>
        <v>Zimbábue</v>
      </c>
      <c r="D239" t="str">
        <f t="shared" ca="1" si="0"/>
        <v>zw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3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15"/>
  <cols>
    <col min="1" max="1" width="14.42578125" customWidth="1"/>
    <col min="2" max="2" width="8.62890625" customWidth="1"/>
    <col min="3" max="3" width="34.25" customWidth="1"/>
    <col min="4" max="4" width="37.890625" customWidth="1"/>
    <col min="5" max="6" width="14.42578125" customWidth="1"/>
  </cols>
  <sheetData>
    <row r="1" spans="1:4" ht="15.75" customHeight="1" x14ac:dyDescent="0.15">
      <c r="A1" s="1" t="s">
        <v>239</v>
      </c>
      <c r="B1" t="str">
        <f ca="1">IFERROR(__xludf.DUMMYFUNCTION("split(A1,"";"")"),"CODIGO")</f>
        <v>CODIGO</v>
      </c>
      <c r="C1" t="str">
        <f ca="1">IFERROR(__xludf.DUMMYFUNCTION("""COMPUTED_VALUE"""),"INGLES")</f>
        <v>INGLES</v>
      </c>
      <c r="D1" s="2" t="str">
        <f ca="1">IFERROR(__xludf.DUMMYFUNCTION("""COMPUTED_VALUE"""),"PORTUGUES")</f>
        <v>PORTUGUES</v>
      </c>
    </row>
    <row r="2" spans="1:4" ht="15.75" customHeight="1" x14ac:dyDescent="0.15">
      <c r="A2" s="1" t="s">
        <v>240</v>
      </c>
      <c r="B2" t="str">
        <f ca="1">IFERROR(__xludf.DUMMYFUNCTION("split(A2,"";"")"),"prs-af")</f>
        <v>prs-af</v>
      </c>
      <c r="C2" t="str">
        <f ca="1">IFERROR(__xludf.DUMMYFUNCTION("""COMPUTED_VALUE"""),"Afghanistan")</f>
        <v>Afghanistan</v>
      </c>
      <c r="D2" t="str">
        <f ca="1">IFERROR(__xludf.DUMMYFUNCTION("""COMPUTED_VALUE"""),"Afeganistão")</f>
        <v>Afeganistão</v>
      </c>
    </row>
    <row r="3" spans="1:4" ht="15.75" customHeight="1" x14ac:dyDescent="0.15">
      <c r="A3" s="1" t="s">
        <v>241</v>
      </c>
      <c r="B3" t="str">
        <f ca="1">IFERROR(__xludf.DUMMYFUNCTION("split(A3,"";"")"),"en-za")</f>
        <v>en-za</v>
      </c>
      <c r="C3" t="str">
        <f ca="1">IFERROR(__xludf.DUMMYFUNCTION("""COMPUTED_VALUE"""),"South Africa")</f>
        <v>South Africa</v>
      </c>
      <c r="D3" t="str">
        <f ca="1">IFERROR(__xludf.DUMMYFUNCTION("""COMPUTED_VALUE"""),"África do Sul")</f>
        <v>África do Sul</v>
      </c>
    </row>
    <row r="4" spans="1:4" ht="15.75" customHeight="1" x14ac:dyDescent="0.15">
      <c r="A4" s="1" t="s">
        <v>242</v>
      </c>
      <c r="B4" t="str">
        <f ca="1">IFERROR(__xludf.DUMMYFUNCTION("split(A4,"";"")"),"sq-al")</f>
        <v>sq-al</v>
      </c>
      <c r="C4" t="str">
        <f ca="1">IFERROR(__xludf.DUMMYFUNCTION("""COMPUTED_VALUE"""),"Albania")</f>
        <v>Albania</v>
      </c>
      <c r="D4" t="str">
        <f ca="1">IFERROR(__xludf.DUMMYFUNCTION("""COMPUTED_VALUE"""),"Albânia")</f>
        <v>Albânia</v>
      </c>
    </row>
    <row r="5" spans="1:4" ht="15.75" customHeight="1" x14ac:dyDescent="0.15">
      <c r="A5" s="1" t="s">
        <v>243</v>
      </c>
      <c r="B5" t="str">
        <f ca="1">IFERROR(__xludf.DUMMYFUNCTION("split(A5,"";"")"),"de-de")</f>
        <v>de-de</v>
      </c>
      <c r="C5" t="str">
        <f ca="1">IFERROR(__xludf.DUMMYFUNCTION("""COMPUTED_VALUE"""),"Germany")</f>
        <v>Germany</v>
      </c>
      <c r="D5" t="str">
        <f ca="1">IFERROR(__xludf.DUMMYFUNCTION("""COMPUTED_VALUE"""),"Alemanha")</f>
        <v>Alemanha</v>
      </c>
    </row>
    <row r="6" spans="1:4" ht="15.75" customHeight="1" x14ac:dyDescent="0.15">
      <c r="A6" s="1" t="s">
        <v>244</v>
      </c>
      <c r="B6" t="str">
        <f ca="1">IFERROR(__xludf.DUMMYFUNCTION("split(A6,"";"")"),"ca-ad")</f>
        <v>ca-ad</v>
      </c>
      <c r="C6" t="str">
        <f ca="1">IFERROR(__xludf.DUMMYFUNCTION("""COMPUTED_VALUE"""),"Andorra")</f>
        <v>Andorra</v>
      </c>
      <c r="D6" t="str">
        <f ca="1">IFERROR(__xludf.DUMMYFUNCTION("""COMPUTED_VALUE"""),"Andorra")</f>
        <v>Andorra</v>
      </c>
    </row>
    <row r="7" spans="1:4" ht="15.75" customHeight="1" x14ac:dyDescent="0.15">
      <c r="A7" s="1" t="s">
        <v>245</v>
      </c>
      <c r="B7" t="str">
        <f ca="1">IFERROR(__xludf.DUMMYFUNCTION("split(A7,"";"")"),"en-ao")</f>
        <v>en-ao</v>
      </c>
      <c r="C7" t="str">
        <f ca="1">IFERROR(__xludf.DUMMYFUNCTION("""COMPUTED_VALUE"""),"Angola")</f>
        <v>Angola</v>
      </c>
      <c r="D7" t="s">
        <v>246</v>
      </c>
    </row>
    <row r="8" spans="1:4" ht="15.75" customHeight="1" x14ac:dyDescent="0.15">
      <c r="A8" s="1" t="s">
        <v>247</v>
      </c>
      <c r="B8" t="str">
        <f ca="1">IFERROR(__xludf.DUMMYFUNCTION("split(A8,"";"")"),"en-ai")</f>
        <v>en-ai</v>
      </c>
      <c r="C8" t="str">
        <f ca="1">IFERROR(__xludf.DUMMYFUNCTION("""COMPUTED_VALUE"""),"Anguilla")</f>
        <v>Anguilla</v>
      </c>
      <c r="D8" t="str">
        <f ca="1">IFERROR(__xludf.DUMMYFUNCTION("""COMPUTED_VALUE"""),"Anguila")</f>
        <v>Anguila</v>
      </c>
    </row>
    <row r="9" spans="1:4" ht="15.75" customHeight="1" x14ac:dyDescent="0.15">
      <c r="A9" s="1" t="s">
        <v>248</v>
      </c>
      <c r="B9" t="str">
        <f ca="1">IFERROR(__xludf.DUMMYFUNCTION("split(A9,"";"")"),"en-ag")</f>
        <v>en-ag</v>
      </c>
      <c r="C9" t="str">
        <f ca="1">IFERROR(__xludf.DUMMYFUNCTION("""COMPUTED_VALUE"""),"Antigua and Barbuda")</f>
        <v>Antigua and Barbuda</v>
      </c>
      <c r="D9" t="str">
        <f ca="1">IFERROR(__xludf.DUMMYFUNCTION("""COMPUTED_VALUE"""),"Antígua e Barbuda")</f>
        <v>Antígua e Barbuda</v>
      </c>
    </row>
    <row r="10" spans="1:4" ht="15.75" customHeight="1" x14ac:dyDescent="0.15">
      <c r="A10" s="1" t="s">
        <v>249</v>
      </c>
      <c r="B10" t="str">
        <f ca="1">IFERROR(__xludf.DUMMYFUNCTION("split(A10,"";"")"),"en-sa")</f>
        <v>en-sa</v>
      </c>
      <c r="C10" t="str">
        <f ca="1">IFERROR(__xludf.DUMMYFUNCTION("""COMPUTED_VALUE"""),"Saudi Arabia")</f>
        <v>Saudi Arabia</v>
      </c>
      <c r="D10" t="s">
        <v>250</v>
      </c>
    </row>
    <row r="11" spans="1:4" ht="15.75" customHeight="1" x14ac:dyDescent="0.15">
      <c r="A11" s="1" t="s">
        <v>251</v>
      </c>
      <c r="B11" t="str">
        <f ca="1">IFERROR(__xludf.DUMMYFUNCTION("split(A11,"";"")"),"en-dz")</f>
        <v>en-dz</v>
      </c>
      <c r="C11" t="str">
        <f ca="1">IFERROR(__xludf.DUMMYFUNCTION("""COMPUTED_VALUE"""),"Algeria")</f>
        <v>Algeria</v>
      </c>
      <c r="D11" t="s">
        <v>252</v>
      </c>
    </row>
    <row r="12" spans="1:4" ht="15.75" customHeight="1" x14ac:dyDescent="0.15">
      <c r="A12" s="1" t="s">
        <v>253</v>
      </c>
      <c r="B12" t="str">
        <f ca="1">IFERROR(__xludf.DUMMYFUNCTION("split(A12,"";"")"),"es-ar")</f>
        <v>es-ar</v>
      </c>
      <c r="C12" t="str">
        <f ca="1">IFERROR(__xludf.DUMMYFUNCTION("""COMPUTED_VALUE"""),"Argentina")</f>
        <v>Argentina</v>
      </c>
      <c r="D12" t="str">
        <f ca="1">IFERROR(__xludf.DUMMYFUNCTION("""COMPUTED_VALUE"""),"Argentina")</f>
        <v>Argentina</v>
      </c>
    </row>
    <row r="13" spans="1:4" ht="15.75" customHeight="1" x14ac:dyDescent="0.15">
      <c r="A13" s="1" t="s">
        <v>254</v>
      </c>
      <c r="B13" t="str">
        <f ca="1">IFERROR(__xludf.DUMMYFUNCTION("split(A13,"";"")"),"hy-am")</f>
        <v>hy-am</v>
      </c>
      <c r="C13" t="str">
        <f ca="1">IFERROR(__xludf.DUMMYFUNCTION("""COMPUTED_VALUE"""),"Armenia")</f>
        <v>Armenia</v>
      </c>
      <c r="D13" t="str">
        <f ca="1">IFERROR(__xludf.DUMMYFUNCTION("""COMPUTED_VALUE"""),"Armênia")</f>
        <v>Armênia</v>
      </c>
    </row>
    <row r="14" spans="1:4" ht="15.75" customHeight="1" x14ac:dyDescent="0.15">
      <c r="A14" s="1" t="s">
        <v>255</v>
      </c>
      <c r="B14" t="str">
        <f ca="1">IFERROR(__xludf.DUMMYFUNCTION("split(A14,"";"")"),"nl-aw")</f>
        <v>nl-aw</v>
      </c>
      <c r="C14" t="str">
        <f ca="1">IFERROR(__xludf.DUMMYFUNCTION("""COMPUTED_VALUE"""),"Aruba")</f>
        <v>Aruba</v>
      </c>
      <c r="D14" t="str">
        <f ca="1">IFERROR(__xludf.DUMMYFUNCTION("""COMPUTED_VALUE"""),"Aruba")</f>
        <v>Aruba</v>
      </c>
    </row>
    <row r="15" spans="1:4" ht="15.75" customHeight="1" x14ac:dyDescent="0.15">
      <c r="A15" s="1" t="s">
        <v>256</v>
      </c>
      <c r="B15" t="str">
        <f ca="1">IFERROR(__xludf.DUMMYFUNCTION("split(A15,"";"")"),"en-au")</f>
        <v>en-au</v>
      </c>
      <c r="C15" t="str">
        <f ca="1">IFERROR(__xludf.DUMMYFUNCTION("""COMPUTED_VALUE"""),"Australia")</f>
        <v>Australia</v>
      </c>
      <c r="D15" t="str">
        <f ca="1">IFERROR(__xludf.DUMMYFUNCTION("""COMPUTED_VALUE"""),"Austrália")</f>
        <v>Austrália</v>
      </c>
    </row>
    <row r="16" spans="1:4" ht="15.75" customHeight="1" x14ac:dyDescent="0.15">
      <c r="A16" s="1" t="s">
        <v>257</v>
      </c>
      <c r="B16" t="str">
        <f ca="1">IFERROR(__xludf.DUMMYFUNCTION("split(A16,"";"")"),"de-at")</f>
        <v>de-at</v>
      </c>
      <c r="C16" t="str">
        <f ca="1">IFERROR(__xludf.DUMMYFUNCTION("""COMPUTED_VALUE"""),"Austria")</f>
        <v>Austria</v>
      </c>
      <c r="D16" t="str">
        <f ca="1">IFERROR(__xludf.DUMMYFUNCTION("""COMPUTED_VALUE"""),"Áustria")</f>
        <v>Áustria</v>
      </c>
    </row>
    <row r="17" spans="1:4" ht="15.75" customHeight="1" x14ac:dyDescent="0.15">
      <c r="A17" s="1" t="s">
        <v>258</v>
      </c>
      <c r="B17" t="str">
        <f ca="1">IFERROR(__xludf.DUMMYFUNCTION("split(A17,"";"")"),"en-ps")</f>
        <v>en-ps</v>
      </c>
      <c r="C17" t="str">
        <f ca="1">IFERROR(__xludf.DUMMYFUNCTION("""COMPUTED_VALUE"""),"Palestinian Authority")</f>
        <v>Palestinian Authority</v>
      </c>
      <c r="D17" t="s">
        <v>259</v>
      </c>
    </row>
    <row r="18" spans="1:4" ht="15.75" customHeight="1" x14ac:dyDescent="0.15">
      <c r="A18" s="1" t="s">
        <v>260</v>
      </c>
      <c r="B18" t="str">
        <f ca="1">IFERROR(__xludf.DUMMYFUNCTION("split(A18,"";"")"),"en-az")</f>
        <v>en-az</v>
      </c>
      <c r="C18" t="str">
        <f ca="1">IFERROR(__xludf.DUMMYFUNCTION("""COMPUTED_VALUE"""),"Azerbaijan")</f>
        <v>Azerbaijan</v>
      </c>
      <c r="D18" t="s">
        <v>261</v>
      </c>
    </row>
    <row r="19" spans="1:4" ht="15.75" customHeight="1" x14ac:dyDescent="0.15">
      <c r="A19" s="1" t="s">
        <v>262</v>
      </c>
      <c r="B19" t="str">
        <f ca="1">IFERROR(__xludf.DUMMYFUNCTION("split(A19,"";"")"),"en-bs")</f>
        <v>en-bs</v>
      </c>
      <c r="C19" t="str">
        <f ca="1">IFERROR(__xludf.DUMMYFUNCTION("""COMPUTED_VALUE"""),"Bahamas")</f>
        <v>Bahamas</v>
      </c>
      <c r="D19" t="str">
        <f ca="1">IFERROR(__xludf.DUMMYFUNCTION("""COMPUTED_VALUE"""),"Bahamas")</f>
        <v>Bahamas</v>
      </c>
    </row>
    <row r="20" spans="1:4" ht="15.75" customHeight="1" x14ac:dyDescent="0.15">
      <c r="A20" s="1" t="s">
        <v>263</v>
      </c>
      <c r="B20" t="str">
        <f ca="1">IFERROR(__xludf.DUMMYFUNCTION("split(A20,"";"")"),"en-bh")</f>
        <v>en-bh</v>
      </c>
      <c r="C20" t="str">
        <f ca="1">IFERROR(__xludf.DUMMYFUNCTION("""COMPUTED_VALUE"""),"Bahrain")</f>
        <v>Bahrain</v>
      </c>
      <c r="D20" t="s">
        <v>264</v>
      </c>
    </row>
    <row r="21" spans="1:4" ht="15.75" customHeight="1" x14ac:dyDescent="0.15">
      <c r="A21" s="1" t="s">
        <v>265</v>
      </c>
      <c r="B21" t="str">
        <f ca="1">IFERROR(__xludf.DUMMYFUNCTION("split(A21,"";"")"),"en-bd")</f>
        <v>en-bd</v>
      </c>
      <c r="C21" t="str">
        <f ca="1">IFERROR(__xludf.DUMMYFUNCTION("""COMPUTED_VALUE"""),"Bangladesh")</f>
        <v>Bangladesh</v>
      </c>
      <c r="D21" t="s">
        <v>266</v>
      </c>
    </row>
    <row r="22" spans="1:4" ht="15.75" customHeight="1" x14ac:dyDescent="0.15">
      <c r="A22" s="1" t="s">
        <v>267</v>
      </c>
      <c r="B22" t="str">
        <f ca="1">IFERROR(__xludf.DUMMYFUNCTION("split(A22,"";"")"),"en-bb")</f>
        <v>en-bb</v>
      </c>
      <c r="C22" t="str">
        <f ca="1">IFERROR(__xludf.DUMMYFUNCTION("""COMPUTED_VALUE"""),"Barbados")</f>
        <v>Barbados</v>
      </c>
      <c r="D22" t="str">
        <f ca="1">IFERROR(__xludf.DUMMYFUNCTION("""COMPUTED_VALUE"""),"Barbados")</f>
        <v>Barbados</v>
      </c>
    </row>
    <row r="23" spans="1:4" ht="15.75" customHeight="1" x14ac:dyDescent="0.15">
      <c r="A23" s="1" t="s">
        <v>268</v>
      </c>
      <c r="B23" t="str">
        <f ca="1">IFERROR(__xludf.DUMMYFUNCTION("split(A23,"";"")"),"be-by")</f>
        <v>be-by</v>
      </c>
      <c r="C23" t="str">
        <f ca="1">IFERROR(__xludf.DUMMYFUNCTION("""COMPUTED_VALUE"""),"Belarus")</f>
        <v>Belarus</v>
      </c>
      <c r="D23" t="str">
        <f ca="1">IFERROR(__xludf.DUMMYFUNCTION("""COMPUTED_VALUE"""),"Belarus")</f>
        <v>Belarus</v>
      </c>
    </row>
    <row r="24" spans="1:4" ht="15.75" customHeight="1" x14ac:dyDescent="0.15">
      <c r="A24" s="1" t="s">
        <v>269</v>
      </c>
      <c r="B24" t="str">
        <f ca="1">IFERROR(__xludf.DUMMYFUNCTION("split(A24,"";"")"),"fr-be")</f>
        <v>fr-be</v>
      </c>
      <c r="C24" t="str">
        <f ca="1">IFERROR(__xludf.DUMMYFUNCTION("""COMPUTED_VALUE"""),"Belgium - French")</f>
        <v>Belgium - French</v>
      </c>
      <c r="D24" t="str">
        <f ca="1">IFERROR(__xludf.DUMMYFUNCTION("""COMPUTED_VALUE"""),"Bélgica - Francês")</f>
        <v>Bélgica - Francês</v>
      </c>
    </row>
    <row r="25" spans="1:4" ht="15.75" customHeight="1" x14ac:dyDescent="0.15">
      <c r="A25" s="1" t="s">
        <v>270</v>
      </c>
      <c r="B25" t="str">
        <f ca="1">IFERROR(__xludf.DUMMYFUNCTION("split(A25,"";"")"),"nl-be")</f>
        <v>nl-be</v>
      </c>
      <c r="C25" t="str">
        <f ca="1">IFERROR(__xludf.DUMMYFUNCTION("""COMPUTED_VALUE"""),"Belgium - Dutch")</f>
        <v>Belgium - Dutch</v>
      </c>
      <c r="D25" t="str">
        <f ca="1">IFERROR(__xludf.DUMMYFUNCTION("""COMPUTED_VALUE"""),"Bélgica - Holandês")</f>
        <v>Bélgica - Holandês</v>
      </c>
    </row>
    <row r="26" spans="1:4" ht="15.75" customHeight="1" x14ac:dyDescent="0.15">
      <c r="A26" s="1" t="s">
        <v>271</v>
      </c>
      <c r="B26" t="str">
        <f ca="1">IFERROR(__xludf.DUMMYFUNCTION("split(A26,"";"")"),"en-bz")</f>
        <v>en-bz</v>
      </c>
      <c r="C26" t="str">
        <f ca="1">IFERROR(__xludf.DUMMYFUNCTION("""COMPUTED_VALUE"""),"Belize")</f>
        <v>Belize</v>
      </c>
      <c r="D26" t="str">
        <f ca="1">IFERROR(__xludf.DUMMYFUNCTION("""COMPUTED_VALUE"""),"Belize")</f>
        <v>Belize</v>
      </c>
    </row>
    <row r="27" spans="1:4" ht="15.75" customHeight="1" x14ac:dyDescent="0.15">
      <c r="A27" s="1" t="s">
        <v>272</v>
      </c>
      <c r="B27" t="str">
        <f ca="1">IFERROR(__xludf.DUMMYFUNCTION("split(A27,"";"")"),"en-bj")</f>
        <v>en-bj</v>
      </c>
      <c r="C27" t="str">
        <f ca="1">IFERROR(__xludf.DUMMYFUNCTION("""COMPUTED_VALUE"""),"Benin")</f>
        <v>Benin</v>
      </c>
      <c r="D27" t="s">
        <v>273</v>
      </c>
    </row>
    <row r="28" spans="1:4" ht="15.75" customHeight="1" x14ac:dyDescent="0.15">
      <c r="A28" s="1" t="s">
        <v>274</v>
      </c>
      <c r="B28" t="str">
        <f ca="1">IFERROR(__xludf.DUMMYFUNCTION("split(A28,"";"")"),"en-bm")</f>
        <v>en-bm</v>
      </c>
      <c r="C28" t="str">
        <f ca="1">IFERROR(__xludf.DUMMYFUNCTION("""COMPUTED_VALUE"""),"Bermuda")</f>
        <v>Bermuda</v>
      </c>
      <c r="D28" t="str">
        <f ca="1">IFERROR(__xludf.DUMMYFUNCTION("""COMPUTED_VALUE"""),"Bermudas")</f>
        <v>Bermudas</v>
      </c>
    </row>
    <row r="29" spans="1:4" ht="15.75" customHeight="1" x14ac:dyDescent="0.15">
      <c r="A29" s="1" t="s">
        <v>275</v>
      </c>
      <c r="B29" t="str">
        <f ca="1">IFERROR(__xludf.DUMMYFUNCTION("split(A29,"";"")"),"es-bo")</f>
        <v>es-bo</v>
      </c>
      <c r="C29" t="str">
        <f ca="1">IFERROR(__xludf.DUMMYFUNCTION("""COMPUTED_VALUE"""),"Bolivia")</f>
        <v>Bolivia</v>
      </c>
      <c r="D29" t="str">
        <f ca="1">IFERROR(__xludf.DUMMYFUNCTION("""COMPUTED_VALUE"""),"Bolívia")</f>
        <v>Bolívia</v>
      </c>
    </row>
    <row r="30" spans="1:4" ht="15.75" customHeight="1" x14ac:dyDescent="0.15">
      <c r="A30" s="1" t="s">
        <v>276</v>
      </c>
      <c r="B30" t="str">
        <f ca="1">IFERROR(__xludf.DUMMYFUNCTION("split(A30,"";"")"),"en-ba")</f>
        <v>en-ba</v>
      </c>
      <c r="C30" t="str">
        <f ca="1">IFERROR(__xludf.DUMMYFUNCTION("""COMPUTED_VALUE"""),"Bosnia &amp; Herzegovina")</f>
        <v>Bosnia &amp; Herzegovina</v>
      </c>
      <c r="D30" t="s">
        <v>277</v>
      </c>
    </row>
    <row r="31" spans="1:4" ht="15.75" customHeight="1" x14ac:dyDescent="0.15">
      <c r="A31" s="1" t="s">
        <v>278</v>
      </c>
      <c r="B31" t="str">
        <f ca="1">IFERROR(__xludf.DUMMYFUNCTION("split(A31,"";"")"),"en-bw")</f>
        <v>en-bw</v>
      </c>
      <c r="C31" t="str">
        <f ca="1">IFERROR(__xludf.DUMMYFUNCTION("""COMPUTED_VALUE"""),"Botswana")</f>
        <v>Botswana</v>
      </c>
      <c r="D31" t="str">
        <f ca="1">IFERROR(__xludf.DUMMYFUNCTION("""COMPUTED_VALUE"""),"Botsuana")</f>
        <v>Botsuana</v>
      </c>
    </row>
    <row r="32" spans="1:4" ht="15.75" customHeight="1" x14ac:dyDescent="0.15">
      <c r="A32" s="1" t="s">
        <v>279</v>
      </c>
      <c r="B32" t="str">
        <f ca="1">IFERROR(__xludf.DUMMYFUNCTION("split(A32,"";"")"),"pt-br")</f>
        <v>pt-br</v>
      </c>
      <c r="C32" t="str">
        <f ca="1">IFERROR(__xludf.DUMMYFUNCTION("""COMPUTED_VALUE"""),"Brazil")</f>
        <v>Brazil</v>
      </c>
      <c r="D32" t="str">
        <f ca="1">IFERROR(__xludf.DUMMYFUNCTION("""COMPUTED_VALUE"""),"Brasil")</f>
        <v>Brasil</v>
      </c>
    </row>
    <row r="33" spans="1:4" ht="15.75" customHeight="1" x14ac:dyDescent="0.15">
      <c r="A33" s="1" t="s">
        <v>280</v>
      </c>
      <c r="B33" t="str">
        <f ca="1">IFERROR(__xludf.DUMMYFUNCTION("split(A33,"";"")"),"ms-bn")</f>
        <v>ms-bn</v>
      </c>
      <c r="C33" t="str">
        <f ca="1">IFERROR(__xludf.DUMMYFUNCTION("""COMPUTED_VALUE"""),"Brunei")</f>
        <v>Brunei</v>
      </c>
      <c r="D33" t="str">
        <f ca="1">IFERROR(__xludf.DUMMYFUNCTION("""COMPUTED_VALUE"""),"Brunei")</f>
        <v>Brunei</v>
      </c>
    </row>
    <row r="34" spans="1:4" ht="15.75" customHeight="1" x14ac:dyDescent="0.15">
      <c r="A34" s="1" t="s">
        <v>281</v>
      </c>
      <c r="B34" t="str">
        <f ca="1">IFERROR(__xludf.DUMMYFUNCTION("split(A34,"";"")"),"bg-bg")</f>
        <v>bg-bg</v>
      </c>
      <c r="C34" t="str">
        <f ca="1">IFERROR(__xludf.DUMMYFUNCTION("""COMPUTED_VALUE"""),"Bulgaria")</f>
        <v>Bulgaria</v>
      </c>
      <c r="D34" t="str">
        <f ca="1">IFERROR(__xludf.DUMMYFUNCTION("""COMPUTED_VALUE"""),"Bulgária")</f>
        <v>Bulgária</v>
      </c>
    </row>
    <row r="35" spans="1:4" ht="15.75" customHeight="1" x14ac:dyDescent="0.15">
      <c r="A35" s="1" t="s">
        <v>282</v>
      </c>
      <c r="B35" t="str">
        <f ca="1">IFERROR(__xludf.DUMMYFUNCTION("split(A35,"";"")"),"en-bf")</f>
        <v>en-bf</v>
      </c>
      <c r="C35" t="str">
        <f ca="1">IFERROR(__xludf.DUMMYFUNCTION("""COMPUTED_VALUE"""),"Burkina Faso")</f>
        <v>Burkina Faso</v>
      </c>
      <c r="D35" t="s">
        <v>283</v>
      </c>
    </row>
    <row r="36" spans="1:4" ht="15.75" customHeight="1" x14ac:dyDescent="0.15">
      <c r="A36" s="1" t="s">
        <v>284</v>
      </c>
      <c r="B36" t="str">
        <f ca="1">IFERROR(__xludf.DUMMYFUNCTION("split(A36,"";"")"),"en-bi")</f>
        <v>en-bi</v>
      </c>
      <c r="C36" t="str">
        <f ca="1">IFERROR(__xludf.DUMMYFUNCTION("""COMPUTED_VALUE"""),"Burundi")</f>
        <v>Burundi</v>
      </c>
      <c r="D36" t="str">
        <f ca="1">IFERROR(__xludf.DUMMYFUNCTION("""COMPUTED_VALUE"""),"Burundi")</f>
        <v>Burundi</v>
      </c>
    </row>
    <row r="37" spans="1:4" ht="15.75" customHeight="1" x14ac:dyDescent="0.15">
      <c r="A37" s="1" t="s">
        <v>285</v>
      </c>
      <c r="B37" t="str">
        <f ca="1">IFERROR(__xludf.DUMMYFUNCTION("split(A37,"";"")"),"bo-bt")</f>
        <v>bo-bt</v>
      </c>
      <c r="C37" t="str">
        <f ca="1">IFERROR(__xludf.DUMMYFUNCTION("""COMPUTED_VALUE"""),"Bhutan")</f>
        <v>Bhutan</v>
      </c>
      <c r="D37" t="str">
        <f ca="1">IFERROR(__xludf.DUMMYFUNCTION("""COMPUTED_VALUE"""),"Butão")</f>
        <v>Butão</v>
      </c>
    </row>
    <row r="38" spans="1:4" ht="15.75" customHeight="1" x14ac:dyDescent="0.15">
      <c r="A38" s="1" t="s">
        <v>286</v>
      </c>
      <c r="B38" t="str">
        <f ca="1">IFERROR(__xludf.DUMMYFUNCTION("split(A38,"";"")"),"en-cv")</f>
        <v>en-cv</v>
      </c>
      <c r="C38" t="str">
        <f ca="1">IFERROR(__xludf.DUMMYFUNCTION("""COMPUTED_VALUE"""),"Cabo Verde")</f>
        <v>Cabo Verde</v>
      </c>
      <c r="D38" t="s">
        <v>287</v>
      </c>
    </row>
    <row r="39" spans="1:4" ht="15.75" customHeight="1" x14ac:dyDescent="0.15">
      <c r="A39" s="1" t="s">
        <v>288</v>
      </c>
      <c r="B39" t="str">
        <f ca="1">IFERROR(__xludf.DUMMYFUNCTION("split(A39,"";"")"),"en-cm")</f>
        <v>en-cm</v>
      </c>
      <c r="C39" t="str">
        <f ca="1">IFERROR(__xludf.DUMMYFUNCTION("""COMPUTED_VALUE"""),"Cameroon")</f>
        <v>Cameroon</v>
      </c>
      <c r="D39" t="str">
        <f ca="1">IFERROR(__xludf.DUMMYFUNCTION("""COMPUTED_VALUE"""),"Camarões")</f>
        <v>Camarões</v>
      </c>
    </row>
    <row r="40" spans="1:4" ht="15.75" customHeight="1" x14ac:dyDescent="0.15">
      <c r="A40" s="1" t="s">
        <v>289</v>
      </c>
      <c r="B40" t="str">
        <f ca="1">IFERROR(__xludf.DUMMYFUNCTION("split(A40,"";"")"),"km-kh")</f>
        <v>km-kh</v>
      </c>
      <c r="C40" t="str">
        <f ca="1">IFERROR(__xludf.DUMMYFUNCTION("""COMPUTED_VALUE"""),"Cambodia")</f>
        <v>Cambodia</v>
      </c>
      <c r="D40" t="str">
        <f ca="1">IFERROR(__xludf.DUMMYFUNCTION("""COMPUTED_VALUE"""),"Camboja")</f>
        <v>Camboja</v>
      </c>
    </row>
    <row r="41" spans="1:4" ht="15.75" customHeight="1" x14ac:dyDescent="0.15">
      <c r="A41" s="1" t="s">
        <v>290</v>
      </c>
      <c r="B41" t="str">
        <f ca="1">IFERROR(__xludf.DUMMYFUNCTION("split(A41,"";"")"),"fr-ca")</f>
        <v>fr-ca</v>
      </c>
      <c r="C41" t="str">
        <f ca="1">IFERROR(__xludf.DUMMYFUNCTION("""COMPUTED_VALUE"""),"Canada - French")</f>
        <v>Canada - French</v>
      </c>
      <c r="D41" t="str">
        <f ca="1">IFERROR(__xludf.DUMMYFUNCTION("""COMPUTED_VALUE"""),"Canadá - Francês")</f>
        <v>Canadá - Francês</v>
      </c>
    </row>
    <row r="42" spans="1:4" ht="15.75" customHeight="1" x14ac:dyDescent="0.15">
      <c r="A42" s="1" t="s">
        <v>291</v>
      </c>
      <c r="B42" t="str">
        <f ca="1">IFERROR(__xludf.DUMMYFUNCTION("split(A42,"";"")"),"en-ca")</f>
        <v>en-ca</v>
      </c>
      <c r="C42" t="str">
        <f ca="1">IFERROR(__xludf.DUMMYFUNCTION("""COMPUTED_VALUE"""),"Canada - English")</f>
        <v>Canada - English</v>
      </c>
      <c r="D42" t="str">
        <f ca="1">IFERROR(__xludf.DUMMYFUNCTION("""COMPUTED_VALUE"""),"Canadá - Inglês")</f>
        <v>Canadá - Inglês</v>
      </c>
    </row>
    <row r="43" spans="1:4" ht="15.75" customHeight="1" x14ac:dyDescent="0.15">
      <c r="A43" s="1" t="s">
        <v>292</v>
      </c>
      <c r="B43" t="str">
        <f ca="1">IFERROR(__xludf.DUMMYFUNCTION("split(A43,"";"")"),"en-qa")</f>
        <v>en-qa</v>
      </c>
      <c r="C43" t="str">
        <f ca="1">IFERROR(__xludf.DUMMYFUNCTION("""COMPUTED_VALUE"""),"Qatar")</f>
        <v>Qatar</v>
      </c>
      <c r="D43" t="s">
        <v>293</v>
      </c>
    </row>
    <row r="44" spans="1:4" ht="15.75" customHeight="1" x14ac:dyDescent="0.15">
      <c r="A44" s="1" t="s">
        <v>294</v>
      </c>
      <c r="B44" t="str">
        <f ca="1">IFERROR(__xludf.DUMMYFUNCTION("split(A44,"";"")"),"kk-kz")</f>
        <v>kk-kz</v>
      </c>
      <c r="C44" t="str">
        <f ca="1">IFERROR(__xludf.DUMMYFUNCTION("""COMPUTED_VALUE"""),"Kazakhstan")</f>
        <v>Kazakhstan</v>
      </c>
      <c r="D44" t="str">
        <f ca="1">IFERROR(__xludf.DUMMYFUNCTION("""COMPUTED_VALUE"""),"Cazaquistão")</f>
        <v>Cazaquistão</v>
      </c>
    </row>
    <row r="45" spans="1:4" ht="15.75" customHeight="1" x14ac:dyDescent="0.15">
      <c r="A45" s="1" t="s">
        <v>295</v>
      </c>
      <c r="B45" t="str">
        <f ca="1">IFERROR(__xludf.DUMMYFUNCTION("split(A45,"";"")"),"en-td")</f>
        <v>en-td</v>
      </c>
      <c r="C45" t="str">
        <f ca="1">IFERROR(__xludf.DUMMYFUNCTION("""COMPUTED_VALUE"""),"Chad")</f>
        <v>Chad</v>
      </c>
      <c r="D45" t="s">
        <v>296</v>
      </c>
    </row>
    <row r="46" spans="1:4" ht="15.75" customHeight="1" x14ac:dyDescent="0.15">
      <c r="A46" s="1" t="s">
        <v>297</v>
      </c>
      <c r="B46" t="str">
        <f ca="1">IFERROR(__xludf.DUMMYFUNCTION("split(A46,"";"")"),"es-cl")</f>
        <v>es-cl</v>
      </c>
      <c r="C46" t="str">
        <f ca="1">IFERROR(__xludf.DUMMYFUNCTION("""COMPUTED_VALUE"""),"Chile")</f>
        <v>Chile</v>
      </c>
      <c r="D46" t="str">
        <f ca="1">IFERROR(__xludf.DUMMYFUNCTION("""COMPUTED_VALUE"""),"Chile")</f>
        <v>Chile</v>
      </c>
    </row>
    <row r="47" spans="1:4" ht="15.75" customHeight="1" x14ac:dyDescent="0.15">
      <c r="A47" s="1" t="s">
        <v>298</v>
      </c>
      <c r="B47" t="str">
        <f ca="1">IFERROR(__xludf.DUMMYFUNCTION("split(A47,"";"")"),"zh-cn")</f>
        <v>zh-cn</v>
      </c>
      <c r="C47" t="str">
        <f ca="1">IFERROR(__xludf.DUMMYFUNCTION("""COMPUTED_VALUE"""),"China")</f>
        <v>China</v>
      </c>
      <c r="D47" t="str">
        <f ca="1">IFERROR(__xludf.DUMMYFUNCTION("""COMPUTED_VALUE"""),"China")</f>
        <v>China</v>
      </c>
    </row>
    <row r="48" spans="1:4" ht="15.75" customHeight="1" x14ac:dyDescent="0.15">
      <c r="A48" s="1" t="s">
        <v>299</v>
      </c>
      <c r="B48" t="str">
        <f ca="1">IFERROR(__xludf.DUMMYFUNCTION("split(A48,"";"")"),"en-cy")</f>
        <v>en-cy</v>
      </c>
      <c r="C48" t="str">
        <f ca="1">IFERROR(__xludf.DUMMYFUNCTION("""COMPUTED_VALUE"""),"Cyprus")</f>
        <v>Cyprus</v>
      </c>
      <c r="D48" t="str">
        <f ca="1">IFERROR(__xludf.DUMMYFUNCTION("""COMPUTED_VALUE"""),"Chipre")</f>
        <v>Chipre</v>
      </c>
    </row>
    <row r="49" spans="1:4" ht="15.75" customHeight="1" x14ac:dyDescent="0.15">
      <c r="A49" s="1" t="s">
        <v>300</v>
      </c>
      <c r="B49" t="str">
        <f ca="1">IFERROR(__xludf.DUMMYFUNCTION("split(A49,"";"")"),"it-va")</f>
        <v>it-va</v>
      </c>
      <c r="C49" t="str">
        <f ca="1">IFERROR(__xludf.DUMMYFUNCTION("""COMPUTED_VALUE"""),"Vatican City")</f>
        <v>Vatican City</v>
      </c>
      <c r="D49" t="str">
        <f ca="1">IFERROR(__xludf.DUMMYFUNCTION("""COMPUTED_VALUE"""),"Cidade do Vaticano")</f>
        <v>Cidade do Vaticano</v>
      </c>
    </row>
    <row r="50" spans="1:4" ht="15.75" customHeight="1" x14ac:dyDescent="0.15">
      <c r="A50" s="1" t="s">
        <v>301</v>
      </c>
      <c r="B50" t="str">
        <f ca="1">IFERROR(__xludf.DUMMYFUNCTION("split(A50,"";"")"),"es-co")</f>
        <v>es-co</v>
      </c>
      <c r="C50" t="str">
        <f ca="1">IFERROR(__xludf.DUMMYFUNCTION("""COMPUTED_VALUE"""),"Colombia")</f>
        <v>Colombia</v>
      </c>
      <c r="D50" t="str">
        <f ca="1">IFERROR(__xludf.DUMMYFUNCTION("""COMPUTED_VALUE"""),"Colômbia")</f>
        <v>Colômbia</v>
      </c>
    </row>
    <row r="51" spans="1:4" ht="15.75" customHeight="1" x14ac:dyDescent="0.15">
      <c r="A51" s="1" t="s">
        <v>302</v>
      </c>
      <c r="B51" t="str">
        <f ca="1">IFERROR(__xludf.DUMMYFUNCTION("split(A51,"";"")"),"fr-km")</f>
        <v>fr-km</v>
      </c>
      <c r="C51" t="str">
        <f ca="1">IFERROR(__xludf.DUMMYFUNCTION("""COMPUTED_VALUE"""),"Comoros")</f>
        <v>Comoros</v>
      </c>
      <c r="D51" t="str">
        <f ca="1">IFERROR(__xludf.DUMMYFUNCTION("""COMPUTED_VALUE"""),"Comores")</f>
        <v>Comores</v>
      </c>
    </row>
    <row r="52" spans="1:4" ht="15.75" customHeight="1" x14ac:dyDescent="0.15">
      <c r="A52" s="1" t="s">
        <v>303</v>
      </c>
      <c r="B52" t="str">
        <f ca="1">IFERROR(__xludf.DUMMYFUNCTION("split(A52,"";"")"),"fr-cg")</f>
        <v>fr-cg</v>
      </c>
      <c r="C52" t="str">
        <f ca="1">IFERROR(__xludf.DUMMYFUNCTION("""COMPUTED_VALUE"""),"Congo")</f>
        <v>Congo</v>
      </c>
      <c r="D52" t="str">
        <f ca="1">IFERROR(__xludf.DUMMYFUNCTION("""COMPUTED_VALUE"""),"Congo")</f>
        <v>Congo</v>
      </c>
    </row>
    <row r="53" spans="1:4" ht="15.75" customHeight="1" x14ac:dyDescent="0.15">
      <c r="A53" s="1" t="s">
        <v>304</v>
      </c>
      <c r="B53" t="str">
        <f ca="1">IFERROR(__xludf.DUMMYFUNCTION("split(A53,"";"")"),"fr-cd")</f>
        <v>fr-cd</v>
      </c>
      <c r="C53" t="str">
        <f ca="1">IFERROR(__xludf.DUMMYFUNCTION("""COMPUTED_VALUE"""),"Congo (DRC)")</f>
        <v>Congo (DRC)</v>
      </c>
      <c r="D53" t="str">
        <f ca="1">IFERROR(__xludf.DUMMYFUNCTION("""COMPUTED_VALUE"""),"Congo (RDC)")</f>
        <v>Congo (RDC)</v>
      </c>
    </row>
    <row r="54" spans="1:4" ht="15.75" customHeight="1" x14ac:dyDescent="0.15">
      <c r="A54" s="1" t="s">
        <v>305</v>
      </c>
      <c r="B54" t="str">
        <f ca="1">IFERROR(__xludf.DUMMYFUNCTION("split(A54,"";"")"),"ko-kr")</f>
        <v>ko-kr</v>
      </c>
      <c r="C54" t="str">
        <f ca="1">IFERROR(__xludf.DUMMYFUNCTION("""COMPUTED_VALUE"""),"Korea")</f>
        <v>Korea</v>
      </c>
      <c r="D54" t="str">
        <f ca="1">IFERROR(__xludf.DUMMYFUNCTION("""COMPUTED_VALUE"""),"Coreia do Sul")</f>
        <v>Coreia do Sul</v>
      </c>
    </row>
    <row r="55" spans="1:4" ht="15.75" customHeight="1" x14ac:dyDescent="0.15">
      <c r="A55" s="1" t="s">
        <v>306</v>
      </c>
      <c r="B55" t="str">
        <f ca="1">IFERROR(__xludf.DUMMYFUNCTION("split(A55,"";"")"),"es-cr")</f>
        <v>es-cr</v>
      </c>
      <c r="C55" t="str">
        <f ca="1">IFERROR(__xludf.DUMMYFUNCTION("""COMPUTED_VALUE"""),"Costa Rica")</f>
        <v>Costa Rica</v>
      </c>
      <c r="D55" t="str">
        <f ca="1">IFERROR(__xludf.DUMMYFUNCTION("""COMPUTED_VALUE"""),"Costa Rica")</f>
        <v>Costa Rica</v>
      </c>
    </row>
    <row r="56" spans="1:4" ht="15.75" customHeight="1" x14ac:dyDescent="0.15">
      <c r="A56" s="1" t="s">
        <v>307</v>
      </c>
      <c r="B56" t="str">
        <f ca="1">IFERROR(__xludf.DUMMYFUNCTION("split(A56,"";"")"),"fr-ci")</f>
        <v>fr-ci</v>
      </c>
      <c r="C56" t="str">
        <f ca="1">IFERROR(__xludf.DUMMYFUNCTION("""COMPUTED_VALUE"""),"Côte d'Ivoire")</f>
        <v>Côte d'Ivoire</v>
      </c>
      <c r="D56" t="str">
        <f ca="1">IFERROR(__xludf.DUMMYFUNCTION("""COMPUTED_VALUE"""),"Côte d'Ivoire")</f>
        <v>Côte d'Ivoire</v>
      </c>
    </row>
    <row r="57" spans="1:4" ht="15.75" customHeight="1" x14ac:dyDescent="0.15">
      <c r="A57" s="1" t="s">
        <v>308</v>
      </c>
      <c r="B57" t="str">
        <f ca="1">IFERROR(__xludf.DUMMYFUNCTION("split(A57,"";"")"),"hr-hr")</f>
        <v>hr-hr</v>
      </c>
      <c r="C57" t="str">
        <f ca="1">IFERROR(__xludf.DUMMYFUNCTION("""COMPUTED_VALUE"""),"Croatia")</f>
        <v>Croatia</v>
      </c>
      <c r="D57" t="str">
        <f ca="1">IFERROR(__xludf.DUMMYFUNCTION("""COMPUTED_VALUE"""),"Croácia")</f>
        <v>Croácia</v>
      </c>
    </row>
    <row r="58" spans="1:4" ht="15.75" customHeight="1" x14ac:dyDescent="0.15">
      <c r="A58" s="1" t="s">
        <v>309</v>
      </c>
      <c r="B58" t="str">
        <f ca="1">IFERROR(__xludf.DUMMYFUNCTION("split(A58,"";"")"),"nl-cw")</f>
        <v>nl-cw</v>
      </c>
      <c r="C58" t="str">
        <f ca="1">IFERROR(__xludf.DUMMYFUNCTION("""COMPUTED_VALUE"""),"Curaçao")</f>
        <v>Curaçao</v>
      </c>
      <c r="D58" t="str">
        <f ca="1">IFERROR(__xludf.DUMMYFUNCTION("""COMPUTED_VALUE"""),"Curaçao")</f>
        <v>Curaçao</v>
      </c>
    </row>
    <row r="59" spans="1:4" ht="15.75" customHeight="1" x14ac:dyDescent="0.15">
      <c r="A59" s="1" t="s">
        <v>310</v>
      </c>
      <c r="B59" t="str">
        <f ca="1">IFERROR(__xludf.DUMMYFUNCTION("split(A59,"";"")"),"en-dk")</f>
        <v>en-dk</v>
      </c>
      <c r="C59" t="str">
        <f ca="1">IFERROR(__xludf.DUMMYFUNCTION("""COMPUTED_VALUE"""),"Denmark")</f>
        <v>Denmark</v>
      </c>
      <c r="D59" t="str">
        <f ca="1">IFERROR(__xludf.DUMMYFUNCTION("""COMPUTED_VALUE"""),"Dinamarca")</f>
        <v>Dinamarca</v>
      </c>
    </row>
    <row r="60" spans="1:4" ht="15.75" customHeight="1" x14ac:dyDescent="0.15">
      <c r="A60" s="1" t="s">
        <v>311</v>
      </c>
      <c r="B60" t="str">
        <f ca="1">IFERROR(__xludf.DUMMYFUNCTION("split(A60,"";"")"),"en-dj")</f>
        <v>en-dj</v>
      </c>
      <c r="C60" t="str">
        <f ca="1">IFERROR(__xludf.DUMMYFUNCTION("""COMPUTED_VALUE"""),"Djibouti")</f>
        <v>Djibouti</v>
      </c>
      <c r="D60" t="s">
        <v>312</v>
      </c>
    </row>
    <row r="61" spans="1:4" ht="15.75" customHeight="1" x14ac:dyDescent="0.15">
      <c r="A61" s="1" t="s">
        <v>313</v>
      </c>
      <c r="B61" t="str">
        <f ca="1">IFERROR(__xludf.DUMMYFUNCTION("split(A61,"";"")"),"en-dm")</f>
        <v>en-dm</v>
      </c>
      <c r="C61" t="str">
        <f ca="1">IFERROR(__xludf.DUMMYFUNCTION("""COMPUTED_VALUE"""),"Dominica")</f>
        <v>Dominica</v>
      </c>
      <c r="D61" t="str">
        <f ca="1">IFERROR(__xludf.DUMMYFUNCTION("""COMPUTED_VALUE"""),"Dominica")</f>
        <v>Dominica</v>
      </c>
    </row>
    <row r="62" spans="1:4" ht="15.75" customHeight="1" x14ac:dyDescent="0.15">
      <c r="A62" s="1" t="s">
        <v>314</v>
      </c>
      <c r="B62" t="str">
        <f ca="1">IFERROR(__xludf.DUMMYFUNCTION("split(A62,"";"")"),"en-eg")</f>
        <v>en-eg</v>
      </c>
      <c r="C62" t="str">
        <f ca="1">IFERROR(__xludf.DUMMYFUNCTION("""COMPUTED_VALUE"""),"Egypt")</f>
        <v>Egypt</v>
      </c>
      <c r="D62" t="s">
        <v>315</v>
      </c>
    </row>
    <row r="63" spans="1:4" ht="15.75" customHeight="1" x14ac:dyDescent="0.15">
      <c r="A63" s="1" t="s">
        <v>316</v>
      </c>
      <c r="B63" t="str">
        <f ca="1">IFERROR(__xludf.DUMMYFUNCTION("split(A63,"";"")"),"es-sv")</f>
        <v>es-sv</v>
      </c>
      <c r="C63" t="str">
        <f ca="1">IFERROR(__xludf.DUMMYFUNCTION("""COMPUTED_VALUE"""),"El Salvador")</f>
        <v>El Salvador</v>
      </c>
      <c r="D63" t="str">
        <f ca="1">IFERROR(__xludf.DUMMYFUNCTION("""COMPUTED_VALUE"""),"El Salvador")</f>
        <v>El Salvador</v>
      </c>
    </row>
    <row r="64" spans="1:4" ht="15.75" customHeight="1" x14ac:dyDescent="0.15">
      <c r="A64" s="1" t="s">
        <v>317</v>
      </c>
      <c r="B64" t="str">
        <f ca="1">IFERROR(__xludf.DUMMYFUNCTION("split(A64,"";"")"),"en-ae")</f>
        <v>en-ae</v>
      </c>
      <c r="C64" t="str">
        <f ca="1">IFERROR(__xludf.DUMMYFUNCTION("""COMPUTED_VALUE"""),"United Arab Emirates")</f>
        <v>United Arab Emirates</v>
      </c>
      <c r="D64" t="s">
        <v>318</v>
      </c>
    </row>
    <row r="65" spans="1:4" ht="15.75" customHeight="1" x14ac:dyDescent="0.15">
      <c r="A65" s="1" t="s">
        <v>319</v>
      </c>
      <c r="B65" t="str">
        <f ca="1">IFERROR(__xludf.DUMMYFUNCTION("split(A65,"";"")"),"es-ec")</f>
        <v>es-ec</v>
      </c>
      <c r="C65" t="str">
        <f ca="1">IFERROR(__xludf.DUMMYFUNCTION("""COMPUTED_VALUE"""),"Ecuador")</f>
        <v>Ecuador</v>
      </c>
      <c r="D65" t="str">
        <f ca="1">IFERROR(__xludf.DUMMYFUNCTION("""COMPUTED_VALUE"""),"Equador")</f>
        <v>Equador</v>
      </c>
    </row>
    <row r="66" spans="1:4" ht="15.75" customHeight="1" x14ac:dyDescent="0.15">
      <c r="A66" s="1" t="s">
        <v>320</v>
      </c>
      <c r="B66" t="str">
        <f ca="1">IFERROR(__xludf.DUMMYFUNCTION("split(A66,"";"")"),"en-er")</f>
        <v>en-er</v>
      </c>
      <c r="C66" t="str">
        <f ca="1">IFERROR(__xludf.DUMMYFUNCTION("""COMPUTED_VALUE"""),"Eritrea")</f>
        <v>Eritrea</v>
      </c>
      <c r="D66" t="str">
        <f ca="1">IFERROR(__xludf.DUMMYFUNCTION("""COMPUTED_VALUE"""),"Eritreia")</f>
        <v>Eritreia</v>
      </c>
    </row>
    <row r="67" spans="1:4" ht="15.75" customHeight="1" x14ac:dyDescent="0.15">
      <c r="A67" s="1" t="s">
        <v>321</v>
      </c>
      <c r="B67" t="str">
        <f ca="1">IFERROR(__xludf.DUMMYFUNCTION("split(A67,"";"")"),"en-sk")</f>
        <v>en-sk</v>
      </c>
      <c r="C67" t="str">
        <f ca="1">IFERROR(__xludf.DUMMYFUNCTION("""COMPUTED_VALUE"""),"Slovakia")</f>
        <v>Slovakia</v>
      </c>
      <c r="D67" t="s">
        <v>322</v>
      </c>
    </row>
    <row r="68" spans="1:4" ht="15.75" customHeight="1" x14ac:dyDescent="0.15">
      <c r="A68" s="1" t="s">
        <v>323</v>
      </c>
      <c r="B68" t="str">
        <f ca="1">IFERROR(__xludf.DUMMYFUNCTION("split(A68,"";"")"),"sl-si")</f>
        <v>sl-si</v>
      </c>
      <c r="C68" t="str">
        <f ca="1">IFERROR(__xludf.DUMMYFUNCTION("""COMPUTED_VALUE"""),"Slovenia")</f>
        <v>Slovenia</v>
      </c>
      <c r="D68" t="str">
        <f ca="1">IFERROR(__xludf.DUMMYFUNCTION("""COMPUTED_VALUE"""),"Eslovênia")</f>
        <v>Eslovênia</v>
      </c>
    </row>
    <row r="69" spans="1:4" ht="15.75" customHeight="1" x14ac:dyDescent="0.15">
      <c r="A69" s="1" t="s">
        <v>324</v>
      </c>
      <c r="B69" t="str">
        <f ca="1">IFERROR(__xludf.DUMMYFUNCTION("split(A69,"";"")"),"es-es")</f>
        <v>es-es</v>
      </c>
      <c r="C69" t="str">
        <f ca="1">IFERROR(__xludf.DUMMYFUNCTION("""COMPUTED_VALUE"""),"Spain")</f>
        <v>Spain</v>
      </c>
      <c r="D69" t="str">
        <f ca="1">IFERROR(__xludf.DUMMYFUNCTION("""COMPUTED_VALUE"""),"Espanha")</f>
        <v>Espanha</v>
      </c>
    </row>
    <row r="70" spans="1:4" ht="15.75" customHeight="1" x14ac:dyDescent="0.15">
      <c r="A70" s="1" t="s">
        <v>325</v>
      </c>
      <c r="B70" t="str">
        <f ca="1">IFERROR(__xludf.DUMMYFUNCTION("split(A70,"";"")"),"en-sz")</f>
        <v>en-sz</v>
      </c>
      <c r="C70" t="str">
        <f ca="1">IFERROR(__xludf.DUMMYFUNCTION("""COMPUTED_VALUE"""),"Eswatini")</f>
        <v>Eswatini</v>
      </c>
      <c r="D70" t="str">
        <f ca="1">IFERROR(__xludf.DUMMYFUNCTION("""COMPUTED_VALUE"""),"Essuatíni")</f>
        <v>Essuatíni</v>
      </c>
    </row>
    <row r="71" spans="1:4" ht="15.75" customHeight="1" x14ac:dyDescent="0.15">
      <c r="A71" s="1" t="s">
        <v>326</v>
      </c>
      <c r="B71" t="str">
        <f ca="1">IFERROR(__xludf.DUMMYFUNCTION("split(A71,"";"")"),"es-us")</f>
        <v>es-us</v>
      </c>
      <c r="C71" t="str">
        <f ca="1">IFERROR(__xludf.DUMMYFUNCTION("""COMPUTED_VALUE"""),"United States - Spanish")</f>
        <v>United States - Spanish</v>
      </c>
      <c r="D71" t="str">
        <f ca="1">IFERROR(__xludf.DUMMYFUNCTION("""COMPUTED_VALUE"""),"Estados Unidos - Espanhol")</f>
        <v>Estados Unidos - Espanhol</v>
      </c>
    </row>
    <row r="72" spans="1:4" ht="15.75" customHeight="1" x14ac:dyDescent="0.15">
      <c r="A72" s="1" t="s">
        <v>327</v>
      </c>
      <c r="B72" t="str">
        <f ca="1">IFERROR(__xludf.DUMMYFUNCTION("split(A72,"";"")"),"en-us")</f>
        <v>en-us</v>
      </c>
      <c r="C72" t="str">
        <f ca="1">IFERROR(__xludf.DUMMYFUNCTION("""COMPUTED_VALUE"""),"United States - English")</f>
        <v>United States - English</v>
      </c>
      <c r="D72" t="str">
        <f ca="1">IFERROR(__xludf.DUMMYFUNCTION("""COMPUTED_VALUE"""),"Estados Unidos - Inglês")</f>
        <v>Estados Unidos - Inglês</v>
      </c>
    </row>
    <row r="73" spans="1:4" ht="15.75" customHeight="1" x14ac:dyDescent="0.15">
      <c r="A73" s="1" t="s">
        <v>328</v>
      </c>
      <c r="B73" t="str">
        <f ca="1">IFERROR(__xludf.DUMMYFUNCTION("split(A73,"";"")"),"et-ee")</f>
        <v>et-ee</v>
      </c>
      <c r="C73" t="str">
        <f ca="1">IFERROR(__xludf.DUMMYFUNCTION("""COMPUTED_VALUE"""),"Estonia")</f>
        <v>Estonia</v>
      </c>
      <c r="D73" t="str">
        <f ca="1">IFERROR(__xludf.DUMMYFUNCTION("""COMPUTED_VALUE"""),"Estônia")</f>
        <v>Estônia</v>
      </c>
    </row>
    <row r="74" spans="1:4" ht="15.75" customHeight="1" x14ac:dyDescent="0.15">
      <c r="A74" s="1" t="s">
        <v>329</v>
      </c>
      <c r="B74" t="str">
        <f ca="1">IFERROR(__xludf.DUMMYFUNCTION("split(A74,"";"")"),"am-et")</f>
        <v>am-et</v>
      </c>
      <c r="C74" t="str">
        <f ca="1">IFERROR(__xludf.DUMMYFUNCTION("""COMPUTED_VALUE"""),"Ethiopia")</f>
        <v>Ethiopia</v>
      </c>
      <c r="D74" t="str">
        <f ca="1">IFERROR(__xludf.DUMMYFUNCTION("""COMPUTED_VALUE"""),"Etiópia")</f>
        <v>Etiópia</v>
      </c>
    </row>
    <row r="75" spans="1:4" ht="15.75" customHeight="1" x14ac:dyDescent="0.15">
      <c r="A75" s="1" t="s">
        <v>330</v>
      </c>
      <c r="B75" t="str">
        <f ca="1">IFERROR(__xludf.DUMMYFUNCTION("split(A75,"";"")"),"en-fj")</f>
        <v>en-fj</v>
      </c>
      <c r="C75" t="str">
        <f ca="1">IFERROR(__xludf.DUMMYFUNCTION("""COMPUTED_VALUE"""),"Fiji")</f>
        <v>Fiji</v>
      </c>
      <c r="D75" t="str">
        <f ca="1">IFERROR(__xludf.DUMMYFUNCTION("""COMPUTED_VALUE"""),"Fiji")</f>
        <v>Fiji</v>
      </c>
    </row>
    <row r="76" spans="1:4" ht="15.75" customHeight="1" x14ac:dyDescent="0.15">
      <c r="A76" s="1" t="s">
        <v>331</v>
      </c>
      <c r="B76" t="str">
        <f ca="1">IFERROR(__xludf.DUMMYFUNCTION("split(A76,"";"")"),"en-ph")</f>
        <v>en-ph</v>
      </c>
      <c r="C76" t="str">
        <f ca="1">IFERROR(__xludf.DUMMYFUNCTION("""COMPUTED_VALUE"""),"Philippines")</f>
        <v>Philippines</v>
      </c>
      <c r="D76" t="str">
        <f ca="1">IFERROR(__xludf.DUMMYFUNCTION("""COMPUTED_VALUE"""),"Filipinas")</f>
        <v>Filipinas</v>
      </c>
    </row>
    <row r="77" spans="1:4" ht="15.75" customHeight="1" x14ac:dyDescent="0.15">
      <c r="A77" s="1" t="s">
        <v>332</v>
      </c>
      <c r="B77" t="str">
        <f ca="1">IFERROR(__xludf.DUMMYFUNCTION("split(A77,"";"")"),"en-fi")</f>
        <v>en-fi</v>
      </c>
      <c r="C77" t="str">
        <f ca="1">IFERROR(__xludf.DUMMYFUNCTION("""COMPUTED_VALUE"""),"Finland")</f>
        <v>Finland</v>
      </c>
      <c r="D77" t="str">
        <f ca="1">IFERROR(__xludf.DUMMYFUNCTION("""COMPUTED_VALUE"""),"Finlândia")</f>
        <v>Finlândia</v>
      </c>
    </row>
    <row r="78" spans="1:4" ht="15.75" customHeight="1" x14ac:dyDescent="0.15">
      <c r="A78" s="1" t="s">
        <v>333</v>
      </c>
      <c r="B78" t="str">
        <f ca="1">IFERROR(__xludf.DUMMYFUNCTION("split(A78,"";"")"),"fr-fr")</f>
        <v>fr-fr</v>
      </c>
      <c r="C78" t="str">
        <f ca="1">IFERROR(__xludf.DUMMYFUNCTION("""COMPUTED_VALUE"""),"France")</f>
        <v>France</v>
      </c>
      <c r="D78" t="str">
        <f ca="1">IFERROR(__xludf.DUMMYFUNCTION("""COMPUTED_VALUE"""),"França")</f>
        <v>França</v>
      </c>
    </row>
    <row r="79" spans="1:4" ht="15.75" customHeight="1" x14ac:dyDescent="0.15">
      <c r="A79" s="1" t="s">
        <v>334</v>
      </c>
      <c r="B79" t="str">
        <f ca="1">IFERROR(__xludf.DUMMYFUNCTION("split(A79,"";"")"),"fr-ga")</f>
        <v>fr-ga</v>
      </c>
      <c r="C79" t="str">
        <f ca="1">IFERROR(__xludf.DUMMYFUNCTION("""COMPUTED_VALUE"""),"Gabon")</f>
        <v>Gabon</v>
      </c>
      <c r="D79" t="str">
        <f ca="1">IFERROR(__xludf.DUMMYFUNCTION("""COMPUTED_VALUE"""),"Gabão")</f>
        <v>Gabão</v>
      </c>
    </row>
    <row r="80" spans="1:4" ht="15.75" customHeight="1" x14ac:dyDescent="0.15">
      <c r="A80" s="1" t="s">
        <v>335</v>
      </c>
      <c r="B80" t="str">
        <f ca="1">IFERROR(__xludf.DUMMYFUNCTION("split(A80,"";"")"),"en-gm")</f>
        <v>en-gm</v>
      </c>
      <c r="C80" t="str">
        <f ca="1">IFERROR(__xludf.DUMMYFUNCTION("""COMPUTED_VALUE"""),"Gambia")</f>
        <v>Gambia</v>
      </c>
      <c r="D80" t="str">
        <f ca="1">IFERROR(__xludf.DUMMYFUNCTION("""COMPUTED_VALUE"""),"Gâmbia")</f>
        <v>Gâmbia</v>
      </c>
    </row>
    <row r="81" spans="1:4" ht="15.75" customHeight="1" x14ac:dyDescent="0.15">
      <c r="A81" s="1" t="s">
        <v>336</v>
      </c>
      <c r="B81" t="str">
        <f ca="1">IFERROR(__xludf.DUMMYFUNCTION("split(A81,"";"")"),"en-gh")</f>
        <v>en-gh</v>
      </c>
      <c r="C81" t="str">
        <f ca="1">IFERROR(__xludf.DUMMYFUNCTION("""COMPUTED_VALUE"""),"Ghana")</f>
        <v>Ghana</v>
      </c>
      <c r="D81" t="str">
        <f ca="1">IFERROR(__xludf.DUMMYFUNCTION("""COMPUTED_VALUE"""),"Gana")</f>
        <v>Gana</v>
      </c>
    </row>
    <row r="82" spans="1:4" ht="15.75" customHeight="1" x14ac:dyDescent="0.15">
      <c r="A82" s="1" t="s">
        <v>337</v>
      </c>
      <c r="B82" t="str">
        <f ca="1">IFERROR(__xludf.DUMMYFUNCTION("split(A82,"";"")"),"ka-ge")</f>
        <v>ka-ge</v>
      </c>
      <c r="C82" t="str">
        <f ca="1">IFERROR(__xludf.DUMMYFUNCTION("""COMPUTED_VALUE"""),"Georgia")</f>
        <v>Georgia</v>
      </c>
      <c r="D82" t="str">
        <f ca="1">IFERROR(__xludf.DUMMYFUNCTION("""COMPUTED_VALUE"""),"Geórgia")</f>
        <v>Geórgia</v>
      </c>
    </row>
    <row r="83" spans="1:4" ht="15.75" customHeight="1" x14ac:dyDescent="0.15">
      <c r="A83" s="1" t="s">
        <v>338</v>
      </c>
      <c r="B83" t="str">
        <f ca="1">IFERROR(__xludf.DUMMYFUNCTION("split(A83,"";"")"),"en-gi")</f>
        <v>en-gi</v>
      </c>
      <c r="C83" t="str">
        <f ca="1">IFERROR(__xludf.DUMMYFUNCTION("""COMPUTED_VALUE"""),"Gibraltar")</f>
        <v>Gibraltar</v>
      </c>
      <c r="D83" t="str">
        <f ca="1">IFERROR(__xludf.DUMMYFUNCTION("""COMPUTED_VALUE"""),"Gibraltar")</f>
        <v>Gibraltar</v>
      </c>
    </row>
    <row r="84" spans="1:4" ht="15.75" customHeight="1" x14ac:dyDescent="0.15">
      <c r="A84" s="1" t="s">
        <v>339</v>
      </c>
      <c r="B84" t="str">
        <f ca="1">IFERROR(__xludf.DUMMYFUNCTION("split(A84,"";"")"),"en-gd")</f>
        <v>en-gd</v>
      </c>
      <c r="C84" t="str">
        <f ca="1">IFERROR(__xludf.DUMMYFUNCTION("""COMPUTED_VALUE"""),"Grenada")</f>
        <v>Grenada</v>
      </c>
      <c r="D84" t="str">
        <f ca="1">IFERROR(__xludf.DUMMYFUNCTION("""COMPUTED_VALUE"""),"Granada")</f>
        <v>Granada</v>
      </c>
    </row>
    <row r="85" spans="1:4" ht="15.75" customHeight="1" x14ac:dyDescent="0.15">
      <c r="A85" s="1" t="s">
        <v>340</v>
      </c>
      <c r="B85" t="str">
        <f ca="1">IFERROR(__xludf.DUMMYFUNCTION("split(A85,"";"")"),"en-gr")</f>
        <v>en-gr</v>
      </c>
      <c r="C85" t="str">
        <f ca="1">IFERROR(__xludf.DUMMYFUNCTION("""COMPUTED_VALUE"""),"Greece")</f>
        <v>Greece</v>
      </c>
      <c r="D85" t="s">
        <v>341</v>
      </c>
    </row>
    <row r="86" spans="1:4" ht="15.75" customHeight="1" x14ac:dyDescent="0.15">
      <c r="A86" s="1" t="s">
        <v>342</v>
      </c>
      <c r="B86" t="str">
        <f ca="1">IFERROR(__xludf.DUMMYFUNCTION("split(A86,"";"")"),"kl-gl")</f>
        <v>kl-gl</v>
      </c>
      <c r="C86" t="str">
        <f ca="1">IFERROR(__xludf.DUMMYFUNCTION("""COMPUTED_VALUE"""),"Greenland")</f>
        <v>Greenland</v>
      </c>
      <c r="D86" t="str">
        <f ca="1">IFERROR(__xludf.DUMMYFUNCTION("""COMPUTED_VALUE"""),"Groenlândia")</f>
        <v>Groenlândia</v>
      </c>
    </row>
    <row r="87" spans="1:4" ht="15.75" customHeight="1" x14ac:dyDescent="0.15">
      <c r="A87" s="1" t="s">
        <v>343</v>
      </c>
      <c r="B87" t="str">
        <f ca="1">IFERROR(__xludf.DUMMYFUNCTION("split(A87,"";"")"),"fr-gp")</f>
        <v>fr-gp</v>
      </c>
      <c r="C87" t="str">
        <f ca="1">IFERROR(__xludf.DUMMYFUNCTION("""COMPUTED_VALUE"""),"Guadeloupe")</f>
        <v>Guadeloupe</v>
      </c>
      <c r="D87" t="str">
        <f ca="1">IFERROR(__xludf.DUMMYFUNCTION("""COMPUTED_VALUE"""),"Guadalupe")</f>
        <v>Guadalupe</v>
      </c>
    </row>
    <row r="88" spans="1:4" ht="15.75" customHeight="1" x14ac:dyDescent="0.15">
      <c r="A88" s="1" t="s">
        <v>344</v>
      </c>
      <c r="B88" t="str">
        <f ca="1">IFERROR(__xludf.DUMMYFUNCTION("split(A88,"";"")"),"en-gu")</f>
        <v>en-gu</v>
      </c>
      <c r="C88" t="str">
        <f ca="1">IFERROR(__xludf.DUMMYFUNCTION("""COMPUTED_VALUE"""),"Guam")</f>
        <v>Guam</v>
      </c>
      <c r="D88" t="str">
        <f ca="1">IFERROR(__xludf.DUMMYFUNCTION("""COMPUTED_VALUE"""),"Guam")</f>
        <v>Guam</v>
      </c>
    </row>
    <row r="89" spans="1:4" ht="15.75" customHeight="1" x14ac:dyDescent="0.15">
      <c r="A89" s="1" t="s">
        <v>345</v>
      </c>
      <c r="B89" t="str">
        <f ca="1">IFERROR(__xludf.DUMMYFUNCTION("split(A89,"";"")"),"es-gt")</f>
        <v>es-gt</v>
      </c>
      <c r="C89" t="str">
        <f ca="1">IFERROR(__xludf.DUMMYFUNCTION("""COMPUTED_VALUE"""),"Guatemala")</f>
        <v>Guatemala</v>
      </c>
      <c r="D89" t="str">
        <f ca="1">IFERROR(__xludf.DUMMYFUNCTION("""COMPUTED_VALUE"""),"Guatemala")</f>
        <v>Guatemala</v>
      </c>
    </row>
    <row r="90" spans="1:4" ht="15.75" customHeight="1" x14ac:dyDescent="0.15">
      <c r="A90" s="1" t="s">
        <v>346</v>
      </c>
      <c r="B90" t="str">
        <f ca="1">IFERROR(__xludf.DUMMYFUNCTION("split(A90,"";"")"),"en-gg")</f>
        <v>en-gg</v>
      </c>
      <c r="C90" t="str">
        <f ca="1">IFERROR(__xludf.DUMMYFUNCTION("""COMPUTED_VALUE"""),"Guernsey")</f>
        <v>Guernsey</v>
      </c>
      <c r="D90" t="str">
        <f ca="1">IFERROR(__xludf.DUMMYFUNCTION("""COMPUTED_VALUE"""),"Guernsey")</f>
        <v>Guernsey</v>
      </c>
    </row>
    <row r="91" spans="1:4" ht="15.75" customHeight="1" x14ac:dyDescent="0.15">
      <c r="A91" s="1" t="s">
        <v>347</v>
      </c>
      <c r="B91" t="str">
        <f ca="1">IFERROR(__xludf.DUMMYFUNCTION("split(A91,"";"")"),"en-gy")</f>
        <v>en-gy</v>
      </c>
      <c r="C91" t="str">
        <f ca="1">IFERROR(__xludf.DUMMYFUNCTION("""COMPUTED_VALUE"""),"Guyana")</f>
        <v>Guyana</v>
      </c>
      <c r="D91" t="str">
        <f ca="1">IFERROR(__xludf.DUMMYFUNCTION("""COMPUTED_VALUE"""),"Guiana")</f>
        <v>Guiana</v>
      </c>
    </row>
    <row r="92" spans="1:4" ht="15.75" customHeight="1" x14ac:dyDescent="0.15">
      <c r="A92" s="1" t="s">
        <v>348</v>
      </c>
      <c r="B92" t="str">
        <f ca="1">IFERROR(__xludf.DUMMYFUNCTION("split(A92,"";"")"),"fr-gf")</f>
        <v>fr-gf</v>
      </c>
      <c r="C92" t="str">
        <f ca="1">IFERROR(__xludf.DUMMYFUNCTION("""COMPUTED_VALUE"""),"French Guiana")</f>
        <v>French Guiana</v>
      </c>
      <c r="D92" t="str">
        <f ca="1">IFERROR(__xludf.DUMMYFUNCTION("""COMPUTED_VALUE"""),"Guiana Francesa")</f>
        <v>Guiana Francesa</v>
      </c>
    </row>
    <row r="93" spans="1:4" ht="15.75" customHeight="1" x14ac:dyDescent="0.15">
      <c r="A93" s="1" t="s">
        <v>349</v>
      </c>
      <c r="B93" t="str">
        <f ca="1">IFERROR(__xludf.DUMMYFUNCTION("split(A93,"";"")"),"en-gn")</f>
        <v>en-gn</v>
      </c>
      <c r="C93" t="str">
        <f ca="1">IFERROR(__xludf.DUMMYFUNCTION("""COMPUTED_VALUE"""),"Guinea")</f>
        <v>Guinea</v>
      </c>
      <c r="D93" t="s">
        <v>350</v>
      </c>
    </row>
    <row r="94" spans="1:4" ht="15.75" customHeight="1" x14ac:dyDescent="0.15">
      <c r="A94" s="1" t="s">
        <v>351</v>
      </c>
      <c r="B94" t="str">
        <f ca="1">IFERROR(__xludf.DUMMYFUNCTION("split(A94,"";"")"),"en-gq")</f>
        <v>en-gq</v>
      </c>
      <c r="C94" t="str">
        <f ca="1">IFERROR(__xludf.DUMMYFUNCTION("""COMPUTED_VALUE"""),"Equatorial Guinea")</f>
        <v>Equatorial Guinea</v>
      </c>
      <c r="D94" t="s">
        <v>352</v>
      </c>
    </row>
    <row r="95" spans="1:4" ht="15.75" customHeight="1" x14ac:dyDescent="0.15">
      <c r="A95" s="1" t="s">
        <v>353</v>
      </c>
      <c r="B95" t="str">
        <f ca="1">IFERROR(__xludf.DUMMYFUNCTION("split(A95,"";"")"),"en-gw")</f>
        <v>en-gw</v>
      </c>
      <c r="C95" t="str">
        <f ca="1">IFERROR(__xludf.DUMMYFUNCTION("""COMPUTED_VALUE"""),"Guinea-Bissau")</f>
        <v>Guinea-Bissau</v>
      </c>
      <c r="D95" t="s">
        <v>354</v>
      </c>
    </row>
    <row r="96" spans="1:4" ht="15.75" customHeight="1" x14ac:dyDescent="0.15">
      <c r="A96" s="1" t="s">
        <v>355</v>
      </c>
      <c r="B96" t="str">
        <f ca="1">IFERROR(__xludf.DUMMYFUNCTION("split(A96,"";"")"),"fr-ht")</f>
        <v>fr-ht</v>
      </c>
      <c r="C96" t="str">
        <f ca="1">IFERROR(__xludf.DUMMYFUNCTION("""COMPUTED_VALUE"""),"Haiti")</f>
        <v>Haiti</v>
      </c>
      <c r="D96" t="str">
        <f ca="1">IFERROR(__xludf.DUMMYFUNCTION("""COMPUTED_VALUE"""),"Haiti")</f>
        <v>Haiti</v>
      </c>
    </row>
    <row r="97" spans="1:4" ht="15.75" customHeight="1" x14ac:dyDescent="0.15">
      <c r="A97" s="1" t="s">
        <v>356</v>
      </c>
      <c r="B97" t="str">
        <f ca="1">IFERROR(__xludf.DUMMYFUNCTION("split(A97,"";"")"),"es-hn")</f>
        <v>es-hn</v>
      </c>
      <c r="C97" t="str">
        <f ca="1">IFERROR(__xludf.DUMMYFUNCTION("""COMPUTED_VALUE"""),"Honduras")</f>
        <v>Honduras</v>
      </c>
      <c r="D97" t="str">
        <f ca="1">IFERROR(__xludf.DUMMYFUNCTION("""COMPUTED_VALUE"""),"Honduras")</f>
        <v>Honduras</v>
      </c>
    </row>
    <row r="98" spans="1:4" ht="15.75" customHeight="1" x14ac:dyDescent="0.15">
      <c r="A98" s="1" t="s">
        <v>357</v>
      </c>
      <c r="B98" t="str">
        <f ca="1">IFERROR(__xludf.DUMMYFUNCTION("split(A98,"";"")"),"en-hu")</f>
        <v>en-hu</v>
      </c>
      <c r="C98" t="str">
        <f ca="1">IFERROR(__xludf.DUMMYFUNCTION("""COMPUTED_VALUE"""),"Hungary")</f>
        <v>Hungary</v>
      </c>
      <c r="D98" t="s">
        <v>358</v>
      </c>
    </row>
    <row r="99" spans="1:4" ht="15.75" customHeight="1" x14ac:dyDescent="0.15">
      <c r="A99" s="1" t="s">
        <v>359</v>
      </c>
      <c r="B99" t="str">
        <f ca="1">IFERROR(__xludf.DUMMYFUNCTION("split(A99,"";"")"),"en-ye")</f>
        <v>en-ye</v>
      </c>
      <c r="C99" t="str">
        <f ca="1">IFERROR(__xludf.DUMMYFUNCTION("""COMPUTED_VALUE"""),"Yemen")</f>
        <v>Yemen</v>
      </c>
      <c r="D99" t="s">
        <v>360</v>
      </c>
    </row>
    <row r="100" spans="1:4" ht="15.75" customHeight="1" x14ac:dyDescent="0.15">
      <c r="A100" s="1" t="s">
        <v>361</v>
      </c>
      <c r="B100" t="str">
        <f ca="1">IFERROR(__xludf.DUMMYFUNCTION("split(A100,"";"")"),"en-cx")</f>
        <v>en-cx</v>
      </c>
      <c r="C100" t="str">
        <f ca="1">IFERROR(__xludf.DUMMYFUNCTION("""COMPUTED_VALUE"""),"Christmas Island")</f>
        <v>Christmas Island</v>
      </c>
      <c r="D100" t="str">
        <f ca="1">IFERROR(__xludf.DUMMYFUNCTION("""COMPUTED_VALUE"""),"Ilha Christmas")</f>
        <v>Ilha Christmas</v>
      </c>
    </row>
    <row r="101" spans="1:4" ht="15.75" customHeight="1" x14ac:dyDescent="0.15">
      <c r="A101" s="1" t="s">
        <v>362</v>
      </c>
      <c r="B101" t="str">
        <f ca="1">IFERROR(__xludf.DUMMYFUNCTION("split(A101,"";"")"),"en-nf")</f>
        <v>en-nf</v>
      </c>
      <c r="C101" t="str">
        <f ca="1">IFERROR(__xludf.DUMMYFUNCTION("""COMPUTED_VALUE"""),"Norfolk Island")</f>
        <v>Norfolk Island</v>
      </c>
      <c r="D101" t="str">
        <f ca="1">IFERROR(__xludf.DUMMYFUNCTION("""COMPUTED_VALUE"""),"Ilha Norfolk")</f>
        <v>Ilha Norfolk</v>
      </c>
    </row>
    <row r="102" spans="1:4" ht="15.75" customHeight="1" x14ac:dyDescent="0.15">
      <c r="A102" s="1" t="s">
        <v>363</v>
      </c>
      <c r="B102" t="str">
        <f ca="1">IFERROR(__xludf.DUMMYFUNCTION("split(A102,"";"")"),"en-ky")</f>
        <v>en-ky</v>
      </c>
      <c r="C102" t="str">
        <f ca="1">IFERROR(__xludf.DUMMYFUNCTION("""COMPUTED_VALUE"""),"Cayman Islands")</f>
        <v>Cayman Islands</v>
      </c>
      <c r="D102" t="str">
        <f ca="1">IFERROR(__xludf.DUMMYFUNCTION("""COMPUTED_VALUE"""),"Ilhas Cayman")</f>
        <v>Ilhas Cayman</v>
      </c>
    </row>
    <row r="103" spans="1:4" ht="15.75" customHeight="1" x14ac:dyDescent="0.15">
      <c r="A103" s="1" t="s">
        <v>364</v>
      </c>
      <c r="B103" t="str">
        <f ca="1">IFERROR(__xludf.DUMMYFUNCTION("split(A103,"";"")"),"en-cc")</f>
        <v>en-cc</v>
      </c>
      <c r="C103" t="str">
        <f ca="1">IFERROR(__xludf.DUMMYFUNCTION("""COMPUTED_VALUE"""),"Cocos (Keeling) Islands")</f>
        <v>Cocos (Keeling) Islands</v>
      </c>
      <c r="D103" t="str">
        <f ca="1">IFERROR(__xludf.DUMMYFUNCTION("""COMPUTED_VALUE"""),"Ilhas Cocos (Keeling)")</f>
        <v>Ilhas Cocos (Keeling)</v>
      </c>
    </row>
    <row r="104" spans="1:4" ht="15.75" customHeight="1" x14ac:dyDescent="0.15">
      <c r="A104" s="1" t="s">
        <v>365</v>
      </c>
      <c r="B104" t="str">
        <f ca="1">IFERROR(__xludf.DUMMYFUNCTION("split(A104,"";"")"),"en-ck")</f>
        <v>en-ck</v>
      </c>
      <c r="C104" t="str">
        <f ca="1">IFERROR(__xludf.DUMMYFUNCTION("""COMPUTED_VALUE"""),"Cook Islands")</f>
        <v>Cook Islands</v>
      </c>
      <c r="D104" t="str">
        <f ca="1">IFERROR(__xludf.DUMMYFUNCTION("""COMPUTED_VALUE"""),"Ilhas Cook")</f>
        <v>Ilhas Cook</v>
      </c>
    </row>
    <row r="105" spans="1:4" ht="15.75" customHeight="1" x14ac:dyDescent="0.15">
      <c r="A105" s="1" t="s">
        <v>366</v>
      </c>
      <c r="B105" t="str">
        <f ca="1">IFERROR(__xludf.DUMMYFUNCTION("split(A105,"";"")"),"fo-fo")</f>
        <v>fo-fo</v>
      </c>
      <c r="C105" t="str">
        <f ca="1">IFERROR(__xludf.DUMMYFUNCTION("""COMPUTED_VALUE"""),"Faroe Islands")</f>
        <v>Faroe Islands</v>
      </c>
      <c r="D105" t="str">
        <f ca="1">IFERROR(__xludf.DUMMYFUNCTION("""COMPUTED_VALUE"""),"Ilhas Faroe")</f>
        <v>Ilhas Faroe</v>
      </c>
    </row>
    <row r="106" spans="1:4" ht="15.75" customHeight="1" x14ac:dyDescent="0.15">
      <c r="A106" s="1" t="s">
        <v>367</v>
      </c>
      <c r="B106" t="str">
        <f ca="1">IFERROR(__xludf.DUMMYFUNCTION("split(A106,"";"")"),"en-fk")</f>
        <v>en-fk</v>
      </c>
      <c r="C106" t="str">
        <f ca="1">IFERROR(__xludf.DUMMYFUNCTION("""COMPUTED_VALUE"""),"Falkland Islands")</f>
        <v>Falkland Islands</v>
      </c>
      <c r="D106" t="str">
        <f ca="1">IFERROR(__xludf.DUMMYFUNCTION("""COMPUTED_VALUE"""),"Ilhas Malvinas")</f>
        <v>Ilhas Malvinas</v>
      </c>
    </row>
    <row r="107" spans="1:4" ht="15.75" customHeight="1" x14ac:dyDescent="0.15">
      <c r="A107" s="1" t="s">
        <v>368</v>
      </c>
      <c r="B107" t="str">
        <f ca="1">IFERROR(__xludf.DUMMYFUNCTION("split(A107,"";"")"),"en-mp")</f>
        <v>en-mp</v>
      </c>
      <c r="C107" t="str">
        <f ca="1">IFERROR(__xludf.DUMMYFUNCTION("""COMPUTED_VALUE"""),"Northern Mariana Islands")</f>
        <v>Northern Mariana Islands</v>
      </c>
      <c r="D107" t="str">
        <f ca="1">IFERROR(__xludf.DUMMYFUNCTION("""COMPUTED_VALUE"""),"Ilhas Marianas do Norte")</f>
        <v>Ilhas Marianas do Norte</v>
      </c>
    </row>
    <row r="108" spans="1:4" ht="15.75" customHeight="1" x14ac:dyDescent="0.15">
      <c r="A108" s="1" t="s">
        <v>369</v>
      </c>
      <c r="B108" t="str">
        <f ca="1">IFERROR(__xludf.DUMMYFUNCTION("split(A108,"";"")"),"en-mh")</f>
        <v>en-mh</v>
      </c>
      <c r="C108" t="str">
        <f ca="1">IFERROR(__xludf.DUMMYFUNCTION("""COMPUTED_VALUE"""),"Marshall Islands")</f>
        <v>Marshall Islands</v>
      </c>
      <c r="D108" t="str">
        <f ca="1">IFERROR(__xludf.DUMMYFUNCTION("""COMPUTED_VALUE"""),"Ilhas Marshall")</f>
        <v>Ilhas Marshall</v>
      </c>
    </row>
    <row r="109" spans="1:4" ht="15.75" customHeight="1" x14ac:dyDescent="0.15">
      <c r="A109" s="1" t="s">
        <v>370</v>
      </c>
      <c r="B109" t="str">
        <f ca="1">IFERROR(__xludf.DUMMYFUNCTION("split(A109,"";"")"),"en-pn")</f>
        <v>en-pn</v>
      </c>
      <c r="C109" t="str">
        <f ca="1">IFERROR(__xludf.DUMMYFUNCTION("""COMPUTED_VALUE"""),"Pitcairn Islands")</f>
        <v>Pitcairn Islands</v>
      </c>
      <c r="D109" t="str">
        <f ca="1">IFERROR(__xludf.DUMMYFUNCTION("""COMPUTED_VALUE"""),"Ilhas Pitcairn")</f>
        <v>Ilhas Pitcairn</v>
      </c>
    </row>
    <row r="110" spans="1:4" ht="15.75" customHeight="1" x14ac:dyDescent="0.15">
      <c r="A110" s="1" t="s">
        <v>371</v>
      </c>
      <c r="B110" t="str">
        <f ca="1">IFERROR(__xludf.DUMMYFUNCTION("split(A110,"";"")"),"en-sb")</f>
        <v>en-sb</v>
      </c>
      <c r="C110" t="str">
        <f ca="1">IFERROR(__xludf.DUMMYFUNCTION("""COMPUTED_VALUE"""),"Solomon Islands")</f>
        <v>Solomon Islands</v>
      </c>
      <c r="D110" t="str">
        <f ca="1">IFERROR(__xludf.DUMMYFUNCTION("""COMPUTED_VALUE"""),"Ilhas Salomão")</f>
        <v>Ilhas Salomão</v>
      </c>
    </row>
    <row r="111" spans="1:4" ht="15.75" customHeight="1" x14ac:dyDescent="0.15">
      <c r="A111" s="1" t="s">
        <v>372</v>
      </c>
      <c r="B111" t="str">
        <f ca="1">IFERROR(__xludf.DUMMYFUNCTION("split(A111,"";"")"),"en-tc")</f>
        <v>en-tc</v>
      </c>
      <c r="C111" t="str">
        <f ca="1">IFERROR(__xludf.DUMMYFUNCTION("""COMPUTED_VALUE"""),"Turks and Caicos Islands")</f>
        <v>Turks and Caicos Islands</v>
      </c>
      <c r="D111" t="str">
        <f ca="1">IFERROR(__xludf.DUMMYFUNCTION("""COMPUTED_VALUE"""),"Ilhas Turcas e Caicos")</f>
        <v>Ilhas Turcas e Caicos</v>
      </c>
    </row>
    <row r="112" spans="1:4" ht="15.75" customHeight="1" x14ac:dyDescent="0.15">
      <c r="A112" s="1" t="s">
        <v>373</v>
      </c>
      <c r="B112" t="str">
        <f ca="1">IFERROR(__xludf.DUMMYFUNCTION("split(A112,"";"")"),"en-vi")</f>
        <v>en-vi</v>
      </c>
      <c r="C112" t="str">
        <f ca="1">IFERROR(__xludf.DUMMYFUNCTION("""COMPUTED_VALUE"""),"U.S. Virgin Islands")</f>
        <v>U.S. Virgin Islands</v>
      </c>
      <c r="D112" t="str">
        <f ca="1">IFERROR(__xludf.DUMMYFUNCTION("""COMPUTED_VALUE"""),"Ilhas Virgens Americanas")</f>
        <v>Ilhas Virgens Americanas</v>
      </c>
    </row>
    <row r="113" spans="1:4" ht="15.75" customHeight="1" x14ac:dyDescent="0.15">
      <c r="A113" s="1" t="s">
        <v>374</v>
      </c>
      <c r="B113" t="str">
        <f ca="1">IFERROR(__xludf.DUMMYFUNCTION("split(A113,"";"")"),"en-vg")</f>
        <v>en-vg</v>
      </c>
      <c r="C113" t="str">
        <f ca="1">IFERROR(__xludf.DUMMYFUNCTION("""COMPUTED_VALUE"""),"British Virgin Islands")</f>
        <v>British Virgin Islands</v>
      </c>
      <c r="D113" t="str">
        <f ca="1">IFERROR(__xludf.DUMMYFUNCTION("""COMPUTED_VALUE"""),"Ilhas Virgens Britânicas")</f>
        <v>Ilhas Virgens Britânicas</v>
      </c>
    </row>
    <row r="114" spans="1:4" ht="15.75" customHeight="1" x14ac:dyDescent="0.15">
      <c r="A114" s="1" t="s">
        <v>375</v>
      </c>
      <c r="B114" t="str">
        <f ca="1">IFERROR(__xludf.DUMMYFUNCTION("split(A114,"";"")"),"en-in")</f>
        <v>en-in</v>
      </c>
      <c r="C114" t="str">
        <f ca="1">IFERROR(__xludf.DUMMYFUNCTION("""COMPUTED_VALUE"""),"India")</f>
        <v>India</v>
      </c>
      <c r="D114" t="str">
        <f ca="1">IFERROR(__xludf.DUMMYFUNCTION("""COMPUTED_VALUE"""),"Índia")</f>
        <v>Índia</v>
      </c>
    </row>
    <row r="115" spans="1:4" ht="15.75" customHeight="1" x14ac:dyDescent="0.15">
      <c r="A115" s="1" t="s">
        <v>376</v>
      </c>
      <c r="B115" t="str">
        <f ca="1">IFERROR(__xludf.DUMMYFUNCTION("split(A115,"";"")"),"en-id")</f>
        <v>en-id</v>
      </c>
      <c r="C115" t="str">
        <f ca="1">IFERROR(__xludf.DUMMYFUNCTION("""COMPUTED_VALUE"""),"Indonesia")</f>
        <v>Indonesia</v>
      </c>
      <c r="D115" t="str">
        <f ca="1">IFERROR(__xludf.DUMMYFUNCTION("""COMPUTED_VALUE"""),"Indonésia")</f>
        <v>Indonésia</v>
      </c>
    </row>
    <row r="116" spans="1:4" ht="15.75" customHeight="1" x14ac:dyDescent="0.15">
      <c r="A116" s="1" t="s">
        <v>377</v>
      </c>
      <c r="B116" t="str">
        <f ca="1">IFERROR(__xludf.DUMMYFUNCTION("split(A116,"";"")"),"fa-ir")</f>
        <v>fa-ir</v>
      </c>
      <c r="C116" t="str">
        <f ca="1">IFERROR(__xludf.DUMMYFUNCTION("""COMPUTED_VALUE"""),"Iran")</f>
        <v>Iran</v>
      </c>
      <c r="D116" t="str">
        <f ca="1">IFERROR(__xludf.DUMMYFUNCTION("""COMPUTED_VALUE"""),"Irã")</f>
        <v>Irã</v>
      </c>
    </row>
    <row r="117" spans="1:4" ht="15.75" customHeight="1" x14ac:dyDescent="0.15">
      <c r="A117" s="1" t="s">
        <v>378</v>
      </c>
      <c r="B117" t="str">
        <f ca="1">IFERROR(__xludf.DUMMYFUNCTION("split(A117,"";"")"),"en-iq")</f>
        <v>en-iq</v>
      </c>
      <c r="C117" t="str">
        <f ca="1">IFERROR(__xludf.DUMMYFUNCTION("""COMPUTED_VALUE"""),"Iraq")</f>
        <v>Iraq</v>
      </c>
      <c r="D117" t="s">
        <v>379</v>
      </c>
    </row>
    <row r="118" spans="1:4" ht="15.75" customHeight="1" x14ac:dyDescent="0.15">
      <c r="A118" s="1" t="s">
        <v>380</v>
      </c>
      <c r="B118" t="str">
        <f ca="1">IFERROR(__xludf.DUMMYFUNCTION("split(A118,"";"")"),"en-ie")</f>
        <v>en-ie</v>
      </c>
      <c r="C118" t="str">
        <f ca="1">IFERROR(__xludf.DUMMYFUNCTION("""COMPUTED_VALUE"""),"Ireland")</f>
        <v>Ireland</v>
      </c>
      <c r="D118" t="str">
        <f ca="1">IFERROR(__xludf.DUMMYFUNCTION("""COMPUTED_VALUE"""),"Irlanda")</f>
        <v>Irlanda</v>
      </c>
    </row>
    <row r="119" spans="1:4" ht="15.75" customHeight="1" x14ac:dyDescent="0.15">
      <c r="A119" s="1" t="s">
        <v>381</v>
      </c>
      <c r="B119" t="str">
        <f ca="1">IFERROR(__xludf.DUMMYFUNCTION("split(A119,"";"")"),"is-is")</f>
        <v>is-is</v>
      </c>
      <c r="C119" t="str">
        <f ca="1">IFERROR(__xludf.DUMMYFUNCTION("""COMPUTED_VALUE"""),"Iceland")</f>
        <v>Iceland</v>
      </c>
      <c r="D119" t="str">
        <f ca="1">IFERROR(__xludf.DUMMYFUNCTION("""COMPUTED_VALUE"""),"Islândia")</f>
        <v>Islândia</v>
      </c>
    </row>
    <row r="120" spans="1:4" ht="15.75" customHeight="1" x14ac:dyDescent="0.15">
      <c r="A120" s="1" t="s">
        <v>382</v>
      </c>
      <c r="B120" t="str">
        <f ca="1">IFERROR(__xludf.DUMMYFUNCTION("split(A120,"";"")"),"en-il")</f>
        <v>en-il</v>
      </c>
      <c r="C120" t="str">
        <f ca="1">IFERROR(__xludf.DUMMYFUNCTION("""COMPUTED_VALUE"""),"Israel")</f>
        <v>Israel</v>
      </c>
      <c r="D120" t="str">
        <f ca="1">IFERROR(__xludf.DUMMYFUNCTION("""COMPUTED_VALUE"""),"Israel")</f>
        <v>Israel</v>
      </c>
    </row>
    <row r="121" spans="1:4" ht="15.75" customHeight="1" x14ac:dyDescent="0.15">
      <c r="A121" s="1" t="s">
        <v>383</v>
      </c>
      <c r="B121" t="str">
        <f ca="1">IFERROR(__xludf.DUMMYFUNCTION("split(A121,"";"")"),"it-it")</f>
        <v>it-it</v>
      </c>
      <c r="C121" t="str">
        <f ca="1">IFERROR(__xludf.DUMMYFUNCTION("""COMPUTED_VALUE"""),"Italy")</f>
        <v>Italy</v>
      </c>
      <c r="D121" t="str">
        <f ca="1">IFERROR(__xludf.DUMMYFUNCTION("""COMPUTED_VALUE"""),"Itália")</f>
        <v>Itália</v>
      </c>
    </row>
    <row r="122" spans="1:4" ht="15.75" customHeight="1" x14ac:dyDescent="0.15">
      <c r="A122" s="1" t="s">
        <v>384</v>
      </c>
      <c r="B122" t="str">
        <f ca="1">IFERROR(__xludf.DUMMYFUNCTION("split(A122,"";"")"),"en-jm")</f>
        <v>en-jm</v>
      </c>
      <c r="C122" t="str">
        <f ca="1">IFERROR(__xludf.DUMMYFUNCTION("""COMPUTED_VALUE"""),"Jamaica")</f>
        <v>Jamaica</v>
      </c>
      <c r="D122" t="str">
        <f ca="1">IFERROR(__xludf.DUMMYFUNCTION("""COMPUTED_VALUE"""),"Jamaica")</f>
        <v>Jamaica</v>
      </c>
    </row>
    <row r="123" spans="1:4" ht="15.75" customHeight="1" x14ac:dyDescent="0.15">
      <c r="A123" s="1" t="s">
        <v>385</v>
      </c>
      <c r="B123" t="str">
        <f ca="1">IFERROR(__xludf.DUMMYFUNCTION("split(A123,"";"")"),"ja-jp")</f>
        <v>ja-jp</v>
      </c>
      <c r="C123" t="str">
        <f ca="1">IFERROR(__xludf.DUMMYFUNCTION("""COMPUTED_VALUE"""),"Japan")</f>
        <v>Japan</v>
      </c>
      <c r="D123" t="str">
        <f ca="1">IFERROR(__xludf.DUMMYFUNCTION("""COMPUTED_VALUE"""),"Japão")</f>
        <v>Japão</v>
      </c>
    </row>
    <row r="124" spans="1:4" ht="15.75" customHeight="1" x14ac:dyDescent="0.15">
      <c r="A124" s="1" t="s">
        <v>386</v>
      </c>
      <c r="B124" t="str">
        <f ca="1">IFERROR(__xludf.DUMMYFUNCTION("split(A124,"";"")"),"en-je")</f>
        <v>en-je</v>
      </c>
      <c r="C124" t="str">
        <f ca="1">IFERROR(__xludf.DUMMYFUNCTION("""COMPUTED_VALUE"""),"Jersey")</f>
        <v>Jersey</v>
      </c>
      <c r="D124" t="str">
        <f ca="1">IFERROR(__xludf.DUMMYFUNCTION("""COMPUTED_VALUE"""),"Jersey")</f>
        <v>Jersey</v>
      </c>
    </row>
    <row r="125" spans="1:4" ht="15.75" customHeight="1" x14ac:dyDescent="0.15">
      <c r="A125" s="1" t="s">
        <v>387</v>
      </c>
      <c r="B125" t="str">
        <f ca="1">IFERROR(__xludf.DUMMYFUNCTION("split(A125,"";"")"),"en-jo")</f>
        <v>en-jo</v>
      </c>
      <c r="C125" t="str">
        <f ca="1">IFERROR(__xludf.DUMMYFUNCTION("""COMPUTED_VALUE"""),"Jordan")</f>
        <v>Jordan</v>
      </c>
      <c r="D125" t="s">
        <v>388</v>
      </c>
    </row>
    <row r="126" spans="1:4" ht="15.75" customHeight="1" x14ac:dyDescent="0.15">
      <c r="A126" s="1" t="s">
        <v>389</v>
      </c>
      <c r="B126" t="str">
        <f ca="1">IFERROR(__xludf.DUMMYFUNCTION("split(A126,"";"")"),"en-kw")</f>
        <v>en-kw</v>
      </c>
      <c r="C126" t="str">
        <f ca="1">IFERROR(__xludf.DUMMYFUNCTION("""COMPUTED_VALUE"""),"Kuwait")</f>
        <v>Kuwait</v>
      </c>
      <c r="D126" t="s">
        <v>390</v>
      </c>
    </row>
    <row r="127" spans="1:4" ht="15.75" customHeight="1" x14ac:dyDescent="0.15">
      <c r="A127" s="1" t="s">
        <v>391</v>
      </c>
      <c r="B127" t="str">
        <f ca="1">IFERROR(__xludf.DUMMYFUNCTION("split(A127,"";"")"),"en-la")</f>
        <v>en-la</v>
      </c>
      <c r="C127" t="str">
        <f ca="1">IFERROR(__xludf.DUMMYFUNCTION("""COMPUTED_VALUE"""),"Laos")</f>
        <v>Laos</v>
      </c>
      <c r="D127" t="s">
        <v>392</v>
      </c>
    </row>
    <row r="128" spans="1:4" ht="15.75" customHeight="1" x14ac:dyDescent="0.15">
      <c r="A128" s="1" t="s">
        <v>393</v>
      </c>
      <c r="B128" t="str">
        <f ca="1">IFERROR(__xludf.DUMMYFUNCTION("split(A128,"";"")"),"en-ls")</f>
        <v>en-ls</v>
      </c>
      <c r="C128" t="str">
        <f ca="1">IFERROR(__xludf.DUMMYFUNCTION("""COMPUTED_VALUE"""),"Lesotho")</f>
        <v>Lesotho</v>
      </c>
      <c r="D128" t="str">
        <f ca="1">IFERROR(__xludf.DUMMYFUNCTION("""COMPUTED_VALUE"""),"Lesoto")</f>
        <v>Lesoto</v>
      </c>
    </row>
    <row r="129" spans="1:4" ht="15.75" customHeight="1" x14ac:dyDescent="0.15">
      <c r="A129" s="1" t="s">
        <v>394</v>
      </c>
      <c r="B129" t="str">
        <f ca="1">IFERROR(__xludf.DUMMYFUNCTION("split(A129,"";"")"),"lv-lv")</f>
        <v>lv-lv</v>
      </c>
      <c r="C129" t="str">
        <f ca="1">IFERROR(__xludf.DUMMYFUNCTION("""COMPUTED_VALUE"""),"Latvia")</f>
        <v>Latvia</v>
      </c>
      <c r="D129" t="str">
        <f ca="1">IFERROR(__xludf.DUMMYFUNCTION("""COMPUTED_VALUE"""),"Letônia")</f>
        <v>Letônia</v>
      </c>
    </row>
    <row r="130" spans="1:4" ht="15.75" customHeight="1" x14ac:dyDescent="0.15">
      <c r="A130" s="1" t="s">
        <v>395</v>
      </c>
      <c r="B130" t="str">
        <f ca="1">IFERROR(__xludf.DUMMYFUNCTION("split(A130,"";"")"),"en-lb")</f>
        <v>en-lb</v>
      </c>
      <c r="C130" t="str">
        <f ca="1">IFERROR(__xludf.DUMMYFUNCTION("""COMPUTED_VALUE"""),"Lebanon")</f>
        <v>Lebanon</v>
      </c>
      <c r="D130" t="s">
        <v>396</v>
      </c>
    </row>
    <row r="131" spans="1:4" ht="15.75" customHeight="1" x14ac:dyDescent="0.15">
      <c r="A131" s="1" t="s">
        <v>397</v>
      </c>
      <c r="B131" t="str">
        <f ca="1">IFERROR(__xludf.DUMMYFUNCTION("split(A131,"";"")"),"en-lr")</f>
        <v>en-lr</v>
      </c>
      <c r="C131" t="str">
        <f ca="1">IFERROR(__xludf.DUMMYFUNCTION("""COMPUTED_VALUE"""),"Liberia")</f>
        <v>Liberia</v>
      </c>
      <c r="D131" t="str">
        <f ca="1">IFERROR(__xludf.DUMMYFUNCTION("""COMPUTED_VALUE"""),"Libéria")</f>
        <v>Libéria</v>
      </c>
    </row>
    <row r="132" spans="1:4" ht="15.75" customHeight="1" x14ac:dyDescent="0.15">
      <c r="A132" s="1" t="s">
        <v>398</v>
      </c>
      <c r="B132" t="str">
        <f ca="1">IFERROR(__xludf.DUMMYFUNCTION("split(A132,"";"")"),"en-ly")</f>
        <v>en-ly</v>
      </c>
      <c r="C132" t="str">
        <f ca="1">IFERROR(__xludf.DUMMYFUNCTION("""COMPUTED_VALUE"""),"Libya")</f>
        <v>Libya</v>
      </c>
      <c r="D132" t="s">
        <v>399</v>
      </c>
    </row>
    <row r="133" spans="1:4" ht="15.75" customHeight="1" x14ac:dyDescent="0.15">
      <c r="A133" s="1" t="s">
        <v>400</v>
      </c>
      <c r="B133" t="str">
        <f ca="1">IFERROR(__xludf.DUMMYFUNCTION("split(A133,"";"")"),"de-li")</f>
        <v>de-li</v>
      </c>
      <c r="C133" t="str">
        <f ca="1">IFERROR(__xludf.DUMMYFUNCTION("""COMPUTED_VALUE"""),"Liechtenstein")</f>
        <v>Liechtenstein</v>
      </c>
      <c r="D133" t="str">
        <f ca="1">IFERROR(__xludf.DUMMYFUNCTION("""COMPUTED_VALUE"""),"Liechtenstein")</f>
        <v>Liechtenstein</v>
      </c>
    </row>
    <row r="134" spans="1:4" ht="15.75" customHeight="1" x14ac:dyDescent="0.15">
      <c r="A134" s="1" t="s">
        <v>401</v>
      </c>
      <c r="B134" t="str">
        <f ca="1">IFERROR(__xludf.DUMMYFUNCTION("split(A134,"";"")"),"lt-lt")</f>
        <v>lt-lt</v>
      </c>
      <c r="C134" t="str">
        <f ca="1">IFERROR(__xludf.DUMMYFUNCTION("""COMPUTED_VALUE"""),"Lithuania")</f>
        <v>Lithuania</v>
      </c>
      <c r="D134" t="str">
        <f ca="1">IFERROR(__xludf.DUMMYFUNCTION("""COMPUTED_VALUE"""),"Lituânia")</f>
        <v>Lituânia</v>
      </c>
    </row>
    <row r="135" spans="1:4" ht="15.75" customHeight="1" x14ac:dyDescent="0.15">
      <c r="A135" s="1" t="s">
        <v>402</v>
      </c>
      <c r="B135" t="str">
        <f ca="1">IFERROR(__xludf.DUMMYFUNCTION("split(A135,"";"")"),"fr-lu")</f>
        <v>fr-lu</v>
      </c>
      <c r="C135" t="str">
        <f ca="1">IFERROR(__xludf.DUMMYFUNCTION("""COMPUTED_VALUE"""),"Luxembourg")</f>
        <v>Luxembourg</v>
      </c>
      <c r="D135" t="str">
        <f ca="1">IFERROR(__xludf.DUMMYFUNCTION("""COMPUTED_VALUE"""),"Luxemburgo")</f>
        <v>Luxemburgo</v>
      </c>
    </row>
    <row r="136" spans="1:4" ht="15.75" customHeight="1" x14ac:dyDescent="0.15">
      <c r="A136" s="1" t="s">
        <v>403</v>
      </c>
      <c r="B136" t="str">
        <f ca="1">IFERROR(__xludf.DUMMYFUNCTION("split(A136,"";"")"),"mk-mk")</f>
        <v>mk-mk</v>
      </c>
      <c r="C136" t="str">
        <f ca="1">IFERROR(__xludf.DUMMYFUNCTION("""COMPUTED_VALUE"""),"North Macedonia")</f>
        <v>North Macedonia</v>
      </c>
      <c r="D136" t="str">
        <f ca="1">IFERROR(__xludf.DUMMYFUNCTION("""COMPUTED_VALUE"""),"Macedônia do Norte")</f>
        <v>Macedônia do Norte</v>
      </c>
    </row>
    <row r="137" spans="1:4" ht="15.75" customHeight="1" x14ac:dyDescent="0.15">
      <c r="A137" s="1" t="s">
        <v>404</v>
      </c>
      <c r="B137" t="str">
        <f ca="1">IFERROR(__xludf.DUMMYFUNCTION("split(A137,"";"")"),"fr-mg")</f>
        <v>fr-mg</v>
      </c>
      <c r="C137" t="str">
        <f ca="1">IFERROR(__xludf.DUMMYFUNCTION("""COMPUTED_VALUE"""),"Madagascar")</f>
        <v>Madagascar</v>
      </c>
      <c r="D137" t="str">
        <f ca="1">IFERROR(__xludf.DUMMYFUNCTION("""COMPUTED_VALUE"""),"Madagascar")</f>
        <v>Madagascar</v>
      </c>
    </row>
    <row r="138" spans="1:4" ht="15.75" customHeight="1" x14ac:dyDescent="0.15">
      <c r="A138" s="1" t="s">
        <v>405</v>
      </c>
      <c r="B138" t="str">
        <f ca="1">IFERROR(__xludf.DUMMYFUNCTION("split(A138,"";"")"),"en-my")</f>
        <v>en-my</v>
      </c>
      <c r="C138" t="str">
        <f ca="1">IFERROR(__xludf.DUMMYFUNCTION("""COMPUTED_VALUE"""),"Malaysia")</f>
        <v>Malaysia</v>
      </c>
      <c r="D138" t="str">
        <f ca="1">IFERROR(__xludf.DUMMYFUNCTION("""COMPUTED_VALUE"""),"Malásia")</f>
        <v>Malásia</v>
      </c>
    </row>
    <row r="139" spans="1:4" ht="15.75" customHeight="1" x14ac:dyDescent="0.15">
      <c r="A139" s="1" t="s">
        <v>406</v>
      </c>
      <c r="B139" t="str">
        <f ca="1">IFERROR(__xludf.DUMMYFUNCTION("split(A139,"";"")"),"en-mw")</f>
        <v>en-mw</v>
      </c>
      <c r="C139" t="str">
        <f ca="1">IFERROR(__xludf.DUMMYFUNCTION("""COMPUTED_VALUE"""),"Malawi")</f>
        <v>Malawi</v>
      </c>
      <c r="D139" t="str">
        <f ca="1">IFERROR(__xludf.DUMMYFUNCTION("""COMPUTED_VALUE"""),"Malaui")</f>
        <v>Malaui</v>
      </c>
    </row>
    <row r="140" spans="1:4" ht="15.75" customHeight="1" x14ac:dyDescent="0.15">
      <c r="A140" s="1" t="s">
        <v>407</v>
      </c>
      <c r="B140" t="str">
        <f ca="1">IFERROR(__xludf.DUMMYFUNCTION("split(A140,"";"")"),"en-mv")</f>
        <v>en-mv</v>
      </c>
      <c r="C140" t="str">
        <f ca="1">IFERROR(__xludf.DUMMYFUNCTION("""COMPUTED_VALUE"""),"Maldives")</f>
        <v>Maldives</v>
      </c>
      <c r="D140" t="s">
        <v>408</v>
      </c>
    </row>
    <row r="141" spans="1:4" ht="15.75" customHeight="1" x14ac:dyDescent="0.15">
      <c r="A141" s="1" t="s">
        <v>409</v>
      </c>
      <c r="B141" t="str">
        <f ca="1">IFERROR(__xludf.DUMMYFUNCTION("split(A141,"";"")"),"en-ml")</f>
        <v>en-ml</v>
      </c>
      <c r="C141" t="str">
        <f ca="1">IFERROR(__xludf.DUMMYFUNCTION("""COMPUTED_VALUE"""),"Mali")</f>
        <v>Mali</v>
      </c>
      <c r="D141" t="s">
        <v>410</v>
      </c>
    </row>
    <row r="142" spans="1:4" ht="15.75" customHeight="1" x14ac:dyDescent="0.15">
      <c r="A142" s="1" t="s">
        <v>411</v>
      </c>
      <c r="B142" t="str">
        <f ca="1">IFERROR(__xludf.DUMMYFUNCTION("split(A142,"";"")"),"mt-mt")</f>
        <v>mt-mt</v>
      </c>
      <c r="C142" t="str">
        <f ca="1">IFERROR(__xludf.DUMMYFUNCTION("""COMPUTED_VALUE"""),"Malta")</f>
        <v>Malta</v>
      </c>
      <c r="D142" t="str">
        <f ca="1">IFERROR(__xludf.DUMMYFUNCTION("""COMPUTED_VALUE"""),"Malta")</f>
        <v>Malta</v>
      </c>
    </row>
    <row r="143" spans="1:4" ht="15.75" customHeight="1" x14ac:dyDescent="0.15">
      <c r="A143" s="1" t="s">
        <v>412</v>
      </c>
      <c r="B143" t="str">
        <f ca="1">IFERROR(__xludf.DUMMYFUNCTION("split(A143,"";"")"),"en-ma")</f>
        <v>en-ma</v>
      </c>
      <c r="C143" t="str">
        <f ca="1">IFERROR(__xludf.DUMMYFUNCTION("""COMPUTED_VALUE"""),"Morocco")</f>
        <v>Morocco</v>
      </c>
      <c r="D143" t="s">
        <v>413</v>
      </c>
    </row>
    <row r="144" spans="1:4" ht="15.75" customHeight="1" x14ac:dyDescent="0.15">
      <c r="A144" s="1" t="s">
        <v>414</v>
      </c>
      <c r="B144" t="str">
        <f ca="1">IFERROR(__xludf.DUMMYFUNCTION("split(A144,"";"")"),"fr-mq")</f>
        <v>fr-mq</v>
      </c>
      <c r="C144" t="str">
        <f ca="1">IFERROR(__xludf.DUMMYFUNCTION("""COMPUTED_VALUE"""),"Martinique")</f>
        <v>Martinique</v>
      </c>
      <c r="D144" t="str">
        <f ca="1">IFERROR(__xludf.DUMMYFUNCTION("""COMPUTED_VALUE"""),"Martinica")</f>
        <v>Martinica</v>
      </c>
    </row>
    <row r="145" spans="1:4" ht="15.75" customHeight="1" x14ac:dyDescent="0.15">
      <c r="A145" s="1" t="s">
        <v>415</v>
      </c>
      <c r="B145" t="str">
        <f ca="1">IFERROR(__xludf.DUMMYFUNCTION("split(A145,"";"")"),"en-mu")</f>
        <v>en-mu</v>
      </c>
      <c r="C145" t="str">
        <f ca="1">IFERROR(__xludf.DUMMYFUNCTION("""COMPUTED_VALUE"""),"Mauritius")</f>
        <v>Mauritius</v>
      </c>
      <c r="D145" t="str">
        <f ca="1">IFERROR(__xludf.DUMMYFUNCTION("""COMPUTED_VALUE"""),"Maurício")</f>
        <v>Maurício</v>
      </c>
    </row>
    <row r="146" spans="1:4" ht="15.75" customHeight="1" x14ac:dyDescent="0.15">
      <c r="A146" s="1" t="s">
        <v>416</v>
      </c>
      <c r="B146" t="str">
        <f ca="1">IFERROR(__xludf.DUMMYFUNCTION("split(A146,"";"")"),"en-mr")</f>
        <v>en-mr</v>
      </c>
      <c r="C146" t="str">
        <f ca="1">IFERROR(__xludf.DUMMYFUNCTION("""COMPUTED_VALUE"""),"Mauritania")</f>
        <v>Mauritania</v>
      </c>
      <c r="D146" t="s">
        <v>417</v>
      </c>
    </row>
    <row r="147" spans="1:4" ht="15.75" customHeight="1" x14ac:dyDescent="0.15">
      <c r="A147" s="1" t="s">
        <v>418</v>
      </c>
      <c r="B147" t="str">
        <f ca="1">IFERROR(__xludf.DUMMYFUNCTION("split(A147,"";"")"),"fr-yt")</f>
        <v>fr-yt</v>
      </c>
      <c r="C147" t="str">
        <f ca="1">IFERROR(__xludf.DUMMYFUNCTION("""COMPUTED_VALUE"""),"Mayotte")</f>
        <v>Mayotte</v>
      </c>
      <c r="D147" t="str">
        <f ca="1">IFERROR(__xludf.DUMMYFUNCTION("""COMPUTED_VALUE"""),"Mayotte")</f>
        <v>Mayotte</v>
      </c>
    </row>
    <row r="148" spans="1:4" ht="15.75" customHeight="1" x14ac:dyDescent="0.15">
      <c r="A148" s="1" t="s">
        <v>419</v>
      </c>
      <c r="B148" t="str">
        <f ca="1">IFERROR(__xludf.DUMMYFUNCTION("split(A148,"";"")"),"es-mx")</f>
        <v>es-mx</v>
      </c>
      <c r="C148" t="str">
        <f ca="1">IFERROR(__xludf.DUMMYFUNCTION("""COMPUTED_VALUE"""),"Mexico")</f>
        <v>Mexico</v>
      </c>
      <c r="D148" t="str">
        <f ca="1">IFERROR(__xludf.DUMMYFUNCTION("""COMPUTED_VALUE"""),"México")</f>
        <v>México</v>
      </c>
    </row>
    <row r="149" spans="1:4" ht="15.75" customHeight="1" x14ac:dyDescent="0.15">
      <c r="A149" s="1" t="s">
        <v>420</v>
      </c>
      <c r="B149" t="str">
        <f ca="1">IFERROR(__xludf.DUMMYFUNCTION("split(A149,"";"")"),"en-fm")</f>
        <v>en-fm</v>
      </c>
      <c r="C149" t="str">
        <f ca="1">IFERROR(__xludf.DUMMYFUNCTION("""COMPUTED_VALUE"""),"Micronesia")</f>
        <v>Micronesia</v>
      </c>
      <c r="D149" t="str">
        <f ca="1">IFERROR(__xludf.DUMMYFUNCTION("""COMPUTED_VALUE"""),"Micronésia")</f>
        <v>Micronésia</v>
      </c>
    </row>
    <row r="150" spans="1:4" ht="15.75" customHeight="1" x14ac:dyDescent="0.15">
      <c r="A150" s="1" t="s">
        <v>421</v>
      </c>
      <c r="B150" t="str">
        <f ca="1">IFERROR(__xludf.DUMMYFUNCTION("split(A150,"";"")"),"en-mz")</f>
        <v>en-mz</v>
      </c>
      <c r="C150" t="str">
        <f ca="1">IFERROR(__xludf.DUMMYFUNCTION("""COMPUTED_VALUE"""),"Mozambique")</f>
        <v>Mozambique</v>
      </c>
      <c r="D150" t="s">
        <v>422</v>
      </c>
    </row>
    <row r="151" spans="1:4" ht="15.75" customHeight="1" x14ac:dyDescent="0.15">
      <c r="A151" s="1" t="s">
        <v>423</v>
      </c>
      <c r="B151" t="str">
        <f ca="1">IFERROR(__xludf.DUMMYFUNCTION("split(A151,"";"")"),"en-md")</f>
        <v>en-md</v>
      </c>
      <c r="C151" t="str">
        <f ca="1">IFERROR(__xludf.DUMMYFUNCTION("""COMPUTED_VALUE"""),"Moldova")</f>
        <v>Moldova</v>
      </c>
      <c r="D151" t="s">
        <v>424</v>
      </c>
    </row>
    <row r="152" spans="1:4" ht="15.75" customHeight="1" x14ac:dyDescent="0.15">
      <c r="A152" s="1" t="s">
        <v>425</v>
      </c>
      <c r="B152" t="str">
        <f ca="1">IFERROR(__xludf.DUMMYFUNCTION("split(A152,"";"")"),"fr-mc")</f>
        <v>fr-mc</v>
      </c>
      <c r="C152" t="str">
        <f ca="1">IFERROR(__xludf.DUMMYFUNCTION("""COMPUTED_VALUE"""),"Monaco")</f>
        <v>Monaco</v>
      </c>
      <c r="D152" t="str">
        <f ca="1">IFERROR(__xludf.DUMMYFUNCTION("""COMPUTED_VALUE"""),"Mônaco")</f>
        <v>Mônaco</v>
      </c>
    </row>
    <row r="153" spans="1:4" ht="15.75" customHeight="1" x14ac:dyDescent="0.15">
      <c r="A153" s="1" t="s">
        <v>426</v>
      </c>
      <c r="B153" t="str">
        <f ca="1">IFERROR(__xludf.DUMMYFUNCTION("split(A153,"";"")"),"mn-mn")</f>
        <v>mn-mn</v>
      </c>
      <c r="C153" t="str">
        <f ca="1">IFERROR(__xludf.DUMMYFUNCTION("""COMPUTED_VALUE"""),"Mongolia")</f>
        <v>Mongolia</v>
      </c>
      <c r="D153" t="str">
        <f ca="1">IFERROR(__xludf.DUMMYFUNCTION("""COMPUTED_VALUE"""),"Mongólia")</f>
        <v>Mongólia</v>
      </c>
    </row>
    <row r="154" spans="1:4" ht="15.75" customHeight="1" x14ac:dyDescent="0.15">
      <c r="A154" s="1" t="s">
        <v>427</v>
      </c>
      <c r="B154" t="str">
        <f ca="1">IFERROR(__xludf.DUMMYFUNCTION("split(A154,"";"")"),"en-me")</f>
        <v>en-me</v>
      </c>
      <c r="C154" t="str">
        <f ca="1">IFERROR(__xludf.DUMMYFUNCTION("""COMPUTED_VALUE"""),"Montenegro")</f>
        <v>Montenegro</v>
      </c>
      <c r="D154" t="s">
        <v>428</v>
      </c>
    </row>
    <row r="155" spans="1:4" ht="15.75" customHeight="1" x14ac:dyDescent="0.15">
      <c r="A155" s="1" t="s">
        <v>429</v>
      </c>
      <c r="B155" t="str">
        <f ca="1">IFERROR(__xludf.DUMMYFUNCTION("split(A155,"";"")"),"en-ms")</f>
        <v>en-ms</v>
      </c>
      <c r="C155" t="str">
        <f ca="1">IFERROR(__xludf.DUMMYFUNCTION("""COMPUTED_VALUE"""),"Montserrat")</f>
        <v>Montserrat</v>
      </c>
      <c r="D155" t="str">
        <f ca="1">IFERROR(__xludf.DUMMYFUNCTION("""COMPUTED_VALUE"""),"Montserrat")</f>
        <v>Montserrat</v>
      </c>
    </row>
    <row r="156" spans="1:4" ht="15.75" customHeight="1" x14ac:dyDescent="0.15">
      <c r="A156" s="1" t="s">
        <v>430</v>
      </c>
      <c r="B156" t="str">
        <f ca="1">IFERROR(__xludf.DUMMYFUNCTION("split(A156,"";"")"),"en-mm")</f>
        <v>en-mm</v>
      </c>
      <c r="C156" t="str">
        <f ca="1">IFERROR(__xludf.DUMMYFUNCTION("""COMPUTED_VALUE"""),"Myanmar")</f>
        <v>Myanmar</v>
      </c>
      <c r="D156" t="s">
        <v>431</v>
      </c>
    </row>
    <row r="157" spans="1:4" ht="15.75" customHeight="1" x14ac:dyDescent="0.15">
      <c r="A157" s="1" t="s">
        <v>432</v>
      </c>
      <c r="B157" t="str">
        <f ca="1">IFERROR(__xludf.DUMMYFUNCTION("split(A157,"";"")"),"en-na")</f>
        <v>en-na</v>
      </c>
      <c r="C157" t="str">
        <f ca="1">IFERROR(__xludf.DUMMYFUNCTION("""COMPUTED_VALUE"""),"Namibia")</f>
        <v>Namibia</v>
      </c>
      <c r="D157" t="str">
        <f ca="1">IFERROR(__xludf.DUMMYFUNCTION("""COMPUTED_VALUE"""),"Namíbia")</f>
        <v>Namíbia</v>
      </c>
    </row>
    <row r="158" spans="1:4" ht="15.75" customHeight="1" x14ac:dyDescent="0.15">
      <c r="A158" s="1" t="s">
        <v>433</v>
      </c>
      <c r="B158" t="str">
        <f ca="1">IFERROR(__xludf.DUMMYFUNCTION("split(A158,"";"")"),"en-nr")</f>
        <v>en-nr</v>
      </c>
      <c r="C158" t="str">
        <f ca="1">IFERROR(__xludf.DUMMYFUNCTION("""COMPUTED_VALUE"""),"Nauru")</f>
        <v>Nauru</v>
      </c>
      <c r="D158" t="str">
        <f ca="1">IFERROR(__xludf.DUMMYFUNCTION("""COMPUTED_VALUE"""),"Nauru")</f>
        <v>Nauru</v>
      </c>
    </row>
    <row r="159" spans="1:4" ht="15.75" customHeight="1" x14ac:dyDescent="0.15">
      <c r="A159" s="1" t="s">
        <v>434</v>
      </c>
      <c r="B159" t="str">
        <f ca="1">IFERROR(__xludf.DUMMYFUNCTION("split(A159,"";"")"),"ne-np")</f>
        <v>ne-np</v>
      </c>
      <c r="C159" t="str">
        <f ca="1">IFERROR(__xludf.DUMMYFUNCTION("""COMPUTED_VALUE"""),"Nepal")</f>
        <v>Nepal</v>
      </c>
      <c r="D159" t="str">
        <f ca="1">IFERROR(__xludf.DUMMYFUNCTION("""COMPUTED_VALUE"""),"Nepal")</f>
        <v>Nepal</v>
      </c>
    </row>
    <row r="160" spans="1:4" ht="15.75" customHeight="1" x14ac:dyDescent="0.15">
      <c r="A160" s="1" t="s">
        <v>435</v>
      </c>
      <c r="B160" t="str">
        <f ca="1">IFERROR(__xludf.DUMMYFUNCTION("split(A160,"";"")"),"es-ni")</f>
        <v>es-ni</v>
      </c>
      <c r="C160" t="str">
        <f ca="1">IFERROR(__xludf.DUMMYFUNCTION("""COMPUTED_VALUE"""),"Nicaragua")</f>
        <v>Nicaragua</v>
      </c>
      <c r="D160" t="str">
        <f ca="1">IFERROR(__xludf.DUMMYFUNCTION("""COMPUTED_VALUE"""),"Nicarágua")</f>
        <v>Nicarágua</v>
      </c>
    </row>
    <row r="161" spans="1:4" ht="15.75" customHeight="1" x14ac:dyDescent="0.15">
      <c r="A161" s="1" t="s">
        <v>436</v>
      </c>
      <c r="B161" t="str">
        <f ca="1">IFERROR(__xludf.DUMMYFUNCTION("split(A161,"";"")"),"en-ne")</f>
        <v>en-ne</v>
      </c>
      <c r="C161" t="str">
        <f ca="1">IFERROR(__xludf.DUMMYFUNCTION("""COMPUTED_VALUE"""),"Niger")</f>
        <v>Niger</v>
      </c>
      <c r="D161" t="s">
        <v>437</v>
      </c>
    </row>
    <row r="162" spans="1:4" ht="15.75" customHeight="1" x14ac:dyDescent="0.15">
      <c r="A162" s="1" t="s">
        <v>438</v>
      </c>
      <c r="B162" t="str">
        <f ca="1">IFERROR(__xludf.DUMMYFUNCTION("split(A162,"";"")"),"en-ng")</f>
        <v>en-ng</v>
      </c>
      <c r="C162" t="str">
        <f ca="1">IFERROR(__xludf.DUMMYFUNCTION("""COMPUTED_VALUE"""),"Nigeria")</f>
        <v>Nigeria</v>
      </c>
      <c r="D162" t="str">
        <f ca="1">IFERROR(__xludf.DUMMYFUNCTION("""COMPUTED_VALUE"""),"Nigéria")</f>
        <v>Nigéria</v>
      </c>
    </row>
    <row r="163" spans="1:4" ht="15.75" customHeight="1" x14ac:dyDescent="0.15">
      <c r="A163" s="1" t="s">
        <v>439</v>
      </c>
      <c r="B163" t="str">
        <f ca="1">IFERROR(__xludf.DUMMYFUNCTION("split(A163,"";"")"),"en-nu")</f>
        <v>en-nu</v>
      </c>
      <c r="C163" t="str">
        <f ca="1">IFERROR(__xludf.DUMMYFUNCTION("""COMPUTED_VALUE"""),"Niue")</f>
        <v>Niue</v>
      </c>
      <c r="D163" t="str">
        <f ca="1">IFERROR(__xludf.DUMMYFUNCTION("""COMPUTED_VALUE"""),"Niue")</f>
        <v>Niue</v>
      </c>
    </row>
    <row r="164" spans="1:4" ht="15.75" customHeight="1" x14ac:dyDescent="0.15">
      <c r="A164" s="1" t="s">
        <v>440</v>
      </c>
      <c r="B164" t="str">
        <f ca="1">IFERROR(__xludf.DUMMYFUNCTION("split(A164,"";"")"),"nb-no")</f>
        <v>nb-no</v>
      </c>
      <c r="C164" t="str">
        <f ca="1">IFERROR(__xludf.DUMMYFUNCTION("""COMPUTED_VALUE"""),"Norway")</f>
        <v>Norway</v>
      </c>
      <c r="D164" t="str">
        <f ca="1">IFERROR(__xludf.DUMMYFUNCTION("""COMPUTED_VALUE"""),"Noruega")</f>
        <v>Noruega</v>
      </c>
    </row>
    <row r="165" spans="1:4" ht="15.75" customHeight="1" x14ac:dyDescent="0.15">
      <c r="A165" s="1" t="s">
        <v>441</v>
      </c>
      <c r="B165" t="str">
        <f ca="1">IFERROR(__xludf.DUMMYFUNCTION("split(A165,"";"")"),"fr-nc")</f>
        <v>fr-nc</v>
      </c>
      <c r="C165" t="str">
        <f ca="1">IFERROR(__xludf.DUMMYFUNCTION("""COMPUTED_VALUE"""),"New Caledonia")</f>
        <v>New Caledonia</v>
      </c>
      <c r="D165" t="str">
        <f ca="1">IFERROR(__xludf.DUMMYFUNCTION("""COMPUTED_VALUE"""),"Nova Caledônia")</f>
        <v>Nova Caledônia</v>
      </c>
    </row>
    <row r="166" spans="1:4" ht="15.75" customHeight="1" x14ac:dyDescent="0.15">
      <c r="A166" s="1" t="s">
        <v>442</v>
      </c>
      <c r="B166" t="str">
        <f ca="1">IFERROR(__xludf.DUMMYFUNCTION("split(A166,"";"")"),"en-nz")</f>
        <v>en-nz</v>
      </c>
      <c r="C166" t="str">
        <f ca="1">IFERROR(__xludf.DUMMYFUNCTION("""COMPUTED_VALUE"""),"New Zealand")</f>
        <v>New Zealand</v>
      </c>
      <c r="D166" t="str">
        <f ca="1">IFERROR(__xludf.DUMMYFUNCTION("""COMPUTED_VALUE"""),"Nova Zelândia")</f>
        <v>Nova Zelândia</v>
      </c>
    </row>
    <row r="167" spans="1:4" ht="15.75" customHeight="1" x14ac:dyDescent="0.15">
      <c r="A167" s="1" t="s">
        <v>443</v>
      </c>
      <c r="B167" t="str">
        <f ca="1">IFERROR(__xludf.DUMMYFUNCTION("split(A167,"";"")"),"en-om")</f>
        <v>en-om</v>
      </c>
      <c r="C167" t="str">
        <f ca="1">IFERROR(__xludf.DUMMYFUNCTION("""COMPUTED_VALUE"""),"Oman")</f>
        <v>Oman</v>
      </c>
      <c r="D167" t="s">
        <v>444</v>
      </c>
    </row>
    <row r="168" spans="1:4" ht="15.75" customHeight="1" x14ac:dyDescent="0.15">
      <c r="A168" s="1" t="s">
        <v>445</v>
      </c>
      <c r="B168" t="str">
        <f ca="1">IFERROR(__xludf.DUMMYFUNCTION("split(A168,"";"")"),"nl-nl")</f>
        <v>nl-nl</v>
      </c>
      <c r="C168" t="str">
        <f ca="1">IFERROR(__xludf.DUMMYFUNCTION("""COMPUTED_VALUE"""),"Netherlands")</f>
        <v>Netherlands</v>
      </c>
      <c r="D168" t="str">
        <f ca="1">IFERROR(__xludf.DUMMYFUNCTION("""COMPUTED_VALUE"""),"Países Baixos")</f>
        <v>Países Baixos</v>
      </c>
    </row>
    <row r="169" spans="1:4" ht="15.75" customHeight="1" x14ac:dyDescent="0.15">
      <c r="A169" s="1" t="s">
        <v>446</v>
      </c>
      <c r="B169" t="str">
        <f ca="1">IFERROR(__xludf.DUMMYFUNCTION("split(A169,"";"")"),"en-pw")</f>
        <v>en-pw</v>
      </c>
      <c r="C169" t="str">
        <f ca="1">IFERROR(__xludf.DUMMYFUNCTION("""COMPUTED_VALUE"""),"Palau")</f>
        <v>Palau</v>
      </c>
      <c r="D169" t="str">
        <f ca="1">IFERROR(__xludf.DUMMYFUNCTION("""COMPUTED_VALUE"""),"Palau")</f>
        <v>Palau</v>
      </c>
    </row>
    <row r="170" spans="1:4" ht="15.75" customHeight="1" x14ac:dyDescent="0.15">
      <c r="A170" s="1" t="s">
        <v>447</v>
      </c>
      <c r="B170" t="str">
        <f ca="1">IFERROR(__xludf.DUMMYFUNCTION("split(A170,"";"")"),"es-pa")</f>
        <v>es-pa</v>
      </c>
      <c r="C170" t="str">
        <f ca="1">IFERROR(__xludf.DUMMYFUNCTION("""COMPUTED_VALUE"""),"Panama")</f>
        <v>Panama</v>
      </c>
      <c r="D170" t="str">
        <f ca="1">IFERROR(__xludf.DUMMYFUNCTION("""COMPUTED_VALUE"""),"Panamá")</f>
        <v>Panamá</v>
      </c>
    </row>
    <row r="171" spans="1:4" ht="15.75" customHeight="1" x14ac:dyDescent="0.15">
      <c r="A171" s="1" t="s">
        <v>448</v>
      </c>
      <c r="B171" t="str">
        <f ca="1">IFERROR(__xludf.DUMMYFUNCTION("split(A171,"";"")"),"en-pg")</f>
        <v>en-pg</v>
      </c>
      <c r="C171" t="str">
        <f ca="1">IFERROR(__xludf.DUMMYFUNCTION("""COMPUTED_VALUE"""),"Papua New Guinea")</f>
        <v>Papua New Guinea</v>
      </c>
      <c r="D171" t="str">
        <f ca="1">IFERROR(__xludf.DUMMYFUNCTION("""COMPUTED_VALUE"""),"Papua-Nova Guiné")</f>
        <v>Papua-Nova Guiné</v>
      </c>
    </row>
    <row r="172" spans="1:4" ht="15.75" customHeight="1" x14ac:dyDescent="0.15">
      <c r="A172" s="1" t="s">
        <v>449</v>
      </c>
      <c r="B172" t="str">
        <f ca="1">IFERROR(__xludf.DUMMYFUNCTION("split(A172,"";"")"),"en-pk")</f>
        <v>en-pk</v>
      </c>
      <c r="C172" t="str">
        <f ca="1">IFERROR(__xludf.DUMMYFUNCTION("""COMPUTED_VALUE"""),"Pakistan")</f>
        <v>Pakistan</v>
      </c>
      <c r="D172" t="str">
        <f ca="1">IFERROR(__xludf.DUMMYFUNCTION("""COMPUTED_VALUE"""),"Paquistão")</f>
        <v>Paquistão</v>
      </c>
    </row>
    <row r="173" spans="1:4" ht="15.75" customHeight="1" x14ac:dyDescent="0.15">
      <c r="A173" s="1" t="s">
        <v>450</v>
      </c>
      <c r="B173" t="str">
        <f ca="1">IFERROR(__xludf.DUMMYFUNCTION("split(A173,"";"")"),"es-py")</f>
        <v>es-py</v>
      </c>
      <c r="C173" t="str">
        <f ca="1">IFERROR(__xludf.DUMMYFUNCTION("""COMPUTED_VALUE"""),"Paraguay")</f>
        <v>Paraguay</v>
      </c>
      <c r="D173" t="str">
        <f ca="1">IFERROR(__xludf.DUMMYFUNCTION("""COMPUTED_VALUE"""),"Paraguai")</f>
        <v>Paraguai</v>
      </c>
    </row>
    <row r="174" spans="1:4" ht="15.75" customHeight="1" x14ac:dyDescent="0.15">
      <c r="A174" s="1" t="s">
        <v>451</v>
      </c>
      <c r="B174" t="str">
        <f ca="1">IFERROR(__xludf.DUMMYFUNCTION("split(A174,"";"")"),"es-pe")</f>
        <v>es-pe</v>
      </c>
      <c r="C174" t="str">
        <f ca="1">IFERROR(__xludf.DUMMYFUNCTION("""COMPUTED_VALUE"""),"Peru")</f>
        <v>Peru</v>
      </c>
      <c r="D174" t="str">
        <f ca="1">IFERROR(__xludf.DUMMYFUNCTION("""COMPUTED_VALUE"""),"Peru")</f>
        <v>Peru</v>
      </c>
    </row>
    <row r="175" spans="1:4" ht="15.75" customHeight="1" x14ac:dyDescent="0.15">
      <c r="A175" s="1" t="s">
        <v>452</v>
      </c>
      <c r="B175" t="str">
        <f ca="1">IFERROR(__xludf.DUMMYFUNCTION("split(A175,"";"")"),"fr-pf")</f>
        <v>fr-pf</v>
      </c>
      <c r="C175" t="str">
        <f ca="1">IFERROR(__xludf.DUMMYFUNCTION("""COMPUTED_VALUE"""),"French Polynesia")</f>
        <v>French Polynesia</v>
      </c>
      <c r="D175" t="str">
        <f ca="1">IFERROR(__xludf.DUMMYFUNCTION("""COMPUTED_VALUE"""),"Polinésia Francesa")</f>
        <v>Polinésia Francesa</v>
      </c>
    </row>
    <row r="176" spans="1:4" ht="15.75" customHeight="1" x14ac:dyDescent="0.15">
      <c r="A176" s="1" t="s">
        <v>453</v>
      </c>
      <c r="B176" t="str">
        <f ca="1">IFERROR(__xludf.DUMMYFUNCTION("split(A176,"";"")"),"pl-pl")</f>
        <v>pl-pl</v>
      </c>
      <c r="C176" t="str">
        <f ca="1">IFERROR(__xludf.DUMMYFUNCTION("""COMPUTED_VALUE"""),"Poland")</f>
        <v>Poland</v>
      </c>
      <c r="D176" t="str">
        <f ca="1">IFERROR(__xludf.DUMMYFUNCTION("""COMPUTED_VALUE"""),"Polônia")</f>
        <v>Polônia</v>
      </c>
    </row>
    <row r="177" spans="1:4" ht="15.75" customHeight="1" x14ac:dyDescent="0.15">
      <c r="A177" s="1" t="s">
        <v>454</v>
      </c>
      <c r="B177" t="str">
        <f ca="1">IFERROR(__xludf.DUMMYFUNCTION("split(A177,"";"")"),"es-pr")</f>
        <v>es-pr</v>
      </c>
      <c r="C177" t="str">
        <f ca="1">IFERROR(__xludf.DUMMYFUNCTION("""COMPUTED_VALUE"""),"Puerto Rico")</f>
        <v>Puerto Rico</v>
      </c>
      <c r="D177" t="str">
        <f ca="1">IFERROR(__xludf.DUMMYFUNCTION("""COMPUTED_VALUE"""),"Porto Rico")</f>
        <v>Porto Rico</v>
      </c>
    </row>
    <row r="178" spans="1:4" ht="15.75" customHeight="1" x14ac:dyDescent="0.15">
      <c r="A178" s="1" t="s">
        <v>455</v>
      </c>
      <c r="B178" t="str">
        <f ca="1">IFERROR(__xludf.DUMMYFUNCTION("split(A178,"";"")"),"pt-pt")</f>
        <v>pt-pt</v>
      </c>
      <c r="C178" t="str">
        <f ca="1">IFERROR(__xludf.DUMMYFUNCTION("""COMPUTED_VALUE"""),"Portugal")</f>
        <v>Portugal</v>
      </c>
      <c r="D178" t="str">
        <f ca="1">IFERROR(__xludf.DUMMYFUNCTION("""COMPUTED_VALUE"""),"Portugal")</f>
        <v>Portugal</v>
      </c>
    </row>
    <row r="179" spans="1:4" ht="15.75" customHeight="1" x14ac:dyDescent="0.15">
      <c r="A179" s="1" t="s">
        <v>456</v>
      </c>
      <c r="B179" t="str">
        <f ca="1">IFERROR(__xludf.DUMMYFUNCTION("split(A179,"";"")"),"sw-ke")</f>
        <v>sw-ke</v>
      </c>
      <c r="C179" t="str">
        <f ca="1">IFERROR(__xludf.DUMMYFUNCTION("""COMPUTED_VALUE"""),"Kenya")</f>
        <v>Kenya</v>
      </c>
      <c r="D179" t="str">
        <f ca="1">IFERROR(__xludf.DUMMYFUNCTION("""COMPUTED_VALUE"""),"Quênia")</f>
        <v>Quênia</v>
      </c>
    </row>
    <row r="180" spans="1:4" ht="15.75" customHeight="1" x14ac:dyDescent="0.15">
      <c r="A180" s="1" t="s">
        <v>457</v>
      </c>
      <c r="B180" t="str">
        <f ca="1">IFERROR(__xludf.DUMMYFUNCTION("split(A180,"";"")"),"ky-kg")</f>
        <v>ky-kg</v>
      </c>
      <c r="C180" t="str">
        <f ca="1">IFERROR(__xludf.DUMMYFUNCTION("""COMPUTED_VALUE"""),"Kyrgyzstan")</f>
        <v>Kyrgyzstan</v>
      </c>
      <c r="D180" t="str">
        <f ca="1">IFERROR(__xludf.DUMMYFUNCTION("""COMPUTED_VALUE"""),"Quirguistão")</f>
        <v>Quirguistão</v>
      </c>
    </row>
    <row r="181" spans="1:4" ht="15.75" customHeight="1" x14ac:dyDescent="0.15">
      <c r="A181" s="1" t="s">
        <v>458</v>
      </c>
      <c r="B181" t="str">
        <f ca="1">IFERROR(__xludf.DUMMYFUNCTION("split(A181,"";"")"),"en-ki")</f>
        <v>en-ki</v>
      </c>
      <c r="C181" t="str">
        <f ca="1">IFERROR(__xludf.DUMMYFUNCTION("""COMPUTED_VALUE"""),"Kiribati")</f>
        <v>Kiribati</v>
      </c>
      <c r="D181" t="str">
        <f ca="1">IFERROR(__xludf.DUMMYFUNCTION("""COMPUTED_VALUE"""),"Quiribati")</f>
        <v>Quiribati</v>
      </c>
    </row>
    <row r="182" spans="1:4" ht="15.75" customHeight="1" x14ac:dyDescent="0.15">
      <c r="A182" s="1" t="s">
        <v>459</v>
      </c>
      <c r="B182" t="str">
        <f ca="1">IFERROR(__xludf.DUMMYFUNCTION("split(A182,"";"")"),"en-hk")</f>
        <v>en-hk</v>
      </c>
      <c r="C182" t="str">
        <f ca="1">IFERROR(__xludf.DUMMYFUNCTION("""COMPUTED_VALUE"""),"Hong Kong SAR")</f>
        <v>Hong Kong SAR</v>
      </c>
      <c r="D182" t="str">
        <f ca="1">IFERROR(__xludf.DUMMYFUNCTION("""COMPUTED_VALUE"""),"RAE de Hong Kong")</f>
        <v>RAE de Hong Kong</v>
      </c>
    </row>
    <row r="183" spans="1:4" ht="15.75" customHeight="1" x14ac:dyDescent="0.15">
      <c r="A183" s="1" t="s">
        <v>460</v>
      </c>
      <c r="B183" t="str">
        <f ca="1">IFERROR(__xludf.DUMMYFUNCTION("split(A183,"";"")"),"en-mo")</f>
        <v>en-mo</v>
      </c>
      <c r="C183" t="str">
        <f ca="1">IFERROR(__xludf.DUMMYFUNCTION("""COMPUTED_VALUE"""),"Macao SAR")</f>
        <v>Macao SAR</v>
      </c>
      <c r="D183" t="str">
        <f ca="1">IFERROR(__xludf.DUMMYFUNCTION("""COMPUTED_VALUE"""),"RAE de Macau")</f>
        <v>RAE de Macau</v>
      </c>
    </row>
    <row r="184" spans="1:4" ht="15.75" customHeight="1" x14ac:dyDescent="0.15">
      <c r="A184" s="1" t="s">
        <v>461</v>
      </c>
      <c r="B184" t="str">
        <f ca="1">IFERROR(__xludf.DUMMYFUNCTION("split(A184,"";"")"),"en-gb")</f>
        <v>en-gb</v>
      </c>
      <c r="C184" t="str">
        <f ca="1">IFERROR(__xludf.DUMMYFUNCTION("""COMPUTED_VALUE"""),"United Kingdom")</f>
        <v>United Kingdom</v>
      </c>
      <c r="D184" t="str">
        <f ca="1">IFERROR(__xludf.DUMMYFUNCTION("""COMPUTED_VALUE"""),"Reino Unido")</f>
        <v>Reino Unido</v>
      </c>
    </row>
    <row r="185" spans="1:4" ht="15.75" customHeight="1" x14ac:dyDescent="0.15">
      <c r="A185" s="1" t="s">
        <v>462</v>
      </c>
      <c r="B185" t="str">
        <f ca="1">IFERROR(__xludf.DUMMYFUNCTION("split(A185,"";"")"),"en-cf")</f>
        <v>en-cf</v>
      </c>
      <c r="C185" t="str">
        <f ca="1">IFERROR(__xludf.DUMMYFUNCTION("""COMPUTED_VALUE"""),"Central African Republic")</f>
        <v>Central African Republic</v>
      </c>
      <c r="D185" t="s">
        <v>463</v>
      </c>
    </row>
    <row r="186" spans="1:4" ht="15.75" customHeight="1" x14ac:dyDescent="0.15">
      <c r="A186" s="1" t="s">
        <v>464</v>
      </c>
      <c r="B186" t="str">
        <f ca="1">IFERROR(__xludf.DUMMYFUNCTION("split(A186,"";"")"),"es-do")</f>
        <v>es-do</v>
      </c>
      <c r="C186" t="str">
        <f ca="1">IFERROR(__xludf.DUMMYFUNCTION("""COMPUTED_VALUE"""),"Dominican Republic")</f>
        <v>Dominican Republic</v>
      </c>
      <c r="D186" t="str">
        <f ca="1">IFERROR(__xludf.DUMMYFUNCTION("""COMPUTED_VALUE"""),"República Dominicana")</f>
        <v>República Dominicana</v>
      </c>
    </row>
    <row r="187" spans="1:4" ht="15.75" customHeight="1" x14ac:dyDescent="0.15">
      <c r="A187" s="1" t="s">
        <v>465</v>
      </c>
      <c r="B187" t="str">
        <f ca="1">IFERROR(__xludf.DUMMYFUNCTION("split(A187,"";"")"),"en-re")</f>
        <v>en-re</v>
      </c>
      <c r="C187" t="str">
        <f ca="1">IFERROR(__xludf.DUMMYFUNCTION("""COMPUTED_VALUE"""),"Réunion")</f>
        <v>Réunion</v>
      </c>
      <c r="D187" t="s">
        <v>466</v>
      </c>
    </row>
    <row r="188" spans="1:4" ht="15.75" customHeight="1" x14ac:dyDescent="0.15">
      <c r="A188" s="1" t="s">
        <v>467</v>
      </c>
      <c r="B188" t="str">
        <f ca="1">IFERROR(__xludf.DUMMYFUNCTION("split(A188,"";"")"),"ro-ro")</f>
        <v>ro-ro</v>
      </c>
      <c r="C188" t="str">
        <f ca="1">IFERROR(__xludf.DUMMYFUNCTION("""COMPUTED_VALUE"""),"Romania")</f>
        <v>Romania</v>
      </c>
      <c r="D188" t="str">
        <f ca="1">IFERROR(__xludf.DUMMYFUNCTION("""COMPUTED_VALUE"""),"Romênia")</f>
        <v>Romênia</v>
      </c>
    </row>
    <row r="189" spans="1:4" ht="15.75" customHeight="1" x14ac:dyDescent="0.15">
      <c r="A189" s="1" t="s">
        <v>468</v>
      </c>
      <c r="B189" t="str">
        <f ca="1">IFERROR(__xludf.DUMMYFUNCTION("split(A189,"";"")"),"rw-rw")</f>
        <v>rw-rw</v>
      </c>
      <c r="C189" t="str">
        <f ca="1">IFERROR(__xludf.DUMMYFUNCTION("""COMPUTED_VALUE"""),"Rwanda")</f>
        <v>Rwanda</v>
      </c>
      <c r="D189" t="str">
        <f ca="1">IFERROR(__xludf.DUMMYFUNCTION("""COMPUTED_VALUE"""),"Ruanda")</f>
        <v>Ruanda</v>
      </c>
    </row>
    <row r="190" spans="1:4" ht="15.75" customHeight="1" x14ac:dyDescent="0.15">
      <c r="A190" s="1" t="s">
        <v>469</v>
      </c>
      <c r="B190" t="str">
        <f ca="1">IFERROR(__xludf.DUMMYFUNCTION("split(A190,"";"")"),"ru-ru")</f>
        <v>ru-ru</v>
      </c>
      <c r="C190" t="str">
        <f ca="1">IFERROR(__xludf.DUMMYFUNCTION("""COMPUTED_VALUE"""),"Russia")</f>
        <v>Russia</v>
      </c>
      <c r="D190" t="str">
        <f ca="1">IFERROR(__xludf.DUMMYFUNCTION("""COMPUTED_VALUE"""),"Rússia")</f>
        <v>Rússia</v>
      </c>
    </row>
    <row r="191" spans="1:4" ht="15.75" customHeight="1" x14ac:dyDescent="0.15">
      <c r="A191" s="1" t="s">
        <v>470</v>
      </c>
      <c r="B191" t="str">
        <f ca="1">IFERROR(__xludf.DUMMYFUNCTION("split(A191,"";"")"),"fr-mf")</f>
        <v>fr-mf</v>
      </c>
      <c r="C191" t="str">
        <f ca="1">IFERROR(__xludf.DUMMYFUNCTION("""COMPUTED_VALUE"""),"Saint Martin")</f>
        <v>Saint Martin</v>
      </c>
      <c r="D191" t="str">
        <f ca="1">IFERROR(__xludf.DUMMYFUNCTION("""COMPUTED_VALUE"""),"Saint Martin")</f>
        <v>Saint Martin</v>
      </c>
    </row>
    <row r="192" spans="1:4" ht="15.75" customHeight="1" x14ac:dyDescent="0.15">
      <c r="A192" s="1" t="s">
        <v>471</v>
      </c>
      <c r="B192" t="str">
        <f ca="1">IFERROR(__xludf.DUMMYFUNCTION("split(A192,"";"")"),"en-ws")</f>
        <v>en-ws</v>
      </c>
      <c r="C192" t="str">
        <f ca="1">IFERROR(__xludf.DUMMYFUNCTION("""COMPUTED_VALUE"""),"Samoa")</f>
        <v>Samoa</v>
      </c>
      <c r="D192" t="str">
        <f ca="1">IFERROR(__xludf.DUMMYFUNCTION("""COMPUTED_VALUE"""),"Samoa")</f>
        <v>Samoa</v>
      </c>
    </row>
    <row r="193" spans="1:4" ht="15.75" customHeight="1" x14ac:dyDescent="0.15">
      <c r="A193" s="1" t="s">
        <v>472</v>
      </c>
      <c r="B193" t="str">
        <f ca="1">IFERROR(__xludf.DUMMYFUNCTION("split(A193,"";"")"),"en-as")</f>
        <v>en-as</v>
      </c>
      <c r="C193" t="str">
        <f ca="1">IFERROR(__xludf.DUMMYFUNCTION("""COMPUTED_VALUE"""),"American Samoa")</f>
        <v>American Samoa</v>
      </c>
      <c r="D193" t="str">
        <f ca="1">IFERROR(__xludf.DUMMYFUNCTION("""COMPUTED_VALUE"""),"Samoa Americana")</f>
        <v>Samoa Americana</v>
      </c>
    </row>
    <row r="194" spans="1:4" ht="15.75" customHeight="1" x14ac:dyDescent="0.15">
      <c r="A194" s="1" t="s">
        <v>473</v>
      </c>
      <c r="B194" t="str">
        <f ca="1">IFERROR(__xludf.DUMMYFUNCTION("split(A194,"";"")"),"en-sm")</f>
        <v>en-sm</v>
      </c>
      <c r="C194" t="str">
        <f ca="1">IFERROR(__xludf.DUMMYFUNCTION("""COMPUTED_VALUE"""),"San Marino")</f>
        <v>San Marino</v>
      </c>
      <c r="D194" t="s">
        <v>474</v>
      </c>
    </row>
    <row r="195" spans="1:4" ht="15.75" customHeight="1" x14ac:dyDescent="0.15">
      <c r="A195" s="1" t="s">
        <v>475</v>
      </c>
      <c r="B195" t="str">
        <f ca="1">IFERROR(__xludf.DUMMYFUNCTION("split(A195,"";"")"),"en-sh")</f>
        <v>en-sh</v>
      </c>
      <c r="C195" t="str">
        <f ca="1">IFERROR(__xludf.DUMMYFUNCTION("""COMPUTED_VALUE"""),"St Helena, Ascension, Tristan da Cunha")</f>
        <v>St Helena, Ascension, Tristan da Cunha</v>
      </c>
      <c r="D195" t="str">
        <f ca="1">IFERROR(__xludf.DUMMYFUNCTION("""COMPUTED_VALUE"""),"Santa Helena, Ascensão e Tristão da Cunha")</f>
        <v>Santa Helena, Ascensão e Tristão da Cunha</v>
      </c>
    </row>
    <row r="196" spans="1:4" ht="15.75" customHeight="1" x14ac:dyDescent="0.15">
      <c r="A196" s="1" t="s">
        <v>476</v>
      </c>
      <c r="B196" t="str">
        <f ca="1">IFERROR(__xludf.DUMMYFUNCTION("split(A196,"";"")"),"en-lc")</f>
        <v>en-lc</v>
      </c>
      <c r="C196" t="str">
        <f ca="1">IFERROR(__xludf.DUMMYFUNCTION("""COMPUTED_VALUE"""),"Saint Lucia")</f>
        <v>Saint Lucia</v>
      </c>
      <c r="D196" t="str">
        <f ca="1">IFERROR(__xludf.DUMMYFUNCTION("""COMPUTED_VALUE"""),"Santa Lúcia")</f>
        <v>Santa Lúcia</v>
      </c>
    </row>
    <row r="197" spans="1:4" ht="15.75" customHeight="1" x14ac:dyDescent="0.15">
      <c r="A197" s="1" t="s">
        <v>477</v>
      </c>
      <c r="B197" t="str">
        <f ca="1">IFERROR(__xludf.DUMMYFUNCTION("split(A197,"";"")"),"fr-bl")</f>
        <v>fr-bl</v>
      </c>
      <c r="C197" t="str">
        <f ca="1">IFERROR(__xludf.DUMMYFUNCTION("""COMPUTED_VALUE"""),"Saint Barthélemy")</f>
        <v>Saint Barthélemy</v>
      </c>
      <c r="D197" t="str">
        <f ca="1">IFERROR(__xludf.DUMMYFUNCTION("""COMPUTED_VALUE"""),"São Bartolomeu")</f>
        <v>São Bartolomeu</v>
      </c>
    </row>
    <row r="198" spans="1:4" ht="15.75" customHeight="1" x14ac:dyDescent="0.15">
      <c r="A198" s="1" t="s">
        <v>478</v>
      </c>
      <c r="B198" t="str">
        <f ca="1">IFERROR(__xludf.DUMMYFUNCTION("split(A198,"";"")"),"en-kn")</f>
        <v>en-kn</v>
      </c>
      <c r="C198" t="str">
        <f ca="1">IFERROR(__xludf.DUMMYFUNCTION("""COMPUTED_VALUE"""),"Saint Kitts and Nevis")</f>
        <v>Saint Kitts and Nevis</v>
      </c>
      <c r="D198" t="str">
        <f ca="1">IFERROR(__xludf.DUMMYFUNCTION("""COMPUTED_VALUE"""),"São Cristóvão e Névis")</f>
        <v>São Cristóvão e Névis</v>
      </c>
    </row>
    <row r="199" spans="1:4" ht="15.75" customHeight="1" x14ac:dyDescent="0.15">
      <c r="A199" s="1" t="s">
        <v>479</v>
      </c>
      <c r="B199" t="str">
        <f ca="1">IFERROR(__xludf.DUMMYFUNCTION("split(A199,"";"")"),"fr-pm")</f>
        <v>fr-pm</v>
      </c>
      <c r="C199" t="str">
        <f ca="1">IFERROR(__xludf.DUMMYFUNCTION("""COMPUTED_VALUE"""),"Saint Pierre and Miquelon")</f>
        <v>Saint Pierre and Miquelon</v>
      </c>
      <c r="D199" t="str">
        <f ca="1">IFERROR(__xludf.DUMMYFUNCTION("""COMPUTED_VALUE"""),"São Pedro e Miquelão")</f>
        <v>São Pedro e Miquelão</v>
      </c>
    </row>
    <row r="200" spans="1:4" ht="15.75" customHeight="1" x14ac:dyDescent="0.15">
      <c r="A200" s="1" t="s">
        <v>480</v>
      </c>
      <c r="B200" t="str">
        <f ca="1">IFERROR(__xludf.DUMMYFUNCTION("split(A200,"";"")"),"en-st")</f>
        <v>en-st</v>
      </c>
      <c r="C200" t="str">
        <f ca="1">IFERROR(__xludf.DUMMYFUNCTION("""COMPUTED_VALUE"""),"São Tomé &amp; Príncipe")</f>
        <v>São Tomé &amp; Príncipe</v>
      </c>
      <c r="D200" t="s">
        <v>481</v>
      </c>
    </row>
    <row r="201" spans="1:4" ht="15.75" customHeight="1" x14ac:dyDescent="0.15">
      <c r="A201" s="1" t="s">
        <v>482</v>
      </c>
      <c r="B201" t="str">
        <f ca="1">IFERROR(__xludf.DUMMYFUNCTION("split(A201,"";"")"),"en-vc")</f>
        <v>en-vc</v>
      </c>
      <c r="C201" t="str">
        <f ca="1">IFERROR(__xludf.DUMMYFUNCTION("""COMPUTED_VALUE"""),"Saint Vincent and the Grenadines")</f>
        <v>Saint Vincent and the Grenadines</v>
      </c>
      <c r="D201" t="str">
        <f ca="1">IFERROR(__xludf.DUMMYFUNCTION("""COMPUTED_VALUE"""),"São Vicente e Granadinas")</f>
        <v>São Vicente e Granadinas</v>
      </c>
    </row>
    <row r="202" spans="1:4" ht="15.75" customHeight="1" x14ac:dyDescent="0.15">
      <c r="A202" s="1" t="s">
        <v>483</v>
      </c>
      <c r="B202" t="str">
        <f ca="1">IFERROR(__xludf.DUMMYFUNCTION("split(A202,"";"")"),"en-sc")</f>
        <v>en-sc</v>
      </c>
      <c r="C202" t="str">
        <f ca="1">IFERROR(__xludf.DUMMYFUNCTION("""COMPUTED_VALUE"""),"Seychelles")</f>
        <v>Seychelles</v>
      </c>
      <c r="D202" t="str">
        <f ca="1">IFERROR(__xludf.DUMMYFUNCTION("""COMPUTED_VALUE"""),"Seicheles")</f>
        <v>Seicheles</v>
      </c>
    </row>
    <row r="203" spans="1:4" ht="15.75" customHeight="1" x14ac:dyDescent="0.15">
      <c r="A203" s="1" t="s">
        <v>484</v>
      </c>
      <c r="B203" t="str">
        <f ca="1">IFERROR(__xludf.DUMMYFUNCTION("split(A203,"";"")"),"fr-sn")</f>
        <v>fr-sn</v>
      </c>
      <c r="C203" t="str">
        <f ca="1">IFERROR(__xludf.DUMMYFUNCTION("""COMPUTED_VALUE"""),"Senegal")</f>
        <v>Senegal</v>
      </c>
      <c r="D203" t="str">
        <f ca="1">IFERROR(__xludf.DUMMYFUNCTION("""COMPUTED_VALUE"""),"Senegal")</f>
        <v>Senegal</v>
      </c>
    </row>
    <row r="204" spans="1:4" ht="15.75" customHeight="1" x14ac:dyDescent="0.15">
      <c r="A204" s="1" t="s">
        <v>485</v>
      </c>
      <c r="B204" t="str">
        <f ca="1">IFERROR(__xludf.DUMMYFUNCTION("split(A204,"";"")"),"en-sl")</f>
        <v>en-sl</v>
      </c>
      <c r="C204" t="str">
        <f ca="1">IFERROR(__xludf.DUMMYFUNCTION("""COMPUTED_VALUE"""),"Sierra Leone")</f>
        <v>Sierra Leone</v>
      </c>
      <c r="D204" t="str">
        <f ca="1">IFERROR(__xludf.DUMMYFUNCTION("""COMPUTED_VALUE"""),"Serra Leoa")</f>
        <v>Serra Leoa</v>
      </c>
    </row>
    <row r="205" spans="1:4" ht="15.75" customHeight="1" x14ac:dyDescent="0.15">
      <c r="A205" s="1" t="s">
        <v>486</v>
      </c>
      <c r="B205" t="str">
        <f ca="1">IFERROR(__xludf.DUMMYFUNCTION("split(A205,"";"")"),"en-rs")</f>
        <v>en-rs</v>
      </c>
      <c r="C205" t="str">
        <f ca="1">IFERROR(__xludf.DUMMYFUNCTION("""COMPUTED_VALUE"""),"Serbia")</f>
        <v>Serbia</v>
      </c>
      <c r="D205" t="s">
        <v>487</v>
      </c>
    </row>
    <row r="206" spans="1:4" ht="15.75" customHeight="1" x14ac:dyDescent="0.15">
      <c r="A206" s="1" t="s">
        <v>488</v>
      </c>
      <c r="B206" t="str">
        <f ca="1">IFERROR(__xludf.DUMMYFUNCTION("split(A206,"";"")"),"en-sg")</f>
        <v>en-sg</v>
      </c>
      <c r="C206" t="str">
        <f ca="1">IFERROR(__xludf.DUMMYFUNCTION("""COMPUTED_VALUE"""),"Singapore")</f>
        <v>Singapore</v>
      </c>
      <c r="D206" t="str">
        <f ca="1">IFERROR(__xludf.DUMMYFUNCTION("""COMPUTED_VALUE"""),"Singapura")</f>
        <v>Singapura</v>
      </c>
    </row>
    <row r="207" spans="1:4" ht="15.75" customHeight="1" x14ac:dyDescent="0.15">
      <c r="A207" s="1" t="s">
        <v>489</v>
      </c>
      <c r="B207" t="str">
        <f ca="1">IFERROR(__xludf.DUMMYFUNCTION("split(A207,"";"")"),"nl-sx")</f>
        <v>nl-sx</v>
      </c>
      <c r="C207" t="str">
        <f ca="1">IFERROR(__xludf.DUMMYFUNCTION("""COMPUTED_VALUE"""),"Sint Maarten")</f>
        <v>Sint Maarten</v>
      </c>
      <c r="D207" t="str">
        <f ca="1">IFERROR(__xludf.DUMMYFUNCTION("""COMPUTED_VALUE"""),"Sint Maarten")</f>
        <v>Sint Maarten</v>
      </c>
    </row>
    <row r="208" spans="1:4" ht="15.75" customHeight="1" x14ac:dyDescent="0.15">
      <c r="A208" s="1" t="s">
        <v>490</v>
      </c>
      <c r="B208" t="str">
        <f ca="1">IFERROR(__xludf.DUMMYFUNCTION("split(A208,"";"")"),"en-sy")</f>
        <v>en-sy</v>
      </c>
      <c r="C208" t="str">
        <f ca="1">IFERROR(__xludf.DUMMYFUNCTION("""COMPUTED_VALUE"""),"Syria")</f>
        <v>Syria</v>
      </c>
      <c r="D208" t="s">
        <v>491</v>
      </c>
    </row>
    <row r="209" spans="1:4" ht="15.75" customHeight="1" x14ac:dyDescent="0.15">
      <c r="A209" s="1" t="s">
        <v>492</v>
      </c>
      <c r="B209" t="str">
        <f ca="1">IFERROR(__xludf.DUMMYFUNCTION("split(A209,"";"")"),"en-so")</f>
        <v>en-so</v>
      </c>
      <c r="C209" t="str">
        <f ca="1">IFERROR(__xludf.DUMMYFUNCTION("""COMPUTED_VALUE"""),"Somalia")</f>
        <v>Somalia</v>
      </c>
      <c r="D209" t="s">
        <v>493</v>
      </c>
    </row>
    <row r="210" spans="1:4" ht="15.75" customHeight="1" x14ac:dyDescent="0.15">
      <c r="A210" s="1" t="s">
        <v>494</v>
      </c>
      <c r="B210" t="str">
        <f ca="1">IFERROR(__xludf.DUMMYFUNCTION("split(A210,"";"")"),"si-lk")</f>
        <v>si-lk</v>
      </c>
      <c r="C210" t="str">
        <f ca="1">IFERROR(__xludf.DUMMYFUNCTION("""COMPUTED_VALUE"""),"Sri Lanka")</f>
        <v>Sri Lanka</v>
      </c>
      <c r="D210" t="str">
        <f ca="1">IFERROR(__xludf.DUMMYFUNCTION("""COMPUTED_VALUE"""),"Sri Lanka")</f>
        <v>Sri Lanka</v>
      </c>
    </row>
    <row r="211" spans="1:4" ht="15.75" customHeight="1" x14ac:dyDescent="0.15">
      <c r="A211" s="1" t="s">
        <v>495</v>
      </c>
      <c r="B211" t="str">
        <f ca="1">IFERROR(__xludf.DUMMYFUNCTION("split(A211,"";"")"),"en-sd")</f>
        <v>en-sd</v>
      </c>
      <c r="C211" t="str">
        <f ca="1">IFERROR(__xludf.DUMMYFUNCTION("""COMPUTED_VALUE"""),"Sudan")</f>
        <v>Sudan</v>
      </c>
      <c r="D211" t="str">
        <f ca="1">IFERROR(__xludf.DUMMYFUNCTION("""COMPUTED_VALUE"""),"Sudão")</f>
        <v>Sudão</v>
      </c>
    </row>
    <row r="212" spans="1:4" ht="15.75" customHeight="1" x14ac:dyDescent="0.15">
      <c r="A212" s="1" t="s">
        <v>496</v>
      </c>
      <c r="B212" t="str">
        <f ca="1">IFERROR(__xludf.DUMMYFUNCTION("split(A212,"";"")"),"en-ss")</f>
        <v>en-ss</v>
      </c>
      <c r="C212" t="str">
        <f ca="1">IFERROR(__xludf.DUMMYFUNCTION("""COMPUTED_VALUE"""),"South Sudan")</f>
        <v>South Sudan</v>
      </c>
      <c r="D212" t="str">
        <f ca="1">IFERROR(__xludf.DUMMYFUNCTION("""COMPUTED_VALUE"""),"Sudão do Sul")</f>
        <v>Sudão do Sul</v>
      </c>
    </row>
    <row r="213" spans="1:4" ht="15.75" customHeight="1" x14ac:dyDescent="0.15">
      <c r="A213" s="1" t="s">
        <v>497</v>
      </c>
      <c r="B213" t="str">
        <f ca="1">IFERROR(__xludf.DUMMYFUNCTION("split(A213,"";"")"),"sv-se")</f>
        <v>sv-se</v>
      </c>
      <c r="C213" t="str">
        <f ca="1">IFERROR(__xludf.DUMMYFUNCTION("""COMPUTED_VALUE"""),"Sweden")</f>
        <v>Sweden</v>
      </c>
      <c r="D213" t="str">
        <f ca="1">IFERROR(__xludf.DUMMYFUNCTION("""COMPUTED_VALUE"""),"Suécia")</f>
        <v>Suécia</v>
      </c>
    </row>
    <row r="214" spans="1:4" ht="15.75" customHeight="1" x14ac:dyDescent="0.15">
      <c r="A214" s="1" t="s">
        <v>498</v>
      </c>
      <c r="B214" t="str">
        <f ca="1">IFERROR(__xludf.DUMMYFUNCTION("split(A214,"";"")"),"de-ch")</f>
        <v>de-ch</v>
      </c>
      <c r="C214" t="str">
        <f ca="1">IFERROR(__xludf.DUMMYFUNCTION("""COMPUTED_VALUE"""),"Switzerland - German")</f>
        <v>Switzerland - German</v>
      </c>
      <c r="D214" t="str">
        <f ca="1">IFERROR(__xludf.DUMMYFUNCTION("""COMPUTED_VALUE"""),"Suíça - Alemão")</f>
        <v>Suíça - Alemão</v>
      </c>
    </row>
    <row r="215" spans="1:4" ht="15.75" customHeight="1" x14ac:dyDescent="0.15">
      <c r="A215" s="1" t="s">
        <v>499</v>
      </c>
      <c r="B215" t="str">
        <f ca="1">IFERROR(__xludf.DUMMYFUNCTION("split(A215,"";"")"),"fr-ch")</f>
        <v>fr-ch</v>
      </c>
      <c r="C215" t="str">
        <f ca="1">IFERROR(__xludf.DUMMYFUNCTION("""COMPUTED_VALUE"""),"Switzerland - French")</f>
        <v>Switzerland - French</v>
      </c>
      <c r="D215" t="str">
        <f ca="1">IFERROR(__xludf.DUMMYFUNCTION("""COMPUTED_VALUE"""),"Suíça - Francês")</f>
        <v>Suíça - Francês</v>
      </c>
    </row>
    <row r="216" spans="1:4" ht="15.75" customHeight="1" x14ac:dyDescent="0.15">
      <c r="A216" s="1" t="s">
        <v>500</v>
      </c>
      <c r="B216" t="str">
        <f ca="1">IFERROR(__xludf.DUMMYFUNCTION("split(A216,"";"")"),"en-sr")</f>
        <v>en-sr</v>
      </c>
      <c r="C216" t="str">
        <f ca="1">IFERROR(__xludf.DUMMYFUNCTION("""COMPUTED_VALUE"""),"Suriname")</f>
        <v>Suriname</v>
      </c>
      <c r="D216" t="s">
        <v>501</v>
      </c>
    </row>
    <row r="217" spans="1:4" ht="15.75" customHeight="1" x14ac:dyDescent="0.15">
      <c r="A217" s="1" t="s">
        <v>502</v>
      </c>
      <c r="B217" t="str">
        <f ca="1">IFERROR(__xludf.DUMMYFUNCTION("split(A217,"";"")"),"en-tj")</f>
        <v>en-tj</v>
      </c>
      <c r="C217" t="str">
        <f ca="1">IFERROR(__xludf.DUMMYFUNCTION("""COMPUTED_VALUE"""),"Tajikistan")</f>
        <v>Tajikistan</v>
      </c>
      <c r="D217" t="s">
        <v>503</v>
      </c>
    </row>
    <row r="218" spans="1:4" ht="15.75" customHeight="1" x14ac:dyDescent="0.15">
      <c r="A218" s="1" t="s">
        <v>504</v>
      </c>
      <c r="B218" t="str">
        <f ca="1">IFERROR(__xludf.DUMMYFUNCTION("split(A218,"";"")"),"th-th")</f>
        <v>th-th</v>
      </c>
      <c r="C218" t="str">
        <f ca="1">IFERROR(__xludf.DUMMYFUNCTION("""COMPUTED_VALUE"""),"Thailand")</f>
        <v>Thailand</v>
      </c>
      <c r="D218" t="str">
        <f ca="1">IFERROR(__xludf.DUMMYFUNCTION("""COMPUTED_VALUE"""),"Tailândia")</f>
        <v>Tailândia</v>
      </c>
    </row>
    <row r="219" spans="1:4" ht="15.75" customHeight="1" x14ac:dyDescent="0.15">
      <c r="A219" s="1" t="s">
        <v>505</v>
      </c>
      <c r="B219" t="str">
        <f ca="1">IFERROR(__xludf.DUMMYFUNCTION("split(A219,"";"")"),"zh-tw")</f>
        <v>zh-tw</v>
      </c>
      <c r="C219" t="str">
        <f ca="1">IFERROR(__xludf.DUMMYFUNCTION("""COMPUTED_VALUE"""),"Taiwan")</f>
        <v>Taiwan</v>
      </c>
      <c r="D219" t="str">
        <f ca="1">IFERROR(__xludf.DUMMYFUNCTION("""COMPUTED_VALUE"""),"Taiwan")</f>
        <v>Taiwan</v>
      </c>
    </row>
    <row r="220" spans="1:4" ht="15.75" customHeight="1" x14ac:dyDescent="0.15">
      <c r="A220" s="1" t="s">
        <v>506</v>
      </c>
      <c r="B220" t="str">
        <f ca="1">IFERROR(__xludf.DUMMYFUNCTION("split(A220,"";"")"),"en-tz")</f>
        <v>en-tz</v>
      </c>
      <c r="C220" t="str">
        <f ca="1">IFERROR(__xludf.DUMMYFUNCTION("""COMPUTED_VALUE"""),"Tanzania")</f>
        <v>Tanzania</v>
      </c>
      <c r="D220" t="str">
        <f ca="1">IFERROR(__xludf.DUMMYFUNCTION("""COMPUTED_VALUE"""),"Tanzânia")</f>
        <v>Tanzânia</v>
      </c>
    </row>
    <row r="221" spans="1:4" ht="15.75" customHeight="1" x14ac:dyDescent="0.15">
      <c r="A221" s="1" t="s">
        <v>507</v>
      </c>
      <c r="B221" t="str">
        <f ca="1">IFERROR(__xludf.DUMMYFUNCTION("split(A221,"";"")"),"cs-cz")</f>
        <v>cs-cz</v>
      </c>
      <c r="C221" t="str">
        <f ca="1">IFERROR(__xludf.DUMMYFUNCTION("""COMPUTED_VALUE"""),"Czechia")</f>
        <v>Czechia</v>
      </c>
      <c r="D221" t="str">
        <f ca="1">IFERROR(__xludf.DUMMYFUNCTION("""COMPUTED_VALUE"""),"Tchéquia")</f>
        <v>Tchéquia</v>
      </c>
    </row>
    <row r="222" spans="1:4" ht="15.75" customHeight="1" x14ac:dyDescent="0.15">
      <c r="A222" s="1" t="s">
        <v>508</v>
      </c>
      <c r="B222" t="str">
        <f ca="1">IFERROR(__xludf.DUMMYFUNCTION("split(A222,"";"")"),"fr-tg")</f>
        <v>fr-tg</v>
      </c>
      <c r="C222" t="str">
        <f ca="1">IFERROR(__xludf.DUMMYFUNCTION("""COMPUTED_VALUE"""),"Togo")</f>
        <v>Togo</v>
      </c>
      <c r="D222" t="str">
        <f ca="1">IFERROR(__xludf.DUMMYFUNCTION("""COMPUTED_VALUE"""),"Togo")</f>
        <v>Togo</v>
      </c>
    </row>
    <row r="223" spans="1:4" ht="15.75" customHeight="1" x14ac:dyDescent="0.15">
      <c r="A223" s="1" t="s">
        <v>509</v>
      </c>
      <c r="B223" t="str">
        <f ca="1">IFERROR(__xludf.DUMMYFUNCTION("split(A223,"";"")"),"en-tk")</f>
        <v>en-tk</v>
      </c>
      <c r="C223" t="str">
        <f ca="1">IFERROR(__xludf.DUMMYFUNCTION("""COMPUTED_VALUE"""),"Tokelau")</f>
        <v>Tokelau</v>
      </c>
      <c r="D223" t="str">
        <f ca="1">IFERROR(__xludf.DUMMYFUNCTION("""COMPUTED_VALUE"""),"Tokelau")</f>
        <v>Tokelau</v>
      </c>
    </row>
    <row r="224" spans="1:4" ht="15.75" customHeight="1" x14ac:dyDescent="0.15">
      <c r="A224" s="1" t="s">
        <v>510</v>
      </c>
      <c r="B224" t="str">
        <f ca="1">IFERROR(__xludf.DUMMYFUNCTION("split(A224,"";"")"),"en-to")</f>
        <v>en-to</v>
      </c>
      <c r="C224" t="str">
        <f ca="1">IFERROR(__xludf.DUMMYFUNCTION("""COMPUTED_VALUE"""),"Tonga")</f>
        <v>Tonga</v>
      </c>
      <c r="D224" t="str">
        <f ca="1">IFERROR(__xludf.DUMMYFUNCTION("""COMPUTED_VALUE"""),"Tonga")</f>
        <v>Tonga</v>
      </c>
    </row>
    <row r="225" spans="1:4" ht="15.75" customHeight="1" x14ac:dyDescent="0.15">
      <c r="A225" s="1" t="s">
        <v>511</v>
      </c>
      <c r="B225" t="str">
        <f ca="1">IFERROR(__xludf.DUMMYFUNCTION("split(A225,"";"")"),"en-tt")</f>
        <v>en-tt</v>
      </c>
      <c r="C225" t="str">
        <f ca="1">IFERROR(__xludf.DUMMYFUNCTION("""COMPUTED_VALUE"""),"Trinidad and Tobago")</f>
        <v>Trinidad and Tobago</v>
      </c>
      <c r="D225" t="str">
        <f ca="1">IFERROR(__xludf.DUMMYFUNCTION("""COMPUTED_VALUE"""),"Trinidad e Tobago")</f>
        <v>Trinidad e Tobago</v>
      </c>
    </row>
    <row r="226" spans="1:4" ht="15.75" customHeight="1" x14ac:dyDescent="0.15">
      <c r="A226" s="1" t="s">
        <v>512</v>
      </c>
      <c r="B226" t="str">
        <f ca="1">IFERROR(__xludf.DUMMYFUNCTION("split(A226,"";"")"),"en-tn")</f>
        <v>en-tn</v>
      </c>
      <c r="C226" t="str">
        <f ca="1">IFERROR(__xludf.DUMMYFUNCTION("""COMPUTED_VALUE"""),"Tunisia")</f>
        <v>Tunisia</v>
      </c>
      <c r="D226" t="s">
        <v>513</v>
      </c>
    </row>
    <row r="227" spans="1:4" ht="15.75" customHeight="1" x14ac:dyDescent="0.15">
      <c r="A227" s="1" t="s">
        <v>514</v>
      </c>
      <c r="B227" t="str">
        <f ca="1">IFERROR(__xludf.DUMMYFUNCTION("split(A227,"";"")"),"tk-tm")</f>
        <v>tk-tm</v>
      </c>
      <c r="C227" t="str">
        <f ca="1">IFERROR(__xludf.DUMMYFUNCTION("""COMPUTED_VALUE"""),"Turkmenistan")</f>
        <v>Turkmenistan</v>
      </c>
      <c r="D227" t="str">
        <f ca="1">IFERROR(__xludf.DUMMYFUNCTION("""COMPUTED_VALUE"""),"Turcomenistão")</f>
        <v>Turcomenistão</v>
      </c>
    </row>
    <row r="228" spans="1:4" ht="15.75" customHeight="1" x14ac:dyDescent="0.15">
      <c r="A228" s="1" t="s">
        <v>515</v>
      </c>
      <c r="B228" t="str">
        <f ca="1">IFERROR(__xludf.DUMMYFUNCTION("split(A228,"";"")"),"tr-tr")</f>
        <v>tr-tr</v>
      </c>
      <c r="C228" t="str">
        <f ca="1">IFERROR(__xludf.DUMMYFUNCTION("""COMPUTED_VALUE"""),"Turkey")</f>
        <v>Turkey</v>
      </c>
      <c r="D228" t="str">
        <f ca="1">IFERROR(__xludf.DUMMYFUNCTION("""COMPUTED_VALUE"""),"Turquia")</f>
        <v>Turquia</v>
      </c>
    </row>
    <row r="229" spans="1:4" ht="15.75" customHeight="1" x14ac:dyDescent="0.15">
      <c r="A229" s="1" t="s">
        <v>516</v>
      </c>
      <c r="B229" t="str">
        <f ca="1">IFERROR(__xludf.DUMMYFUNCTION("split(A229,"";"")"),"en-tv")</f>
        <v>en-tv</v>
      </c>
      <c r="C229" t="str">
        <f ca="1">IFERROR(__xludf.DUMMYFUNCTION("""COMPUTED_VALUE"""),"Tuvalu")</f>
        <v>Tuvalu</v>
      </c>
      <c r="D229" t="str">
        <f ca="1">IFERROR(__xludf.DUMMYFUNCTION("""COMPUTED_VALUE"""),"Tuvalu")</f>
        <v>Tuvalu</v>
      </c>
    </row>
    <row r="230" spans="1:4" ht="15.75" customHeight="1" x14ac:dyDescent="0.15">
      <c r="A230" s="1" t="s">
        <v>517</v>
      </c>
      <c r="B230" t="str">
        <f ca="1">IFERROR(__xludf.DUMMYFUNCTION("split(A230,"";"")"),"uk-ua")</f>
        <v>uk-ua</v>
      </c>
      <c r="C230" t="str">
        <f ca="1">IFERROR(__xludf.DUMMYFUNCTION("""COMPUTED_VALUE"""),"Ukraine")</f>
        <v>Ukraine</v>
      </c>
      <c r="D230" t="str">
        <f ca="1">IFERROR(__xludf.DUMMYFUNCTION("""COMPUTED_VALUE"""),"Ucrânia")</f>
        <v>Ucrânia</v>
      </c>
    </row>
    <row r="231" spans="1:4" ht="15.75" customHeight="1" x14ac:dyDescent="0.15">
      <c r="A231" s="1" t="s">
        <v>518</v>
      </c>
      <c r="B231" t="str">
        <f ca="1">IFERROR(__xludf.DUMMYFUNCTION("split(A231,"";"")"),"en-ug")</f>
        <v>en-ug</v>
      </c>
      <c r="C231" t="str">
        <f ca="1">IFERROR(__xludf.DUMMYFUNCTION("""COMPUTED_VALUE"""),"Uganda")</f>
        <v>Uganda</v>
      </c>
      <c r="D231" t="str">
        <f ca="1">IFERROR(__xludf.DUMMYFUNCTION("""COMPUTED_VALUE"""),"Uganda")</f>
        <v>Uganda</v>
      </c>
    </row>
    <row r="232" spans="1:4" ht="15.75" customHeight="1" x14ac:dyDescent="0.15">
      <c r="A232" s="1" t="s">
        <v>519</v>
      </c>
      <c r="B232" t="str">
        <f ca="1">IFERROR(__xludf.DUMMYFUNCTION("split(A232,"";"")"),"es-uy")</f>
        <v>es-uy</v>
      </c>
      <c r="C232" t="str">
        <f ca="1">IFERROR(__xludf.DUMMYFUNCTION("""COMPUTED_VALUE"""),"Uruguay")</f>
        <v>Uruguay</v>
      </c>
      <c r="D232" t="str">
        <f ca="1">IFERROR(__xludf.DUMMYFUNCTION("""COMPUTED_VALUE"""),"Uruguai")</f>
        <v>Uruguai</v>
      </c>
    </row>
    <row r="233" spans="1:4" ht="15.75" customHeight="1" x14ac:dyDescent="0.15">
      <c r="A233" s="1" t="s">
        <v>520</v>
      </c>
      <c r="B233" t="str">
        <f ca="1">IFERROR(__xludf.DUMMYFUNCTION("split(A233,"";"")"),"en-uz")</f>
        <v>en-uz</v>
      </c>
      <c r="C233" t="str">
        <f ca="1">IFERROR(__xludf.DUMMYFUNCTION("""COMPUTED_VALUE"""),"Uzbekistan")</f>
        <v>Uzbekistan</v>
      </c>
      <c r="D233" t="s">
        <v>521</v>
      </c>
    </row>
    <row r="234" spans="1:4" ht="15.75" customHeight="1" x14ac:dyDescent="0.15">
      <c r="A234" s="1" t="s">
        <v>522</v>
      </c>
      <c r="B234" t="str">
        <f ca="1">IFERROR(__xludf.DUMMYFUNCTION("split(A234,"";"")"),"en-vu")</f>
        <v>en-vu</v>
      </c>
      <c r="C234" t="str">
        <f ca="1">IFERROR(__xludf.DUMMYFUNCTION("""COMPUTED_VALUE"""),"Vanuatu")</f>
        <v>Vanuatu</v>
      </c>
      <c r="D234" t="str">
        <f ca="1">IFERROR(__xludf.DUMMYFUNCTION("""COMPUTED_VALUE"""),"Vanuatu")</f>
        <v>Vanuatu</v>
      </c>
    </row>
    <row r="235" spans="1:4" ht="15.75" customHeight="1" x14ac:dyDescent="0.15">
      <c r="A235" s="1" t="s">
        <v>523</v>
      </c>
      <c r="B235" t="str">
        <f ca="1">IFERROR(__xludf.DUMMYFUNCTION("split(A235,"";"")"),"es-ve")</f>
        <v>es-ve</v>
      </c>
      <c r="C235" t="str">
        <f ca="1">IFERROR(__xludf.DUMMYFUNCTION("""COMPUTED_VALUE"""),"Venezuela")</f>
        <v>Venezuela</v>
      </c>
      <c r="D235" t="str">
        <f ca="1">IFERROR(__xludf.DUMMYFUNCTION("""COMPUTED_VALUE"""),"Venezuela")</f>
        <v>Venezuela</v>
      </c>
    </row>
    <row r="236" spans="1:4" ht="15.75" customHeight="1" x14ac:dyDescent="0.15">
      <c r="A236" s="1" t="s">
        <v>524</v>
      </c>
      <c r="B236" t="str">
        <f ca="1">IFERROR(__xludf.DUMMYFUNCTION("split(A236,"";"")"),"en-vn")</f>
        <v>en-vn</v>
      </c>
      <c r="C236" t="str">
        <f ca="1">IFERROR(__xludf.DUMMYFUNCTION("""COMPUTED_VALUE"""),"Vietnam")</f>
        <v>Vietnam</v>
      </c>
      <c r="D236" t="s">
        <v>525</v>
      </c>
    </row>
    <row r="237" spans="1:4" ht="15.75" customHeight="1" x14ac:dyDescent="0.15">
      <c r="A237" s="1" t="s">
        <v>526</v>
      </c>
      <c r="B237" t="str">
        <f ca="1">IFERROR(__xludf.DUMMYFUNCTION("split(A237,"";"")"),"fr-wf")</f>
        <v>fr-wf</v>
      </c>
      <c r="C237" t="str">
        <f ca="1">IFERROR(__xludf.DUMMYFUNCTION("""COMPUTED_VALUE"""),"Wallis and Futuna")</f>
        <v>Wallis and Futuna</v>
      </c>
      <c r="D237" t="str">
        <f ca="1">IFERROR(__xludf.DUMMYFUNCTION("""COMPUTED_VALUE"""),"Wallis e Futuna")</f>
        <v>Wallis e Futuna</v>
      </c>
    </row>
    <row r="238" spans="1:4" ht="15.75" customHeight="1" x14ac:dyDescent="0.15">
      <c r="A238" s="1" t="s">
        <v>527</v>
      </c>
      <c r="B238" t="str">
        <f ca="1">IFERROR(__xludf.DUMMYFUNCTION("split(A238,"";"")"),"en-zm")</f>
        <v>en-zm</v>
      </c>
      <c r="C238" t="str">
        <f ca="1">IFERROR(__xludf.DUMMYFUNCTION("""COMPUTED_VALUE"""),"Zambia")</f>
        <v>Zambia</v>
      </c>
      <c r="D238" t="str">
        <f ca="1">IFERROR(__xludf.DUMMYFUNCTION("""COMPUTED_VALUE"""),"Zâmbia")</f>
        <v>Zâmbia</v>
      </c>
    </row>
    <row r="239" spans="1:4" ht="15.75" customHeight="1" x14ac:dyDescent="0.15">
      <c r="A239" s="1" t="s">
        <v>528</v>
      </c>
      <c r="B239" t="str">
        <f ca="1">IFERROR(__xludf.DUMMYFUNCTION("split(A239,"";"")"),"en-zw")</f>
        <v>en-zw</v>
      </c>
      <c r="C239" t="str">
        <f ca="1">IFERROR(__xludf.DUMMYFUNCTION("""COMPUTED_VALUE"""),"Zimbabwe")</f>
        <v>Zimbabwe</v>
      </c>
      <c r="D239" t="str">
        <f ca="1">IFERROR(__xludf.DUMMYFUNCTION("""COMPUTED_VALUE"""),"Zimbábue")</f>
        <v>Zimbábue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15"/>
  <cols>
    <col min="1" max="1" width="14.42578125" customWidth="1"/>
    <col min="2" max="2" width="9.3046875" customWidth="1"/>
    <col min="3" max="3" width="37.3515625" customWidth="1"/>
    <col min="4" max="4" width="37.890625" customWidth="1"/>
    <col min="5" max="6" width="14.42578125" customWidth="1"/>
  </cols>
  <sheetData>
    <row r="1" spans="1:4" ht="15.75" customHeight="1" x14ac:dyDescent="0.15">
      <c r="A1" s="1" t="s">
        <v>529</v>
      </c>
      <c r="B1" t="str">
        <f ca="1">IFERROR(__xludf.DUMMYFUNCTION("split(A1, "";"")"),"CODIGO")</f>
        <v>CODIGO</v>
      </c>
      <c r="C1" t="str">
        <f ca="1">IFERROR(__xludf.DUMMYFUNCTION("""COMPUTED_VALUE"""),"ESPANHOL")</f>
        <v>ESPANHOL</v>
      </c>
      <c r="D1" s="1" t="str">
        <f ca="1">IFERROR(__xludf.DUMMYFUNCTION("""COMPUTED_VALUE"""),"PORTUGUES")</f>
        <v>PORTUGUES</v>
      </c>
    </row>
    <row r="2" spans="1:4" ht="15.75" customHeight="1" x14ac:dyDescent="0.15">
      <c r="A2" s="1" t="s">
        <v>530</v>
      </c>
      <c r="B2" t="str">
        <f ca="1">IFERROR(__xludf.DUMMYFUNCTION("split(A2, "";"")"),"prs-af")</f>
        <v>prs-af</v>
      </c>
      <c r="C2" t="str">
        <f ca="1">IFERROR(__xludf.DUMMYFUNCTION("""COMPUTED_VALUE"""),"Afganistán")</f>
        <v>Afganistán</v>
      </c>
      <c r="D2" t="str">
        <f ca="1">IFERROR(__xludf.DUMMYFUNCTION("""COMPUTED_VALUE"""),"Afeganistão")</f>
        <v>Afeganistão</v>
      </c>
    </row>
    <row r="3" spans="1:4" ht="15.75" customHeight="1" x14ac:dyDescent="0.15">
      <c r="A3" s="1" t="s">
        <v>531</v>
      </c>
      <c r="B3" t="str">
        <f ca="1">IFERROR(__xludf.DUMMYFUNCTION("split(A3, "";"")"),"en-za")</f>
        <v>en-za</v>
      </c>
      <c r="C3" t="str">
        <f ca="1">IFERROR(__xludf.DUMMYFUNCTION("""COMPUTED_VALUE"""),"Sudáfrica")</f>
        <v>Sudáfrica</v>
      </c>
      <c r="D3" t="str">
        <f ca="1">IFERROR(__xludf.DUMMYFUNCTION("""COMPUTED_VALUE"""),"África do Sul")</f>
        <v>África do Sul</v>
      </c>
    </row>
    <row r="4" spans="1:4" ht="15.75" customHeight="1" x14ac:dyDescent="0.15">
      <c r="A4" s="1" t="s">
        <v>242</v>
      </c>
      <c r="B4" t="str">
        <f ca="1">IFERROR(__xludf.DUMMYFUNCTION("split(A4, "";"")"),"sq-al")</f>
        <v>sq-al</v>
      </c>
      <c r="C4" t="str">
        <f ca="1">IFERROR(__xludf.DUMMYFUNCTION("""COMPUTED_VALUE"""),"Albania")</f>
        <v>Albania</v>
      </c>
      <c r="D4" t="str">
        <f ca="1">IFERROR(__xludf.DUMMYFUNCTION("""COMPUTED_VALUE"""),"Albânia")</f>
        <v>Albânia</v>
      </c>
    </row>
    <row r="5" spans="1:4" ht="15.75" customHeight="1" x14ac:dyDescent="0.15">
      <c r="A5" s="1" t="s">
        <v>532</v>
      </c>
      <c r="B5" t="str">
        <f ca="1">IFERROR(__xludf.DUMMYFUNCTION("split(A5, "";"")"),"de-de")</f>
        <v>de-de</v>
      </c>
      <c r="C5" t="str">
        <f ca="1">IFERROR(__xludf.DUMMYFUNCTION("""COMPUTED_VALUE"""),"Alemania")</f>
        <v>Alemania</v>
      </c>
      <c r="D5" t="str">
        <f ca="1">IFERROR(__xludf.DUMMYFUNCTION("""COMPUTED_VALUE"""),"Alemanha")</f>
        <v>Alemanha</v>
      </c>
    </row>
    <row r="6" spans="1:4" ht="15.75" customHeight="1" x14ac:dyDescent="0.15">
      <c r="A6" s="1" t="s">
        <v>244</v>
      </c>
      <c r="B6" t="str">
        <f ca="1">IFERROR(__xludf.DUMMYFUNCTION("split(A6, "";"")"),"ca-ad")</f>
        <v>ca-ad</v>
      </c>
      <c r="C6" t="str">
        <f ca="1">IFERROR(__xludf.DUMMYFUNCTION("""COMPUTED_VALUE"""),"Andorra")</f>
        <v>Andorra</v>
      </c>
      <c r="D6" t="str">
        <f ca="1">IFERROR(__xludf.DUMMYFUNCTION("""COMPUTED_VALUE"""),"Andorra")</f>
        <v>Andorra</v>
      </c>
    </row>
    <row r="7" spans="1:4" ht="15.75" customHeight="1" x14ac:dyDescent="0.15">
      <c r="A7" s="1" t="s">
        <v>533</v>
      </c>
      <c r="B7" t="str">
        <f ca="1">IFERROR(__xludf.DUMMYFUNCTION("split(A7, "";"")"),"pt-ao")</f>
        <v>pt-ao</v>
      </c>
      <c r="C7" t="str">
        <f ca="1">IFERROR(__xludf.DUMMYFUNCTION("""COMPUTED_VALUE"""),"Angola")</f>
        <v>Angola</v>
      </c>
      <c r="D7" t="str">
        <f ca="1">IFERROR(__xludf.DUMMYFUNCTION("""COMPUTED_VALUE"""),"Angola")</f>
        <v>Angola</v>
      </c>
    </row>
    <row r="8" spans="1:4" ht="15.75" customHeight="1" x14ac:dyDescent="0.15">
      <c r="A8" s="1" t="s">
        <v>534</v>
      </c>
      <c r="B8" t="str">
        <f ca="1">IFERROR(__xludf.DUMMYFUNCTION("split(A8, "";"")"),"en-ai")</f>
        <v>en-ai</v>
      </c>
      <c r="C8" t="str">
        <f ca="1">IFERROR(__xludf.DUMMYFUNCTION("""COMPUTED_VALUE"""),"Anguila")</f>
        <v>Anguila</v>
      </c>
      <c r="D8" t="str">
        <f ca="1">IFERROR(__xludf.DUMMYFUNCTION("""COMPUTED_VALUE"""),"Anguila")</f>
        <v>Anguila</v>
      </c>
    </row>
    <row r="9" spans="1:4" ht="15.75" customHeight="1" x14ac:dyDescent="0.15">
      <c r="A9" s="1" t="s">
        <v>535</v>
      </c>
      <c r="B9" t="str">
        <f ca="1">IFERROR(__xludf.DUMMYFUNCTION("split(A9, "";"")"),"en-ag")</f>
        <v>en-ag</v>
      </c>
      <c r="C9" t="str">
        <f ca="1">IFERROR(__xludf.DUMMYFUNCTION("""COMPUTED_VALUE"""),"Antigua y Barbuda")</f>
        <v>Antigua y Barbuda</v>
      </c>
      <c r="D9" t="str">
        <f ca="1">IFERROR(__xludf.DUMMYFUNCTION("""COMPUTED_VALUE"""),"Antígua e Barbuda")</f>
        <v>Antígua e Barbuda</v>
      </c>
    </row>
    <row r="10" spans="1:4" ht="15.75" customHeight="1" x14ac:dyDescent="0.15">
      <c r="A10" s="1" t="s">
        <v>536</v>
      </c>
      <c r="B10" t="str">
        <f ca="1">IFERROR(__xludf.DUMMYFUNCTION("split(A10, "";"")"),"ar-sa")</f>
        <v>ar-sa</v>
      </c>
      <c r="C10" t="str">
        <f ca="1">IFERROR(__xludf.DUMMYFUNCTION("""COMPUTED_VALUE"""),"Arabia Saudí")</f>
        <v>Arabia Saudí</v>
      </c>
      <c r="D10" t="str">
        <f ca="1">IFERROR(__xludf.DUMMYFUNCTION("""COMPUTED_VALUE"""),"Arábia Saudita")</f>
        <v>Arábia Saudita</v>
      </c>
    </row>
    <row r="11" spans="1:4" ht="15.75" customHeight="1" x14ac:dyDescent="0.15">
      <c r="A11" s="1" t="s">
        <v>537</v>
      </c>
      <c r="B11" t="str">
        <f ca="1">IFERROR(__xludf.DUMMYFUNCTION("split(A11, "";"")"),"ar-dz")</f>
        <v>ar-dz</v>
      </c>
      <c r="C11" t="str">
        <f ca="1">IFERROR(__xludf.DUMMYFUNCTION("""COMPUTED_VALUE"""),"Argelia")</f>
        <v>Argelia</v>
      </c>
      <c r="D11" t="str">
        <f ca="1">IFERROR(__xludf.DUMMYFUNCTION("""COMPUTED_VALUE"""),"Argélia")</f>
        <v>Argélia</v>
      </c>
    </row>
    <row r="12" spans="1:4" ht="15.75" customHeight="1" x14ac:dyDescent="0.15">
      <c r="A12" s="1" t="s">
        <v>253</v>
      </c>
      <c r="B12" t="str">
        <f ca="1">IFERROR(__xludf.DUMMYFUNCTION("split(A12, "";"")"),"es-ar")</f>
        <v>es-ar</v>
      </c>
      <c r="C12" t="str">
        <f ca="1">IFERROR(__xludf.DUMMYFUNCTION("""COMPUTED_VALUE"""),"Argentina")</f>
        <v>Argentina</v>
      </c>
      <c r="D12" t="str">
        <f ca="1">IFERROR(__xludf.DUMMYFUNCTION("""COMPUTED_VALUE"""),"Argentina")</f>
        <v>Argentina</v>
      </c>
    </row>
    <row r="13" spans="1:4" ht="15.75" customHeight="1" x14ac:dyDescent="0.15">
      <c r="A13" s="1" t="s">
        <v>254</v>
      </c>
      <c r="B13" t="str">
        <f ca="1">IFERROR(__xludf.DUMMYFUNCTION("split(A13, "";"")"),"hy-am")</f>
        <v>hy-am</v>
      </c>
      <c r="C13" t="str">
        <f ca="1">IFERROR(__xludf.DUMMYFUNCTION("""COMPUTED_VALUE"""),"Armenia")</f>
        <v>Armenia</v>
      </c>
      <c r="D13" t="str">
        <f ca="1">IFERROR(__xludf.DUMMYFUNCTION("""COMPUTED_VALUE"""),"Armênia")</f>
        <v>Armênia</v>
      </c>
    </row>
    <row r="14" spans="1:4" ht="15.75" customHeight="1" x14ac:dyDescent="0.15">
      <c r="A14" s="1" t="s">
        <v>255</v>
      </c>
      <c r="B14" t="str">
        <f ca="1">IFERROR(__xludf.DUMMYFUNCTION("split(A14, "";"")"),"nl-aw")</f>
        <v>nl-aw</v>
      </c>
      <c r="C14" t="str">
        <f ca="1">IFERROR(__xludf.DUMMYFUNCTION("""COMPUTED_VALUE"""),"Aruba")</f>
        <v>Aruba</v>
      </c>
      <c r="D14" t="str">
        <f ca="1">IFERROR(__xludf.DUMMYFUNCTION("""COMPUTED_VALUE"""),"Aruba")</f>
        <v>Aruba</v>
      </c>
    </row>
    <row r="15" spans="1:4" ht="15.75" customHeight="1" x14ac:dyDescent="0.15">
      <c r="A15" s="1" t="s">
        <v>256</v>
      </c>
      <c r="B15" t="str">
        <f ca="1">IFERROR(__xludf.DUMMYFUNCTION("split(A15, "";"")"),"en-au")</f>
        <v>en-au</v>
      </c>
      <c r="C15" t="str">
        <f ca="1">IFERROR(__xludf.DUMMYFUNCTION("""COMPUTED_VALUE"""),"Australia")</f>
        <v>Australia</v>
      </c>
      <c r="D15" t="str">
        <f ca="1">IFERROR(__xludf.DUMMYFUNCTION("""COMPUTED_VALUE"""),"Austrália")</f>
        <v>Austrália</v>
      </c>
    </row>
    <row r="16" spans="1:4" ht="15.75" customHeight="1" x14ac:dyDescent="0.15">
      <c r="A16" s="1" t="s">
        <v>257</v>
      </c>
      <c r="B16" t="str">
        <f ca="1">IFERROR(__xludf.DUMMYFUNCTION("split(A16, "";"")"),"de-at")</f>
        <v>de-at</v>
      </c>
      <c r="C16" t="str">
        <f ca="1">IFERROR(__xludf.DUMMYFUNCTION("""COMPUTED_VALUE"""),"Austria")</f>
        <v>Austria</v>
      </c>
      <c r="D16" t="str">
        <f ca="1">IFERROR(__xludf.DUMMYFUNCTION("""COMPUTED_VALUE"""),"Áustria")</f>
        <v>Áustria</v>
      </c>
    </row>
    <row r="17" spans="1:4" ht="15.75" customHeight="1" x14ac:dyDescent="0.15">
      <c r="A17" s="1" t="s">
        <v>538</v>
      </c>
      <c r="B17" t="str">
        <f ca="1">IFERROR(__xludf.DUMMYFUNCTION("split(A17, "";"")"),"ar-ps")</f>
        <v>ar-ps</v>
      </c>
      <c r="C17" t="str">
        <f ca="1">IFERROR(__xludf.DUMMYFUNCTION("""COMPUTED_VALUE"""),"Autoridad Palestina")</f>
        <v>Autoridad Palestina</v>
      </c>
      <c r="D17" t="str">
        <f ca="1">IFERROR(__xludf.DUMMYFUNCTION("""COMPUTED_VALUE"""),"Autoridade Palestina")</f>
        <v>Autoridade Palestina</v>
      </c>
    </row>
    <row r="18" spans="1:4" ht="15.75" customHeight="1" x14ac:dyDescent="0.15">
      <c r="A18" s="1" t="s">
        <v>539</v>
      </c>
      <c r="B18" t="str">
        <f ca="1">IFERROR(__xludf.DUMMYFUNCTION("split(A18, "";"")"),"az-latn-az")</f>
        <v>az-latn-az</v>
      </c>
      <c r="C18" t="str">
        <f ca="1">IFERROR(__xludf.DUMMYFUNCTION("""COMPUTED_VALUE"""),"Azerbaiyán")</f>
        <v>Azerbaiyán</v>
      </c>
      <c r="D18" t="str">
        <f ca="1">IFERROR(__xludf.DUMMYFUNCTION("""COMPUTED_VALUE"""),"Azerbaijão")</f>
        <v>Azerbaijão</v>
      </c>
    </row>
    <row r="19" spans="1:4" ht="15.75" customHeight="1" x14ac:dyDescent="0.15">
      <c r="A19" s="1" t="s">
        <v>262</v>
      </c>
      <c r="B19" t="str">
        <f ca="1">IFERROR(__xludf.DUMMYFUNCTION("split(A19, "";"")"),"en-bs")</f>
        <v>en-bs</v>
      </c>
      <c r="C19" t="str">
        <f ca="1">IFERROR(__xludf.DUMMYFUNCTION("""COMPUTED_VALUE"""),"Bahamas")</f>
        <v>Bahamas</v>
      </c>
      <c r="D19" t="str">
        <f ca="1">IFERROR(__xludf.DUMMYFUNCTION("""COMPUTED_VALUE"""),"Bahamas")</f>
        <v>Bahamas</v>
      </c>
    </row>
    <row r="20" spans="1:4" ht="15.75" customHeight="1" x14ac:dyDescent="0.15">
      <c r="A20" s="1" t="s">
        <v>540</v>
      </c>
      <c r="B20" t="str">
        <f ca="1">IFERROR(__xludf.DUMMYFUNCTION("split(A20, "";"")"),"ar-bh")</f>
        <v>ar-bh</v>
      </c>
      <c r="C20" t="str">
        <f ca="1">IFERROR(__xludf.DUMMYFUNCTION("""COMPUTED_VALUE"""),"Baréin")</f>
        <v>Baréin</v>
      </c>
      <c r="D20" t="str">
        <f ca="1">IFERROR(__xludf.DUMMYFUNCTION("""COMPUTED_VALUE"""),"Bahrein")</f>
        <v>Bahrein</v>
      </c>
    </row>
    <row r="21" spans="1:4" ht="15.75" customHeight="1" x14ac:dyDescent="0.15">
      <c r="A21" s="1" t="s">
        <v>541</v>
      </c>
      <c r="B21" t="str">
        <f ca="1">IFERROR(__xludf.DUMMYFUNCTION("split(A21, "";"")"),"bn-bd")</f>
        <v>bn-bd</v>
      </c>
      <c r="C21" t="str">
        <f ca="1">IFERROR(__xludf.DUMMYFUNCTION("""COMPUTED_VALUE"""),"Bangladés")</f>
        <v>Bangladés</v>
      </c>
      <c r="D21" t="str">
        <f ca="1">IFERROR(__xludf.DUMMYFUNCTION("""COMPUTED_VALUE"""),"Bangladesh")</f>
        <v>Bangladesh</v>
      </c>
    </row>
    <row r="22" spans="1:4" ht="15.75" customHeight="1" x14ac:dyDescent="0.15">
      <c r="A22" s="1" t="s">
        <v>267</v>
      </c>
      <c r="B22" t="str">
        <f ca="1">IFERROR(__xludf.DUMMYFUNCTION("split(A22, "";"")"),"en-bb")</f>
        <v>en-bb</v>
      </c>
      <c r="C22" t="str">
        <f ca="1">IFERROR(__xludf.DUMMYFUNCTION("""COMPUTED_VALUE"""),"Barbados")</f>
        <v>Barbados</v>
      </c>
      <c r="D22" t="str">
        <f ca="1">IFERROR(__xludf.DUMMYFUNCTION("""COMPUTED_VALUE"""),"Barbados")</f>
        <v>Barbados</v>
      </c>
    </row>
    <row r="23" spans="1:4" ht="15.75" customHeight="1" x14ac:dyDescent="0.15">
      <c r="A23" s="1" t="s">
        <v>542</v>
      </c>
      <c r="B23" t="str">
        <f ca="1">IFERROR(__xludf.DUMMYFUNCTION("split(A23, "";"")"),"be-by")</f>
        <v>be-by</v>
      </c>
      <c r="C23" t="str">
        <f ca="1">IFERROR(__xludf.DUMMYFUNCTION("""COMPUTED_VALUE"""),"Belarús")</f>
        <v>Belarús</v>
      </c>
      <c r="D23" t="str">
        <f ca="1">IFERROR(__xludf.DUMMYFUNCTION("""COMPUTED_VALUE"""),"Belarus")</f>
        <v>Belarus</v>
      </c>
    </row>
    <row r="24" spans="1:4" ht="15.75" customHeight="1" x14ac:dyDescent="0.15">
      <c r="A24" s="1" t="s">
        <v>543</v>
      </c>
      <c r="B24" t="str">
        <f ca="1">IFERROR(__xludf.DUMMYFUNCTION("split(A24, "";"")"),"fr-be")</f>
        <v>fr-be</v>
      </c>
      <c r="C24" t="str">
        <f ca="1">IFERROR(__xludf.DUMMYFUNCTION("""COMPUTED_VALUE"""),"Bélgica - Francés")</f>
        <v>Bélgica - Francés</v>
      </c>
      <c r="D24" t="str">
        <f ca="1">IFERROR(__xludf.DUMMYFUNCTION("""COMPUTED_VALUE"""),"Bélgica - Francês")</f>
        <v>Bélgica - Francês</v>
      </c>
    </row>
    <row r="25" spans="1:4" ht="15.75" customHeight="1" x14ac:dyDescent="0.15">
      <c r="A25" s="1" t="s">
        <v>544</v>
      </c>
      <c r="B25" t="str">
        <f ca="1">IFERROR(__xludf.DUMMYFUNCTION("split(A25, "";"")"),"nl-be")</f>
        <v>nl-be</v>
      </c>
      <c r="C25" t="str">
        <f ca="1">IFERROR(__xludf.DUMMYFUNCTION("""COMPUTED_VALUE"""),"Bélgica - Neerlandés")</f>
        <v>Bélgica - Neerlandés</v>
      </c>
      <c r="D25" t="str">
        <f ca="1">IFERROR(__xludf.DUMMYFUNCTION("""COMPUTED_VALUE"""),"Bélgica - Holandês")</f>
        <v>Bélgica - Holandês</v>
      </c>
    </row>
    <row r="26" spans="1:4" ht="15.75" customHeight="1" x14ac:dyDescent="0.15">
      <c r="A26" s="1" t="s">
        <v>545</v>
      </c>
      <c r="B26" t="str">
        <f ca="1">IFERROR(__xludf.DUMMYFUNCTION("split(A26, "";"")"),"en-bz")</f>
        <v>en-bz</v>
      </c>
      <c r="C26" t="str">
        <f ca="1">IFERROR(__xludf.DUMMYFUNCTION("""COMPUTED_VALUE"""),"Belice")</f>
        <v>Belice</v>
      </c>
      <c r="D26" t="str">
        <f ca="1">IFERROR(__xludf.DUMMYFUNCTION("""COMPUTED_VALUE"""),"Belize")</f>
        <v>Belize</v>
      </c>
    </row>
    <row r="27" spans="1:4" ht="15.75" customHeight="1" x14ac:dyDescent="0.15">
      <c r="A27" s="1" t="s">
        <v>546</v>
      </c>
      <c r="B27" t="str">
        <f ca="1">IFERROR(__xludf.DUMMYFUNCTION("split(A27, "";"")"),"fr-bj")</f>
        <v>fr-bj</v>
      </c>
      <c r="C27" t="str">
        <f ca="1">IFERROR(__xludf.DUMMYFUNCTION("""COMPUTED_VALUE"""),"Benín")</f>
        <v>Benín</v>
      </c>
      <c r="D27" t="str">
        <f ca="1">IFERROR(__xludf.DUMMYFUNCTION("""COMPUTED_VALUE"""),"Benin")</f>
        <v>Benin</v>
      </c>
    </row>
    <row r="28" spans="1:4" ht="15.75" customHeight="1" x14ac:dyDescent="0.15">
      <c r="A28" s="1" t="s">
        <v>547</v>
      </c>
      <c r="B28" t="str">
        <f ca="1">IFERROR(__xludf.DUMMYFUNCTION("split(A28, "";"")"),"en-bm")</f>
        <v>en-bm</v>
      </c>
      <c r="C28" t="str">
        <f ca="1">IFERROR(__xludf.DUMMYFUNCTION("""COMPUTED_VALUE"""),"Bermudas")</f>
        <v>Bermudas</v>
      </c>
      <c r="D28" t="str">
        <f ca="1">IFERROR(__xludf.DUMMYFUNCTION("""COMPUTED_VALUE"""),"Bermudas")</f>
        <v>Bermudas</v>
      </c>
    </row>
    <row r="29" spans="1:4" ht="15.75" customHeight="1" x14ac:dyDescent="0.15">
      <c r="A29" s="1" t="s">
        <v>275</v>
      </c>
      <c r="B29" t="str">
        <f ca="1">IFERROR(__xludf.DUMMYFUNCTION("split(A29, "";"")"),"es-bo")</f>
        <v>es-bo</v>
      </c>
      <c r="C29" t="str">
        <f ca="1">IFERROR(__xludf.DUMMYFUNCTION("""COMPUTED_VALUE"""),"Bolivia")</f>
        <v>Bolivia</v>
      </c>
      <c r="D29" t="str">
        <f ca="1">IFERROR(__xludf.DUMMYFUNCTION("""COMPUTED_VALUE"""),"Bolívia")</f>
        <v>Bolívia</v>
      </c>
    </row>
    <row r="30" spans="1:4" ht="15.75" customHeight="1" x14ac:dyDescent="0.15">
      <c r="A30" s="1" t="s">
        <v>548</v>
      </c>
      <c r="B30" t="str">
        <f ca="1">IFERROR(__xludf.DUMMYFUNCTION("split(A30, "";"")"),"bs-latn-ba")</f>
        <v>bs-latn-ba</v>
      </c>
      <c r="C30" t="str">
        <f ca="1">IFERROR(__xludf.DUMMYFUNCTION("""COMPUTED_VALUE"""),"Bosnia y Herzegovina")</f>
        <v>Bosnia y Herzegovina</v>
      </c>
      <c r="D30" t="str">
        <f ca="1">IFERROR(__xludf.DUMMYFUNCTION("""COMPUTED_VALUE"""),"Bósnia e Herzegovina")</f>
        <v>Bósnia e Herzegovina</v>
      </c>
    </row>
    <row r="31" spans="1:4" ht="15.75" customHeight="1" x14ac:dyDescent="0.15">
      <c r="A31" s="1" t="s">
        <v>549</v>
      </c>
      <c r="B31" t="str">
        <f ca="1">IFERROR(__xludf.DUMMYFUNCTION("split(A31, "";"")"),"en-bw")</f>
        <v>en-bw</v>
      </c>
      <c r="C31" t="str">
        <f ca="1">IFERROR(__xludf.DUMMYFUNCTION("""COMPUTED_VALUE"""),"Botsuana")</f>
        <v>Botsuana</v>
      </c>
      <c r="D31" t="str">
        <f ca="1">IFERROR(__xludf.DUMMYFUNCTION("""COMPUTED_VALUE"""),"Botsuana")</f>
        <v>Botsuana</v>
      </c>
    </row>
    <row r="32" spans="1:4" ht="15.75" customHeight="1" x14ac:dyDescent="0.15">
      <c r="A32" s="1" t="s">
        <v>550</v>
      </c>
      <c r="B32" t="str">
        <f ca="1">IFERROR(__xludf.DUMMYFUNCTION("split(A32, "";"")"),"pt-br")</f>
        <v>pt-br</v>
      </c>
      <c r="C32" t="str">
        <f ca="1">IFERROR(__xludf.DUMMYFUNCTION("""COMPUTED_VALUE"""),"Brasil")</f>
        <v>Brasil</v>
      </c>
      <c r="D32" t="str">
        <f ca="1">IFERROR(__xludf.DUMMYFUNCTION("""COMPUTED_VALUE"""),"Brasil")</f>
        <v>Brasil</v>
      </c>
    </row>
    <row r="33" spans="1:4" ht="15.75" customHeight="1" x14ac:dyDescent="0.15">
      <c r="A33" s="1" t="s">
        <v>551</v>
      </c>
      <c r="B33" t="str">
        <f ca="1">IFERROR(__xludf.DUMMYFUNCTION("split(A33, "";"")"),"ms-bn")</f>
        <v>ms-bn</v>
      </c>
      <c r="C33" t="str">
        <f ca="1">IFERROR(__xludf.DUMMYFUNCTION("""COMPUTED_VALUE"""),"Brunéi")</f>
        <v>Brunéi</v>
      </c>
      <c r="D33" t="str">
        <f ca="1">IFERROR(__xludf.DUMMYFUNCTION("""COMPUTED_VALUE"""),"Brunei")</f>
        <v>Brunei</v>
      </c>
    </row>
    <row r="34" spans="1:4" ht="15.75" customHeight="1" x14ac:dyDescent="0.15">
      <c r="A34" s="1" t="s">
        <v>281</v>
      </c>
      <c r="B34" t="str">
        <f ca="1">IFERROR(__xludf.DUMMYFUNCTION("split(A34, "";"")"),"bg-bg")</f>
        <v>bg-bg</v>
      </c>
      <c r="C34" t="str">
        <f ca="1">IFERROR(__xludf.DUMMYFUNCTION("""COMPUTED_VALUE"""),"Bulgaria")</f>
        <v>Bulgaria</v>
      </c>
      <c r="D34" t="str">
        <f ca="1">IFERROR(__xludf.DUMMYFUNCTION("""COMPUTED_VALUE"""),"Bulgária")</f>
        <v>Bulgária</v>
      </c>
    </row>
    <row r="35" spans="1:4" ht="15.75" customHeight="1" x14ac:dyDescent="0.15">
      <c r="A35" s="1" t="s">
        <v>552</v>
      </c>
      <c r="B35" t="str">
        <f ca="1">IFERROR(__xludf.DUMMYFUNCTION("split(A35, "";"")"),"fr-bf")</f>
        <v>fr-bf</v>
      </c>
      <c r="C35" t="str">
        <f ca="1">IFERROR(__xludf.DUMMYFUNCTION("""COMPUTED_VALUE"""),"Burkina Faso")</f>
        <v>Burkina Faso</v>
      </c>
      <c r="D35" t="str">
        <f ca="1">IFERROR(__xludf.DUMMYFUNCTION("""COMPUTED_VALUE"""),"Burquina Faso")</f>
        <v>Burquina Faso</v>
      </c>
    </row>
    <row r="36" spans="1:4" ht="15.75" customHeight="1" x14ac:dyDescent="0.15">
      <c r="A36" s="1" t="s">
        <v>553</v>
      </c>
      <c r="B36" t="str">
        <f ca="1">IFERROR(__xludf.DUMMYFUNCTION("split(A36, "";"")"),"fr-bi")</f>
        <v>fr-bi</v>
      </c>
      <c r="C36" t="str">
        <f ca="1">IFERROR(__xludf.DUMMYFUNCTION("""COMPUTED_VALUE"""),"Burundi")</f>
        <v>Burundi</v>
      </c>
      <c r="D36" t="str">
        <f ca="1">IFERROR(__xludf.DUMMYFUNCTION("""COMPUTED_VALUE"""),"Burundi")</f>
        <v>Burundi</v>
      </c>
    </row>
    <row r="37" spans="1:4" ht="15.75" customHeight="1" x14ac:dyDescent="0.15">
      <c r="A37" s="1" t="s">
        <v>554</v>
      </c>
      <c r="B37" t="str">
        <f ca="1">IFERROR(__xludf.DUMMYFUNCTION("split(A37, "";"")"),"bo-bt")</f>
        <v>bo-bt</v>
      </c>
      <c r="C37" t="str">
        <f ca="1">IFERROR(__xludf.DUMMYFUNCTION("""COMPUTED_VALUE"""),"Bután")</f>
        <v>Bután</v>
      </c>
      <c r="D37" t="str">
        <f ca="1">IFERROR(__xludf.DUMMYFUNCTION("""COMPUTED_VALUE"""),"Butão")</f>
        <v>Butão</v>
      </c>
    </row>
    <row r="38" spans="1:4" ht="15.75" customHeight="1" x14ac:dyDescent="0.15">
      <c r="A38" s="1" t="s">
        <v>555</v>
      </c>
      <c r="B38" t="str">
        <f ca="1">IFERROR(__xludf.DUMMYFUNCTION("split(A38, "";"")"),"pt-cv")</f>
        <v>pt-cv</v>
      </c>
      <c r="C38" t="str">
        <f ca="1">IFERROR(__xludf.DUMMYFUNCTION("""COMPUTED_VALUE"""),"Cabo Verde")</f>
        <v>Cabo Verde</v>
      </c>
      <c r="D38" t="str">
        <f ca="1">IFERROR(__xludf.DUMMYFUNCTION("""COMPUTED_VALUE"""),"Cabo Verde")</f>
        <v>Cabo Verde</v>
      </c>
    </row>
    <row r="39" spans="1:4" ht="15.75" customHeight="1" x14ac:dyDescent="0.15">
      <c r="A39" s="1" t="s">
        <v>556</v>
      </c>
      <c r="B39" t="str">
        <f ca="1">IFERROR(__xludf.DUMMYFUNCTION("split(A39, "";"")"),"fr-cm")</f>
        <v>fr-cm</v>
      </c>
      <c r="C39" t="str">
        <f ca="1">IFERROR(__xludf.DUMMYFUNCTION("""COMPUTED_VALUE"""),"Camerún")</f>
        <v>Camerún</v>
      </c>
      <c r="D39" t="str">
        <f ca="1">IFERROR(__xludf.DUMMYFUNCTION("""COMPUTED_VALUE"""),"Camarões")</f>
        <v>Camarões</v>
      </c>
    </row>
    <row r="40" spans="1:4" ht="15.75" customHeight="1" x14ac:dyDescent="0.15">
      <c r="A40" s="1" t="s">
        <v>557</v>
      </c>
      <c r="B40" t="str">
        <f ca="1">IFERROR(__xludf.DUMMYFUNCTION("split(A40, "";"")"),"km-kh")</f>
        <v>km-kh</v>
      </c>
      <c r="C40" t="str">
        <f ca="1">IFERROR(__xludf.DUMMYFUNCTION("""COMPUTED_VALUE"""),"Camboya")</f>
        <v>Camboya</v>
      </c>
      <c r="D40" t="str">
        <f ca="1">IFERROR(__xludf.DUMMYFUNCTION("""COMPUTED_VALUE"""),"Camboja")</f>
        <v>Camboja</v>
      </c>
    </row>
    <row r="41" spans="1:4" ht="15.75" customHeight="1" x14ac:dyDescent="0.15">
      <c r="A41" s="1" t="s">
        <v>558</v>
      </c>
      <c r="B41" t="str">
        <f ca="1">IFERROR(__xludf.DUMMYFUNCTION("split(A41, "";"")"),"fr-ca")</f>
        <v>fr-ca</v>
      </c>
      <c r="C41" t="str">
        <f ca="1">IFERROR(__xludf.DUMMYFUNCTION("""COMPUTED_VALUE"""),"Canadá - Francés")</f>
        <v>Canadá - Francés</v>
      </c>
      <c r="D41" t="str">
        <f ca="1">IFERROR(__xludf.DUMMYFUNCTION("""COMPUTED_VALUE"""),"Canadá - Francês")</f>
        <v>Canadá - Francês</v>
      </c>
    </row>
    <row r="42" spans="1:4" ht="15.75" customHeight="1" x14ac:dyDescent="0.15">
      <c r="A42" s="1" t="s">
        <v>559</v>
      </c>
      <c r="B42" t="str">
        <f ca="1">IFERROR(__xludf.DUMMYFUNCTION("split(A42, "";"")"),"en-ca")</f>
        <v>en-ca</v>
      </c>
      <c r="C42" t="str">
        <f ca="1">IFERROR(__xludf.DUMMYFUNCTION("""COMPUTED_VALUE"""),"Canadá - Inglés")</f>
        <v>Canadá - Inglés</v>
      </c>
      <c r="D42" t="str">
        <f ca="1">IFERROR(__xludf.DUMMYFUNCTION("""COMPUTED_VALUE"""),"Canadá - Inglês")</f>
        <v>Canadá - Inglês</v>
      </c>
    </row>
    <row r="43" spans="1:4" ht="15.75" customHeight="1" x14ac:dyDescent="0.15">
      <c r="A43" s="1" t="s">
        <v>560</v>
      </c>
      <c r="B43" t="str">
        <f ca="1">IFERROR(__xludf.DUMMYFUNCTION("split(A43, "";"")"),"ar-qa")</f>
        <v>ar-qa</v>
      </c>
      <c r="C43" t="str">
        <f ca="1">IFERROR(__xludf.DUMMYFUNCTION("""COMPUTED_VALUE"""),"Catar")</f>
        <v>Catar</v>
      </c>
      <c r="D43" t="str">
        <f ca="1">IFERROR(__xludf.DUMMYFUNCTION("""COMPUTED_VALUE"""),"Catar")</f>
        <v>Catar</v>
      </c>
    </row>
    <row r="44" spans="1:4" ht="15.75" customHeight="1" x14ac:dyDescent="0.15">
      <c r="A44" s="1" t="s">
        <v>561</v>
      </c>
      <c r="B44" t="str">
        <f ca="1">IFERROR(__xludf.DUMMYFUNCTION("split(A44, "";"")"),"kk-kz")</f>
        <v>kk-kz</v>
      </c>
      <c r="C44" t="str">
        <f ca="1">IFERROR(__xludf.DUMMYFUNCTION("""COMPUTED_VALUE"""),"Kazajistán")</f>
        <v>Kazajistán</v>
      </c>
      <c r="D44" t="str">
        <f ca="1">IFERROR(__xludf.DUMMYFUNCTION("""COMPUTED_VALUE"""),"Cazaquistão")</f>
        <v>Cazaquistão</v>
      </c>
    </row>
    <row r="45" spans="1:4" ht="15.75" customHeight="1" x14ac:dyDescent="0.15">
      <c r="A45" s="1" t="s">
        <v>562</v>
      </c>
      <c r="B45" t="str">
        <f ca="1">IFERROR(__xludf.DUMMYFUNCTION("split(A45, "";"")"),"fr-td")</f>
        <v>fr-td</v>
      </c>
      <c r="C45" t="str">
        <f ca="1">IFERROR(__xludf.DUMMYFUNCTION("""COMPUTED_VALUE"""),"Chad")</f>
        <v>Chad</v>
      </c>
      <c r="D45" t="str">
        <f ca="1">IFERROR(__xludf.DUMMYFUNCTION("""COMPUTED_VALUE"""),"Chade")</f>
        <v>Chade</v>
      </c>
    </row>
    <row r="46" spans="1:4" ht="15.75" customHeight="1" x14ac:dyDescent="0.15">
      <c r="A46" s="1" t="s">
        <v>297</v>
      </c>
      <c r="B46" t="str">
        <f ca="1">IFERROR(__xludf.DUMMYFUNCTION("split(A46, "";"")"),"es-cl")</f>
        <v>es-cl</v>
      </c>
      <c r="C46" t="str">
        <f ca="1">IFERROR(__xludf.DUMMYFUNCTION("""COMPUTED_VALUE"""),"Chile")</f>
        <v>Chile</v>
      </c>
      <c r="D46" t="str">
        <f ca="1">IFERROR(__xludf.DUMMYFUNCTION("""COMPUTED_VALUE"""),"Chile")</f>
        <v>Chile</v>
      </c>
    </row>
    <row r="47" spans="1:4" ht="15.75" customHeight="1" x14ac:dyDescent="0.15">
      <c r="A47" s="1" t="s">
        <v>298</v>
      </c>
      <c r="B47" t="str">
        <f ca="1">IFERROR(__xludf.DUMMYFUNCTION("split(A47, "";"")"),"zh-cn")</f>
        <v>zh-cn</v>
      </c>
      <c r="C47" t="str">
        <f ca="1">IFERROR(__xludf.DUMMYFUNCTION("""COMPUTED_VALUE"""),"China")</f>
        <v>China</v>
      </c>
      <c r="D47" t="str">
        <f ca="1">IFERROR(__xludf.DUMMYFUNCTION("""COMPUTED_VALUE"""),"China")</f>
        <v>China</v>
      </c>
    </row>
    <row r="48" spans="1:4" ht="15.75" customHeight="1" x14ac:dyDescent="0.15">
      <c r="A48" s="1" t="s">
        <v>563</v>
      </c>
      <c r="B48" t="str">
        <f ca="1">IFERROR(__xludf.DUMMYFUNCTION("split(A48, "";"")"),"en-cy")</f>
        <v>en-cy</v>
      </c>
      <c r="C48" t="str">
        <f ca="1">IFERROR(__xludf.DUMMYFUNCTION("""COMPUTED_VALUE"""),"Chipre")</f>
        <v>Chipre</v>
      </c>
      <c r="D48" t="str">
        <f ca="1">IFERROR(__xludf.DUMMYFUNCTION("""COMPUTED_VALUE"""),"Chipre")</f>
        <v>Chipre</v>
      </c>
    </row>
    <row r="49" spans="1:4" ht="15.75" customHeight="1" x14ac:dyDescent="0.15">
      <c r="A49" s="1" t="s">
        <v>564</v>
      </c>
      <c r="B49" t="str">
        <f ca="1">IFERROR(__xludf.DUMMYFUNCTION("split(A49, "";"")"),"it-va")</f>
        <v>it-va</v>
      </c>
      <c r="C49" t="str">
        <f ca="1">IFERROR(__xludf.DUMMYFUNCTION("""COMPUTED_VALUE"""),"Ciudad del Vaticano")</f>
        <v>Ciudad del Vaticano</v>
      </c>
      <c r="D49" t="str">
        <f ca="1">IFERROR(__xludf.DUMMYFUNCTION("""COMPUTED_VALUE"""),"Cidade do Vaticano")</f>
        <v>Cidade do Vaticano</v>
      </c>
    </row>
    <row r="50" spans="1:4" ht="15.75" customHeight="1" x14ac:dyDescent="0.15">
      <c r="A50" s="1" t="s">
        <v>301</v>
      </c>
      <c r="B50" t="str">
        <f ca="1">IFERROR(__xludf.DUMMYFUNCTION("split(A50, "";"")"),"es-co")</f>
        <v>es-co</v>
      </c>
      <c r="C50" t="str">
        <f ca="1">IFERROR(__xludf.DUMMYFUNCTION("""COMPUTED_VALUE"""),"Colombia")</f>
        <v>Colombia</v>
      </c>
      <c r="D50" t="str">
        <f ca="1">IFERROR(__xludf.DUMMYFUNCTION("""COMPUTED_VALUE"""),"Colômbia")</f>
        <v>Colômbia</v>
      </c>
    </row>
    <row r="51" spans="1:4" ht="15.75" customHeight="1" x14ac:dyDescent="0.15">
      <c r="A51" s="1" t="s">
        <v>565</v>
      </c>
      <c r="B51" t="str">
        <f ca="1">IFERROR(__xludf.DUMMYFUNCTION("split(A51, "";"")"),"fr-km")</f>
        <v>fr-km</v>
      </c>
      <c r="C51" t="str">
        <f ca="1">IFERROR(__xludf.DUMMYFUNCTION("""COMPUTED_VALUE"""),"Comoras")</f>
        <v>Comoras</v>
      </c>
      <c r="D51" t="str">
        <f ca="1">IFERROR(__xludf.DUMMYFUNCTION("""COMPUTED_VALUE"""),"Comores")</f>
        <v>Comores</v>
      </c>
    </row>
    <row r="52" spans="1:4" ht="15.75" customHeight="1" x14ac:dyDescent="0.15">
      <c r="A52" s="1" t="s">
        <v>303</v>
      </c>
      <c r="B52" t="str">
        <f ca="1">IFERROR(__xludf.DUMMYFUNCTION("split(A52, "";"")"),"fr-cg")</f>
        <v>fr-cg</v>
      </c>
      <c r="C52" t="str">
        <f ca="1">IFERROR(__xludf.DUMMYFUNCTION("""COMPUTED_VALUE"""),"Congo")</f>
        <v>Congo</v>
      </c>
      <c r="D52" t="str">
        <f ca="1">IFERROR(__xludf.DUMMYFUNCTION("""COMPUTED_VALUE"""),"Congo")</f>
        <v>Congo</v>
      </c>
    </row>
    <row r="53" spans="1:4" ht="15.75" customHeight="1" x14ac:dyDescent="0.15">
      <c r="A53" s="1" t="s">
        <v>566</v>
      </c>
      <c r="B53" t="str">
        <f ca="1">IFERROR(__xludf.DUMMYFUNCTION("split(A53, "";"")"),"fr-cd")</f>
        <v>fr-cd</v>
      </c>
      <c r="C53" t="str">
        <f ca="1">IFERROR(__xludf.DUMMYFUNCTION("""COMPUTED_VALUE"""),"Congo (RDC)")</f>
        <v>Congo (RDC)</v>
      </c>
      <c r="D53" t="str">
        <f ca="1">IFERROR(__xludf.DUMMYFUNCTION("""COMPUTED_VALUE"""),"Congo (RDC)")</f>
        <v>Congo (RDC)</v>
      </c>
    </row>
    <row r="54" spans="1:4" ht="15.75" customHeight="1" x14ac:dyDescent="0.15">
      <c r="A54" s="1" t="s">
        <v>567</v>
      </c>
      <c r="B54" t="str">
        <f ca="1">IFERROR(__xludf.DUMMYFUNCTION("split(A54, "";"")"),"ko-kr")</f>
        <v>ko-kr</v>
      </c>
      <c r="C54" t="str">
        <f ca="1">IFERROR(__xludf.DUMMYFUNCTION("""COMPUTED_VALUE"""),"Corea del Sur")</f>
        <v>Corea del Sur</v>
      </c>
      <c r="D54" t="str">
        <f ca="1">IFERROR(__xludf.DUMMYFUNCTION("""COMPUTED_VALUE"""),"Coreia do Sul")</f>
        <v>Coreia do Sul</v>
      </c>
    </row>
    <row r="55" spans="1:4" ht="15.75" customHeight="1" x14ac:dyDescent="0.15">
      <c r="A55" s="1" t="s">
        <v>306</v>
      </c>
      <c r="B55" t="str">
        <f ca="1">IFERROR(__xludf.DUMMYFUNCTION("split(A55, "";"")"),"es-cr")</f>
        <v>es-cr</v>
      </c>
      <c r="C55" t="str">
        <f ca="1">IFERROR(__xludf.DUMMYFUNCTION("""COMPUTED_VALUE"""),"Costa Rica")</f>
        <v>Costa Rica</v>
      </c>
      <c r="D55" t="str">
        <f ca="1">IFERROR(__xludf.DUMMYFUNCTION("""COMPUTED_VALUE"""),"Costa Rica")</f>
        <v>Costa Rica</v>
      </c>
    </row>
    <row r="56" spans="1:4" ht="15.75" customHeight="1" x14ac:dyDescent="0.15">
      <c r="A56" s="1" t="s">
        <v>307</v>
      </c>
      <c r="B56" t="str">
        <f ca="1">IFERROR(__xludf.DUMMYFUNCTION("split(A56, "";"")"),"fr-ci")</f>
        <v>fr-ci</v>
      </c>
      <c r="C56" t="str">
        <f ca="1">IFERROR(__xludf.DUMMYFUNCTION("""COMPUTED_VALUE"""),"Côte d'Ivoire")</f>
        <v>Côte d'Ivoire</v>
      </c>
      <c r="D56" t="str">
        <f ca="1">IFERROR(__xludf.DUMMYFUNCTION("""COMPUTED_VALUE"""),"Côte d'Ivoire")</f>
        <v>Côte d'Ivoire</v>
      </c>
    </row>
    <row r="57" spans="1:4" ht="15.75" customHeight="1" x14ac:dyDescent="0.15">
      <c r="A57" s="1" t="s">
        <v>568</v>
      </c>
      <c r="B57" t="str">
        <f ca="1">IFERROR(__xludf.DUMMYFUNCTION("split(A57, "";"")"),"hr-hr")</f>
        <v>hr-hr</v>
      </c>
      <c r="C57" t="str">
        <f ca="1">IFERROR(__xludf.DUMMYFUNCTION("""COMPUTED_VALUE"""),"Croacia")</f>
        <v>Croacia</v>
      </c>
      <c r="D57" t="str">
        <f ca="1">IFERROR(__xludf.DUMMYFUNCTION("""COMPUTED_VALUE"""),"Croácia")</f>
        <v>Croácia</v>
      </c>
    </row>
    <row r="58" spans="1:4" ht="15.75" customHeight="1" x14ac:dyDescent="0.15">
      <c r="A58" s="1" t="s">
        <v>569</v>
      </c>
      <c r="B58" t="str">
        <f ca="1">IFERROR(__xludf.DUMMYFUNCTION("split(A58, "";"")"),"nl-cw")</f>
        <v>nl-cw</v>
      </c>
      <c r="C58" t="str">
        <f ca="1">IFERROR(__xludf.DUMMYFUNCTION("""COMPUTED_VALUE"""),"Curazao")</f>
        <v>Curazao</v>
      </c>
      <c r="D58" t="str">
        <f ca="1">IFERROR(__xludf.DUMMYFUNCTION("""COMPUTED_VALUE"""),"Curaçao")</f>
        <v>Curaçao</v>
      </c>
    </row>
    <row r="59" spans="1:4" ht="15.75" customHeight="1" x14ac:dyDescent="0.15">
      <c r="A59" s="1" t="s">
        <v>570</v>
      </c>
      <c r="B59" t="str">
        <f ca="1">IFERROR(__xludf.DUMMYFUNCTION("split(A59, "";"")"),"da-dk")</f>
        <v>da-dk</v>
      </c>
      <c r="C59" t="str">
        <f ca="1">IFERROR(__xludf.DUMMYFUNCTION("""COMPUTED_VALUE"""),"Dinamarca")</f>
        <v>Dinamarca</v>
      </c>
      <c r="D59" t="str">
        <f ca="1">IFERROR(__xludf.DUMMYFUNCTION("""COMPUTED_VALUE"""),"Dinamarca")</f>
        <v>Dinamarca</v>
      </c>
    </row>
    <row r="60" spans="1:4" ht="15.75" customHeight="1" x14ac:dyDescent="0.15">
      <c r="A60" s="1" t="s">
        <v>571</v>
      </c>
      <c r="B60" t="str">
        <f ca="1">IFERROR(__xludf.DUMMYFUNCTION("split(A60, "";"")"),"fr-dj")</f>
        <v>fr-dj</v>
      </c>
      <c r="C60" t="str">
        <f ca="1">IFERROR(__xludf.DUMMYFUNCTION("""COMPUTED_VALUE"""),"Yibuti")</f>
        <v>Yibuti</v>
      </c>
      <c r="D60" t="str">
        <f ca="1">IFERROR(__xludf.DUMMYFUNCTION("""COMPUTED_VALUE"""),"Djibuti")</f>
        <v>Djibuti</v>
      </c>
    </row>
    <row r="61" spans="1:4" ht="15.75" customHeight="1" x14ac:dyDescent="0.15">
      <c r="A61" s="1" t="s">
        <v>572</v>
      </c>
      <c r="B61" t="str">
        <f ca="1">IFERROR(__xludf.DUMMYFUNCTION("split(A61, "";"")"),"es-dm")</f>
        <v>es-dm</v>
      </c>
      <c r="C61" t="str">
        <f ca="1">IFERROR(__xludf.DUMMYFUNCTION("""COMPUTED_VALUE"""),"Dominica")</f>
        <v>Dominica</v>
      </c>
      <c r="D61" t="str">
        <f ca="1">IFERROR(__xludf.DUMMYFUNCTION("""COMPUTED_VALUE"""),"Dominica")</f>
        <v>Dominica</v>
      </c>
    </row>
    <row r="62" spans="1:4" ht="15.75" customHeight="1" x14ac:dyDescent="0.15">
      <c r="A62" s="1" t="s">
        <v>573</v>
      </c>
      <c r="B62" t="str">
        <f ca="1">IFERROR(__xludf.DUMMYFUNCTION("split(A62, "";"")"),"ar-eg")</f>
        <v>ar-eg</v>
      </c>
      <c r="C62" t="str">
        <f ca="1">IFERROR(__xludf.DUMMYFUNCTION("""COMPUTED_VALUE"""),"Egipto")</f>
        <v>Egipto</v>
      </c>
      <c r="D62" t="str">
        <f ca="1">IFERROR(__xludf.DUMMYFUNCTION("""COMPUTED_VALUE"""),"Egito")</f>
        <v>Egito</v>
      </c>
    </row>
    <row r="63" spans="1:4" ht="15.75" customHeight="1" x14ac:dyDescent="0.15">
      <c r="A63" s="1" t="s">
        <v>316</v>
      </c>
      <c r="B63" t="str">
        <f ca="1">IFERROR(__xludf.DUMMYFUNCTION("split(A63, "";"")"),"es-sv")</f>
        <v>es-sv</v>
      </c>
      <c r="C63" t="str">
        <f ca="1">IFERROR(__xludf.DUMMYFUNCTION("""COMPUTED_VALUE"""),"El Salvador")</f>
        <v>El Salvador</v>
      </c>
      <c r="D63" t="str">
        <f ca="1">IFERROR(__xludf.DUMMYFUNCTION("""COMPUTED_VALUE"""),"El Salvador")</f>
        <v>El Salvador</v>
      </c>
    </row>
    <row r="64" spans="1:4" ht="15.75" customHeight="1" x14ac:dyDescent="0.15">
      <c r="A64" s="1" t="s">
        <v>574</v>
      </c>
      <c r="B64" t="str">
        <f ca="1">IFERROR(__xludf.DUMMYFUNCTION("split(A64, "";"")"),"ar-ae")</f>
        <v>ar-ae</v>
      </c>
      <c r="C64" t="str">
        <f ca="1">IFERROR(__xludf.DUMMYFUNCTION("""COMPUTED_VALUE"""),"Emiratos Árabes Unidos")</f>
        <v>Emiratos Árabes Unidos</v>
      </c>
      <c r="D64" t="str">
        <f ca="1">IFERROR(__xludf.DUMMYFUNCTION("""COMPUTED_VALUE"""),"Emirados Árabes Unidos")</f>
        <v>Emirados Árabes Unidos</v>
      </c>
    </row>
    <row r="65" spans="1:4" ht="15.75" customHeight="1" x14ac:dyDescent="0.15">
      <c r="A65" s="1" t="s">
        <v>319</v>
      </c>
      <c r="B65" t="str">
        <f ca="1">IFERROR(__xludf.DUMMYFUNCTION("split(A65, "";"")"),"es-ec")</f>
        <v>es-ec</v>
      </c>
      <c r="C65" t="str">
        <f ca="1">IFERROR(__xludf.DUMMYFUNCTION("""COMPUTED_VALUE"""),"Ecuador")</f>
        <v>Ecuador</v>
      </c>
      <c r="D65" t="str">
        <f ca="1">IFERROR(__xludf.DUMMYFUNCTION("""COMPUTED_VALUE"""),"Equador")</f>
        <v>Equador</v>
      </c>
    </row>
    <row r="66" spans="1:4" ht="15.75" customHeight="1" x14ac:dyDescent="0.15">
      <c r="A66" s="1" t="s">
        <v>575</v>
      </c>
      <c r="B66" t="str">
        <f ca="1">IFERROR(__xludf.DUMMYFUNCTION("split(A66, "";"")"),"ti-er")</f>
        <v>ti-er</v>
      </c>
      <c r="C66" t="str">
        <f ca="1">IFERROR(__xludf.DUMMYFUNCTION("""COMPUTED_VALUE"""),"Eritrea")</f>
        <v>Eritrea</v>
      </c>
      <c r="D66" t="str">
        <f ca="1">IFERROR(__xludf.DUMMYFUNCTION("""COMPUTED_VALUE"""),"Eritreia")</f>
        <v>Eritreia</v>
      </c>
    </row>
    <row r="67" spans="1:4" ht="15.75" customHeight="1" x14ac:dyDescent="0.15">
      <c r="A67" s="1" t="s">
        <v>576</v>
      </c>
      <c r="B67" t="str">
        <f ca="1">IFERROR(__xludf.DUMMYFUNCTION("split(A67, "";"")"),"sk-sk")</f>
        <v>sk-sk</v>
      </c>
      <c r="C67" t="str">
        <f ca="1">IFERROR(__xludf.DUMMYFUNCTION("""COMPUTED_VALUE"""),"Eslovaquia")</f>
        <v>Eslovaquia</v>
      </c>
      <c r="D67" t="str">
        <f ca="1">IFERROR(__xludf.DUMMYFUNCTION("""COMPUTED_VALUE"""),"Eslováquia")</f>
        <v>Eslováquia</v>
      </c>
    </row>
    <row r="68" spans="1:4" ht="15.75" customHeight="1" x14ac:dyDescent="0.15">
      <c r="A68" s="1" t="s">
        <v>577</v>
      </c>
      <c r="B68" t="str">
        <f ca="1">IFERROR(__xludf.DUMMYFUNCTION("split(A68, "";"")"),"sl-si")</f>
        <v>sl-si</v>
      </c>
      <c r="C68" t="str">
        <f ca="1">IFERROR(__xludf.DUMMYFUNCTION("""COMPUTED_VALUE"""),"Eslovenia")</f>
        <v>Eslovenia</v>
      </c>
      <c r="D68" t="str">
        <f ca="1">IFERROR(__xludf.DUMMYFUNCTION("""COMPUTED_VALUE"""),"Eslovênia")</f>
        <v>Eslovênia</v>
      </c>
    </row>
    <row r="69" spans="1:4" ht="15.75" customHeight="1" x14ac:dyDescent="0.15">
      <c r="A69" s="1" t="s">
        <v>578</v>
      </c>
      <c r="B69" t="str">
        <f ca="1">IFERROR(__xludf.DUMMYFUNCTION("split(A69, "";"")"),"es-es")</f>
        <v>es-es</v>
      </c>
      <c r="C69" t="str">
        <f ca="1">IFERROR(__xludf.DUMMYFUNCTION("""COMPUTED_VALUE"""),"España")</f>
        <v>España</v>
      </c>
      <c r="D69" t="str">
        <f ca="1">IFERROR(__xludf.DUMMYFUNCTION("""COMPUTED_VALUE"""),"Espanha")</f>
        <v>Espanha</v>
      </c>
    </row>
    <row r="70" spans="1:4" ht="15.75" customHeight="1" x14ac:dyDescent="0.15">
      <c r="A70" s="1" t="s">
        <v>579</v>
      </c>
      <c r="B70" t="str">
        <f ca="1">IFERROR(__xludf.DUMMYFUNCTION("split(A70, "";"")"),"en-sz")</f>
        <v>en-sz</v>
      </c>
      <c r="C70" t="str">
        <f ca="1">IFERROR(__xludf.DUMMYFUNCTION("""COMPUTED_VALUE"""),"Suazilandia")</f>
        <v>Suazilandia</v>
      </c>
      <c r="D70" t="str">
        <f ca="1">IFERROR(__xludf.DUMMYFUNCTION("""COMPUTED_VALUE"""),"Essuatíni")</f>
        <v>Essuatíni</v>
      </c>
    </row>
    <row r="71" spans="1:4" ht="15.75" customHeight="1" x14ac:dyDescent="0.15">
      <c r="A71" s="1" t="s">
        <v>580</v>
      </c>
      <c r="B71" t="str">
        <f ca="1">IFERROR(__xludf.DUMMYFUNCTION("split(A71, "";"")"),"es-us")</f>
        <v>es-us</v>
      </c>
      <c r="C71" t="str">
        <f ca="1">IFERROR(__xludf.DUMMYFUNCTION("""COMPUTED_VALUE"""),"Estados Unidos - Español")</f>
        <v>Estados Unidos - Español</v>
      </c>
      <c r="D71" t="str">
        <f ca="1">IFERROR(__xludf.DUMMYFUNCTION("""COMPUTED_VALUE"""),"Estados Unidos - Espanhol")</f>
        <v>Estados Unidos - Espanhol</v>
      </c>
    </row>
    <row r="72" spans="1:4" ht="15.75" customHeight="1" x14ac:dyDescent="0.15">
      <c r="A72" s="1" t="s">
        <v>581</v>
      </c>
      <c r="B72" t="str">
        <f ca="1">IFERROR(__xludf.DUMMYFUNCTION("split(A72, "";"")"),"en-us")</f>
        <v>en-us</v>
      </c>
      <c r="C72" t="str">
        <f ca="1">IFERROR(__xludf.DUMMYFUNCTION("""COMPUTED_VALUE"""),"Estados Unidos - Inglés")</f>
        <v>Estados Unidos - Inglés</v>
      </c>
      <c r="D72" t="str">
        <f ca="1">IFERROR(__xludf.DUMMYFUNCTION("""COMPUTED_VALUE"""),"Estados Unidos - Inglês")</f>
        <v>Estados Unidos - Inglês</v>
      </c>
    </row>
    <row r="73" spans="1:4" ht="15.75" customHeight="1" x14ac:dyDescent="0.15">
      <c r="A73" s="1" t="s">
        <v>328</v>
      </c>
      <c r="B73" t="str">
        <f ca="1">IFERROR(__xludf.DUMMYFUNCTION("split(A73, "";"")"),"et-ee")</f>
        <v>et-ee</v>
      </c>
      <c r="C73" t="str">
        <f ca="1">IFERROR(__xludf.DUMMYFUNCTION("""COMPUTED_VALUE"""),"Estonia")</f>
        <v>Estonia</v>
      </c>
      <c r="D73" t="str">
        <f ca="1">IFERROR(__xludf.DUMMYFUNCTION("""COMPUTED_VALUE"""),"Estônia")</f>
        <v>Estônia</v>
      </c>
    </row>
    <row r="74" spans="1:4" ht="15.75" customHeight="1" x14ac:dyDescent="0.15">
      <c r="A74" s="1" t="s">
        <v>582</v>
      </c>
      <c r="B74" t="str">
        <f ca="1">IFERROR(__xludf.DUMMYFUNCTION("split(A74, "";"")"),"am-et")</f>
        <v>am-et</v>
      </c>
      <c r="C74" t="str">
        <f ca="1">IFERROR(__xludf.DUMMYFUNCTION("""COMPUTED_VALUE"""),"Etiopía")</f>
        <v>Etiopía</v>
      </c>
      <c r="D74" t="str">
        <f ca="1">IFERROR(__xludf.DUMMYFUNCTION("""COMPUTED_VALUE"""),"Etiópia")</f>
        <v>Etiópia</v>
      </c>
    </row>
    <row r="75" spans="1:4" ht="15.75" customHeight="1" x14ac:dyDescent="0.15">
      <c r="A75" s="1" t="s">
        <v>583</v>
      </c>
      <c r="B75" t="str">
        <f ca="1">IFERROR(__xludf.DUMMYFUNCTION("split(A75, "";"")"),"en-fj")</f>
        <v>en-fj</v>
      </c>
      <c r="C75" t="str">
        <f ca="1">IFERROR(__xludf.DUMMYFUNCTION("""COMPUTED_VALUE"""),"Fiyi")</f>
        <v>Fiyi</v>
      </c>
      <c r="D75" t="str">
        <f ca="1">IFERROR(__xludf.DUMMYFUNCTION("""COMPUTED_VALUE"""),"Fiji")</f>
        <v>Fiji</v>
      </c>
    </row>
    <row r="76" spans="1:4" ht="15.75" customHeight="1" x14ac:dyDescent="0.15">
      <c r="A76" s="1" t="s">
        <v>584</v>
      </c>
      <c r="B76" t="str">
        <f ca="1">IFERROR(__xludf.DUMMYFUNCTION("split(A76, "";"")"),"en-ph")</f>
        <v>en-ph</v>
      </c>
      <c r="C76" t="str">
        <f ca="1">IFERROR(__xludf.DUMMYFUNCTION("""COMPUTED_VALUE"""),"Filipinas")</f>
        <v>Filipinas</v>
      </c>
      <c r="D76" t="str">
        <f ca="1">IFERROR(__xludf.DUMMYFUNCTION("""COMPUTED_VALUE"""),"Filipinas")</f>
        <v>Filipinas</v>
      </c>
    </row>
    <row r="77" spans="1:4" ht="15.75" customHeight="1" x14ac:dyDescent="0.15">
      <c r="A77" s="1" t="s">
        <v>585</v>
      </c>
      <c r="B77" t="str">
        <f ca="1">IFERROR(__xludf.DUMMYFUNCTION("split(A77, "";"")"),"fi-fi")</f>
        <v>fi-fi</v>
      </c>
      <c r="C77" t="str">
        <f ca="1">IFERROR(__xludf.DUMMYFUNCTION("""COMPUTED_VALUE"""),"Finlandia")</f>
        <v>Finlandia</v>
      </c>
      <c r="D77" t="str">
        <f ca="1">IFERROR(__xludf.DUMMYFUNCTION("""COMPUTED_VALUE"""),"Finlândia")</f>
        <v>Finlândia</v>
      </c>
    </row>
    <row r="78" spans="1:4" ht="15.75" customHeight="1" x14ac:dyDescent="0.15">
      <c r="A78" s="1" t="s">
        <v>586</v>
      </c>
      <c r="B78" t="str">
        <f ca="1">IFERROR(__xludf.DUMMYFUNCTION("split(A78, "";"")"),"fr-fr")</f>
        <v>fr-fr</v>
      </c>
      <c r="C78" t="str">
        <f ca="1">IFERROR(__xludf.DUMMYFUNCTION("""COMPUTED_VALUE"""),"Francia")</f>
        <v>Francia</v>
      </c>
      <c r="D78" t="str">
        <f ca="1">IFERROR(__xludf.DUMMYFUNCTION("""COMPUTED_VALUE"""),"França")</f>
        <v>França</v>
      </c>
    </row>
    <row r="79" spans="1:4" ht="15.75" customHeight="1" x14ac:dyDescent="0.15">
      <c r="A79" s="1" t="s">
        <v>587</v>
      </c>
      <c r="B79" t="str">
        <f ca="1">IFERROR(__xludf.DUMMYFUNCTION("split(A79, "";"")"),"fr-ga")</f>
        <v>fr-ga</v>
      </c>
      <c r="C79" t="str">
        <f ca="1">IFERROR(__xludf.DUMMYFUNCTION("""COMPUTED_VALUE"""),"Gabón")</f>
        <v>Gabón</v>
      </c>
      <c r="D79" t="str">
        <f ca="1">IFERROR(__xludf.DUMMYFUNCTION("""COMPUTED_VALUE"""),"Gabão")</f>
        <v>Gabão</v>
      </c>
    </row>
    <row r="80" spans="1:4" ht="15.75" customHeight="1" x14ac:dyDescent="0.15">
      <c r="A80" s="1" t="s">
        <v>335</v>
      </c>
      <c r="B80" t="str">
        <f ca="1">IFERROR(__xludf.DUMMYFUNCTION("split(A80, "";"")"),"en-gm")</f>
        <v>en-gm</v>
      </c>
      <c r="C80" t="str">
        <f ca="1">IFERROR(__xludf.DUMMYFUNCTION("""COMPUTED_VALUE"""),"Gambia")</f>
        <v>Gambia</v>
      </c>
      <c r="D80" t="str">
        <f ca="1">IFERROR(__xludf.DUMMYFUNCTION("""COMPUTED_VALUE"""),"Gâmbia")</f>
        <v>Gâmbia</v>
      </c>
    </row>
    <row r="81" spans="1:4" ht="15.75" customHeight="1" x14ac:dyDescent="0.15">
      <c r="A81" s="1" t="s">
        <v>336</v>
      </c>
      <c r="B81" t="str">
        <f ca="1">IFERROR(__xludf.DUMMYFUNCTION("split(A81, "";"")"),"en-gh")</f>
        <v>en-gh</v>
      </c>
      <c r="C81" t="str">
        <f ca="1">IFERROR(__xludf.DUMMYFUNCTION("""COMPUTED_VALUE"""),"Ghana")</f>
        <v>Ghana</v>
      </c>
      <c r="D81" t="str">
        <f ca="1">IFERROR(__xludf.DUMMYFUNCTION("""COMPUTED_VALUE"""),"Gana")</f>
        <v>Gana</v>
      </c>
    </row>
    <row r="82" spans="1:4" ht="15.75" customHeight="1" x14ac:dyDescent="0.15">
      <c r="A82" s="1" t="s">
        <v>337</v>
      </c>
      <c r="B82" t="str">
        <f ca="1">IFERROR(__xludf.DUMMYFUNCTION("split(A82, "";"")"),"ka-ge")</f>
        <v>ka-ge</v>
      </c>
      <c r="C82" t="str">
        <f ca="1">IFERROR(__xludf.DUMMYFUNCTION("""COMPUTED_VALUE"""),"Georgia")</f>
        <v>Georgia</v>
      </c>
      <c r="D82" t="str">
        <f ca="1">IFERROR(__xludf.DUMMYFUNCTION("""COMPUTED_VALUE"""),"Geórgia")</f>
        <v>Geórgia</v>
      </c>
    </row>
    <row r="83" spans="1:4" ht="15.75" customHeight="1" x14ac:dyDescent="0.15">
      <c r="A83" s="1" t="s">
        <v>338</v>
      </c>
      <c r="B83" t="str">
        <f ca="1">IFERROR(__xludf.DUMMYFUNCTION("split(A83, "";"")"),"en-gi")</f>
        <v>en-gi</v>
      </c>
      <c r="C83" t="str">
        <f ca="1">IFERROR(__xludf.DUMMYFUNCTION("""COMPUTED_VALUE"""),"Gibraltar")</f>
        <v>Gibraltar</v>
      </c>
      <c r="D83" t="str">
        <f ca="1">IFERROR(__xludf.DUMMYFUNCTION("""COMPUTED_VALUE"""),"Gibraltar")</f>
        <v>Gibraltar</v>
      </c>
    </row>
    <row r="84" spans="1:4" ht="15.75" customHeight="1" x14ac:dyDescent="0.15">
      <c r="A84" s="1" t="s">
        <v>588</v>
      </c>
      <c r="B84" t="str">
        <f ca="1">IFERROR(__xludf.DUMMYFUNCTION("split(A84, "";"")"),"en-gd")</f>
        <v>en-gd</v>
      </c>
      <c r="C84" t="str">
        <f ca="1">IFERROR(__xludf.DUMMYFUNCTION("""COMPUTED_VALUE"""),"Granada")</f>
        <v>Granada</v>
      </c>
      <c r="D84" t="str">
        <f ca="1">IFERROR(__xludf.DUMMYFUNCTION("""COMPUTED_VALUE"""),"Granada")</f>
        <v>Granada</v>
      </c>
    </row>
    <row r="85" spans="1:4" ht="15.75" customHeight="1" x14ac:dyDescent="0.15">
      <c r="A85" s="1" t="s">
        <v>589</v>
      </c>
      <c r="B85" t="str">
        <f ca="1">IFERROR(__xludf.DUMMYFUNCTION("split(A85, "";"")"),"el-gr")</f>
        <v>el-gr</v>
      </c>
      <c r="C85" t="str">
        <f ca="1">IFERROR(__xludf.DUMMYFUNCTION("""COMPUTED_VALUE"""),"Grecia")</f>
        <v>Grecia</v>
      </c>
      <c r="D85" t="str">
        <f ca="1">IFERROR(__xludf.DUMMYFUNCTION("""COMPUTED_VALUE"""),"Grécia")</f>
        <v>Grécia</v>
      </c>
    </row>
    <row r="86" spans="1:4" ht="15.75" customHeight="1" x14ac:dyDescent="0.15">
      <c r="A86" s="1" t="s">
        <v>590</v>
      </c>
      <c r="B86" t="str">
        <f ca="1">IFERROR(__xludf.DUMMYFUNCTION("split(A86, "";"")"),"kl-gl")</f>
        <v>kl-gl</v>
      </c>
      <c r="C86" t="str">
        <f ca="1">IFERROR(__xludf.DUMMYFUNCTION("""COMPUTED_VALUE"""),"Groenlandia")</f>
        <v>Groenlandia</v>
      </c>
      <c r="D86" t="str">
        <f ca="1">IFERROR(__xludf.DUMMYFUNCTION("""COMPUTED_VALUE"""),"Groenlândia")</f>
        <v>Groenlândia</v>
      </c>
    </row>
    <row r="87" spans="1:4" ht="15.75" customHeight="1" x14ac:dyDescent="0.15">
      <c r="A87" s="1" t="s">
        <v>591</v>
      </c>
      <c r="B87" t="str">
        <f ca="1">IFERROR(__xludf.DUMMYFUNCTION("split(A87, "";"")"),"fr-gp")</f>
        <v>fr-gp</v>
      </c>
      <c r="C87" t="str">
        <f ca="1">IFERROR(__xludf.DUMMYFUNCTION("""COMPUTED_VALUE"""),"Guadalupe")</f>
        <v>Guadalupe</v>
      </c>
      <c r="D87" t="str">
        <f ca="1">IFERROR(__xludf.DUMMYFUNCTION("""COMPUTED_VALUE"""),"Guadalupe")</f>
        <v>Guadalupe</v>
      </c>
    </row>
    <row r="88" spans="1:4" ht="15.75" customHeight="1" x14ac:dyDescent="0.15">
      <c r="A88" s="1" t="s">
        <v>344</v>
      </c>
      <c r="B88" t="str">
        <f ca="1">IFERROR(__xludf.DUMMYFUNCTION("split(A88, "";"")"),"en-gu")</f>
        <v>en-gu</v>
      </c>
      <c r="C88" t="str">
        <f ca="1">IFERROR(__xludf.DUMMYFUNCTION("""COMPUTED_VALUE"""),"Guam")</f>
        <v>Guam</v>
      </c>
      <c r="D88" t="str">
        <f ca="1">IFERROR(__xludf.DUMMYFUNCTION("""COMPUTED_VALUE"""),"Guam")</f>
        <v>Guam</v>
      </c>
    </row>
    <row r="89" spans="1:4" ht="15.75" customHeight="1" x14ac:dyDescent="0.15">
      <c r="A89" s="1" t="s">
        <v>345</v>
      </c>
      <c r="B89" t="str">
        <f ca="1">IFERROR(__xludf.DUMMYFUNCTION("split(A89, "";"")"),"es-gt")</f>
        <v>es-gt</v>
      </c>
      <c r="C89" t="str">
        <f ca="1">IFERROR(__xludf.DUMMYFUNCTION("""COMPUTED_VALUE"""),"Guatemala")</f>
        <v>Guatemala</v>
      </c>
      <c r="D89" t="str">
        <f ca="1">IFERROR(__xludf.DUMMYFUNCTION("""COMPUTED_VALUE"""),"Guatemala")</f>
        <v>Guatemala</v>
      </c>
    </row>
    <row r="90" spans="1:4" ht="15.75" customHeight="1" x14ac:dyDescent="0.15">
      <c r="A90" s="1" t="s">
        <v>592</v>
      </c>
      <c r="B90" t="str">
        <f ca="1">IFERROR(__xludf.DUMMYFUNCTION("split(A90, "";"")"),"en-gg")</f>
        <v>en-gg</v>
      </c>
      <c r="C90" t="str">
        <f ca="1">IFERROR(__xludf.DUMMYFUNCTION("""COMPUTED_VALUE"""),"Guernesey")</f>
        <v>Guernesey</v>
      </c>
      <c r="D90" t="str">
        <f ca="1">IFERROR(__xludf.DUMMYFUNCTION("""COMPUTED_VALUE"""),"Guernsey")</f>
        <v>Guernsey</v>
      </c>
    </row>
    <row r="91" spans="1:4" ht="15.75" customHeight="1" x14ac:dyDescent="0.15">
      <c r="A91" s="1" t="s">
        <v>347</v>
      </c>
      <c r="B91" t="str">
        <f ca="1">IFERROR(__xludf.DUMMYFUNCTION("split(A91, "";"")"),"en-gy")</f>
        <v>en-gy</v>
      </c>
      <c r="C91" t="str">
        <f ca="1">IFERROR(__xludf.DUMMYFUNCTION("""COMPUTED_VALUE"""),"Guyana")</f>
        <v>Guyana</v>
      </c>
      <c r="D91" t="str">
        <f ca="1">IFERROR(__xludf.DUMMYFUNCTION("""COMPUTED_VALUE"""),"Guiana")</f>
        <v>Guiana</v>
      </c>
    </row>
    <row r="92" spans="1:4" ht="15.75" customHeight="1" x14ac:dyDescent="0.15">
      <c r="A92" s="1" t="s">
        <v>593</v>
      </c>
      <c r="B92" t="str">
        <f ca="1">IFERROR(__xludf.DUMMYFUNCTION("split(A92, "";"")"),"fr-gf")</f>
        <v>fr-gf</v>
      </c>
      <c r="C92" t="str">
        <f ca="1">IFERROR(__xludf.DUMMYFUNCTION("""COMPUTED_VALUE"""),"Guayana Francesa")</f>
        <v>Guayana Francesa</v>
      </c>
      <c r="D92" t="str">
        <f ca="1">IFERROR(__xludf.DUMMYFUNCTION("""COMPUTED_VALUE"""),"Guiana Francesa")</f>
        <v>Guiana Francesa</v>
      </c>
    </row>
    <row r="93" spans="1:4" ht="15.75" customHeight="1" x14ac:dyDescent="0.15">
      <c r="A93" s="1" t="s">
        <v>594</v>
      </c>
      <c r="B93" t="str">
        <f ca="1">IFERROR(__xludf.DUMMYFUNCTION("split(A93, "";"")"),"fr-gn")</f>
        <v>fr-gn</v>
      </c>
      <c r="C93" t="str">
        <f ca="1">IFERROR(__xludf.DUMMYFUNCTION("""COMPUTED_VALUE"""),"Guinea")</f>
        <v>Guinea</v>
      </c>
      <c r="D93" t="str">
        <f ca="1">IFERROR(__xludf.DUMMYFUNCTION("""COMPUTED_VALUE"""),"Guiné")</f>
        <v>Guiné</v>
      </c>
    </row>
    <row r="94" spans="1:4" ht="15.75" customHeight="1" x14ac:dyDescent="0.15">
      <c r="A94" s="1" t="s">
        <v>595</v>
      </c>
      <c r="B94" t="str">
        <f ca="1">IFERROR(__xludf.DUMMYFUNCTION("split(A94, "";"")"),"es-gq")</f>
        <v>es-gq</v>
      </c>
      <c r="C94" t="str">
        <f ca="1">IFERROR(__xludf.DUMMYFUNCTION("""COMPUTED_VALUE"""),"Guinea Ecuatorial")</f>
        <v>Guinea Ecuatorial</v>
      </c>
      <c r="D94" t="str">
        <f ca="1">IFERROR(__xludf.DUMMYFUNCTION("""COMPUTED_VALUE"""),"Guiné Equatorial")</f>
        <v>Guiné Equatorial</v>
      </c>
    </row>
    <row r="95" spans="1:4" ht="15.75" customHeight="1" x14ac:dyDescent="0.15">
      <c r="A95" s="1" t="s">
        <v>596</v>
      </c>
      <c r="B95" t="str">
        <f ca="1">IFERROR(__xludf.DUMMYFUNCTION("split(A95, "";"")"),"pt-gw")</f>
        <v>pt-gw</v>
      </c>
      <c r="C95" t="str">
        <f ca="1">IFERROR(__xludf.DUMMYFUNCTION("""COMPUTED_VALUE"""),"Guinea-Bisáu")</f>
        <v>Guinea-Bisáu</v>
      </c>
      <c r="D95" t="str">
        <f ca="1">IFERROR(__xludf.DUMMYFUNCTION("""COMPUTED_VALUE"""),"Guiné-Bissau")</f>
        <v>Guiné-Bissau</v>
      </c>
    </row>
    <row r="96" spans="1:4" ht="15.75" customHeight="1" x14ac:dyDescent="0.15">
      <c r="A96" s="1" t="s">
        <v>597</v>
      </c>
      <c r="B96" t="str">
        <f ca="1">IFERROR(__xludf.DUMMYFUNCTION("split(A96, "";"")"),"fr-ht")</f>
        <v>fr-ht</v>
      </c>
      <c r="C96" t="str">
        <f ca="1">IFERROR(__xludf.DUMMYFUNCTION("""COMPUTED_VALUE"""),"Haití")</f>
        <v>Haití</v>
      </c>
      <c r="D96" t="str">
        <f ca="1">IFERROR(__xludf.DUMMYFUNCTION("""COMPUTED_VALUE"""),"Haiti")</f>
        <v>Haiti</v>
      </c>
    </row>
    <row r="97" spans="1:4" ht="15.75" customHeight="1" x14ac:dyDescent="0.15">
      <c r="A97" s="1" t="s">
        <v>356</v>
      </c>
      <c r="B97" t="str">
        <f ca="1">IFERROR(__xludf.DUMMYFUNCTION("split(A97, "";"")"),"es-hn")</f>
        <v>es-hn</v>
      </c>
      <c r="C97" t="str">
        <f ca="1">IFERROR(__xludf.DUMMYFUNCTION("""COMPUTED_VALUE"""),"Honduras")</f>
        <v>Honduras</v>
      </c>
      <c r="D97" t="str">
        <f ca="1">IFERROR(__xludf.DUMMYFUNCTION("""COMPUTED_VALUE"""),"Honduras")</f>
        <v>Honduras</v>
      </c>
    </row>
    <row r="98" spans="1:4" ht="15.75" customHeight="1" x14ac:dyDescent="0.15">
      <c r="A98" s="1" t="s">
        <v>598</v>
      </c>
      <c r="B98" t="str">
        <f ca="1">IFERROR(__xludf.DUMMYFUNCTION("split(A98, "";"")"),"hu-hu")</f>
        <v>hu-hu</v>
      </c>
      <c r="C98" t="str">
        <f ca="1">IFERROR(__xludf.DUMMYFUNCTION("""COMPUTED_VALUE"""),"Hungría")</f>
        <v>Hungría</v>
      </c>
      <c r="D98" t="str">
        <f ca="1">IFERROR(__xludf.DUMMYFUNCTION("""COMPUTED_VALUE"""),"Hungria")</f>
        <v>Hungria</v>
      </c>
    </row>
    <row r="99" spans="1:4" ht="15.75" customHeight="1" x14ac:dyDescent="0.15">
      <c r="A99" s="1" t="s">
        <v>599</v>
      </c>
      <c r="B99" t="str">
        <f ca="1">IFERROR(__xludf.DUMMYFUNCTION("split(A99, "";"")"),"ar-ye")</f>
        <v>ar-ye</v>
      </c>
      <c r="C99" t="str">
        <f ca="1">IFERROR(__xludf.DUMMYFUNCTION("""COMPUTED_VALUE"""),"Yemen")</f>
        <v>Yemen</v>
      </c>
      <c r="D99" t="str">
        <f ca="1">IFERROR(__xludf.DUMMYFUNCTION("""COMPUTED_VALUE"""),"Iêmen")</f>
        <v>Iêmen</v>
      </c>
    </row>
    <row r="100" spans="1:4" ht="15.75" customHeight="1" x14ac:dyDescent="0.15">
      <c r="A100" s="1" t="s">
        <v>600</v>
      </c>
      <c r="B100" t="str">
        <f ca="1">IFERROR(__xludf.DUMMYFUNCTION("split(A100, "";"")"),"en-cx")</f>
        <v>en-cx</v>
      </c>
      <c r="C100" t="str">
        <f ca="1">IFERROR(__xludf.DUMMYFUNCTION("""COMPUTED_VALUE"""),"Isla Christmas")</f>
        <v>Isla Christmas</v>
      </c>
      <c r="D100" t="str">
        <f ca="1">IFERROR(__xludf.DUMMYFUNCTION("""COMPUTED_VALUE"""),"Ilha Christmas")</f>
        <v>Ilha Christmas</v>
      </c>
    </row>
    <row r="101" spans="1:4" ht="15.75" customHeight="1" x14ac:dyDescent="0.15">
      <c r="A101" s="1" t="s">
        <v>601</v>
      </c>
      <c r="B101" t="str">
        <f ca="1">IFERROR(__xludf.DUMMYFUNCTION("split(A101, "";"")"),"en-nf")</f>
        <v>en-nf</v>
      </c>
      <c r="C101" t="str">
        <f ca="1">IFERROR(__xludf.DUMMYFUNCTION("""COMPUTED_VALUE"""),"Isla Norfolk")</f>
        <v>Isla Norfolk</v>
      </c>
      <c r="D101" t="str">
        <f ca="1">IFERROR(__xludf.DUMMYFUNCTION("""COMPUTED_VALUE"""),"Ilha Norfolk")</f>
        <v>Ilha Norfolk</v>
      </c>
    </row>
    <row r="102" spans="1:4" ht="15.75" customHeight="1" x14ac:dyDescent="0.15">
      <c r="A102" s="1" t="s">
        <v>602</v>
      </c>
      <c r="B102" t="str">
        <f ca="1">IFERROR(__xludf.DUMMYFUNCTION("split(A102, "";"")"),"en-ky")</f>
        <v>en-ky</v>
      </c>
      <c r="C102" t="str">
        <f ca="1">IFERROR(__xludf.DUMMYFUNCTION("""COMPUTED_VALUE"""),"Islas Caimán")</f>
        <v>Islas Caimán</v>
      </c>
      <c r="D102" t="str">
        <f ca="1">IFERROR(__xludf.DUMMYFUNCTION("""COMPUTED_VALUE"""),"Ilhas Cayman")</f>
        <v>Ilhas Cayman</v>
      </c>
    </row>
    <row r="103" spans="1:4" ht="15.75" customHeight="1" x14ac:dyDescent="0.15">
      <c r="A103" s="1" t="s">
        <v>603</v>
      </c>
      <c r="B103" t="str">
        <f ca="1">IFERROR(__xludf.DUMMYFUNCTION("split(A103, "";"")"),"en-cc")</f>
        <v>en-cc</v>
      </c>
      <c r="C103" t="str">
        <f ca="1">IFERROR(__xludf.DUMMYFUNCTION("""COMPUTED_VALUE"""),"Islas Cocos")</f>
        <v>Islas Cocos</v>
      </c>
      <c r="D103" t="str">
        <f ca="1">IFERROR(__xludf.DUMMYFUNCTION("""COMPUTED_VALUE"""),"Ilhas Cocos (Keeling)")</f>
        <v>Ilhas Cocos (Keeling)</v>
      </c>
    </row>
    <row r="104" spans="1:4" ht="15.75" customHeight="1" x14ac:dyDescent="0.15">
      <c r="A104" s="1" t="s">
        <v>604</v>
      </c>
      <c r="B104" t="str">
        <f ca="1">IFERROR(__xludf.DUMMYFUNCTION("split(A104, "";"")"),"en-ck")</f>
        <v>en-ck</v>
      </c>
      <c r="C104" t="str">
        <f ca="1">IFERROR(__xludf.DUMMYFUNCTION("""COMPUTED_VALUE"""),"Islas Cook")</f>
        <v>Islas Cook</v>
      </c>
      <c r="D104" t="str">
        <f ca="1">IFERROR(__xludf.DUMMYFUNCTION("""COMPUTED_VALUE"""),"Ilhas Cook")</f>
        <v>Ilhas Cook</v>
      </c>
    </row>
    <row r="105" spans="1:4" ht="15.75" customHeight="1" x14ac:dyDescent="0.15">
      <c r="A105" s="1" t="s">
        <v>605</v>
      </c>
      <c r="B105" t="str">
        <f ca="1">IFERROR(__xludf.DUMMYFUNCTION("split(A105, "";"")"),"fo-fo")</f>
        <v>fo-fo</v>
      </c>
      <c r="C105" t="str">
        <f ca="1">IFERROR(__xludf.DUMMYFUNCTION("""COMPUTED_VALUE"""),"Islas Feroe")</f>
        <v>Islas Feroe</v>
      </c>
      <c r="D105" t="str">
        <f ca="1">IFERROR(__xludf.DUMMYFUNCTION("""COMPUTED_VALUE"""),"Ilhas Faroe")</f>
        <v>Ilhas Faroe</v>
      </c>
    </row>
    <row r="106" spans="1:4" ht="15.75" customHeight="1" x14ac:dyDescent="0.15">
      <c r="A106" s="1" t="s">
        <v>606</v>
      </c>
      <c r="B106" t="str">
        <f ca="1">IFERROR(__xludf.DUMMYFUNCTION("split(A106, "";"")"),"en-fk")</f>
        <v>en-fk</v>
      </c>
      <c r="C106" t="str">
        <f ca="1">IFERROR(__xludf.DUMMYFUNCTION("""COMPUTED_VALUE"""),"Islas Malvinas")</f>
        <v>Islas Malvinas</v>
      </c>
      <c r="D106" t="str">
        <f ca="1">IFERROR(__xludf.DUMMYFUNCTION("""COMPUTED_VALUE"""),"Ilhas Malvinas")</f>
        <v>Ilhas Malvinas</v>
      </c>
    </row>
    <row r="107" spans="1:4" ht="15.75" customHeight="1" x14ac:dyDescent="0.15">
      <c r="A107" s="1" t="s">
        <v>607</v>
      </c>
      <c r="B107" t="str">
        <f ca="1">IFERROR(__xludf.DUMMYFUNCTION("split(A107, "";"")"),"en-mp")</f>
        <v>en-mp</v>
      </c>
      <c r="C107" t="str">
        <f ca="1">IFERROR(__xludf.DUMMYFUNCTION("""COMPUTED_VALUE"""),"Islas Marianas del Norte")</f>
        <v>Islas Marianas del Norte</v>
      </c>
      <c r="D107" t="str">
        <f ca="1">IFERROR(__xludf.DUMMYFUNCTION("""COMPUTED_VALUE"""),"Ilhas Marianas do Norte")</f>
        <v>Ilhas Marianas do Norte</v>
      </c>
    </row>
    <row r="108" spans="1:4" ht="15.75" customHeight="1" x14ac:dyDescent="0.15">
      <c r="A108" s="1" t="s">
        <v>608</v>
      </c>
      <c r="B108" t="str">
        <f ca="1">IFERROR(__xludf.DUMMYFUNCTION("split(A108, "";"")"),"en-mh")</f>
        <v>en-mh</v>
      </c>
      <c r="C108" t="str">
        <f ca="1">IFERROR(__xludf.DUMMYFUNCTION("""COMPUTED_VALUE"""),"Islas Marshall")</f>
        <v>Islas Marshall</v>
      </c>
      <c r="D108" t="str">
        <f ca="1">IFERROR(__xludf.DUMMYFUNCTION("""COMPUTED_VALUE"""),"Ilhas Marshall")</f>
        <v>Ilhas Marshall</v>
      </c>
    </row>
    <row r="109" spans="1:4" ht="15.75" customHeight="1" x14ac:dyDescent="0.15">
      <c r="A109" s="1" t="s">
        <v>609</v>
      </c>
      <c r="B109" t="str">
        <f ca="1">IFERROR(__xludf.DUMMYFUNCTION("split(A109, "";"")"),"en-pn")</f>
        <v>en-pn</v>
      </c>
      <c r="C109" t="str">
        <f ca="1">IFERROR(__xludf.DUMMYFUNCTION("""COMPUTED_VALUE"""),"Islas Pitcairn")</f>
        <v>Islas Pitcairn</v>
      </c>
      <c r="D109" t="str">
        <f ca="1">IFERROR(__xludf.DUMMYFUNCTION("""COMPUTED_VALUE"""),"Ilhas Pitcairn")</f>
        <v>Ilhas Pitcairn</v>
      </c>
    </row>
    <row r="110" spans="1:4" ht="15.75" customHeight="1" x14ac:dyDescent="0.15">
      <c r="A110" s="1" t="s">
        <v>610</v>
      </c>
      <c r="B110" t="str">
        <f ca="1">IFERROR(__xludf.DUMMYFUNCTION("split(A110, "";"")"),"en-sb")</f>
        <v>en-sb</v>
      </c>
      <c r="C110" t="str">
        <f ca="1">IFERROR(__xludf.DUMMYFUNCTION("""COMPUTED_VALUE"""),"Islas Salomón")</f>
        <v>Islas Salomón</v>
      </c>
      <c r="D110" t="str">
        <f ca="1">IFERROR(__xludf.DUMMYFUNCTION("""COMPUTED_VALUE"""),"Ilhas Salomão")</f>
        <v>Ilhas Salomão</v>
      </c>
    </row>
    <row r="111" spans="1:4" ht="15.75" customHeight="1" x14ac:dyDescent="0.15">
      <c r="A111" s="1" t="s">
        <v>611</v>
      </c>
      <c r="B111" t="str">
        <f ca="1">IFERROR(__xludf.DUMMYFUNCTION("split(A111, "";"")"),"en-tc")</f>
        <v>en-tc</v>
      </c>
      <c r="C111" t="str">
        <f ca="1">IFERROR(__xludf.DUMMYFUNCTION("""COMPUTED_VALUE"""),"Islas Turcas y Caicos")</f>
        <v>Islas Turcas y Caicos</v>
      </c>
      <c r="D111" t="str">
        <f ca="1">IFERROR(__xludf.DUMMYFUNCTION("""COMPUTED_VALUE"""),"Ilhas Turcas e Caicos")</f>
        <v>Ilhas Turcas e Caicos</v>
      </c>
    </row>
    <row r="112" spans="1:4" ht="15.75" customHeight="1" x14ac:dyDescent="0.15">
      <c r="A112" s="1" t="s">
        <v>612</v>
      </c>
      <c r="B112" t="str">
        <f ca="1">IFERROR(__xludf.DUMMYFUNCTION("split(A112, "";"")"),"en-vi")</f>
        <v>en-vi</v>
      </c>
      <c r="C112" t="str">
        <f ca="1">IFERROR(__xludf.DUMMYFUNCTION("""COMPUTED_VALUE"""),"Islas Vírgenes de EE. UU.")</f>
        <v>Islas Vírgenes de EE. UU.</v>
      </c>
      <c r="D112" t="str">
        <f ca="1">IFERROR(__xludf.DUMMYFUNCTION("""COMPUTED_VALUE"""),"Ilhas Virgens Americanas")</f>
        <v>Ilhas Virgens Americanas</v>
      </c>
    </row>
    <row r="113" spans="1:4" ht="15.75" customHeight="1" x14ac:dyDescent="0.15">
      <c r="A113" s="1" t="s">
        <v>613</v>
      </c>
      <c r="B113" t="str">
        <f ca="1">IFERROR(__xludf.DUMMYFUNCTION("split(A113, "";"")"),"en-vg")</f>
        <v>en-vg</v>
      </c>
      <c r="C113" t="str">
        <f ca="1">IFERROR(__xludf.DUMMYFUNCTION("""COMPUTED_VALUE"""),"Islas Vírgenes Británicas")</f>
        <v>Islas Vírgenes Británicas</v>
      </c>
      <c r="D113" t="str">
        <f ca="1">IFERROR(__xludf.DUMMYFUNCTION("""COMPUTED_VALUE"""),"Ilhas Virgens Britânicas")</f>
        <v>Ilhas Virgens Britânicas</v>
      </c>
    </row>
    <row r="114" spans="1:4" ht="15.75" customHeight="1" x14ac:dyDescent="0.15">
      <c r="A114" s="1" t="s">
        <v>375</v>
      </c>
      <c r="B114" t="str">
        <f ca="1">IFERROR(__xludf.DUMMYFUNCTION("split(A114, "";"")"),"en-in")</f>
        <v>en-in</v>
      </c>
      <c r="C114" t="str">
        <f ca="1">IFERROR(__xludf.DUMMYFUNCTION("""COMPUTED_VALUE"""),"India")</f>
        <v>India</v>
      </c>
      <c r="D114" t="str">
        <f ca="1">IFERROR(__xludf.DUMMYFUNCTION("""COMPUTED_VALUE"""),"Índia")</f>
        <v>Índia</v>
      </c>
    </row>
    <row r="115" spans="1:4" ht="15.75" customHeight="1" x14ac:dyDescent="0.15">
      <c r="A115" s="1" t="s">
        <v>614</v>
      </c>
      <c r="B115" t="str">
        <f ca="1">IFERROR(__xludf.DUMMYFUNCTION("split(A115, "";"")"),"id-id")</f>
        <v>id-id</v>
      </c>
      <c r="C115" t="str">
        <f ca="1">IFERROR(__xludf.DUMMYFUNCTION("""COMPUTED_VALUE"""),"Indonesia")</f>
        <v>Indonesia</v>
      </c>
      <c r="D115" t="str">
        <f ca="1">IFERROR(__xludf.DUMMYFUNCTION("""COMPUTED_VALUE"""),"Indonésia")</f>
        <v>Indonésia</v>
      </c>
    </row>
    <row r="116" spans="1:4" ht="15.75" customHeight="1" x14ac:dyDescent="0.15">
      <c r="A116" s="1" t="s">
        <v>615</v>
      </c>
      <c r="B116" t="str">
        <f ca="1">IFERROR(__xludf.DUMMYFUNCTION("split(A116, "";"")"),"fa-ir")</f>
        <v>fa-ir</v>
      </c>
      <c r="C116" t="str">
        <f ca="1">IFERROR(__xludf.DUMMYFUNCTION("""COMPUTED_VALUE"""),"Irán")</f>
        <v>Irán</v>
      </c>
      <c r="D116" t="str">
        <f ca="1">IFERROR(__xludf.DUMMYFUNCTION("""COMPUTED_VALUE"""),"Irã")</f>
        <v>Irã</v>
      </c>
    </row>
    <row r="117" spans="1:4" ht="15.75" customHeight="1" x14ac:dyDescent="0.15">
      <c r="A117" s="1" t="s">
        <v>616</v>
      </c>
      <c r="B117" t="str">
        <f ca="1">IFERROR(__xludf.DUMMYFUNCTION("split(A117, "";"")"),"ar-iq")</f>
        <v>ar-iq</v>
      </c>
      <c r="C117" t="str">
        <f ca="1">IFERROR(__xludf.DUMMYFUNCTION("""COMPUTED_VALUE"""),"Irak")</f>
        <v>Irak</v>
      </c>
      <c r="D117" t="str">
        <f ca="1">IFERROR(__xludf.DUMMYFUNCTION("""COMPUTED_VALUE"""),"Iraque")</f>
        <v>Iraque</v>
      </c>
    </row>
    <row r="118" spans="1:4" ht="15.75" customHeight="1" x14ac:dyDescent="0.15">
      <c r="A118" s="1" t="s">
        <v>617</v>
      </c>
      <c r="B118" t="str">
        <f ca="1">IFERROR(__xludf.DUMMYFUNCTION("split(A118, "";"")"),"en-ie")</f>
        <v>en-ie</v>
      </c>
      <c r="C118" t="str">
        <f ca="1">IFERROR(__xludf.DUMMYFUNCTION("""COMPUTED_VALUE"""),"Irlanda")</f>
        <v>Irlanda</v>
      </c>
      <c r="D118" t="str">
        <f ca="1">IFERROR(__xludf.DUMMYFUNCTION("""COMPUTED_VALUE"""),"Irlanda")</f>
        <v>Irlanda</v>
      </c>
    </row>
    <row r="119" spans="1:4" ht="15.75" customHeight="1" x14ac:dyDescent="0.15">
      <c r="A119" s="1" t="s">
        <v>618</v>
      </c>
      <c r="B119" t="str">
        <f ca="1">IFERROR(__xludf.DUMMYFUNCTION("split(A119, "";"")"),"is-is")</f>
        <v>is-is</v>
      </c>
      <c r="C119" t="str">
        <f ca="1">IFERROR(__xludf.DUMMYFUNCTION("""COMPUTED_VALUE"""),"Islandia")</f>
        <v>Islandia</v>
      </c>
      <c r="D119" t="str">
        <f ca="1">IFERROR(__xludf.DUMMYFUNCTION("""COMPUTED_VALUE"""),"Islândia")</f>
        <v>Islândia</v>
      </c>
    </row>
    <row r="120" spans="1:4" ht="15.75" customHeight="1" x14ac:dyDescent="0.15">
      <c r="A120" s="1" t="s">
        <v>619</v>
      </c>
      <c r="B120" t="str">
        <f ca="1">IFERROR(__xludf.DUMMYFUNCTION("split(A120, "";"")"),"he-il")</f>
        <v>he-il</v>
      </c>
      <c r="C120" t="str">
        <f ca="1">IFERROR(__xludf.DUMMYFUNCTION("""COMPUTED_VALUE"""),"Israel")</f>
        <v>Israel</v>
      </c>
      <c r="D120" t="str">
        <f ca="1">IFERROR(__xludf.DUMMYFUNCTION("""COMPUTED_VALUE"""),"Israel")</f>
        <v>Israel</v>
      </c>
    </row>
    <row r="121" spans="1:4" ht="15.75" customHeight="1" x14ac:dyDescent="0.15">
      <c r="A121" s="1" t="s">
        <v>620</v>
      </c>
      <c r="B121" t="str">
        <f ca="1">IFERROR(__xludf.DUMMYFUNCTION("split(A121, "";"")"),"it-it")</f>
        <v>it-it</v>
      </c>
      <c r="C121" t="str">
        <f ca="1">IFERROR(__xludf.DUMMYFUNCTION("""COMPUTED_VALUE"""),"Italia")</f>
        <v>Italia</v>
      </c>
      <c r="D121" t="str">
        <f ca="1">IFERROR(__xludf.DUMMYFUNCTION("""COMPUTED_VALUE"""),"Itália")</f>
        <v>Itália</v>
      </c>
    </row>
    <row r="122" spans="1:4" ht="15.75" customHeight="1" x14ac:dyDescent="0.15">
      <c r="A122" s="1" t="s">
        <v>384</v>
      </c>
      <c r="B122" t="str">
        <f ca="1">IFERROR(__xludf.DUMMYFUNCTION("split(A122, "";"")"),"en-jm")</f>
        <v>en-jm</v>
      </c>
      <c r="C122" t="str">
        <f ca="1">IFERROR(__xludf.DUMMYFUNCTION("""COMPUTED_VALUE"""),"Jamaica")</f>
        <v>Jamaica</v>
      </c>
      <c r="D122" t="str">
        <f ca="1">IFERROR(__xludf.DUMMYFUNCTION("""COMPUTED_VALUE"""),"Jamaica")</f>
        <v>Jamaica</v>
      </c>
    </row>
    <row r="123" spans="1:4" ht="15.75" customHeight="1" x14ac:dyDescent="0.15">
      <c r="A123" s="1" t="s">
        <v>621</v>
      </c>
      <c r="B123" t="str">
        <f ca="1">IFERROR(__xludf.DUMMYFUNCTION("split(A123, "";"")"),"ja-jp")</f>
        <v>ja-jp</v>
      </c>
      <c r="C123" t="str">
        <f ca="1">IFERROR(__xludf.DUMMYFUNCTION("""COMPUTED_VALUE"""),"Japón")</f>
        <v>Japón</v>
      </c>
      <c r="D123" t="str">
        <f ca="1">IFERROR(__xludf.DUMMYFUNCTION("""COMPUTED_VALUE"""),"Japão")</f>
        <v>Japão</v>
      </c>
    </row>
    <row r="124" spans="1:4" ht="15.75" customHeight="1" x14ac:dyDescent="0.15">
      <c r="A124" s="1" t="s">
        <v>386</v>
      </c>
      <c r="B124" t="str">
        <f ca="1">IFERROR(__xludf.DUMMYFUNCTION("split(A124, "";"")"),"en-je")</f>
        <v>en-je</v>
      </c>
      <c r="C124" t="str">
        <f ca="1">IFERROR(__xludf.DUMMYFUNCTION("""COMPUTED_VALUE"""),"Jersey")</f>
        <v>Jersey</v>
      </c>
      <c r="D124" t="str">
        <f ca="1">IFERROR(__xludf.DUMMYFUNCTION("""COMPUTED_VALUE"""),"Jersey")</f>
        <v>Jersey</v>
      </c>
    </row>
    <row r="125" spans="1:4" ht="15.75" customHeight="1" x14ac:dyDescent="0.15">
      <c r="A125" s="1" t="s">
        <v>622</v>
      </c>
      <c r="B125" t="str">
        <f ca="1">IFERROR(__xludf.DUMMYFUNCTION("split(A125, "";"")"),"ar-jo")</f>
        <v>ar-jo</v>
      </c>
      <c r="C125" t="str">
        <f ca="1">IFERROR(__xludf.DUMMYFUNCTION("""COMPUTED_VALUE"""),"Jordania")</f>
        <v>Jordania</v>
      </c>
      <c r="D125" t="str">
        <f ca="1">IFERROR(__xludf.DUMMYFUNCTION("""COMPUTED_VALUE"""),"Jordânia")</f>
        <v>Jordânia</v>
      </c>
    </row>
    <row r="126" spans="1:4" ht="15.75" customHeight="1" x14ac:dyDescent="0.15">
      <c r="A126" s="1" t="s">
        <v>623</v>
      </c>
      <c r="B126" t="str">
        <f ca="1">IFERROR(__xludf.DUMMYFUNCTION("split(A126, "";"")"),"ar-kw")</f>
        <v>ar-kw</v>
      </c>
      <c r="C126" t="str">
        <f ca="1">IFERROR(__xludf.DUMMYFUNCTION("""COMPUTED_VALUE"""),"Kuwait")</f>
        <v>Kuwait</v>
      </c>
      <c r="D126" t="str">
        <f ca="1">IFERROR(__xludf.DUMMYFUNCTION("""COMPUTED_VALUE"""),"Kuwait")</f>
        <v>Kuwait</v>
      </c>
    </row>
    <row r="127" spans="1:4" ht="15.75" customHeight="1" x14ac:dyDescent="0.15">
      <c r="A127" s="1" t="s">
        <v>624</v>
      </c>
      <c r="B127" t="str">
        <f ca="1">IFERROR(__xludf.DUMMYFUNCTION("split(A127, "";"")"),"lo-la")</f>
        <v>lo-la</v>
      </c>
      <c r="C127" t="str">
        <f ca="1">IFERROR(__xludf.DUMMYFUNCTION("""COMPUTED_VALUE"""),"Laos")</f>
        <v>Laos</v>
      </c>
      <c r="D127" t="str">
        <f ca="1">IFERROR(__xludf.DUMMYFUNCTION("""COMPUTED_VALUE"""),"Laos")</f>
        <v>Laos</v>
      </c>
    </row>
    <row r="128" spans="1:4" ht="15.75" customHeight="1" x14ac:dyDescent="0.15">
      <c r="A128" s="1" t="s">
        <v>625</v>
      </c>
      <c r="B128" t="str">
        <f ca="1">IFERROR(__xludf.DUMMYFUNCTION("split(A128, "";"")"),"en-ls")</f>
        <v>en-ls</v>
      </c>
      <c r="C128" t="str">
        <f ca="1">IFERROR(__xludf.DUMMYFUNCTION("""COMPUTED_VALUE"""),"Lesoto")</f>
        <v>Lesoto</v>
      </c>
      <c r="D128" t="str">
        <f ca="1">IFERROR(__xludf.DUMMYFUNCTION("""COMPUTED_VALUE"""),"Lesoto")</f>
        <v>Lesoto</v>
      </c>
    </row>
    <row r="129" spans="1:4" ht="15.75" customHeight="1" x14ac:dyDescent="0.15">
      <c r="A129" s="1" t="s">
        <v>626</v>
      </c>
      <c r="B129" t="str">
        <f ca="1">IFERROR(__xludf.DUMMYFUNCTION("split(A129, "";"")"),"lv-lv")</f>
        <v>lv-lv</v>
      </c>
      <c r="C129" t="str">
        <f ca="1">IFERROR(__xludf.DUMMYFUNCTION("""COMPUTED_VALUE"""),"Letonia")</f>
        <v>Letonia</v>
      </c>
      <c r="D129" t="str">
        <f ca="1">IFERROR(__xludf.DUMMYFUNCTION("""COMPUTED_VALUE"""),"Letônia")</f>
        <v>Letônia</v>
      </c>
    </row>
    <row r="130" spans="1:4" ht="15.75" customHeight="1" x14ac:dyDescent="0.15">
      <c r="A130" s="1" t="s">
        <v>627</v>
      </c>
      <c r="B130" t="str">
        <f ca="1">IFERROR(__xludf.DUMMYFUNCTION("split(A130, "";"")"),"ar-lb")</f>
        <v>ar-lb</v>
      </c>
      <c r="C130" t="str">
        <f ca="1">IFERROR(__xludf.DUMMYFUNCTION("""COMPUTED_VALUE"""),"Líbano")</f>
        <v>Líbano</v>
      </c>
      <c r="D130" t="str">
        <f ca="1">IFERROR(__xludf.DUMMYFUNCTION("""COMPUTED_VALUE"""),"Líbano")</f>
        <v>Líbano</v>
      </c>
    </row>
    <row r="131" spans="1:4" ht="15.75" customHeight="1" x14ac:dyDescent="0.15">
      <c r="A131" s="1" t="s">
        <v>397</v>
      </c>
      <c r="B131" t="str">
        <f ca="1">IFERROR(__xludf.DUMMYFUNCTION("split(A131, "";"")"),"en-lr")</f>
        <v>en-lr</v>
      </c>
      <c r="C131" t="str">
        <f ca="1">IFERROR(__xludf.DUMMYFUNCTION("""COMPUTED_VALUE"""),"Liberia")</f>
        <v>Liberia</v>
      </c>
      <c r="D131" t="str">
        <f ca="1">IFERROR(__xludf.DUMMYFUNCTION("""COMPUTED_VALUE"""),"Libéria")</f>
        <v>Libéria</v>
      </c>
    </row>
    <row r="132" spans="1:4" ht="15.75" customHeight="1" x14ac:dyDescent="0.15">
      <c r="A132" s="1" t="s">
        <v>628</v>
      </c>
      <c r="B132" t="str">
        <f ca="1">IFERROR(__xludf.DUMMYFUNCTION("split(A132, "";"")"),"ar-ly")</f>
        <v>ar-ly</v>
      </c>
      <c r="C132" t="str">
        <f ca="1">IFERROR(__xludf.DUMMYFUNCTION("""COMPUTED_VALUE"""),"Libia")</f>
        <v>Libia</v>
      </c>
      <c r="D132" t="str">
        <f ca="1">IFERROR(__xludf.DUMMYFUNCTION("""COMPUTED_VALUE"""),"Líbia")</f>
        <v>Líbia</v>
      </c>
    </row>
    <row r="133" spans="1:4" ht="15.75" customHeight="1" x14ac:dyDescent="0.15">
      <c r="A133" s="1" t="s">
        <v>400</v>
      </c>
      <c r="B133" t="str">
        <f ca="1">IFERROR(__xludf.DUMMYFUNCTION("split(A133, "";"")"),"de-li")</f>
        <v>de-li</v>
      </c>
      <c r="C133" t="str">
        <f ca="1">IFERROR(__xludf.DUMMYFUNCTION("""COMPUTED_VALUE"""),"Liechtenstein")</f>
        <v>Liechtenstein</v>
      </c>
      <c r="D133" t="str">
        <f ca="1">IFERROR(__xludf.DUMMYFUNCTION("""COMPUTED_VALUE"""),"Liechtenstein")</f>
        <v>Liechtenstein</v>
      </c>
    </row>
    <row r="134" spans="1:4" ht="15.75" customHeight="1" x14ac:dyDescent="0.15">
      <c r="A134" s="1" t="s">
        <v>629</v>
      </c>
      <c r="B134" t="str">
        <f ca="1">IFERROR(__xludf.DUMMYFUNCTION("split(A134, "";"")"),"lt-lt")</f>
        <v>lt-lt</v>
      </c>
      <c r="C134" t="str">
        <f ca="1">IFERROR(__xludf.DUMMYFUNCTION("""COMPUTED_VALUE"""),"Lituania")</f>
        <v>Lituania</v>
      </c>
      <c r="D134" t="str">
        <f ca="1">IFERROR(__xludf.DUMMYFUNCTION("""COMPUTED_VALUE"""),"Lituânia")</f>
        <v>Lituânia</v>
      </c>
    </row>
    <row r="135" spans="1:4" ht="15.75" customHeight="1" x14ac:dyDescent="0.15">
      <c r="A135" s="1" t="s">
        <v>630</v>
      </c>
      <c r="B135" t="str">
        <f ca="1">IFERROR(__xludf.DUMMYFUNCTION("split(A135, "";"")"),"fr-lu")</f>
        <v>fr-lu</v>
      </c>
      <c r="C135" t="str">
        <f ca="1">IFERROR(__xludf.DUMMYFUNCTION("""COMPUTED_VALUE"""),"Luxemburgo")</f>
        <v>Luxemburgo</v>
      </c>
      <c r="D135" t="str">
        <f ca="1">IFERROR(__xludf.DUMMYFUNCTION("""COMPUTED_VALUE"""),"Luxemburgo")</f>
        <v>Luxemburgo</v>
      </c>
    </row>
    <row r="136" spans="1:4" ht="15.75" customHeight="1" x14ac:dyDescent="0.15">
      <c r="A136" s="1" t="s">
        <v>631</v>
      </c>
      <c r="B136" t="str">
        <f ca="1">IFERROR(__xludf.DUMMYFUNCTION("split(A136, "";"")"),"mk-mk")</f>
        <v>mk-mk</v>
      </c>
      <c r="C136" t="str">
        <f ca="1">IFERROR(__xludf.DUMMYFUNCTION("""COMPUTED_VALUE"""),"Macedonia del Norte")</f>
        <v>Macedonia del Norte</v>
      </c>
      <c r="D136" t="str">
        <f ca="1">IFERROR(__xludf.DUMMYFUNCTION("""COMPUTED_VALUE"""),"Macedônia do Norte")</f>
        <v>Macedônia do Norte</v>
      </c>
    </row>
    <row r="137" spans="1:4" ht="15.75" customHeight="1" x14ac:dyDescent="0.15">
      <c r="A137" s="1" t="s">
        <v>404</v>
      </c>
      <c r="B137" t="str">
        <f ca="1">IFERROR(__xludf.DUMMYFUNCTION("split(A137, "";"")"),"fr-mg")</f>
        <v>fr-mg</v>
      </c>
      <c r="C137" t="str">
        <f ca="1">IFERROR(__xludf.DUMMYFUNCTION("""COMPUTED_VALUE"""),"Madagascar")</f>
        <v>Madagascar</v>
      </c>
      <c r="D137" t="str">
        <f ca="1">IFERROR(__xludf.DUMMYFUNCTION("""COMPUTED_VALUE"""),"Madagascar")</f>
        <v>Madagascar</v>
      </c>
    </row>
    <row r="138" spans="1:4" ht="15.75" customHeight="1" x14ac:dyDescent="0.15">
      <c r="A138" s="1" t="s">
        <v>632</v>
      </c>
      <c r="B138" t="str">
        <f ca="1">IFERROR(__xludf.DUMMYFUNCTION("split(A138, "";"")"),"ms-my")</f>
        <v>ms-my</v>
      </c>
      <c r="C138" t="str">
        <f ca="1">IFERROR(__xludf.DUMMYFUNCTION("""COMPUTED_VALUE"""),"Malasia")</f>
        <v>Malasia</v>
      </c>
      <c r="D138" t="str">
        <f ca="1">IFERROR(__xludf.DUMMYFUNCTION("""COMPUTED_VALUE"""),"Malásia")</f>
        <v>Malásia</v>
      </c>
    </row>
    <row r="139" spans="1:4" ht="15.75" customHeight="1" x14ac:dyDescent="0.15">
      <c r="A139" s="1" t="s">
        <v>633</v>
      </c>
      <c r="B139" t="str">
        <f ca="1">IFERROR(__xludf.DUMMYFUNCTION("split(A139, "";"")"),"en-mw")</f>
        <v>en-mw</v>
      </c>
      <c r="C139" t="str">
        <f ca="1">IFERROR(__xludf.DUMMYFUNCTION("""COMPUTED_VALUE"""),"Malaui")</f>
        <v>Malaui</v>
      </c>
      <c r="D139" t="str">
        <f ca="1">IFERROR(__xludf.DUMMYFUNCTION("""COMPUTED_VALUE"""),"Malaui")</f>
        <v>Malaui</v>
      </c>
    </row>
    <row r="140" spans="1:4" ht="15.75" customHeight="1" x14ac:dyDescent="0.15">
      <c r="A140" s="1" t="s">
        <v>634</v>
      </c>
      <c r="B140" t="str">
        <f ca="1">IFERROR(__xludf.DUMMYFUNCTION("split(A140, "";"")"),"dv-mv")</f>
        <v>dv-mv</v>
      </c>
      <c r="C140" t="str">
        <f ca="1">IFERROR(__xludf.DUMMYFUNCTION("""COMPUTED_VALUE"""),"Maldivas")</f>
        <v>Maldivas</v>
      </c>
      <c r="D140" t="str">
        <f ca="1">IFERROR(__xludf.DUMMYFUNCTION("""COMPUTED_VALUE"""),"Maldivas")</f>
        <v>Maldivas</v>
      </c>
    </row>
    <row r="141" spans="1:4" ht="15.75" customHeight="1" x14ac:dyDescent="0.15">
      <c r="A141" s="1" t="s">
        <v>635</v>
      </c>
      <c r="B141" t="str">
        <f ca="1">IFERROR(__xludf.DUMMYFUNCTION("split(A141, "";"")"),"fr-ml")</f>
        <v>fr-ml</v>
      </c>
      <c r="C141" t="str">
        <f ca="1">IFERROR(__xludf.DUMMYFUNCTION("""COMPUTED_VALUE"""),"Mali")</f>
        <v>Mali</v>
      </c>
      <c r="D141" t="str">
        <f ca="1">IFERROR(__xludf.DUMMYFUNCTION("""COMPUTED_VALUE"""),"Mali")</f>
        <v>Mali</v>
      </c>
    </row>
    <row r="142" spans="1:4" ht="15.75" customHeight="1" x14ac:dyDescent="0.15">
      <c r="A142" s="1" t="s">
        <v>411</v>
      </c>
      <c r="B142" t="str">
        <f ca="1">IFERROR(__xludf.DUMMYFUNCTION("split(A142, "";"")"),"mt-mt")</f>
        <v>mt-mt</v>
      </c>
      <c r="C142" t="str">
        <f ca="1">IFERROR(__xludf.DUMMYFUNCTION("""COMPUTED_VALUE"""),"Malta")</f>
        <v>Malta</v>
      </c>
      <c r="D142" t="str">
        <f ca="1">IFERROR(__xludf.DUMMYFUNCTION("""COMPUTED_VALUE"""),"Malta")</f>
        <v>Malta</v>
      </c>
    </row>
    <row r="143" spans="1:4" ht="15.75" customHeight="1" x14ac:dyDescent="0.15">
      <c r="A143" s="1" t="s">
        <v>636</v>
      </c>
      <c r="B143" t="str">
        <f ca="1">IFERROR(__xludf.DUMMYFUNCTION("split(A143, "";"")"),"ar-ma")</f>
        <v>ar-ma</v>
      </c>
      <c r="C143" t="str">
        <f ca="1">IFERROR(__xludf.DUMMYFUNCTION("""COMPUTED_VALUE"""),"Marruecos")</f>
        <v>Marruecos</v>
      </c>
      <c r="D143" t="str">
        <f ca="1">IFERROR(__xludf.DUMMYFUNCTION("""COMPUTED_VALUE"""),"Marrocos")</f>
        <v>Marrocos</v>
      </c>
    </row>
    <row r="144" spans="1:4" ht="15.75" customHeight="1" x14ac:dyDescent="0.15">
      <c r="A144" s="1" t="s">
        <v>637</v>
      </c>
      <c r="B144" t="str">
        <f ca="1">IFERROR(__xludf.DUMMYFUNCTION("split(A144, "";"")"),"fr-mq")</f>
        <v>fr-mq</v>
      </c>
      <c r="C144" t="str">
        <f ca="1">IFERROR(__xludf.DUMMYFUNCTION("""COMPUTED_VALUE"""),"Martinica")</f>
        <v>Martinica</v>
      </c>
      <c r="D144" t="str">
        <f ca="1">IFERROR(__xludf.DUMMYFUNCTION("""COMPUTED_VALUE"""),"Martinica")</f>
        <v>Martinica</v>
      </c>
    </row>
    <row r="145" spans="1:4" ht="15.75" customHeight="1" x14ac:dyDescent="0.15">
      <c r="A145" s="1" t="s">
        <v>638</v>
      </c>
      <c r="B145" t="str">
        <f ca="1">IFERROR(__xludf.DUMMYFUNCTION("split(A145, "";"")"),"en-mu")</f>
        <v>en-mu</v>
      </c>
      <c r="C145" t="str">
        <f ca="1">IFERROR(__xludf.DUMMYFUNCTION("""COMPUTED_VALUE"""),"Mauricio")</f>
        <v>Mauricio</v>
      </c>
      <c r="D145" t="str">
        <f ca="1">IFERROR(__xludf.DUMMYFUNCTION("""COMPUTED_VALUE"""),"Maurício")</f>
        <v>Maurício</v>
      </c>
    </row>
    <row r="146" spans="1:4" ht="15.75" customHeight="1" x14ac:dyDescent="0.15">
      <c r="A146" s="1" t="s">
        <v>639</v>
      </c>
      <c r="B146" t="str">
        <f ca="1">IFERROR(__xludf.DUMMYFUNCTION("split(A146, "";"")"),"ar-mr")</f>
        <v>ar-mr</v>
      </c>
      <c r="C146" t="str">
        <f ca="1">IFERROR(__xludf.DUMMYFUNCTION("""COMPUTED_VALUE"""),"Mauritania")</f>
        <v>Mauritania</v>
      </c>
      <c r="D146" t="str">
        <f ca="1">IFERROR(__xludf.DUMMYFUNCTION("""COMPUTED_VALUE"""),"Mauritânia")</f>
        <v>Mauritânia</v>
      </c>
    </row>
    <row r="147" spans="1:4" ht="15.75" customHeight="1" x14ac:dyDescent="0.15">
      <c r="A147" s="1" t="s">
        <v>418</v>
      </c>
      <c r="B147" t="str">
        <f ca="1">IFERROR(__xludf.DUMMYFUNCTION("split(A147, "";"")"),"fr-yt")</f>
        <v>fr-yt</v>
      </c>
      <c r="C147" t="str">
        <f ca="1">IFERROR(__xludf.DUMMYFUNCTION("""COMPUTED_VALUE"""),"Mayotte")</f>
        <v>Mayotte</v>
      </c>
      <c r="D147" t="str">
        <f ca="1">IFERROR(__xludf.DUMMYFUNCTION("""COMPUTED_VALUE"""),"Mayotte")</f>
        <v>Mayotte</v>
      </c>
    </row>
    <row r="148" spans="1:4" ht="15.75" customHeight="1" x14ac:dyDescent="0.15">
      <c r="A148" s="1" t="s">
        <v>640</v>
      </c>
      <c r="B148" t="str">
        <f ca="1">IFERROR(__xludf.DUMMYFUNCTION("split(A148, "";"")"),"es-mx")</f>
        <v>es-mx</v>
      </c>
      <c r="C148" t="str">
        <f ca="1">IFERROR(__xludf.DUMMYFUNCTION("""COMPUTED_VALUE"""),"México")</f>
        <v>México</v>
      </c>
      <c r="D148" t="str">
        <f ca="1">IFERROR(__xludf.DUMMYFUNCTION("""COMPUTED_VALUE"""),"México")</f>
        <v>México</v>
      </c>
    </row>
    <row r="149" spans="1:4" ht="15.75" customHeight="1" x14ac:dyDescent="0.15">
      <c r="A149" s="1" t="s">
        <v>420</v>
      </c>
      <c r="B149" t="str">
        <f ca="1">IFERROR(__xludf.DUMMYFUNCTION("split(A149, "";"")"),"en-fm")</f>
        <v>en-fm</v>
      </c>
      <c r="C149" t="str">
        <f ca="1">IFERROR(__xludf.DUMMYFUNCTION("""COMPUTED_VALUE"""),"Micronesia")</f>
        <v>Micronesia</v>
      </c>
      <c r="D149" t="str">
        <f ca="1">IFERROR(__xludf.DUMMYFUNCTION("""COMPUTED_VALUE"""),"Micronésia")</f>
        <v>Micronésia</v>
      </c>
    </row>
    <row r="150" spans="1:4" ht="15.75" customHeight="1" x14ac:dyDescent="0.15">
      <c r="A150" s="1" t="s">
        <v>641</v>
      </c>
      <c r="B150" t="str">
        <f ca="1">IFERROR(__xludf.DUMMYFUNCTION("split(A150, "";"")"),"pt-mz")</f>
        <v>pt-mz</v>
      </c>
      <c r="C150" t="str">
        <f ca="1">IFERROR(__xludf.DUMMYFUNCTION("""COMPUTED_VALUE"""),"Mozambique")</f>
        <v>Mozambique</v>
      </c>
      <c r="D150" t="str">
        <f ca="1">IFERROR(__xludf.DUMMYFUNCTION("""COMPUTED_VALUE"""),"Moçambique")</f>
        <v>Moçambique</v>
      </c>
    </row>
    <row r="151" spans="1:4" ht="15.75" customHeight="1" x14ac:dyDescent="0.15">
      <c r="A151" s="1" t="s">
        <v>642</v>
      </c>
      <c r="B151" t="str">
        <f ca="1">IFERROR(__xludf.DUMMYFUNCTION("split(A151, "";"")"),"ro-md")</f>
        <v>ro-md</v>
      </c>
      <c r="C151" t="str">
        <f ca="1">IFERROR(__xludf.DUMMYFUNCTION("""COMPUTED_VALUE"""),"Moldova")</f>
        <v>Moldova</v>
      </c>
      <c r="D151" t="str">
        <f ca="1">IFERROR(__xludf.DUMMYFUNCTION("""COMPUTED_VALUE"""),"Moldova")</f>
        <v>Moldova</v>
      </c>
    </row>
    <row r="152" spans="1:4" ht="15.75" customHeight="1" x14ac:dyDescent="0.15">
      <c r="A152" s="1" t="s">
        <v>643</v>
      </c>
      <c r="B152" t="str">
        <f ca="1">IFERROR(__xludf.DUMMYFUNCTION("split(A152, "";"")"),"fr-mc")</f>
        <v>fr-mc</v>
      </c>
      <c r="C152" t="str">
        <f ca="1">IFERROR(__xludf.DUMMYFUNCTION("""COMPUTED_VALUE"""),"Mónaco")</f>
        <v>Mónaco</v>
      </c>
      <c r="D152" t="str">
        <f ca="1">IFERROR(__xludf.DUMMYFUNCTION("""COMPUTED_VALUE"""),"Mônaco")</f>
        <v>Mônaco</v>
      </c>
    </row>
    <row r="153" spans="1:4" ht="15.75" customHeight="1" x14ac:dyDescent="0.15">
      <c r="A153" s="1" t="s">
        <v>426</v>
      </c>
      <c r="B153" t="str">
        <f ca="1">IFERROR(__xludf.DUMMYFUNCTION("split(A153, "";"")"),"mn-mn")</f>
        <v>mn-mn</v>
      </c>
      <c r="C153" t="str">
        <f ca="1">IFERROR(__xludf.DUMMYFUNCTION("""COMPUTED_VALUE"""),"Mongolia")</f>
        <v>Mongolia</v>
      </c>
      <c r="D153" t="str">
        <f ca="1">IFERROR(__xludf.DUMMYFUNCTION("""COMPUTED_VALUE"""),"Mongólia")</f>
        <v>Mongólia</v>
      </c>
    </row>
    <row r="154" spans="1:4" ht="15.75" customHeight="1" x14ac:dyDescent="0.15">
      <c r="A154" s="1" t="s">
        <v>644</v>
      </c>
      <c r="B154" t="str">
        <f ca="1">IFERROR(__xludf.DUMMYFUNCTION("split(A154, "";"")"),"sr-me")</f>
        <v>sr-me</v>
      </c>
      <c r="C154" t="str">
        <f ca="1">IFERROR(__xludf.DUMMYFUNCTION("""COMPUTED_VALUE"""),"Montenegro")</f>
        <v>Montenegro</v>
      </c>
      <c r="D154" t="str">
        <f ca="1">IFERROR(__xludf.DUMMYFUNCTION("""COMPUTED_VALUE"""),"Montenegro")</f>
        <v>Montenegro</v>
      </c>
    </row>
    <row r="155" spans="1:4" ht="15.75" customHeight="1" x14ac:dyDescent="0.15">
      <c r="A155" s="1" t="s">
        <v>429</v>
      </c>
      <c r="B155" t="str">
        <f ca="1">IFERROR(__xludf.DUMMYFUNCTION("split(A155, "";"")"),"en-ms")</f>
        <v>en-ms</v>
      </c>
      <c r="C155" t="str">
        <f ca="1">IFERROR(__xludf.DUMMYFUNCTION("""COMPUTED_VALUE"""),"Montserrat")</f>
        <v>Montserrat</v>
      </c>
      <c r="D155" t="str">
        <f ca="1">IFERROR(__xludf.DUMMYFUNCTION("""COMPUTED_VALUE"""),"Montserrat")</f>
        <v>Montserrat</v>
      </c>
    </row>
    <row r="156" spans="1:4" ht="15.75" customHeight="1" x14ac:dyDescent="0.15">
      <c r="A156" s="1" t="s">
        <v>645</v>
      </c>
      <c r="B156" t="str">
        <f ca="1">IFERROR(__xludf.DUMMYFUNCTION("split(A156, "";"")"),"en-mm")</f>
        <v>en-mm</v>
      </c>
      <c r="C156" t="str">
        <f ca="1">IFERROR(__xludf.DUMMYFUNCTION("""COMPUTED_VALUE"""),"Myanmar")</f>
        <v>Myanmar</v>
      </c>
      <c r="D156" t="str">
        <f ca="1">IFERROR(__xludf.DUMMYFUNCTION("""COMPUTED_VALUE"""),"Myanmar")</f>
        <v>Myanmar</v>
      </c>
    </row>
    <row r="157" spans="1:4" ht="15.75" customHeight="1" x14ac:dyDescent="0.15">
      <c r="A157" s="1" t="s">
        <v>646</v>
      </c>
      <c r="B157" t="str">
        <f ca="1">IFERROR(__xludf.DUMMYFUNCTION("split(A157, "";"")"),"af-na")</f>
        <v>af-na</v>
      </c>
      <c r="C157" t="str">
        <f ca="1">IFERROR(__xludf.DUMMYFUNCTION("""COMPUTED_VALUE"""),"Namibia")</f>
        <v>Namibia</v>
      </c>
      <c r="D157" t="str">
        <f ca="1">IFERROR(__xludf.DUMMYFUNCTION("""COMPUTED_VALUE"""),"Namíbia")</f>
        <v>Namíbia</v>
      </c>
    </row>
    <row r="158" spans="1:4" ht="15.75" customHeight="1" x14ac:dyDescent="0.15">
      <c r="A158" s="1" t="s">
        <v>433</v>
      </c>
      <c r="B158" t="str">
        <f ca="1">IFERROR(__xludf.DUMMYFUNCTION("split(A158, "";"")"),"en-nr")</f>
        <v>en-nr</v>
      </c>
      <c r="C158" t="str">
        <f ca="1">IFERROR(__xludf.DUMMYFUNCTION("""COMPUTED_VALUE"""),"Nauru")</f>
        <v>Nauru</v>
      </c>
      <c r="D158" t="str">
        <f ca="1">IFERROR(__xludf.DUMMYFUNCTION("""COMPUTED_VALUE"""),"Nauru")</f>
        <v>Nauru</v>
      </c>
    </row>
    <row r="159" spans="1:4" ht="15.75" customHeight="1" x14ac:dyDescent="0.15">
      <c r="A159" s="1" t="s">
        <v>434</v>
      </c>
      <c r="B159" t="str">
        <f ca="1">IFERROR(__xludf.DUMMYFUNCTION("split(A159, "";"")"),"ne-np")</f>
        <v>ne-np</v>
      </c>
      <c r="C159" t="str">
        <f ca="1">IFERROR(__xludf.DUMMYFUNCTION("""COMPUTED_VALUE"""),"Nepal")</f>
        <v>Nepal</v>
      </c>
      <c r="D159" t="str">
        <f ca="1">IFERROR(__xludf.DUMMYFUNCTION("""COMPUTED_VALUE"""),"Nepal")</f>
        <v>Nepal</v>
      </c>
    </row>
    <row r="160" spans="1:4" ht="15.75" customHeight="1" x14ac:dyDescent="0.15">
      <c r="A160" s="1" t="s">
        <v>435</v>
      </c>
      <c r="B160" t="str">
        <f ca="1">IFERROR(__xludf.DUMMYFUNCTION("split(A160, "";"")"),"es-ni")</f>
        <v>es-ni</v>
      </c>
      <c r="C160" t="str">
        <f ca="1">IFERROR(__xludf.DUMMYFUNCTION("""COMPUTED_VALUE"""),"Nicaragua")</f>
        <v>Nicaragua</v>
      </c>
      <c r="D160" t="str">
        <f ca="1">IFERROR(__xludf.DUMMYFUNCTION("""COMPUTED_VALUE"""),"Nicarágua")</f>
        <v>Nicarágua</v>
      </c>
    </row>
    <row r="161" spans="1:4" ht="15.75" customHeight="1" x14ac:dyDescent="0.15">
      <c r="A161" s="1" t="s">
        <v>647</v>
      </c>
      <c r="B161" t="str">
        <f ca="1">IFERROR(__xludf.DUMMYFUNCTION("split(A161, "";"")"),"fr-ne")</f>
        <v>fr-ne</v>
      </c>
      <c r="C161" t="str">
        <f ca="1">IFERROR(__xludf.DUMMYFUNCTION("""COMPUTED_VALUE"""),"Níger")</f>
        <v>Níger</v>
      </c>
      <c r="D161" t="str">
        <f ca="1">IFERROR(__xludf.DUMMYFUNCTION("""COMPUTED_VALUE"""),"Níger")</f>
        <v>Níger</v>
      </c>
    </row>
    <row r="162" spans="1:4" ht="15.75" customHeight="1" x14ac:dyDescent="0.15">
      <c r="A162" s="1" t="s">
        <v>438</v>
      </c>
      <c r="B162" t="str">
        <f ca="1">IFERROR(__xludf.DUMMYFUNCTION("split(A162, "";"")"),"en-ng")</f>
        <v>en-ng</v>
      </c>
      <c r="C162" t="str">
        <f ca="1">IFERROR(__xludf.DUMMYFUNCTION("""COMPUTED_VALUE"""),"Nigeria")</f>
        <v>Nigeria</v>
      </c>
      <c r="D162" t="str">
        <f ca="1">IFERROR(__xludf.DUMMYFUNCTION("""COMPUTED_VALUE"""),"Nigéria")</f>
        <v>Nigéria</v>
      </c>
    </row>
    <row r="163" spans="1:4" ht="15.75" customHeight="1" x14ac:dyDescent="0.15">
      <c r="A163" s="1" t="s">
        <v>439</v>
      </c>
      <c r="B163" t="str">
        <f ca="1">IFERROR(__xludf.DUMMYFUNCTION("split(A163, "";"")"),"en-nu")</f>
        <v>en-nu</v>
      </c>
      <c r="C163" t="str">
        <f ca="1">IFERROR(__xludf.DUMMYFUNCTION("""COMPUTED_VALUE"""),"Niue")</f>
        <v>Niue</v>
      </c>
      <c r="D163" t="str">
        <f ca="1">IFERROR(__xludf.DUMMYFUNCTION("""COMPUTED_VALUE"""),"Niue")</f>
        <v>Niue</v>
      </c>
    </row>
    <row r="164" spans="1:4" ht="15.75" customHeight="1" x14ac:dyDescent="0.15">
      <c r="A164" s="1" t="s">
        <v>648</v>
      </c>
      <c r="B164" t="str">
        <f ca="1">IFERROR(__xludf.DUMMYFUNCTION("split(A164, "";"")"),"nb-no")</f>
        <v>nb-no</v>
      </c>
      <c r="C164" t="str">
        <f ca="1">IFERROR(__xludf.DUMMYFUNCTION("""COMPUTED_VALUE"""),"Noruega")</f>
        <v>Noruega</v>
      </c>
      <c r="D164" t="str">
        <f ca="1">IFERROR(__xludf.DUMMYFUNCTION("""COMPUTED_VALUE"""),"Noruega")</f>
        <v>Noruega</v>
      </c>
    </row>
    <row r="165" spans="1:4" ht="15.75" customHeight="1" x14ac:dyDescent="0.15">
      <c r="A165" s="1" t="s">
        <v>649</v>
      </c>
      <c r="B165" t="str">
        <f ca="1">IFERROR(__xludf.DUMMYFUNCTION("split(A165, "";"")"),"fr-nc")</f>
        <v>fr-nc</v>
      </c>
      <c r="C165" t="str">
        <f ca="1">IFERROR(__xludf.DUMMYFUNCTION("""COMPUTED_VALUE"""),"Nueva Caledonia")</f>
        <v>Nueva Caledonia</v>
      </c>
      <c r="D165" t="str">
        <f ca="1">IFERROR(__xludf.DUMMYFUNCTION("""COMPUTED_VALUE"""),"Nova Caledônia")</f>
        <v>Nova Caledônia</v>
      </c>
    </row>
    <row r="166" spans="1:4" ht="15.75" customHeight="1" x14ac:dyDescent="0.15">
      <c r="A166" s="1" t="s">
        <v>650</v>
      </c>
      <c r="B166" t="str">
        <f ca="1">IFERROR(__xludf.DUMMYFUNCTION("split(A166, "";"")"),"en-nz")</f>
        <v>en-nz</v>
      </c>
      <c r="C166" t="str">
        <f ca="1">IFERROR(__xludf.DUMMYFUNCTION("""COMPUTED_VALUE"""),"Nueva Zelanda")</f>
        <v>Nueva Zelanda</v>
      </c>
      <c r="D166" t="str">
        <f ca="1">IFERROR(__xludf.DUMMYFUNCTION("""COMPUTED_VALUE"""),"Nova Zelândia")</f>
        <v>Nova Zelândia</v>
      </c>
    </row>
    <row r="167" spans="1:4" ht="15.75" customHeight="1" x14ac:dyDescent="0.15">
      <c r="A167" s="1" t="s">
        <v>651</v>
      </c>
      <c r="B167" t="str">
        <f ca="1">IFERROR(__xludf.DUMMYFUNCTION("split(A167, "";"")"),"ar-om")</f>
        <v>ar-om</v>
      </c>
      <c r="C167" t="str">
        <f ca="1">IFERROR(__xludf.DUMMYFUNCTION("""COMPUTED_VALUE"""),"Omán")</f>
        <v>Omán</v>
      </c>
      <c r="D167" t="str">
        <f ca="1">IFERROR(__xludf.DUMMYFUNCTION("""COMPUTED_VALUE"""),"Omã")</f>
        <v>Omã</v>
      </c>
    </row>
    <row r="168" spans="1:4" ht="15.75" customHeight="1" x14ac:dyDescent="0.15">
      <c r="A168" s="1" t="s">
        <v>652</v>
      </c>
      <c r="B168" t="str">
        <f ca="1">IFERROR(__xludf.DUMMYFUNCTION("split(A168, "";"")"),"nl-nl")</f>
        <v>nl-nl</v>
      </c>
      <c r="C168" t="str">
        <f ca="1">IFERROR(__xludf.DUMMYFUNCTION("""COMPUTED_VALUE"""),"Países Bajos")</f>
        <v>Países Bajos</v>
      </c>
      <c r="D168" t="str">
        <f ca="1">IFERROR(__xludf.DUMMYFUNCTION("""COMPUTED_VALUE"""),"Países Baixos")</f>
        <v>Países Baixos</v>
      </c>
    </row>
    <row r="169" spans="1:4" ht="15.75" customHeight="1" x14ac:dyDescent="0.15">
      <c r="A169" s="1" t="s">
        <v>653</v>
      </c>
      <c r="B169" t="str">
        <f ca="1">IFERROR(__xludf.DUMMYFUNCTION("split(A169, "";"")"),"en-pw")</f>
        <v>en-pw</v>
      </c>
      <c r="C169" t="str">
        <f ca="1">IFERROR(__xludf.DUMMYFUNCTION("""COMPUTED_VALUE"""),"Palaos")</f>
        <v>Palaos</v>
      </c>
      <c r="D169" t="str">
        <f ca="1">IFERROR(__xludf.DUMMYFUNCTION("""COMPUTED_VALUE"""),"Palau")</f>
        <v>Palau</v>
      </c>
    </row>
    <row r="170" spans="1:4" ht="15.75" customHeight="1" x14ac:dyDescent="0.15">
      <c r="A170" s="1" t="s">
        <v>654</v>
      </c>
      <c r="B170" t="str">
        <f ca="1">IFERROR(__xludf.DUMMYFUNCTION("split(A170, "";"")"),"es-pa")</f>
        <v>es-pa</v>
      </c>
      <c r="C170" t="str">
        <f ca="1">IFERROR(__xludf.DUMMYFUNCTION("""COMPUTED_VALUE"""),"Panamá")</f>
        <v>Panamá</v>
      </c>
      <c r="D170" t="str">
        <f ca="1">IFERROR(__xludf.DUMMYFUNCTION("""COMPUTED_VALUE"""),"Panamá")</f>
        <v>Panamá</v>
      </c>
    </row>
    <row r="171" spans="1:4" ht="15.75" customHeight="1" x14ac:dyDescent="0.15">
      <c r="A171" s="1" t="s">
        <v>655</v>
      </c>
      <c r="B171" t="str">
        <f ca="1">IFERROR(__xludf.DUMMYFUNCTION("split(A171, "";"")"),"en-pg")</f>
        <v>en-pg</v>
      </c>
      <c r="C171" t="str">
        <f ca="1">IFERROR(__xludf.DUMMYFUNCTION("""COMPUTED_VALUE"""),"Papúa Nueva Guinea")</f>
        <v>Papúa Nueva Guinea</v>
      </c>
      <c r="D171" t="str">
        <f ca="1">IFERROR(__xludf.DUMMYFUNCTION("""COMPUTED_VALUE"""),"Papua-Nova Guiné")</f>
        <v>Papua-Nova Guiné</v>
      </c>
    </row>
    <row r="172" spans="1:4" ht="15.75" customHeight="1" x14ac:dyDescent="0.15">
      <c r="A172" s="1" t="s">
        <v>656</v>
      </c>
      <c r="B172" t="str">
        <f ca="1">IFERROR(__xludf.DUMMYFUNCTION("split(A172, "";"")"),"ur-pk")</f>
        <v>ur-pk</v>
      </c>
      <c r="C172" t="str">
        <f ca="1">IFERROR(__xludf.DUMMYFUNCTION("""COMPUTED_VALUE"""),"Pakistán")</f>
        <v>Pakistán</v>
      </c>
      <c r="D172" t="str">
        <f ca="1">IFERROR(__xludf.DUMMYFUNCTION("""COMPUTED_VALUE"""),"Paquistão")</f>
        <v>Paquistão</v>
      </c>
    </row>
    <row r="173" spans="1:4" ht="15.75" customHeight="1" x14ac:dyDescent="0.15">
      <c r="A173" s="1" t="s">
        <v>450</v>
      </c>
      <c r="B173" t="str">
        <f ca="1">IFERROR(__xludf.DUMMYFUNCTION("split(A173, "";"")"),"es-py")</f>
        <v>es-py</v>
      </c>
      <c r="C173" t="str">
        <f ca="1">IFERROR(__xludf.DUMMYFUNCTION("""COMPUTED_VALUE"""),"Paraguay")</f>
        <v>Paraguay</v>
      </c>
      <c r="D173" t="str">
        <f ca="1">IFERROR(__xludf.DUMMYFUNCTION("""COMPUTED_VALUE"""),"Paraguai")</f>
        <v>Paraguai</v>
      </c>
    </row>
    <row r="174" spans="1:4" ht="15.75" customHeight="1" x14ac:dyDescent="0.15">
      <c r="A174" s="1" t="s">
        <v>657</v>
      </c>
      <c r="B174" t="str">
        <f ca="1">IFERROR(__xludf.DUMMYFUNCTION("split(A174, "";"")"),"es-pe")</f>
        <v>es-pe</v>
      </c>
      <c r="C174" t="str">
        <f ca="1">IFERROR(__xludf.DUMMYFUNCTION("""COMPUTED_VALUE"""),"Perú")</f>
        <v>Perú</v>
      </c>
      <c r="D174" t="str">
        <f ca="1">IFERROR(__xludf.DUMMYFUNCTION("""COMPUTED_VALUE"""),"Peru")</f>
        <v>Peru</v>
      </c>
    </row>
    <row r="175" spans="1:4" ht="15.75" customHeight="1" x14ac:dyDescent="0.15">
      <c r="A175" s="1" t="s">
        <v>658</v>
      </c>
      <c r="B175" t="str">
        <f ca="1">IFERROR(__xludf.DUMMYFUNCTION("split(A175, "";"")"),"fr-pf")</f>
        <v>fr-pf</v>
      </c>
      <c r="C175" t="str">
        <f ca="1">IFERROR(__xludf.DUMMYFUNCTION("""COMPUTED_VALUE"""),"Polinesia Francesa")</f>
        <v>Polinesia Francesa</v>
      </c>
      <c r="D175" t="str">
        <f ca="1">IFERROR(__xludf.DUMMYFUNCTION("""COMPUTED_VALUE"""),"Polinésia Francesa")</f>
        <v>Polinésia Francesa</v>
      </c>
    </row>
    <row r="176" spans="1:4" ht="15.75" customHeight="1" x14ac:dyDescent="0.15">
      <c r="A176" s="1" t="s">
        <v>659</v>
      </c>
      <c r="B176" t="str">
        <f ca="1">IFERROR(__xludf.DUMMYFUNCTION("split(A176, "";"")"),"pl-pl")</f>
        <v>pl-pl</v>
      </c>
      <c r="C176" t="str">
        <f ca="1">IFERROR(__xludf.DUMMYFUNCTION("""COMPUTED_VALUE"""),"Polonia")</f>
        <v>Polonia</v>
      </c>
      <c r="D176" t="str">
        <f ca="1">IFERROR(__xludf.DUMMYFUNCTION("""COMPUTED_VALUE"""),"Polônia")</f>
        <v>Polônia</v>
      </c>
    </row>
    <row r="177" spans="1:4" ht="15.75" customHeight="1" x14ac:dyDescent="0.15">
      <c r="A177" s="1" t="s">
        <v>454</v>
      </c>
      <c r="B177" t="str">
        <f ca="1">IFERROR(__xludf.DUMMYFUNCTION("split(A177, "";"")"),"es-pr")</f>
        <v>es-pr</v>
      </c>
      <c r="C177" t="str">
        <f ca="1">IFERROR(__xludf.DUMMYFUNCTION("""COMPUTED_VALUE"""),"Puerto Rico")</f>
        <v>Puerto Rico</v>
      </c>
      <c r="D177" t="str">
        <f ca="1">IFERROR(__xludf.DUMMYFUNCTION("""COMPUTED_VALUE"""),"Porto Rico")</f>
        <v>Porto Rico</v>
      </c>
    </row>
    <row r="178" spans="1:4" ht="15.75" customHeight="1" x14ac:dyDescent="0.15">
      <c r="A178" s="1" t="s">
        <v>455</v>
      </c>
      <c r="B178" t="str">
        <f ca="1">IFERROR(__xludf.DUMMYFUNCTION("split(A178, "";"")"),"pt-pt")</f>
        <v>pt-pt</v>
      </c>
      <c r="C178" t="str">
        <f ca="1">IFERROR(__xludf.DUMMYFUNCTION("""COMPUTED_VALUE"""),"Portugal")</f>
        <v>Portugal</v>
      </c>
      <c r="D178" t="str">
        <f ca="1">IFERROR(__xludf.DUMMYFUNCTION("""COMPUTED_VALUE"""),"Portugal")</f>
        <v>Portugal</v>
      </c>
    </row>
    <row r="179" spans="1:4" ht="15.75" customHeight="1" x14ac:dyDescent="0.15">
      <c r="A179" s="1" t="s">
        <v>660</v>
      </c>
      <c r="B179" t="str">
        <f ca="1">IFERROR(__xludf.DUMMYFUNCTION("split(A179, "";"")"),"sw-ke")</f>
        <v>sw-ke</v>
      </c>
      <c r="C179" t="str">
        <f ca="1">IFERROR(__xludf.DUMMYFUNCTION("""COMPUTED_VALUE"""),"Kenia")</f>
        <v>Kenia</v>
      </c>
      <c r="D179" t="str">
        <f ca="1">IFERROR(__xludf.DUMMYFUNCTION("""COMPUTED_VALUE"""),"Quênia")</f>
        <v>Quênia</v>
      </c>
    </row>
    <row r="180" spans="1:4" ht="15.75" customHeight="1" x14ac:dyDescent="0.15">
      <c r="A180" s="1" t="s">
        <v>661</v>
      </c>
      <c r="B180" t="str">
        <f ca="1">IFERROR(__xludf.DUMMYFUNCTION("split(A180, "";"")"),"ky-kg")</f>
        <v>ky-kg</v>
      </c>
      <c r="C180" t="str">
        <f ca="1">IFERROR(__xludf.DUMMYFUNCTION("""COMPUTED_VALUE"""),"Kirguistán")</f>
        <v>Kirguistán</v>
      </c>
      <c r="D180" t="str">
        <f ca="1">IFERROR(__xludf.DUMMYFUNCTION("""COMPUTED_VALUE"""),"Quirguistão")</f>
        <v>Quirguistão</v>
      </c>
    </row>
    <row r="181" spans="1:4" ht="15.75" customHeight="1" x14ac:dyDescent="0.15">
      <c r="A181" s="1" t="s">
        <v>458</v>
      </c>
      <c r="B181" t="str">
        <f ca="1">IFERROR(__xludf.DUMMYFUNCTION("split(A181, "";"")"),"en-ki")</f>
        <v>en-ki</v>
      </c>
      <c r="C181" t="str">
        <f ca="1">IFERROR(__xludf.DUMMYFUNCTION("""COMPUTED_VALUE"""),"Kiribati")</f>
        <v>Kiribati</v>
      </c>
      <c r="D181" t="str">
        <f ca="1">IFERROR(__xludf.DUMMYFUNCTION("""COMPUTED_VALUE"""),"Quiribati")</f>
        <v>Quiribati</v>
      </c>
    </row>
    <row r="182" spans="1:4" ht="15.75" customHeight="1" x14ac:dyDescent="0.15">
      <c r="A182" s="1" t="s">
        <v>662</v>
      </c>
      <c r="B182" t="str">
        <f ca="1">IFERROR(__xludf.DUMMYFUNCTION("split(A182, "";"")"),"zh-hk")</f>
        <v>zh-hk</v>
      </c>
      <c r="C182" t="str">
        <f ca="1">IFERROR(__xludf.DUMMYFUNCTION("""COMPUTED_VALUE"""),"RAE de Hong Kong")</f>
        <v>RAE de Hong Kong</v>
      </c>
      <c r="D182" t="str">
        <f ca="1">IFERROR(__xludf.DUMMYFUNCTION("""COMPUTED_VALUE"""),"RAE de Hong Kong")</f>
        <v>RAE de Hong Kong</v>
      </c>
    </row>
    <row r="183" spans="1:4" ht="15.75" customHeight="1" x14ac:dyDescent="0.15">
      <c r="A183" s="1" t="s">
        <v>663</v>
      </c>
      <c r="B183" t="str">
        <f ca="1">IFERROR(__xludf.DUMMYFUNCTION("split(A183, "";"")"),"zh-mo")</f>
        <v>zh-mo</v>
      </c>
      <c r="C183" t="str">
        <f ca="1">IFERROR(__xludf.DUMMYFUNCTION("""COMPUTED_VALUE"""),"RAE de Macao")</f>
        <v>RAE de Macao</v>
      </c>
      <c r="D183" t="str">
        <f ca="1">IFERROR(__xludf.DUMMYFUNCTION("""COMPUTED_VALUE"""),"RAE de Macau")</f>
        <v>RAE de Macau</v>
      </c>
    </row>
    <row r="184" spans="1:4" ht="15.75" customHeight="1" x14ac:dyDescent="0.15">
      <c r="A184" s="1" t="s">
        <v>664</v>
      </c>
      <c r="B184" t="str">
        <f ca="1">IFERROR(__xludf.DUMMYFUNCTION("split(A184, "";"")"),"en-gb")</f>
        <v>en-gb</v>
      </c>
      <c r="C184" t="str">
        <f ca="1">IFERROR(__xludf.DUMMYFUNCTION("""COMPUTED_VALUE"""),"Reino Unido")</f>
        <v>Reino Unido</v>
      </c>
      <c r="D184" t="str">
        <f ca="1">IFERROR(__xludf.DUMMYFUNCTION("""COMPUTED_VALUE"""),"Reino Unido")</f>
        <v>Reino Unido</v>
      </c>
    </row>
    <row r="185" spans="1:4" ht="15.75" customHeight="1" x14ac:dyDescent="0.15">
      <c r="A185" s="1" t="s">
        <v>665</v>
      </c>
      <c r="B185" t="str">
        <f ca="1">IFERROR(__xludf.DUMMYFUNCTION("split(A185, "";"")"),"fr-cf")</f>
        <v>fr-cf</v>
      </c>
      <c r="C185" t="str">
        <f ca="1">IFERROR(__xludf.DUMMYFUNCTION("""COMPUTED_VALUE"""),"República Centroafricana")</f>
        <v>República Centroafricana</v>
      </c>
      <c r="D185" t="str">
        <f ca="1">IFERROR(__xludf.DUMMYFUNCTION("""COMPUTED_VALUE"""),"República Centro-Africana")</f>
        <v>República Centro-Africana</v>
      </c>
    </row>
    <row r="186" spans="1:4" ht="15.75" customHeight="1" x14ac:dyDescent="0.15">
      <c r="A186" s="1" t="s">
        <v>666</v>
      </c>
      <c r="B186" t="str">
        <f ca="1">IFERROR(__xludf.DUMMYFUNCTION("split(A186, "";"")"),"es-do")</f>
        <v>es-do</v>
      </c>
      <c r="C186" t="str">
        <f ca="1">IFERROR(__xludf.DUMMYFUNCTION("""COMPUTED_VALUE"""),"República Dominicana")</f>
        <v>República Dominicana</v>
      </c>
      <c r="D186" t="str">
        <f ca="1">IFERROR(__xludf.DUMMYFUNCTION("""COMPUTED_VALUE"""),"República Dominicana")</f>
        <v>República Dominicana</v>
      </c>
    </row>
    <row r="187" spans="1:4" ht="15.75" customHeight="1" x14ac:dyDescent="0.15">
      <c r="A187" s="1" t="s">
        <v>667</v>
      </c>
      <c r="B187" t="str">
        <f ca="1">IFERROR(__xludf.DUMMYFUNCTION("split(A187, "";"")"),"fr-re")</f>
        <v>fr-re</v>
      </c>
      <c r="C187" t="str">
        <f ca="1">IFERROR(__xludf.DUMMYFUNCTION("""COMPUTED_VALUE"""),"Reunión")</f>
        <v>Reunión</v>
      </c>
      <c r="D187" t="str">
        <f ca="1">IFERROR(__xludf.DUMMYFUNCTION("""COMPUTED_VALUE"""),"Reunião")</f>
        <v>Reunião</v>
      </c>
    </row>
    <row r="188" spans="1:4" ht="15.75" customHeight="1" x14ac:dyDescent="0.15">
      <c r="A188" s="1" t="s">
        <v>668</v>
      </c>
      <c r="B188" t="str">
        <f ca="1">IFERROR(__xludf.DUMMYFUNCTION("split(A188, "";"")"),"ro-ro")</f>
        <v>ro-ro</v>
      </c>
      <c r="C188" t="str">
        <f ca="1">IFERROR(__xludf.DUMMYFUNCTION("""COMPUTED_VALUE"""),"Rumania")</f>
        <v>Rumania</v>
      </c>
      <c r="D188" t="str">
        <f ca="1">IFERROR(__xludf.DUMMYFUNCTION("""COMPUTED_VALUE"""),"Romênia")</f>
        <v>Romênia</v>
      </c>
    </row>
    <row r="189" spans="1:4" ht="15.75" customHeight="1" x14ac:dyDescent="0.15">
      <c r="A189" s="1" t="s">
        <v>669</v>
      </c>
      <c r="B189" t="str">
        <f ca="1">IFERROR(__xludf.DUMMYFUNCTION("split(A189, "";"")"),"rw-rw")</f>
        <v>rw-rw</v>
      </c>
      <c r="C189" t="str">
        <f ca="1">IFERROR(__xludf.DUMMYFUNCTION("""COMPUTED_VALUE"""),"Ruanda")</f>
        <v>Ruanda</v>
      </c>
      <c r="D189" t="str">
        <f ca="1">IFERROR(__xludf.DUMMYFUNCTION("""COMPUTED_VALUE"""),"Ruanda")</f>
        <v>Ruanda</v>
      </c>
    </row>
    <row r="190" spans="1:4" ht="15.75" customHeight="1" x14ac:dyDescent="0.15">
      <c r="A190" s="1" t="s">
        <v>670</v>
      </c>
      <c r="B190" t="str">
        <f ca="1">IFERROR(__xludf.DUMMYFUNCTION("split(A190, "";"")"),"ru-ru")</f>
        <v>ru-ru</v>
      </c>
      <c r="C190" t="str">
        <f ca="1">IFERROR(__xludf.DUMMYFUNCTION("""COMPUTED_VALUE"""),"Rusia")</f>
        <v>Rusia</v>
      </c>
      <c r="D190" t="str">
        <f ca="1">IFERROR(__xludf.DUMMYFUNCTION("""COMPUTED_VALUE"""),"Rússia")</f>
        <v>Rússia</v>
      </c>
    </row>
    <row r="191" spans="1:4" ht="15.75" customHeight="1" x14ac:dyDescent="0.15">
      <c r="A191" s="1" t="s">
        <v>671</v>
      </c>
      <c r="B191" t="str">
        <f ca="1">IFERROR(__xludf.DUMMYFUNCTION("split(A191, "";"")"),"fr-mf")</f>
        <v>fr-mf</v>
      </c>
      <c r="C191" t="str">
        <f ca="1">IFERROR(__xludf.DUMMYFUNCTION("""COMPUTED_VALUE"""),"San Martín")</f>
        <v>San Martín</v>
      </c>
      <c r="D191" t="str">
        <f ca="1">IFERROR(__xludf.DUMMYFUNCTION("""COMPUTED_VALUE"""),"Saint Martin")</f>
        <v>Saint Martin</v>
      </c>
    </row>
    <row r="192" spans="1:4" ht="15.75" customHeight="1" x14ac:dyDescent="0.15">
      <c r="A192" s="1" t="s">
        <v>471</v>
      </c>
      <c r="B192" t="str">
        <f ca="1">IFERROR(__xludf.DUMMYFUNCTION("split(A192, "";"")"),"en-ws")</f>
        <v>en-ws</v>
      </c>
      <c r="C192" t="str">
        <f ca="1">IFERROR(__xludf.DUMMYFUNCTION("""COMPUTED_VALUE"""),"Samoa")</f>
        <v>Samoa</v>
      </c>
      <c r="D192" t="str">
        <f ca="1">IFERROR(__xludf.DUMMYFUNCTION("""COMPUTED_VALUE"""),"Samoa")</f>
        <v>Samoa</v>
      </c>
    </row>
    <row r="193" spans="1:4" ht="15.75" customHeight="1" x14ac:dyDescent="0.15">
      <c r="A193" s="1" t="s">
        <v>672</v>
      </c>
      <c r="B193" t="str">
        <f ca="1">IFERROR(__xludf.DUMMYFUNCTION("split(A193, "";"")"),"en-as")</f>
        <v>en-as</v>
      </c>
      <c r="C193" t="str">
        <f ca="1">IFERROR(__xludf.DUMMYFUNCTION("""COMPUTED_VALUE"""),"Samoa Americana")</f>
        <v>Samoa Americana</v>
      </c>
      <c r="D193" t="str">
        <f ca="1">IFERROR(__xludf.DUMMYFUNCTION("""COMPUTED_VALUE"""),"Samoa Americana")</f>
        <v>Samoa Americana</v>
      </c>
    </row>
    <row r="194" spans="1:4" ht="15.75" customHeight="1" x14ac:dyDescent="0.15">
      <c r="A194" s="1" t="s">
        <v>673</v>
      </c>
      <c r="B194" t="str">
        <f ca="1">IFERROR(__xludf.DUMMYFUNCTION("split(A194, "";"")"),"it-sm")</f>
        <v>it-sm</v>
      </c>
      <c r="C194" t="str">
        <f ca="1">IFERROR(__xludf.DUMMYFUNCTION("""COMPUTED_VALUE"""),"San Marino")</f>
        <v>San Marino</v>
      </c>
      <c r="D194" t="str">
        <f ca="1">IFERROR(__xludf.DUMMYFUNCTION("""COMPUTED_VALUE"""),"San Marino")</f>
        <v>San Marino</v>
      </c>
    </row>
    <row r="195" spans="1:4" ht="15.75" customHeight="1" x14ac:dyDescent="0.15">
      <c r="A195" s="1" t="s">
        <v>674</v>
      </c>
      <c r="B195" t="str">
        <f ca="1">IFERROR(__xludf.DUMMYFUNCTION("split(A195, "";"")"),"en-sh")</f>
        <v>en-sh</v>
      </c>
      <c r="C195" t="str">
        <f ca="1">IFERROR(__xludf.DUMMYFUNCTION("""COMPUTED_VALUE"""),"Santa Elena, Ascensión y Tristán da Cunha")</f>
        <v>Santa Elena, Ascensión y Tristán da Cunha</v>
      </c>
      <c r="D195" t="str">
        <f ca="1">IFERROR(__xludf.DUMMYFUNCTION("""COMPUTED_VALUE"""),"Santa Helena, Ascensão e Tristão da Cunha")</f>
        <v>Santa Helena, Ascensão e Tristão da Cunha</v>
      </c>
    </row>
    <row r="196" spans="1:4" ht="15.75" customHeight="1" x14ac:dyDescent="0.15">
      <c r="A196" s="1" t="s">
        <v>675</v>
      </c>
      <c r="B196" t="str">
        <f ca="1">IFERROR(__xludf.DUMMYFUNCTION("split(A196, "";"")"),"en-lc")</f>
        <v>en-lc</v>
      </c>
      <c r="C196" t="str">
        <f ca="1">IFERROR(__xludf.DUMMYFUNCTION("""COMPUTED_VALUE"""),"Santa Lucía")</f>
        <v>Santa Lucía</v>
      </c>
      <c r="D196" t="str">
        <f ca="1">IFERROR(__xludf.DUMMYFUNCTION("""COMPUTED_VALUE"""),"Santa Lúcia")</f>
        <v>Santa Lúcia</v>
      </c>
    </row>
    <row r="197" spans="1:4" ht="15.75" customHeight="1" x14ac:dyDescent="0.15">
      <c r="A197" s="1" t="s">
        <v>676</v>
      </c>
      <c r="B197" t="str">
        <f ca="1">IFERROR(__xludf.DUMMYFUNCTION("split(A197, "";"")"),"fr-bl")</f>
        <v>fr-bl</v>
      </c>
      <c r="C197" t="str">
        <f ca="1">IFERROR(__xludf.DUMMYFUNCTION("""COMPUTED_VALUE"""),"San Bartolomé")</f>
        <v>San Bartolomé</v>
      </c>
      <c r="D197" t="str">
        <f ca="1">IFERROR(__xludf.DUMMYFUNCTION("""COMPUTED_VALUE"""),"São Bartolomeu")</f>
        <v>São Bartolomeu</v>
      </c>
    </row>
    <row r="198" spans="1:4" ht="15.75" customHeight="1" x14ac:dyDescent="0.15">
      <c r="A198" s="1" t="s">
        <v>677</v>
      </c>
      <c r="B198" t="str">
        <f ca="1">IFERROR(__xludf.DUMMYFUNCTION("split(A198, "";"")"),"en-kn")</f>
        <v>en-kn</v>
      </c>
      <c r="C198" t="str">
        <f ca="1">IFERROR(__xludf.DUMMYFUNCTION("""COMPUTED_VALUE"""),"San Cristóbal y Nieves")</f>
        <v>San Cristóbal y Nieves</v>
      </c>
      <c r="D198" t="str">
        <f ca="1">IFERROR(__xludf.DUMMYFUNCTION("""COMPUTED_VALUE"""),"São Cristóvão e Névis")</f>
        <v>São Cristóvão e Névis</v>
      </c>
    </row>
    <row r="199" spans="1:4" ht="15.75" customHeight="1" x14ac:dyDescent="0.15">
      <c r="A199" s="1" t="s">
        <v>678</v>
      </c>
      <c r="B199" t="str">
        <f ca="1">IFERROR(__xludf.DUMMYFUNCTION("split(A199, "";"")"),"fr-pm")</f>
        <v>fr-pm</v>
      </c>
      <c r="C199" t="str">
        <f ca="1">IFERROR(__xludf.DUMMYFUNCTION("""COMPUTED_VALUE"""),"San Pedro y Miquelón")</f>
        <v>San Pedro y Miquelón</v>
      </c>
      <c r="D199" t="str">
        <f ca="1">IFERROR(__xludf.DUMMYFUNCTION("""COMPUTED_VALUE"""),"São Pedro e Miquelão")</f>
        <v>São Pedro e Miquelão</v>
      </c>
    </row>
    <row r="200" spans="1:4" ht="15.75" customHeight="1" x14ac:dyDescent="0.15">
      <c r="A200" s="1" t="s">
        <v>679</v>
      </c>
      <c r="B200" t="str">
        <f ca="1">IFERROR(__xludf.DUMMYFUNCTION("split(A200, "";"")"),"pt-st")</f>
        <v>pt-st</v>
      </c>
      <c r="C200" t="str">
        <f ca="1">IFERROR(__xludf.DUMMYFUNCTION("""COMPUTED_VALUE"""),"Santo Tomé y Príncipe")</f>
        <v>Santo Tomé y Príncipe</v>
      </c>
      <c r="D200" t="str">
        <f ca="1">IFERROR(__xludf.DUMMYFUNCTION("""COMPUTED_VALUE"""),"São Tomé e Príncipe")</f>
        <v>São Tomé e Príncipe</v>
      </c>
    </row>
    <row r="201" spans="1:4" ht="15.75" customHeight="1" x14ac:dyDescent="0.15">
      <c r="A201" s="1" t="s">
        <v>680</v>
      </c>
      <c r="B201" t="str">
        <f ca="1">IFERROR(__xludf.DUMMYFUNCTION("split(A201, "";"")"),"en-vc")</f>
        <v>en-vc</v>
      </c>
      <c r="C201" t="str">
        <f ca="1">IFERROR(__xludf.DUMMYFUNCTION("""COMPUTED_VALUE"""),"San Vicente y las Granadinas")</f>
        <v>San Vicente y las Granadinas</v>
      </c>
      <c r="D201" t="str">
        <f ca="1">IFERROR(__xludf.DUMMYFUNCTION("""COMPUTED_VALUE"""),"São Vicente e Granadinas")</f>
        <v>São Vicente e Granadinas</v>
      </c>
    </row>
    <row r="202" spans="1:4" ht="15.75" customHeight="1" x14ac:dyDescent="0.15">
      <c r="A202" s="1" t="s">
        <v>483</v>
      </c>
      <c r="B202" t="str">
        <f ca="1">IFERROR(__xludf.DUMMYFUNCTION("split(A202, "";"")"),"en-sc")</f>
        <v>en-sc</v>
      </c>
      <c r="C202" t="str">
        <f ca="1">IFERROR(__xludf.DUMMYFUNCTION("""COMPUTED_VALUE"""),"Seychelles")</f>
        <v>Seychelles</v>
      </c>
      <c r="D202" t="str">
        <f ca="1">IFERROR(__xludf.DUMMYFUNCTION("""COMPUTED_VALUE"""),"Seicheles")</f>
        <v>Seicheles</v>
      </c>
    </row>
    <row r="203" spans="1:4" ht="15.75" customHeight="1" x14ac:dyDescent="0.15">
      <c r="A203" s="1" t="s">
        <v>484</v>
      </c>
      <c r="B203" t="str">
        <f ca="1">IFERROR(__xludf.DUMMYFUNCTION("split(A203, "";"")"),"fr-sn")</f>
        <v>fr-sn</v>
      </c>
      <c r="C203" t="str">
        <f ca="1">IFERROR(__xludf.DUMMYFUNCTION("""COMPUTED_VALUE"""),"Senegal")</f>
        <v>Senegal</v>
      </c>
      <c r="D203" t="str">
        <f ca="1">IFERROR(__xludf.DUMMYFUNCTION("""COMPUTED_VALUE"""),"Senegal")</f>
        <v>Senegal</v>
      </c>
    </row>
    <row r="204" spans="1:4" ht="15.75" customHeight="1" x14ac:dyDescent="0.15">
      <c r="A204" s="1" t="s">
        <v>681</v>
      </c>
      <c r="B204" t="str">
        <f ca="1">IFERROR(__xludf.DUMMYFUNCTION("split(A204, "";"")"),"en-sl")</f>
        <v>en-sl</v>
      </c>
      <c r="C204" t="str">
        <f ca="1">IFERROR(__xludf.DUMMYFUNCTION("""COMPUTED_VALUE"""),"Sierra Leona")</f>
        <v>Sierra Leona</v>
      </c>
      <c r="D204" t="str">
        <f ca="1">IFERROR(__xludf.DUMMYFUNCTION("""COMPUTED_VALUE"""),"Serra Leoa")</f>
        <v>Serra Leoa</v>
      </c>
    </row>
    <row r="205" spans="1:4" ht="15.75" customHeight="1" x14ac:dyDescent="0.15">
      <c r="A205" s="1" t="s">
        <v>682</v>
      </c>
      <c r="B205" t="str">
        <f ca="1">IFERROR(__xludf.DUMMYFUNCTION("split(A205, "";"")"),"sr-latn-rs")</f>
        <v>sr-latn-rs</v>
      </c>
      <c r="C205" t="str">
        <f ca="1">IFERROR(__xludf.DUMMYFUNCTION("""COMPUTED_VALUE"""),"Serbia")</f>
        <v>Serbia</v>
      </c>
      <c r="D205" t="str">
        <f ca="1">IFERROR(__xludf.DUMMYFUNCTION("""COMPUTED_VALUE"""),"Sérvia")</f>
        <v>Sérvia</v>
      </c>
    </row>
    <row r="206" spans="1:4" ht="15.75" customHeight="1" x14ac:dyDescent="0.15">
      <c r="A206" s="1" t="s">
        <v>683</v>
      </c>
      <c r="B206" t="str">
        <f ca="1">IFERROR(__xludf.DUMMYFUNCTION("split(A206, "";"")"),"en-sg")</f>
        <v>en-sg</v>
      </c>
      <c r="C206" t="str">
        <f ca="1">IFERROR(__xludf.DUMMYFUNCTION("""COMPUTED_VALUE"""),"Singapur")</f>
        <v>Singapur</v>
      </c>
      <c r="D206" t="str">
        <f ca="1">IFERROR(__xludf.DUMMYFUNCTION("""COMPUTED_VALUE"""),"Singapura")</f>
        <v>Singapura</v>
      </c>
    </row>
    <row r="207" spans="1:4" ht="15.75" customHeight="1" x14ac:dyDescent="0.15">
      <c r="A207" s="1" t="s">
        <v>489</v>
      </c>
      <c r="B207" t="str">
        <f ca="1">IFERROR(__xludf.DUMMYFUNCTION("split(A207, "";"")"),"nl-sx")</f>
        <v>nl-sx</v>
      </c>
      <c r="C207" t="str">
        <f ca="1">IFERROR(__xludf.DUMMYFUNCTION("""COMPUTED_VALUE"""),"Sint Maarten")</f>
        <v>Sint Maarten</v>
      </c>
      <c r="D207" t="str">
        <f ca="1">IFERROR(__xludf.DUMMYFUNCTION("""COMPUTED_VALUE"""),"Sint Maarten")</f>
        <v>Sint Maarten</v>
      </c>
    </row>
    <row r="208" spans="1:4" ht="15.75" customHeight="1" x14ac:dyDescent="0.15">
      <c r="A208" s="1" t="s">
        <v>684</v>
      </c>
      <c r="B208" t="str">
        <f ca="1">IFERROR(__xludf.DUMMYFUNCTION("split(A208, "";"")"),"ar-sy")</f>
        <v>ar-sy</v>
      </c>
      <c r="C208" t="str">
        <f ca="1">IFERROR(__xludf.DUMMYFUNCTION("""COMPUTED_VALUE"""),"Siria")</f>
        <v>Siria</v>
      </c>
      <c r="D208" t="str">
        <f ca="1">IFERROR(__xludf.DUMMYFUNCTION("""COMPUTED_VALUE"""),"Síria")</f>
        <v>Síria</v>
      </c>
    </row>
    <row r="209" spans="1:4" ht="15.75" customHeight="1" x14ac:dyDescent="0.15">
      <c r="A209" s="1" t="s">
        <v>685</v>
      </c>
      <c r="B209" t="str">
        <f ca="1">IFERROR(__xludf.DUMMYFUNCTION("split(A209, "";"")"),"so-so")</f>
        <v>so-so</v>
      </c>
      <c r="C209" t="str">
        <f ca="1">IFERROR(__xludf.DUMMYFUNCTION("""COMPUTED_VALUE"""),"Somalia")</f>
        <v>Somalia</v>
      </c>
      <c r="D209" t="str">
        <f ca="1">IFERROR(__xludf.DUMMYFUNCTION("""COMPUTED_VALUE"""),"Somália")</f>
        <v>Somália</v>
      </c>
    </row>
    <row r="210" spans="1:4" ht="15.75" customHeight="1" x14ac:dyDescent="0.15">
      <c r="A210" s="1" t="s">
        <v>494</v>
      </c>
      <c r="B210" t="str">
        <f ca="1">IFERROR(__xludf.DUMMYFUNCTION("split(A210, "";"")"),"si-lk")</f>
        <v>si-lk</v>
      </c>
      <c r="C210" t="str">
        <f ca="1">IFERROR(__xludf.DUMMYFUNCTION("""COMPUTED_VALUE"""),"Sri Lanka")</f>
        <v>Sri Lanka</v>
      </c>
      <c r="D210" t="str">
        <f ca="1">IFERROR(__xludf.DUMMYFUNCTION("""COMPUTED_VALUE"""),"Sri Lanka")</f>
        <v>Sri Lanka</v>
      </c>
    </row>
    <row r="211" spans="1:4" ht="15.75" customHeight="1" x14ac:dyDescent="0.15">
      <c r="A211" s="1" t="s">
        <v>686</v>
      </c>
      <c r="B211" t="str">
        <f ca="1">IFERROR(__xludf.DUMMYFUNCTION("split(A211, "";"")"),"ar-sd")</f>
        <v>ar-sd</v>
      </c>
      <c r="C211" t="str">
        <f ca="1">IFERROR(__xludf.DUMMYFUNCTION("""COMPUTED_VALUE"""),"Sudán")</f>
        <v>Sudán</v>
      </c>
      <c r="D211" t="str">
        <f ca="1">IFERROR(__xludf.DUMMYFUNCTION("""COMPUTED_VALUE"""),"Sudão")</f>
        <v>Sudão</v>
      </c>
    </row>
    <row r="212" spans="1:4" ht="15.75" customHeight="1" x14ac:dyDescent="0.15">
      <c r="A212" s="1" t="s">
        <v>687</v>
      </c>
      <c r="B212" t="str">
        <f ca="1">IFERROR(__xludf.DUMMYFUNCTION("split(A212, "";"")"),"en-ss")</f>
        <v>en-ss</v>
      </c>
      <c r="C212" t="str">
        <f ca="1">IFERROR(__xludf.DUMMYFUNCTION("""COMPUTED_VALUE"""),"Sudán del Sur")</f>
        <v>Sudán del Sur</v>
      </c>
      <c r="D212" t="str">
        <f ca="1">IFERROR(__xludf.DUMMYFUNCTION("""COMPUTED_VALUE"""),"Sudão do Sul")</f>
        <v>Sudão do Sul</v>
      </c>
    </row>
    <row r="213" spans="1:4" ht="15.75" customHeight="1" x14ac:dyDescent="0.15">
      <c r="A213" s="1" t="s">
        <v>688</v>
      </c>
      <c r="B213" t="str">
        <f ca="1">IFERROR(__xludf.DUMMYFUNCTION("split(A213, "";"")"),"sv-se")</f>
        <v>sv-se</v>
      </c>
      <c r="C213" t="str">
        <f ca="1">IFERROR(__xludf.DUMMYFUNCTION("""COMPUTED_VALUE"""),"Suecia")</f>
        <v>Suecia</v>
      </c>
      <c r="D213" t="str">
        <f ca="1">IFERROR(__xludf.DUMMYFUNCTION("""COMPUTED_VALUE"""),"Suécia")</f>
        <v>Suécia</v>
      </c>
    </row>
    <row r="214" spans="1:4" ht="15.75" customHeight="1" x14ac:dyDescent="0.15">
      <c r="A214" s="1" t="s">
        <v>689</v>
      </c>
      <c r="B214" t="str">
        <f ca="1">IFERROR(__xludf.DUMMYFUNCTION("split(A214, "";"")"),"de-ch")</f>
        <v>de-ch</v>
      </c>
      <c r="C214" t="str">
        <f ca="1">IFERROR(__xludf.DUMMYFUNCTION("""COMPUTED_VALUE"""),"Suiza - Alemán")</f>
        <v>Suiza - Alemán</v>
      </c>
      <c r="D214" t="str">
        <f ca="1">IFERROR(__xludf.DUMMYFUNCTION("""COMPUTED_VALUE"""),"Suíça - Alemão")</f>
        <v>Suíça - Alemão</v>
      </c>
    </row>
    <row r="215" spans="1:4" ht="15.75" customHeight="1" x14ac:dyDescent="0.15">
      <c r="A215" s="1" t="s">
        <v>690</v>
      </c>
      <c r="B215" t="str">
        <f ca="1">IFERROR(__xludf.DUMMYFUNCTION("split(A215, "";"")"),"fr-ch")</f>
        <v>fr-ch</v>
      </c>
      <c r="C215" t="str">
        <f ca="1">IFERROR(__xludf.DUMMYFUNCTION("""COMPUTED_VALUE"""),"Suiza - Francés")</f>
        <v>Suiza - Francés</v>
      </c>
      <c r="D215" t="str">
        <f ca="1">IFERROR(__xludf.DUMMYFUNCTION("""COMPUTED_VALUE"""),"Suíça - Francês")</f>
        <v>Suíça - Francês</v>
      </c>
    </row>
    <row r="216" spans="1:4" ht="15.75" customHeight="1" x14ac:dyDescent="0.15">
      <c r="A216" s="1" t="s">
        <v>691</v>
      </c>
      <c r="B216" t="str">
        <f ca="1">IFERROR(__xludf.DUMMYFUNCTION("split(A216, "";"")"),"nl-sr")</f>
        <v>nl-sr</v>
      </c>
      <c r="C216" t="str">
        <f ca="1">IFERROR(__xludf.DUMMYFUNCTION("""COMPUTED_VALUE"""),"Surinam")</f>
        <v>Surinam</v>
      </c>
      <c r="D216" t="str">
        <f ca="1">IFERROR(__xludf.DUMMYFUNCTION("""COMPUTED_VALUE"""),"Suriname")</f>
        <v>Suriname</v>
      </c>
    </row>
    <row r="217" spans="1:4" ht="15.75" customHeight="1" x14ac:dyDescent="0.15">
      <c r="A217" s="1" t="s">
        <v>692</v>
      </c>
      <c r="B217" t="str">
        <f ca="1">IFERROR(__xludf.DUMMYFUNCTION("split(A217, "";"")"),"tg-cyrl-tj")</f>
        <v>tg-cyrl-tj</v>
      </c>
      <c r="C217" t="str">
        <f ca="1">IFERROR(__xludf.DUMMYFUNCTION("""COMPUTED_VALUE"""),"Tayikistán")</f>
        <v>Tayikistán</v>
      </c>
      <c r="D217" t="str">
        <f ca="1">IFERROR(__xludf.DUMMYFUNCTION("""COMPUTED_VALUE"""),"Tadjiquistão")</f>
        <v>Tadjiquistão</v>
      </c>
    </row>
    <row r="218" spans="1:4" ht="15.75" customHeight="1" x14ac:dyDescent="0.15">
      <c r="A218" s="1" t="s">
        <v>693</v>
      </c>
      <c r="B218" t="str">
        <f ca="1">IFERROR(__xludf.DUMMYFUNCTION("split(A218, "";"")"),"th-th")</f>
        <v>th-th</v>
      </c>
      <c r="C218" t="str">
        <f ca="1">IFERROR(__xludf.DUMMYFUNCTION("""COMPUTED_VALUE"""),"Tailandia")</f>
        <v>Tailandia</v>
      </c>
      <c r="D218" t="str">
        <f ca="1">IFERROR(__xludf.DUMMYFUNCTION("""COMPUTED_VALUE"""),"Tailândia")</f>
        <v>Tailândia</v>
      </c>
    </row>
    <row r="219" spans="1:4" ht="15.75" customHeight="1" x14ac:dyDescent="0.15">
      <c r="A219" s="1" t="s">
        <v>694</v>
      </c>
      <c r="B219" t="str">
        <f ca="1">IFERROR(__xludf.DUMMYFUNCTION("split(A219, "";"")"),"zh-tw")</f>
        <v>zh-tw</v>
      </c>
      <c r="C219" t="str">
        <f ca="1">IFERROR(__xludf.DUMMYFUNCTION("""COMPUTED_VALUE"""),"Taiwán")</f>
        <v>Taiwán</v>
      </c>
      <c r="D219" t="str">
        <f ca="1">IFERROR(__xludf.DUMMYFUNCTION("""COMPUTED_VALUE"""),"Taiwan")</f>
        <v>Taiwan</v>
      </c>
    </row>
    <row r="220" spans="1:4" ht="15.75" customHeight="1" x14ac:dyDescent="0.15">
      <c r="A220" s="1" t="s">
        <v>506</v>
      </c>
      <c r="B220" t="str">
        <f ca="1">IFERROR(__xludf.DUMMYFUNCTION("split(A220, "";"")"),"en-tz")</f>
        <v>en-tz</v>
      </c>
      <c r="C220" t="str">
        <f ca="1">IFERROR(__xludf.DUMMYFUNCTION("""COMPUTED_VALUE"""),"Tanzania")</f>
        <v>Tanzania</v>
      </c>
      <c r="D220" t="str">
        <f ca="1">IFERROR(__xludf.DUMMYFUNCTION("""COMPUTED_VALUE"""),"Tanzânia")</f>
        <v>Tanzânia</v>
      </c>
    </row>
    <row r="221" spans="1:4" ht="15.75" customHeight="1" x14ac:dyDescent="0.15">
      <c r="A221" s="1" t="s">
        <v>695</v>
      </c>
      <c r="B221" t="str">
        <f ca="1">IFERROR(__xludf.DUMMYFUNCTION("split(A221, "";"")"),"cs-cz")</f>
        <v>cs-cz</v>
      </c>
      <c r="C221" t="str">
        <f ca="1">IFERROR(__xludf.DUMMYFUNCTION("""COMPUTED_VALUE"""),"Chequia")</f>
        <v>Chequia</v>
      </c>
      <c r="D221" t="str">
        <f ca="1">IFERROR(__xludf.DUMMYFUNCTION("""COMPUTED_VALUE"""),"Tchéquia")</f>
        <v>Tchéquia</v>
      </c>
    </row>
    <row r="222" spans="1:4" ht="15.75" customHeight="1" x14ac:dyDescent="0.15">
      <c r="A222" s="1" t="s">
        <v>508</v>
      </c>
      <c r="B222" t="str">
        <f ca="1">IFERROR(__xludf.DUMMYFUNCTION("split(A222, "";"")"),"fr-tg")</f>
        <v>fr-tg</v>
      </c>
      <c r="C222" t="str">
        <f ca="1">IFERROR(__xludf.DUMMYFUNCTION("""COMPUTED_VALUE"""),"Togo")</f>
        <v>Togo</v>
      </c>
      <c r="D222" t="str">
        <f ca="1">IFERROR(__xludf.DUMMYFUNCTION("""COMPUTED_VALUE"""),"Togo")</f>
        <v>Togo</v>
      </c>
    </row>
    <row r="223" spans="1:4" ht="15.75" customHeight="1" x14ac:dyDescent="0.15">
      <c r="A223" s="1" t="s">
        <v>509</v>
      </c>
      <c r="B223" t="str">
        <f ca="1">IFERROR(__xludf.DUMMYFUNCTION("split(A223, "";"")"),"en-tk")</f>
        <v>en-tk</v>
      </c>
      <c r="C223" t="str">
        <f ca="1">IFERROR(__xludf.DUMMYFUNCTION("""COMPUTED_VALUE"""),"Tokelau")</f>
        <v>Tokelau</v>
      </c>
      <c r="D223" t="str">
        <f ca="1">IFERROR(__xludf.DUMMYFUNCTION("""COMPUTED_VALUE"""),"Tokelau")</f>
        <v>Tokelau</v>
      </c>
    </row>
    <row r="224" spans="1:4" ht="15.75" customHeight="1" x14ac:dyDescent="0.15">
      <c r="A224" s="1" t="s">
        <v>510</v>
      </c>
      <c r="B224" t="str">
        <f ca="1">IFERROR(__xludf.DUMMYFUNCTION("split(A224, "";"")"),"en-to")</f>
        <v>en-to</v>
      </c>
      <c r="C224" t="str">
        <f ca="1">IFERROR(__xludf.DUMMYFUNCTION("""COMPUTED_VALUE"""),"Tonga")</f>
        <v>Tonga</v>
      </c>
      <c r="D224" t="str">
        <f ca="1">IFERROR(__xludf.DUMMYFUNCTION("""COMPUTED_VALUE"""),"Tonga")</f>
        <v>Tonga</v>
      </c>
    </row>
    <row r="225" spans="1:4" ht="15.75" customHeight="1" x14ac:dyDescent="0.15">
      <c r="A225" s="1" t="s">
        <v>696</v>
      </c>
      <c r="B225" t="str">
        <f ca="1">IFERROR(__xludf.DUMMYFUNCTION("split(A225, "";"")"),"en-tt")</f>
        <v>en-tt</v>
      </c>
      <c r="C225" t="str">
        <f ca="1">IFERROR(__xludf.DUMMYFUNCTION("""COMPUTED_VALUE"""),"Trinidad y Tobago")</f>
        <v>Trinidad y Tobago</v>
      </c>
      <c r="D225" t="str">
        <f ca="1">IFERROR(__xludf.DUMMYFUNCTION("""COMPUTED_VALUE"""),"Trinidad e Tobago")</f>
        <v>Trinidad e Tobago</v>
      </c>
    </row>
    <row r="226" spans="1:4" ht="15.75" customHeight="1" x14ac:dyDescent="0.15">
      <c r="A226" s="1" t="s">
        <v>697</v>
      </c>
      <c r="B226" t="str">
        <f ca="1">IFERROR(__xludf.DUMMYFUNCTION("split(A226, "";"")"),"ar-tn")</f>
        <v>ar-tn</v>
      </c>
      <c r="C226" t="str">
        <f ca="1">IFERROR(__xludf.DUMMYFUNCTION("""COMPUTED_VALUE"""),"Túnez")</f>
        <v>Túnez</v>
      </c>
      <c r="D226" t="str">
        <f ca="1">IFERROR(__xludf.DUMMYFUNCTION("""COMPUTED_VALUE"""),"Tunísia")</f>
        <v>Tunísia</v>
      </c>
    </row>
    <row r="227" spans="1:4" ht="15.75" customHeight="1" x14ac:dyDescent="0.15">
      <c r="A227" s="1" t="s">
        <v>698</v>
      </c>
      <c r="B227" t="str">
        <f ca="1">IFERROR(__xludf.DUMMYFUNCTION("split(A227, "";"")"),"tk-tm")</f>
        <v>tk-tm</v>
      </c>
      <c r="C227" t="str">
        <f ca="1">IFERROR(__xludf.DUMMYFUNCTION("""COMPUTED_VALUE"""),"Turkmenistán")</f>
        <v>Turkmenistán</v>
      </c>
      <c r="D227" t="str">
        <f ca="1">IFERROR(__xludf.DUMMYFUNCTION("""COMPUTED_VALUE"""),"Turcomenistão")</f>
        <v>Turcomenistão</v>
      </c>
    </row>
    <row r="228" spans="1:4" ht="15.75" customHeight="1" x14ac:dyDescent="0.15">
      <c r="A228" s="1" t="s">
        <v>699</v>
      </c>
      <c r="B228" t="str">
        <f ca="1">IFERROR(__xludf.DUMMYFUNCTION("split(A228, "";"")"),"tr-tr")</f>
        <v>tr-tr</v>
      </c>
      <c r="C228" t="str">
        <f ca="1">IFERROR(__xludf.DUMMYFUNCTION("""COMPUTED_VALUE"""),"Turquía")</f>
        <v>Turquía</v>
      </c>
      <c r="D228" t="str">
        <f ca="1">IFERROR(__xludf.DUMMYFUNCTION("""COMPUTED_VALUE"""),"Turquia")</f>
        <v>Turquia</v>
      </c>
    </row>
    <row r="229" spans="1:4" ht="15.75" customHeight="1" x14ac:dyDescent="0.15">
      <c r="A229" s="1" t="s">
        <v>516</v>
      </c>
      <c r="B229" t="str">
        <f ca="1">IFERROR(__xludf.DUMMYFUNCTION("split(A229, "";"")"),"en-tv")</f>
        <v>en-tv</v>
      </c>
      <c r="C229" t="str">
        <f ca="1">IFERROR(__xludf.DUMMYFUNCTION("""COMPUTED_VALUE"""),"Tuvalu")</f>
        <v>Tuvalu</v>
      </c>
      <c r="D229" t="str">
        <f ca="1">IFERROR(__xludf.DUMMYFUNCTION("""COMPUTED_VALUE"""),"Tuvalu")</f>
        <v>Tuvalu</v>
      </c>
    </row>
    <row r="230" spans="1:4" ht="15.75" customHeight="1" x14ac:dyDescent="0.15">
      <c r="A230" s="1" t="s">
        <v>700</v>
      </c>
      <c r="B230" t="str">
        <f ca="1">IFERROR(__xludf.DUMMYFUNCTION("split(A230, "";"")"),"uk-ua")</f>
        <v>uk-ua</v>
      </c>
      <c r="C230" t="str">
        <f ca="1">IFERROR(__xludf.DUMMYFUNCTION("""COMPUTED_VALUE"""),"Ucrania")</f>
        <v>Ucrania</v>
      </c>
      <c r="D230" t="str">
        <f ca="1">IFERROR(__xludf.DUMMYFUNCTION("""COMPUTED_VALUE"""),"Ucrânia")</f>
        <v>Ucrânia</v>
      </c>
    </row>
    <row r="231" spans="1:4" ht="15.75" customHeight="1" x14ac:dyDescent="0.15">
      <c r="A231" s="1" t="s">
        <v>518</v>
      </c>
      <c r="B231" t="str">
        <f ca="1">IFERROR(__xludf.DUMMYFUNCTION("split(A231, "";"")"),"en-ug")</f>
        <v>en-ug</v>
      </c>
      <c r="C231" t="str">
        <f ca="1">IFERROR(__xludf.DUMMYFUNCTION("""COMPUTED_VALUE"""),"Uganda")</f>
        <v>Uganda</v>
      </c>
      <c r="D231" t="str">
        <f ca="1">IFERROR(__xludf.DUMMYFUNCTION("""COMPUTED_VALUE"""),"Uganda")</f>
        <v>Uganda</v>
      </c>
    </row>
    <row r="232" spans="1:4" ht="15.75" customHeight="1" x14ac:dyDescent="0.15">
      <c r="A232" s="1" t="s">
        <v>519</v>
      </c>
      <c r="B232" t="str">
        <f ca="1">IFERROR(__xludf.DUMMYFUNCTION("split(A232, "";"")"),"es-uy")</f>
        <v>es-uy</v>
      </c>
      <c r="C232" t="str">
        <f ca="1">IFERROR(__xludf.DUMMYFUNCTION("""COMPUTED_VALUE"""),"Uruguay")</f>
        <v>Uruguay</v>
      </c>
      <c r="D232" t="str">
        <f ca="1">IFERROR(__xludf.DUMMYFUNCTION("""COMPUTED_VALUE"""),"Uruguai")</f>
        <v>Uruguai</v>
      </c>
    </row>
    <row r="233" spans="1:4" ht="15.75" customHeight="1" x14ac:dyDescent="0.15">
      <c r="A233" s="1" t="s">
        <v>701</v>
      </c>
      <c r="B233" t="str">
        <f ca="1">IFERROR(__xludf.DUMMYFUNCTION("split(A233, "";"")"),"uz-latn-uz")</f>
        <v>uz-latn-uz</v>
      </c>
      <c r="C233" t="str">
        <f ca="1">IFERROR(__xludf.DUMMYFUNCTION("""COMPUTED_VALUE"""),"Uzbekistán")</f>
        <v>Uzbekistán</v>
      </c>
      <c r="D233" t="str">
        <f ca="1">IFERROR(__xludf.DUMMYFUNCTION("""COMPUTED_VALUE"""),"Uzbequistão")</f>
        <v>Uzbequistão</v>
      </c>
    </row>
    <row r="234" spans="1:4" ht="15.75" customHeight="1" x14ac:dyDescent="0.15">
      <c r="A234" s="1" t="s">
        <v>522</v>
      </c>
      <c r="B234" t="str">
        <f ca="1">IFERROR(__xludf.DUMMYFUNCTION("split(A234, "";"")"),"en-vu")</f>
        <v>en-vu</v>
      </c>
      <c r="C234" t="str">
        <f ca="1">IFERROR(__xludf.DUMMYFUNCTION("""COMPUTED_VALUE"""),"Vanuatu")</f>
        <v>Vanuatu</v>
      </c>
      <c r="D234" t="str">
        <f ca="1">IFERROR(__xludf.DUMMYFUNCTION("""COMPUTED_VALUE"""),"Vanuatu")</f>
        <v>Vanuatu</v>
      </c>
    </row>
    <row r="235" spans="1:4" ht="15.75" customHeight="1" x14ac:dyDescent="0.15">
      <c r="A235" s="1" t="s">
        <v>523</v>
      </c>
      <c r="B235" t="str">
        <f ca="1">IFERROR(__xludf.DUMMYFUNCTION("split(A235, "";"")"),"es-ve")</f>
        <v>es-ve</v>
      </c>
      <c r="C235" t="str">
        <f ca="1">IFERROR(__xludf.DUMMYFUNCTION("""COMPUTED_VALUE"""),"Venezuela")</f>
        <v>Venezuela</v>
      </c>
      <c r="D235" t="str">
        <f ca="1">IFERROR(__xludf.DUMMYFUNCTION("""COMPUTED_VALUE"""),"Venezuela")</f>
        <v>Venezuela</v>
      </c>
    </row>
    <row r="236" spans="1:4" ht="15.75" customHeight="1" x14ac:dyDescent="0.15">
      <c r="A236" s="1" t="s">
        <v>702</v>
      </c>
      <c r="B236" t="str">
        <f ca="1">IFERROR(__xludf.DUMMYFUNCTION("split(A236, "";"")"),"vi-vn")</f>
        <v>vi-vn</v>
      </c>
      <c r="C236" t="str">
        <f ca="1">IFERROR(__xludf.DUMMYFUNCTION("""COMPUTED_VALUE"""),"Vietnam")</f>
        <v>Vietnam</v>
      </c>
      <c r="D236" t="str">
        <f ca="1">IFERROR(__xludf.DUMMYFUNCTION("""COMPUTED_VALUE"""),"Vietnã")</f>
        <v>Vietnã</v>
      </c>
    </row>
    <row r="237" spans="1:4" ht="15.75" customHeight="1" x14ac:dyDescent="0.15">
      <c r="A237" s="1" t="s">
        <v>703</v>
      </c>
      <c r="B237" t="str">
        <f ca="1">IFERROR(__xludf.DUMMYFUNCTION("split(A237, "";"")"),"fr-wf")</f>
        <v>fr-wf</v>
      </c>
      <c r="C237" t="str">
        <f ca="1">IFERROR(__xludf.DUMMYFUNCTION("""COMPUTED_VALUE"""),"Wallis y Futuna")</f>
        <v>Wallis y Futuna</v>
      </c>
      <c r="D237" t="str">
        <f ca="1">IFERROR(__xludf.DUMMYFUNCTION("""COMPUTED_VALUE"""),"Wallis e Futuna")</f>
        <v>Wallis e Futuna</v>
      </c>
    </row>
    <row r="238" spans="1:4" ht="15.75" customHeight="1" x14ac:dyDescent="0.15">
      <c r="A238" s="1" t="s">
        <v>527</v>
      </c>
      <c r="B238" t="str">
        <f ca="1">IFERROR(__xludf.DUMMYFUNCTION("split(A238, "";"")"),"en-zm")</f>
        <v>en-zm</v>
      </c>
      <c r="C238" t="str">
        <f ca="1">IFERROR(__xludf.DUMMYFUNCTION("""COMPUTED_VALUE"""),"Zambia")</f>
        <v>Zambia</v>
      </c>
      <c r="D238" t="str">
        <f ca="1">IFERROR(__xludf.DUMMYFUNCTION("""COMPUTED_VALUE"""),"Zâmbia")</f>
        <v>Zâmbia</v>
      </c>
    </row>
    <row r="239" spans="1:4" ht="15.75" customHeight="1" x14ac:dyDescent="0.15">
      <c r="A239" s="1" t="s">
        <v>704</v>
      </c>
      <c r="B239" t="str">
        <f ca="1">IFERROR(__xludf.DUMMYFUNCTION("split(A239, "";"")"),"en-zw")</f>
        <v>en-zw</v>
      </c>
      <c r="C239" t="str">
        <f ca="1">IFERROR(__xludf.DUMMYFUNCTION("""COMPUTED_VALUE"""),"Zimbabue")</f>
        <v>Zimbabue</v>
      </c>
      <c r="D239" t="str">
        <f ca="1">IFERROR(__xludf.DUMMYFUNCTION("""COMPUTED_VALUE"""),"Zimbábue")</f>
        <v>Zimbábue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3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15"/>
  <cols>
    <col min="1" max="1" width="9.3046875" customWidth="1"/>
    <col min="2" max="2" width="37.890625" customWidth="1"/>
    <col min="3" max="3" width="34.25" customWidth="1"/>
    <col min="4" max="4" width="37.3515625" customWidth="1"/>
    <col min="5" max="5" width="14.42578125" customWidth="1"/>
  </cols>
  <sheetData>
    <row r="1" spans="1:4" ht="15.75" customHeight="1" x14ac:dyDescent="0.15">
      <c r="A1" t="s">
        <v>705</v>
      </c>
      <c r="B1" t="s">
        <v>706</v>
      </c>
      <c r="C1" t="s">
        <v>707</v>
      </c>
      <c r="D1" t="s">
        <v>708</v>
      </c>
    </row>
    <row r="2" spans="1:4" ht="15.75" customHeight="1" x14ac:dyDescent="0.15">
      <c r="A2" t="s">
        <v>709</v>
      </c>
      <c r="B2" t="s">
        <v>710</v>
      </c>
      <c r="C2" t="s">
        <v>711</v>
      </c>
      <c r="D2" t="s">
        <v>712</v>
      </c>
    </row>
    <row r="3" spans="1:4" ht="15.75" customHeight="1" x14ac:dyDescent="0.15">
      <c r="A3" t="s">
        <v>713</v>
      </c>
      <c r="B3" t="s">
        <v>714</v>
      </c>
      <c r="C3" t="s">
        <v>715</v>
      </c>
      <c r="D3" t="s">
        <v>716</v>
      </c>
    </row>
    <row r="4" spans="1:4" ht="15.75" customHeight="1" x14ac:dyDescent="0.15">
      <c r="A4" t="s">
        <v>717</v>
      </c>
      <c r="B4" t="s">
        <v>718</v>
      </c>
      <c r="C4" t="s">
        <v>719</v>
      </c>
      <c r="D4" t="s">
        <v>719</v>
      </c>
    </row>
    <row r="5" spans="1:4" ht="15.75" customHeight="1" x14ac:dyDescent="0.15">
      <c r="A5" t="s">
        <v>720</v>
      </c>
      <c r="B5" t="s">
        <v>721</v>
      </c>
      <c r="C5" t="s">
        <v>722</v>
      </c>
      <c r="D5" t="s">
        <v>723</v>
      </c>
    </row>
    <row r="6" spans="1:4" ht="15.75" customHeight="1" x14ac:dyDescent="0.15">
      <c r="A6" t="s">
        <v>724</v>
      </c>
      <c r="B6" t="s">
        <v>725</v>
      </c>
      <c r="C6" t="s">
        <v>725</v>
      </c>
      <c r="D6" t="s">
        <v>725</v>
      </c>
    </row>
    <row r="7" spans="1:4" ht="15.75" customHeight="1" x14ac:dyDescent="0.15">
      <c r="A7" t="s">
        <v>726</v>
      </c>
      <c r="B7" t="s">
        <v>246</v>
      </c>
      <c r="C7" t="s">
        <v>246</v>
      </c>
      <c r="D7" t="s">
        <v>246</v>
      </c>
    </row>
    <row r="8" spans="1:4" ht="15.75" customHeight="1" x14ac:dyDescent="0.15">
      <c r="A8" t="s">
        <v>727</v>
      </c>
      <c r="B8" t="s">
        <v>728</v>
      </c>
      <c r="C8" t="s">
        <v>729</v>
      </c>
      <c r="D8" t="s">
        <v>728</v>
      </c>
    </row>
    <row r="9" spans="1:4" ht="15.75" customHeight="1" x14ac:dyDescent="0.15">
      <c r="A9" t="s">
        <v>730</v>
      </c>
      <c r="B9" t="s">
        <v>731</v>
      </c>
      <c r="C9" t="s">
        <v>732</v>
      </c>
      <c r="D9" t="s">
        <v>733</v>
      </c>
    </row>
    <row r="10" spans="1:4" ht="15.75" customHeight="1" x14ac:dyDescent="0.15">
      <c r="A10" t="s">
        <v>734</v>
      </c>
      <c r="B10" t="s">
        <v>250</v>
      </c>
      <c r="C10" t="s">
        <v>735</v>
      </c>
      <c r="D10" t="s">
        <v>736</v>
      </c>
    </row>
    <row r="11" spans="1:4" ht="15.75" customHeight="1" x14ac:dyDescent="0.15">
      <c r="A11" t="s">
        <v>737</v>
      </c>
      <c r="B11" t="s">
        <v>252</v>
      </c>
      <c r="C11" t="s">
        <v>738</v>
      </c>
      <c r="D11" t="s">
        <v>739</v>
      </c>
    </row>
    <row r="12" spans="1:4" ht="15.75" customHeight="1" x14ac:dyDescent="0.15">
      <c r="A12" t="s">
        <v>740</v>
      </c>
      <c r="B12" t="s">
        <v>741</v>
      </c>
      <c r="C12" t="s">
        <v>741</v>
      </c>
      <c r="D12" t="s">
        <v>741</v>
      </c>
    </row>
    <row r="13" spans="1:4" ht="15.75" customHeight="1" x14ac:dyDescent="0.15">
      <c r="A13" t="s">
        <v>742</v>
      </c>
      <c r="B13" t="s">
        <v>743</v>
      </c>
      <c r="C13" t="s">
        <v>744</v>
      </c>
      <c r="D13" t="s">
        <v>744</v>
      </c>
    </row>
    <row r="14" spans="1:4" ht="15.75" customHeight="1" x14ac:dyDescent="0.15">
      <c r="A14" t="s">
        <v>745</v>
      </c>
      <c r="B14" t="s">
        <v>746</v>
      </c>
      <c r="C14" t="s">
        <v>746</v>
      </c>
      <c r="D14" t="s">
        <v>746</v>
      </c>
    </row>
    <row r="15" spans="1:4" ht="15.75" customHeight="1" x14ac:dyDescent="0.15">
      <c r="A15" t="s">
        <v>747</v>
      </c>
      <c r="B15" t="s">
        <v>748</v>
      </c>
      <c r="C15" t="s">
        <v>749</v>
      </c>
      <c r="D15" t="s">
        <v>749</v>
      </c>
    </row>
    <row r="16" spans="1:4" ht="15.75" customHeight="1" x14ac:dyDescent="0.15">
      <c r="A16" t="s">
        <v>750</v>
      </c>
      <c r="B16" t="s">
        <v>751</v>
      </c>
      <c r="C16" t="s">
        <v>752</v>
      </c>
      <c r="D16" t="s">
        <v>752</v>
      </c>
    </row>
    <row r="17" spans="1:4" ht="15.75" customHeight="1" x14ac:dyDescent="0.15">
      <c r="A17" t="s">
        <v>753</v>
      </c>
      <c r="B17" t="s">
        <v>259</v>
      </c>
      <c r="C17" t="s">
        <v>754</v>
      </c>
      <c r="D17" t="s">
        <v>755</v>
      </c>
    </row>
    <row r="18" spans="1:4" ht="15.75" customHeight="1" x14ac:dyDescent="0.15">
      <c r="A18" t="s">
        <v>756</v>
      </c>
      <c r="B18" t="s">
        <v>261</v>
      </c>
      <c r="C18" t="s">
        <v>757</v>
      </c>
      <c r="D18" t="s">
        <v>758</v>
      </c>
    </row>
    <row r="19" spans="1:4" ht="15.75" customHeight="1" x14ac:dyDescent="0.15">
      <c r="A19" t="s">
        <v>759</v>
      </c>
      <c r="B19" t="s">
        <v>760</v>
      </c>
      <c r="C19" t="s">
        <v>760</v>
      </c>
      <c r="D19" t="s">
        <v>760</v>
      </c>
    </row>
    <row r="20" spans="1:4" ht="15.75" customHeight="1" x14ac:dyDescent="0.15">
      <c r="A20" t="s">
        <v>761</v>
      </c>
      <c r="B20" t="s">
        <v>264</v>
      </c>
      <c r="C20" t="s">
        <v>762</v>
      </c>
      <c r="D20" t="s">
        <v>763</v>
      </c>
    </row>
    <row r="21" spans="1:4" ht="15.75" customHeight="1" x14ac:dyDescent="0.15">
      <c r="A21" t="s">
        <v>764</v>
      </c>
      <c r="B21" t="s">
        <v>266</v>
      </c>
      <c r="C21" t="s">
        <v>266</v>
      </c>
      <c r="D21" t="s">
        <v>765</v>
      </c>
    </row>
    <row r="22" spans="1:4" ht="15.75" customHeight="1" x14ac:dyDescent="0.15">
      <c r="A22" t="s">
        <v>766</v>
      </c>
      <c r="B22" t="s">
        <v>767</v>
      </c>
      <c r="C22" t="s">
        <v>767</v>
      </c>
      <c r="D22" t="s">
        <v>767</v>
      </c>
    </row>
    <row r="23" spans="1:4" ht="15.75" customHeight="1" x14ac:dyDescent="0.15">
      <c r="A23" t="s">
        <v>768</v>
      </c>
      <c r="B23" t="s">
        <v>769</v>
      </c>
      <c r="C23" t="s">
        <v>769</v>
      </c>
      <c r="D23" t="s">
        <v>770</v>
      </c>
    </row>
    <row r="24" spans="1:4" ht="15.75" customHeight="1" x14ac:dyDescent="0.15">
      <c r="A24" t="s">
        <v>771</v>
      </c>
      <c r="B24" t="s">
        <v>772</v>
      </c>
      <c r="C24" t="s">
        <v>773</v>
      </c>
      <c r="D24" t="s">
        <v>774</v>
      </c>
    </row>
    <row r="25" spans="1:4" ht="15.75" customHeight="1" x14ac:dyDescent="0.15">
      <c r="A25" t="s">
        <v>775</v>
      </c>
      <c r="B25" t="s">
        <v>776</v>
      </c>
      <c r="C25" t="s">
        <v>777</v>
      </c>
      <c r="D25" t="s">
        <v>778</v>
      </c>
    </row>
    <row r="26" spans="1:4" ht="15.75" customHeight="1" x14ac:dyDescent="0.15">
      <c r="A26" t="s">
        <v>779</v>
      </c>
      <c r="B26" t="s">
        <v>780</v>
      </c>
      <c r="C26" t="s">
        <v>780</v>
      </c>
      <c r="D26" t="s">
        <v>781</v>
      </c>
    </row>
    <row r="27" spans="1:4" ht="15.75" customHeight="1" x14ac:dyDescent="0.15">
      <c r="A27" t="s">
        <v>782</v>
      </c>
      <c r="B27" t="s">
        <v>273</v>
      </c>
      <c r="C27" t="s">
        <v>273</v>
      </c>
      <c r="D27" t="s">
        <v>783</v>
      </c>
    </row>
    <row r="28" spans="1:4" ht="15.75" customHeight="1" x14ac:dyDescent="0.15">
      <c r="A28" t="s">
        <v>784</v>
      </c>
      <c r="B28" t="s">
        <v>785</v>
      </c>
      <c r="C28" t="s">
        <v>786</v>
      </c>
      <c r="D28" t="s">
        <v>785</v>
      </c>
    </row>
    <row r="29" spans="1:4" ht="15.75" customHeight="1" x14ac:dyDescent="0.15">
      <c r="A29" t="s">
        <v>787</v>
      </c>
      <c r="B29" t="s">
        <v>788</v>
      </c>
      <c r="C29" t="s">
        <v>789</v>
      </c>
      <c r="D29" t="s">
        <v>789</v>
      </c>
    </row>
    <row r="30" spans="1:4" ht="15.75" customHeight="1" x14ac:dyDescent="0.15">
      <c r="A30" t="s">
        <v>790</v>
      </c>
      <c r="B30" t="s">
        <v>277</v>
      </c>
      <c r="C30" t="s">
        <v>791</v>
      </c>
      <c r="D30" t="s">
        <v>792</v>
      </c>
    </row>
    <row r="31" spans="1:4" ht="15.75" customHeight="1" x14ac:dyDescent="0.15">
      <c r="A31" t="s">
        <v>793</v>
      </c>
      <c r="B31" t="s">
        <v>794</v>
      </c>
      <c r="C31" t="s">
        <v>795</v>
      </c>
      <c r="D31" t="s">
        <v>794</v>
      </c>
    </row>
    <row r="32" spans="1:4" ht="15.75" customHeight="1" x14ac:dyDescent="0.15">
      <c r="A32" t="s">
        <v>796</v>
      </c>
      <c r="B32" t="s">
        <v>797</v>
      </c>
      <c r="C32" t="s">
        <v>798</v>
      </c>
      <c r="D32" t="s">
        <v>797</v>
      </c>
    </row>
    <row r="33" spans="1:4" ht="15.75" customHeight="1" x14ac:dyDescent="0.15">
      <c r="A33" t="s">
        <v>799</v>
      </c>
      <c r="B33" t="s">
        <v>800</v>
      </c>
      <c r="C33" t="s">
        <v>800</v>
      </c>
      <c r="D33" t="s">
        <v>801</v>
      </c>
    </row>
    <row r="34" spans="1:4" ht="15.75" customHeight="1" x14ac:dyDescent="0.15">
      <c r="A34" t="s">
        <v>802</v>
      </c>
      <c r="B34" t="s">
        <v>803</v>
      </c>
      <c r="C34" t="s">
        <v>804</v>
      </c>
      <c r="D34" t="s">
        <v>804</v>
      </c>
    </row>
    <row r="35" spans="1:4" ht="15.75" customHeight="1" x14ac:dyDescent="0.15">
      <c r="A35" t="s">
        <v>805</v>
      </c>
      <c r="B35" t="s">
        <v>283</v>
      </c>
      <c r="C35" t="s">
        <v>806</v>
      </c>
      <c r="D35" t="s">
        <v>806</v>
      </c>
    </row>
    <row r="36" spans="1:4" ht="15.75" customHeight="1" x14ac:dyDescent="0.15">
      <c r="A36" t="s">
        <v>807</v>
      </c>
      <c r="B36" t="s">
        <v>808</v>
      </c>
      <c r="C36" t="s">
        <v>808</v>
      </c>
      <c r="D36" t="s">
        <v>808</v>
      </c>
    </row>
    <row r="37" spans="1:4" ht="15.75" customHeight="1" x14ac:dyDescent="0.15">
      <c r="A37" t="s">
        <v>809</v>
      </c>
      <c r="B37" t="s">
        <v>810</v>
      </c>
      <c r="C37" t="s">
        <v>811</v>
      </c>
      <c r="D37" t="s">
        <v>812</v>
      </c>
    </row>
    <row r="38" spans="1:4" ht="15.75" customHeight="1" x14ac:dyDescent="0.15">
      <c r="A38" t="s">
        <v>813</v>
      </c>
      <c r="B38" t="s">
        <v>287</v>
      </c>
      <c r="C38" t="s">
        <v>287</v>
      </c>
      <c r="D38" t="s">
        <v>287</v>
      </c>
    </row>
    <row r="39" spans="1:4" ht="15.75" customHeight="1" x14ac:dyDescent="0.15">
      <c r="A39" t="s">
        <v>814</v>
      </c>
      <c r="B39" t="s">
        <v>815</v>
      </c>
      <c r="C39" t="s">
        <v>816</v>
      </c>
      <c r="D39" t="s">
        <v>817</v>
      </c>
    </row>
    <row r="40" spans="1:4" ht="15.75" customHeight="1" x14ac:dyDescent="0.15">
      <c r="A40" t="s">
        <v>818</v>
      </c>
      <c r="B40" t="s">
        <v>819</v>
      </c>
      <c r="C40" t="s">
        <v>820</v>
      </c>
      <c r="D40" t="s">
        <v>821</v>
      </c>
    </row>
    <row r="41" spans="1:4" ht="15.75" customHeight="1" x14ac:dyDescent="0.15">
      <c r="A41" t="s">
        <v>822</v>
      </c>
      <c r="B41" t="s">
        <v>823</v>
      </c>
      <c r="C41" t="s">
        <v>824</v>
      </c>
      <c r="D41" t="s">
        <v>825</v>
      </c>
    </row>
    <row r="42" spans="1:4" ht="15.75" customHeight="1" x14ac:dyDescent="0.15">
      <c r="A42" t="s">
        <v>826</v>
      </c>
      <c r="B42" t="s">
        <v>827</v>
      </c>
      <c r="C42" t="s">
        <v>828</v>
      </c>
      <c r="D42" t="s">
        <v>829</v>
      </c>
    </row>
    <row r="43" spans="1:4" ht="15.75" customHeight="1" x14ac:dyDescent="0.15">
      <c r="A43" t="s">
        <v>830</v>
      </c>
      <c r="B43" t="s">
        <v>293</v>
      </c>
      <c r="C43" t="s">
        <v>831</v>
      </c>
      <c r="D43" t="s">
        <v>293</v>
      </c>
    </row>
    <row r="44" spans="1:4" ht="15.75" customHeight="1" x14ac:dyDescent="0.15">
      <c r="A44" t="s">
        <v>832</v>
      </c>
      <c r="B44" t="s">
        <v>833</v>
      </c>
      <c r="C44" t="s">
        <v>834</v>
      </c>
      <c r="D44" t="s">
        <v>835</v>
      </c>
    </row>
    <row r="45" spans="1:4" ht="15.75" customHeight="1" x14ac:dyDescent="0.15">
      <c r="A45" t="s">
        <v>836</v>
      </c>
      <c r="B45" t="s">
        <v>296</v>
      </c>
      <c r="C45" t="s">
        <v>837</v>
      </c>
      <c r="D45" t="s">
        <v>837</v>
      </c>
    </row>
    <row r="46" spans="1:4" ht="15.75" customHeight="1" x14ac:dyDescent="0.15">
      <c r="A46" t="s">
        <v>838</v>
      </c>
      <c r="B46" t="s">
        <v>839</v>
      </c>
      <c r="C46" t="s">
        <v>839</v>
      </c>
      <c r="D46" t="s">
        <v>839</v>
      </c>
    </row>
    <row r="47" spans="1:4" ht="15.75" customHeight="1" x14ac:dyDescent="0.15">
      <c r="A47" t="s">
        <v>840</v>
      </c>
      <c r="B47" t="s">
        <v>841</v>
      </c>
      <c r="C47" t="s">
        <v>841</v>
      </c>
      <c r="D47" t="s">
        <v>841</v>
      </c>
    </row>
    <row r="48" spans="1:4" ht="15.75" customHeight="1" x14ac:dyDescent="0.15">
      <c r="A48" t="s">
        <v>842</v>
      </c>
      <c r="B48" t="s">
        <v>843</v>
      </c>
      <c r="C48" t="s">
        <v>844</v>
      </c>
      <c r="D48" t="s">
        <v>843</v>
      </c>
    </row>
    <row r="49" spans="1:4" ht="15.75" customHeight="1" x14ac:dyDescent="0.15">
      <c r="A49" t="s">
        <v>845</v>
      </c>
      <c r="B49" t="s">
        <v>846</v>
      </c>
      <c r="C49" t="s">
        <v>847</v>
      </c>
      <c r="D49" t="s">
        <v>848</v>
      </c>
    </row>
    <row r="50" spans="1:4" ht="15.75" customHeight="1" x14ac:dyDescent="0.15">
      <c r="A50" t="s">
        <v>849</v>
      </c>
      <c r="B50" t="s">
        <v>850</v>
      </c>
      <c r="C50" t="s">
        <v>851</v>
      </c>
      <c r="D50" t="s">
        <v>851</v>
      </c>
    </row>
    <row r="51" spans="1:4" ht="15.75" customHeight="1" x14ac:dyDescent="0.15">
      <c r="A51" t="s">
        <v>852</v>
      </c>
      <c r="B51" t="s">
        <v>853</v>
      </c>
      <c r="C51" t="s">
        <v>854</v>
      </c>
      <c r="D51" t="s">
        <v>855</v>
      </c>
    </row>
    <row r="52" spans="1:4" ht="15.75" customHeight="1" x14ac:dyDescent="0.15">
      <c r="A52" t="s">
        <v>856</v>
      </c>
      <c r="B52" t="s">
        <v>857</v>
      </c>
      <c r="C52" t="s">
        <v>857</v>
      </c>
      <c r="D52" t="s">
        <v>857</v>
      </c>
    </row>
    <row r="53" spans="1:4" ht="15.75" customHeight="1" x14ac:dyDescent="0.15">
      <c r="A53" t="s">
        <v>858</v>
      </c>
      <c r="B53" t="s">
        <v>859</v>
      </c>
      <c r="C53" t="s">
        <v>860</v>
      </c>
      <c r="D53" t="s">
        <v>859</v>
      </c>
    </row>
    <row r="54" spans="1:4" ht="15.75" customHeight="1" x14ac:dyDescent="0.15">
      <c r="A54" t="s">
        <v>861</v>
      </c>
      <c r="B54" t="s">
        <v>862</v>
      </c>
      <c r="C54" t="s">
        <v>863</v>
      </c>
      <c r="D54" t="s">
        <v>864</v>
      </c>
    </row>
    <row r="55" spans="1:4" ht="15.75" customHeight="1" x14ac:dyDescent="0.15">
      <c r="A55" t="s">
        <v>865</v>
      </c>
      <c r="B55" t="s">
        <v>866</v>
      </c>
      <c r="C55" t="s">
        <v>866</v>
      </c>
      <c r="D55" t="s">
        <v>866</v>
      </c>
    </row>
    <row r="56" spans="1:4" ht="15.75" customHeight="1" x14ac:dyDescent="0.15">
      <c r="A56" t="s">
        <v>867</v>
      </c>
      <c r="B56" t="s">
        <v>868</v>
      </c>
      <c r="C56" t="s">
        <v>868</v>
      </c>
      <c r="D56" t="s">
        <v>868</v>
      </c>
    </row>
    <row r="57" spans="1:4" ht="15.75" customHeight="1" x14ac:dyDescent="0.15">
      <c r="A57" t="s">
        <v>869</v>
      </c>
      <c r="B57" t="s">
        <v>870</v>
      </c>
      <c r="C57" t="s">
        <v>871</v>
      </c>
      <c r="D57" t="s">
        <v>872</v>
      </c>
    </row>
    <row r="58" spans="1:4" ht="15.75" customHeight="1" x14ac:dyDescent="0.15">
      <c r="A58" t="s">
        <v>873</v>
      </c>
      <c r="B58" t="s">
        <v>874</v>
      </c>
      <c r="C58" t="s">
        <v>874</v>
      </c>
      <c r="D58" t="s">
        <v>875</v>
      </c>
    </row>
    <row r="59" spans="1:4" ht="15.75" customHeight="1" x14ac:dyDescent="0.15">
      <c r="A59" t="s">
        <v>876</v>
      </c>
      <c r="B59" t="s">
        <v>877</v>
      </c>
      <c r="C59" t="s">
        <v>878</v>
      </c>
      <c r="D59" t="s">
        <v>877</v>
      </c>
    </row>
    <row r="60" spans="1:4" ht="15.75" customHeight="1" x14ac:dyDescent="0.15">
      <c r="A60" t="s">
        <v>879</v>
      </c>
      <c r="B60" t="s">
        <v>312</v>
      </c>
      <c r="C60" t="s">
        <v>880</v>
      </c>
      <c r="D60" t="s">
        <v>881</v>
      </c>
    </row>
    <row r="61" spans="1:4" ht="15.75" customHeight="1" x14ac:dyDescent="0.15">
      <c r="A61" t="s">
        <v>882</v>
      </c>
      <c r="B61" t="s">
        <v>883</v>
      </c>
      <c r="C61" t="s">
        <v>883</v>
      </c>
      <c r="D61" t="s">
        <v>883</v>
      </c>
    </row>
    <row r="62" spans="1:4" ht="15.75" customHeight="1" x14ac:dyDescent="0.15">
      <c r="A62" t="s">
        <v>884</v>
      </c>
      <c r="B62" t="s">
        <v>315</v>
      </c>
      <c r="C62" t="s">
        <v>885</v>
      </c>
      <c r="D62" t="s">
        <v>886</v>
      </c>
    </row>
    <row r="63" spans="1:4" ht="15.75" customHeight="1" x14ac:dyDescent="0.15">
      <c r="A63" t="s">
        <v>887</v>
      </c>
      <c r="B63" t="s">
        <v>888</v>
      </c>
      <c r="C63" t="s">
        <v>888</v>
      </c>
      <c r="D63" t="s">
        <v>888</v>
      </c>
    </row>
    <row r="64" spans="1:4" ht="15.75" customHeight="1" x14ac:dyDescent="0.15">
      <c r="A64" t="s">
        <v>889</v>
      </c>
      <c r="B64" t="s">
        <v>318</v>
      </c>
      <c r="C64" t="s">
        <v>890</v>
      </c>
      <c r="D64" t="s">
        <v>891</v>
      </c>
    </row>
    <row r="65" spans="1:4" ht="15.75" customHeight="1" x14ac:dyDescent="0.15">
      <c r="A65" t="s">
        <v>892</v>
      </c>
      <c r="B65" t="s">
        <v>893</v>
      </c>
      <c r="C65" t="s">
        <v>894</v>
      </c>
      <c r="D65" t="s">
        <v>894</v>
      </c>
    </row>
    <row r="66" spans="1:4" ht="15.75" customHeight="1" x14ac:dyDescent="0.15">
      <c r="A66" t="s">
        <v>895</v>
      </c>
      <c r="B66" t="s">
        <v>896</v>
      </c>
      <c r="C66" t="s">
        <v>897</v>
      </c>
      <c r="D66" t="s">
        <v>897</v>
      </c>
    </row>
    <row r="67" spans="1:4" ht="15.75" customHeight="1" x14ac:dyDescent="0.15">
      <c r="A67" t="s">
        <v>898</v>
      </c>
      <c r="B67" t="s">
        <v>322</v>
      </c>
      <c r="C67" t="s">
        <v>899</v>
      </c>
      <c r="D67" t="s">
        <v>900</v>
      </c>
    </row>
    <row r="68" spans="1:4" ht="15.75" customHeight="1" x14ac:dyDescent="0.15">
      <c r="A68" t="s">
        <v>901</v>
      </c>
      <c r="B68" t="s">
        <v>902</v>
      </c>
      <c r="C68" t="s">
        <v>903</v>
      </c>
      <c r="D68" t="s">
        <v>904</v>
      </c>
    </row>
    <row r="69" spans="1:4" ht="15.75" customHeight="1" x14ac:dyDescent="0.15">
      <c r="A69" t="s">
        <v>905</v>
      </c>
      <c r="B69" t="s">
        <v>906</v>
      </c>
      <c r="C69" t="s">
        <v>907</v>
      </c>
      <c r="D69" t="s">
        <v>908</v>
      </c>
    </row>
    <row r="70" spans="1:4" ht="15.75" customHeight="1" x14ac:dyDescent="0.15">
      <c r="A70" t="s">
        <v>909</v>
      </c>
      <c r="B70" t="s">
        <v>910</v>
      </c>
      <c r="C70" t="s">
        <v>911</v>
      </c>
      <c r="D70" t="s">
        <v>912</v>
      </c>
    </row>
    <row r="71" spans="1:4" ht="15.75" customHeight="1" x14ac:dyDescent="0.15">
      <c r="A71" t="s">
        <v>913</v>
      </c>
      <c r="B71" t="s">
        <v>914</v>
      </c>
      <c r="C71" t="s">
        <v>915</v>
      </c>
      <c r="D71" t="s">
        <v>916</v>
      </c>
    </row>
    <row r="72" spans="1:4" ht="15.75" customHeight="1" x14ac:dyDescent="0.15">
      <c r="A72" t="s">
        <v>917</v>
      </c>
      <c r="B72" t="s">
        <v>918</v>
      </c>
      <c r="C72" t="s">
        <v>919</v>
      </c>
      <c r="D72" t="s">
        <v>920</v>
      </c>
    </row>
    <row r="73" spans="1:4" ht="15.75" customHeight="1" x14ac:dyDescent="0.15">
      <c r="A73" t="s">
        <v>921</v>
      </c>
      <c r="B73" t="s">
        <v>922</v>
      </c>
      <c r="C73" t="s">
        <v>923</v>
      </c>
      <c r="D73" t="s">
        <v>923</v>
      </c>
    </row>
    <row r="74" spans="1:4" ht="15.75" customHeight="1" x14ac:dyDescent="0.15">
      <c r="A74" t="s">
        <v>924</v>
      </c>
      <c r="B74" t="s">
        <v>925</v>
      </c>
      <c r="C74" t="s">
        <v>926</v>
      </c>
      <c r="D74" t="s">
        <v>927</v>
      </c>
    </row>
    <row r="75" spans="1:4" ht="15.75" customHeight="1" x14ac:dyDescent="0.15">
      <c r="A75" t="s">
        <v>928</v>
      </c>
      <c r="B75" t="s">
        <v>929</v>
      </c>
      <c r="C75" t="s">
        <v>929</v>
      </c>
      <c r="D75" t="s">
        <v>930</v>
      </c>
    </row>
    <row r="76" spans="1:4" ht="15.75" customHeight="1" x14ac:dyDescent="0.15">
      <c r="A76" t="s">
        <v>931</v>
      </c>
      <c r="B76" t="s">
        <v>932</v>
      </c>
      <c r="C76" t="s">
        <v>933</v>
      </c>
      <c r="D76" t="s">
        <v>932</v>
      </c>
    </row>
    <row r="77" spans="1:4" ht="15.75" customHeight="1" x14ac:dyDescent="0.15">
      <c r="A77" t="s">
        <v>934</v>
      </c>
      <c r="B77" t="s">
        <v>935</v>
      </c>
      <c r="C77" t="s">
        <v>936</v>
      </c>
      <c r="D77" t="s">
        <v>937</v>
      </c>
    </row>
    <row r="78" spans="1:4" ht="15.75" customHeight="1" x14ac:dyDescent="0.15">
      <c r="A78" t="s">
        <v>938</v>
      </c>
      <c r="B78" t="s">
        <v>939</v>
      </c>
      <c r="C78" t="s">
        <v>940</v>
      </c>
      <c r="D78" t="s">
        <v>941</v>
      </c>
    </row>
    <row r="79" spans="1:4" ht="15.75" customHeight="1" x14ac:dyDescent="0.15">
      <c r="A79" t="s">
        <v>942</v>
      </c>
      <c r="B79" t="s">
        <v>943</v>
      </c>
      <c r="C79" t="s">
        <v>944</v>
      </c>
      <c r="D79" t="s">
        <v>945</v>
      </c>
    </row>
    <row r="80" spans="1:4" ht="15.75" customHeight="1" x14ac:dyDescent="0.15">
      <c r="A80" t="s">
        <v>946</v>
      </c>
      <c r="B80" t="s">
        <v>947</v>
      </c>
      <c r="C80" t="s">
        <v>948</v>
      </c>
      <c r="D80" t="s">
        <v>948</v>
      </c>
    </row>
    <row r="81" spans="1:4" ht="15.75" customHeight="1" x14ac:dyDescent="0.15">
      <c r="A81" t="s">
        <v>949</v>
      </c>
      <c r="B81" t="s">
        <v>950</v>
      </c>
      <c r="C81" t="s">
        <v>951</v>
      </c>
      <c r="D81" t="s">
        <v>951</v>
      </c>
    </row>
    <row r="82" spans="1:4" ht="15.75" customHeight="1" x14ac:dyDescent="0.15">
      <c r="A82" t="s">
        <v>952</v>
      </c>
      <c r="B82" t="s">
        <v>953</v>
      </c>
      <c r="C82" t="s">
        <v>954</v>
      </c>
      <c r="D82" t="s">
        <v>954</v>
      </c>
    </row>
    <row r="83" spans="1:4" ht="15.75" customHeight="1" x14ac:dyDescent="0.15">
      <c r="A83" t="s">
        <v>955</v>
      </c>
      <c r="B83" t="s">
        <v>956</v>
      </c>
      <c r="C83" t="s">
        <v>956</v>
      </c>
      <c r="D83" t="s">
        <v>956</v>
      </c>
    </row>
    <row r="84" spans="1:4" ht="15.75" customHeight="1" x14ac:dyDescent="0.15">
      <c r="A84" t="s">
        <v>957</v>
      </c>
      <c r="B84" t="s">
        <v>958</v>
      </c>
      <c r="C84" t="s">
        <v>959</v>
      </c>
      <c r="D84" t="s">
        <v>958</v>
      </c>
    </row>
    <row r="85" spans="1:4" ht="15.75" customHeight="1" x14ac:dyDescent="0.15">
      <c r="A85" t="s">
        <v>960</v>
      </c>
      <c r="B85" t="s">
        <v>341</v>
      </c>
      <c r="C85" t="s">
        <v>961</v>
      </c>
      <c r="D85" t="s">
        <v>962</v>
      </c>
    </row>
    <row r="86" spans="1:4" ht="15.75" customHeight="1" x14ac:dyDescent="0.15">
      <c r="A86" t="s">
        <v>963</v>
      </c>
      <c r="B86" t="s">
        <v>964</v>
      </c>
      <c r="C86" t="s">
        <v>965</v>
      </c>
      <c r="D86" t="s">
        <v>966</v>
      </c>
    </row>
    <row r="87" spans="1:4" ht="15.75" customHeight="1" x14ac:dyDescent="0.15">
      <c r="A87" t="s">
        <v>967</v>
      </c>
      <c r="B87" t="s">
        <v>968</v>
      </c>
      <c r="C87" t="s">
        <v>969</v>
      </c>
      <c r="D87" t="s">
        <v>968</v>
      </c>
    </row>
    <row r="88" spans="1:4" ht="15.75" customHeight="1" x14ac:dyDescent="0.15">
      <c r="A88" t="s">
        <v>970</v>
      </c>
      <c r="B88" t="s">
        <v>971</v>
      </c>
      <c r="C88" t="s">
        <v>971</v>
      </c>
      <c r="D88" t="s">
        <v>971</v>
      </c>
    </row>
    <row r="89" spans="1:4" ht="15.75" customHeight="1" x14ac:dyDescent="0.15">
      <c r="A89" t="s">
        <v>972</v>
      </c>
      <c r="B89" t="s">
        <v>973</v>
      </c>
      <c r="C89" t="s">
        <v>973</v>
      </c>
      <c r="D89" t="s">
        <v>973</v>
      </c>
    </row>
    <row r="90" spans="1:4" ht="15.75" customHeight="1" x14ac:dyDescent="0.15">
      <c r="A90" t="s">
        <v>974</v>
      </c>
      <c r="B90" t="s">
        <v>975</v>
      </c>
      <c r="C90" t="s">
        <v>975</v>
      </c>
      <c r="D90" t="s">
        <v>976</v>
      </c>
    </row>
    <row r="91" spans="1:4" ht="15.75" customHeight="1" x14ac:dyDescent="0.15">
      <c r="A91" t="s">
        <v>977</v>
      </c>
      <c r="B91" t="s">
        <v>978</v>
      </c>
      <c r="C91" t="s">
        <v>979</v>
      </c>
      <c r="D91" t="s">
        <v>979</v>
      </c>
    </row>
    <row r="92" spans="1:4" ht="15.75" customHeight="1" x14ac:dyDescent="0.15">
      <c r="A92" t="s">
        <v>980</v>
      </c>
      <c r="B92" t="s">
        <v>981</v>
      </c>
      <c r="C92" t="s">
        <v>982</v>
      </c>
      <c r="D92" t="s">
        <v>983</v>
      </c>
    </row>
    <row r="93" spans="1:4" ht="15.75" customHeight="1" x14ac:dyDescent="0.15">
      <c r="A93" t="s">
        <v>984</v>
      </c>
      <c r="B93" t="s">
        <v>350</v>
      </c>
      <c r="C93" t="s">
        <v>985</v>
      </c>
      <c r="D93" t="s">
        <v>985</v>
      </c>
    </row>
    <row r="94" spans="1:4" ht="15.75" customHeight="1" x14ac:dyDescent="0.15">
      <c r="A94" t="s">
        <v>986</v>
      </c>
      <c r="B94" t="s">
        <v>352</v>
      </c>
      <c r="C94" t="s">
        <v>987</v>
      </c>
      <c r="D94" t="s">
        <v>988</v>
      </c>
    </row>
    <row r="95" spans="1:4" ht="15.75" customHeight="1" x14ac:dyDescent="0.15">
      <c r="A95" t="s">
        <v>989</v>
      </c>
      <c r="B95" t="s">
        <v>354</v>
      </c>
      <c r="C95" t="s">
        <v>990</v>
      </c>
      <c r="D95" t="s">
        <v>991</v>
      </c>
    </row>
    <row r="96" spans="1:4" ht="15.75" customHeight="1" x14ac:dyDescent="0.15">
      <c r="A96" t="s">
        <v>992</v>
      </c>
      <c r="B96" t="s">
        <v>993</v>
      </c>
      <c r="C96" t="s">
        <v>993</v>
      </c>
      <c r="D96" t="s">
        <v>994</v>
      </c>
    </row>
    <row r="97" spans="1:4" ht="15.75" customHeight="1" x14ac:dyDescent="0.15">
      <c r="A97" t="s">
        <v>995</v>
      </c>
      <c r="B97" t="s">
        <v>996</v>
      </c>
      <c r="C97" t="s">
        <v>996</v>
      </c>
      <c r="D97" t="s">
        <v>996</v>
      </c>
    </row>
    <row r="98" spans="1:4" ht="15.75" customHeight="1" x14ac:dyDescent="0.15">
      <c r="A98" t="s">
        <v>997</v>
      </c>
      <c r="B98" t="s">
        <v>358</v>
      </c>
      <c r="C98" t="s">
        <v>998</v>
      </c>
      <c r="D98" t="s">
        <v>999</v>
      </c>
    </row>
    <row r="99" spans="1:4" ht="15.75" customHeight="1" x14ac:dyDescent="0.15">
      <c r="A99" t="s">
        <v>1000</v>
      </c>
      <c r="B99" t="s">
        <v>360</v>
      </c>
      <c r="C99" t="s">
        <v>1001</v>
      </c>
      <c r="D99" t="s">
        <v>1001</v>
      </c>
    </row>
    <row r="100" spans="1:4" ht="15.75" customHeight="1" x14ac:dyDescent="0.15">
      <c r="A100" t="s">
        <v>1002</v>
      </c>
      <c r="B100" t="s">
        <v>1003</v>
      </c>
      <c r="C100" t="s">
        <v>1004</v>
      </c>
      <c r="D100" t="s">
        <v>1005</v>
      </c>
    </row>
    <row r="101" spans="1:4" ht="15.75" customHeight="1" x14ac:dyDescent="0.15">
      <c r="A101" t="s">
        <v>1006</v>
      </c>
      <c r="B101" t="s">
        <v>1007</v>
      </c>
      <c r="C101" t="s">
        <v>1008</v>
      </c>
      <c r="D101" t="s">
        <v>1009</v>
      </c>
    </row>
    <row r="102" spans="1:4" ht="15.75" customHeight="1" x14ac:dyDescent="0.15">
      <c r="A102" t="s">
        <v>1010</v>
      </c>
      <c r="B102" t="s">
        <v>1011</v>
      </c>
      <c r="C102" t="s">
        <v>1012</v>
      </c>
      <c r="D102" t="s">
        <v>1013</v>
      </c>
    </row>
    <row r="103" spans="1:4" ht="15.75" customHeight="1" x14ac:dyDescent="0.15">
      <c r="A103" t="s">
        <v>1014</v>
      </c>
      <c r="B103" t="s">
        <v>1015</v>
      </c>
      <c r="C103" t="s">
        <v>1016</v>
      </c>
      <c r="D103" t="s">
        <v>1017</v>
      </c>
    </row>
    <row r="104" spans="1:4" ht="15.75" customHeight="1" x14ac:dyDescent="0.15">
      <c r="A104" t="s">
        <v>1018</v>
      </c>
      <c r="B104" t="s">
        <v>1019</v>
      </c>
      <c r="C104" t="s">
        <v>1020</v>
      </c>
      <c r="D104" t="s">
        <v>1021</v>
      </c>
    </row>
    <row r="105" spans="1:4" ht="15.75" customHeight="1" x14ac:dyDescent="0.15">
      <c r="A105" t="s">
        <v>1022</v>
      </c>
      <c r="B105" t="s">
        <v>1023</v>
      </c>
      <c r="C105" t="s">
        <v>1024</v>
      </c>
      <c r="D105" t="s">
        <v>1025</v>
      </c>
    </row>
    <row r="106" spans="1:4" ht="15.75" customHeight="1" x14ac:dyDescent="0.15">
      <c r="A106" t="s">
        <v>1026</v>
      </c>
      <c r="B106" t="s">
        <v>1027</v>
      </c>
      <c r="C106" t="s">
        <v>1028</v>
      </c>
      <c r="D106" t="s">
        <v>1029</v>
      </c>
    </row>
    <row r="107" spans="1:4" ht="15.75" customHeight="1" x14ac:dyDescent="0.15">
      <c r="A107" t="s">
        <v>1030</v>
      </c>
      <c r="B107" t="s">
        <v>1031</v>
      </c>
      <c r="C107" t="s">
        <v>1032</v>
      </c>
      <c r="D107" t="s">
        <v>1033</v>
      </c>
    </row>
    <row r="108" spans="1:4" ht="15.75" customHeight="1" x14ac:dyDescent="0.15">
      <c r="A108" t="s">
        <v>1034</v>
      </c>
      <c r="B108" t="s">
        <v>1035</v>
      </c>
      <c r="C108" t="s">
        <v>1036</v>
      </c>
      <c r="D108" t="s">
        <v>1037</v>
      </c>
    </row>
    <row r="109" spans="1:4" ht="15.75" customHeight="1" x14ac:dyDescent="0.15">
      <c r="A109" t="s">
        <v>1038</v>
      </c>
      <c r="B109" t="s">
        <v>1039</v>
      </c>
      <c r="C109" t="s">
        <v>1040</v>
      </c>
      <c r="D109" t="s">
        <v>1041</v>
      </c>
    </row>
    <row r="110" spans="1:4" ht="15.75" customHeight="1" x14ac:dyDescent="0.15">
      <c r="A110" t="s">
        <v>1042</v>
      </c>
      <c r="B110" t="s">
        <v>1043</v>
      </c>
      <c r="C110" t="s">
        <v>1044</v>
      </c>
      <c r="D110" t="s">
        <v>1045</v>
      </c>
    </row>
    <row r="111" spans="1:4" ht="15.75" customHeight="1" x14ac:dyDescent="0.15">
      <c r="A111" t="s">
        <v>1046</v>
      </c>
      <c r="B111" t="s">
        <v>1047</v>
      </c>
      <c r="C111" t="s">
        <v>1048</v>
      </c>
      <c r="D111" t="s">
        <v>1049</v>
      </c>
    </row>
    <row r="112" spans="1:4" ht="15.75" customHeight="1" x14ac:dyDescent="0.15">
      <c r="A112" t="s">
        <v>1050</v>
      </c>
      <c r="B112" t="s">
        <v>1051</v>
      </c>
      <c r="C112" t="s">
        <v>1052</v>
      </c>
      <c r="D112" t="s">
        <v>1053</v>
      </c>
    </row>
    <row r="113" spans="1:4" ht="15.75" customHeight="1" x14ac:dyDescent="0.15">
      <c r="A113" t="s">
        <v>1054</v>
      </c>
      <c r="B113" t="s">
        <v>1055</v>
      </c>
      <c r="C113" t="s">
        <v>1056</v>
      </c>
      <c r="D113" t="s">
        <v>1057</v>
      </c>
    </row>
    <row r="114" spans="1:4" ht="15.75" customHeight="1" x14ac:dyDescent="0.15">
      <c r="A114" t="s">
        <v>1058</v>
      </c>
      <c r="B114" t="s">
        <v>1059</v>
      </c>
      <c r="C114" t="s">
        <v>1060</v>
      </c>
      <c r="D114" t="s">
        <v>1060</v>
      </c>
    </row>
    <row r="115" spans="1:4" ht="15.75" customHeight="1" x14ac:dyDescent="0.15">
      <c r="A115" t="s">
        <v>1061</v>
      </c>
      <c r="B115" t="s">
        <v>1062</v>
      </c>
      <c r="C115" t="s">
        <v>1063</v>
      </c>
      <c r="D115" t="s">
        <v>1063</v>
      </c>
    </row>
    <row r="116" spans="1:4" ht="15.75" customHeight="1" x14ac:dyDescent="0.15">
      <c r="A116" t="s">
        <v>1064</v>
      </c>
      <c r="B116" t="s">
        <v>1065</v>
      </c>
      <c r="C116" t="s">
        <v>1066</v>
      </c>
      <c r="D116" t="s">
        <v>1067</v>
      </c>
    </row>
    <row r="117" spans="1:4" ht="15.75" customHeight="1" x14ac:dyDescent="0.15">
      <c r="A117" t="s">
        <v>1068</v>
      </c>
      <c r="B117" t="s">
        <v>379</v>
      </c>
      <c r="C117" t="s">
        <v>1069</v>
      </c>
      <c r="D117" t="s">
        <v>1070</v>
      </c>
    </row>
    <row r="118" spans="1:4" ht="15.75" customHeight="1" x14ac:dyDescent="0.15">
      <c r="A118" t="s">
        <v>1071</v>
      </c>
      <c r="B118" t="s">
        <v>1072</v>
      </c>
      <c r="C118" t="s">
        <v>1073</v>
      </c>
      <c r="D118" t="s">
        <v>1072</v>
      </c>
    </row>
    <row r="119" spans="1:4" ht="15.75" customHeight="1" x14ac:dyDescent="0.15">
      <c r="A119" t="s">
        <v>1074</v>
      </c>
      <c r="B119" t="s">
        <v>1075</v>
      </c>
      <c r="C119" t="s">
        <v>1076</v>
      </c>
      <c r="D119" t="s">
        <v>1077</v>
      </c>
    </row>
    <row r="120" spans="1:4" ht="15.75" customHeight="1" x14ac:dyDescent="0.15">
      <c r="A120" t="s">
        <v>1078</v>
      </c>
      <c r="B120" t="s">
        <v>1079</v>
      </c>
      <c r="C120" t="s">
        <v>1079</v>
      </c>
      <c r="D120" t="s">
        <v>1079</v>
      </c>
    </row>
    <row r="121" spans="1:4" ht="15.75" customHeight="1" x14ac:dyDescent="0.15">
      <c r="A121" t="s">
        <v>1080</v>
      </c>
      <c r="B121" t="s">
        <v>1081</v>
      </c>
      <c r="C121" t="s">
        <v>1082</v>
      </c>
      <c r="D121" t="s">
        <v>1083</v>
      </c>
    </row>
    <row r="122" spans="1:4" ht="15.75" customHeight="1" x14ac:dyDescent="0.15">
      <c r="A122" t="s">
        <v>1084</v>
      </c>
      <c r="B122" t="s">
        <v>1085</v>
      </c>
      <c r="C122" t="s">
        <v>1085</v>
      </c>
      <c r="D122" t="s">
        <v>1085</v>
      </c>
    </row>
    <row r="123" spans="1:4" ht="15.75" customHeight="1" x14ac:dyDescent="0.15">
      <c r="A123" t="s">
        <v>1086</v>
      </c>
      <c r="B123" t="s">
        <v>1087</v>
      </c>
      <c r="C123" t="s">
        <v>1088</v>
      </c>
      <c r="D123" t="s">
        <v>1089</v>
      </c>
    </row>
    <row r="124" spans="1:4" ht="15.75" customHeight="1" x14ac:dyDescent="0.15">
      <c r="A124" t="s">
        <v>1090</v>
      </c>
      <c r="B124" t="s">
        <v>1091</v>
      </c>
      <c r="C124" t="s">
        <v>1091</v>
      </c>
      <c r="D124" t="s">
        <v>1091</v>
      </c>
    </row>
    <row r="125" spans="1:4" ht="15.75" customHeight="1" x14ac:dyDescent="0.15">
      <c r="A125" t="s">
        <v>1092</v>
      </c>
      <c r="B125" t="s">
        <v>388</v>
      </c>
      <c r="C125" t="s">
        <v>1093</v>
      </c>
      <c r="D125" t="s">
        <v>1094</v>
      </c>
    </row>
    <row r="126" spans="1:4" ht="15.75" customHeight="1" x14ac:dyDescent="0.15">
      <c r="A126" t="s">
        <v>1095</v>
      </c>
      <c r="B126" t="s">
        <v>390</v>
      </c>
      <c r="C126" t="s">
        <v>390</v>
      </c>
      <c r="D126" t="s">
        <v>390</v>
      </c>
    </row>
    <row r="127" spans="1:4" ht="15.75" customHeight="1" x14ac:dyDescent="0.15">
      <c r="A127" t="s">
        <v>1096</v>
      </c>
      <c r="B127" t="s">
        <v>392</v>
      </c>
      <c r="C127" t="s">
        <v>392</v>
      </c>
      <c r="D127" t="s">
        <v>392</v>
      </c>
    </row>
    <row r="128" spans="1:4" ht="15.75" customHeight="1" x14ac:dyDescent="0.15">
      <c r="A128" t="s">
        <v>1097</v>
      </c>
      <c r="B128" t="s">
        <v>1098</v>
      </c>
      <c r="C128" t="s">
        <v>1099</v>
      </c>
      <c r="D128" t="s">
        <v>1098</v>
      </c>
    </row>
    <row r="129" spans="1:4" ht="15.75" customHeight="1" x14ac:dyDescent="0.15">
      <c r="A129" t="s">
        <v>1100</v>
      </c>
      <c r="B129" t="s">
        <v>1101</v>
      </c>
      <c r="C129" t="s">
        <v>1102</v>
      </c>
      <c r="D129" t="s">
        <v>1103</v>
      </c>
    </row>
    <row r="130" spans="1:4" ht="15.75" customHeight="1" x14ac:dyDescent="0.15">
      <c r="A130" t="s">
        <v>1104</v>
      </c>
      <c r="B130" t="s">
        <v>396</v>
      </c>
      <c r="C130" t="s">
        <v>1105</v>
      </c>
      <c r="D130" t="s">
        <v>396</v>
      </c>
    </row>
    <row r="131" spans="1:4" ht="15.75" customHeight="1" x14ac:dyDescent="0.15">
      <c r="A131" t="s">
        <v>1106</v>
      </c>
      <c r="B131" t="s">
        <v>1107</v>
      </c>
      <c r="C131" t="s">
        <v>1108</v>
      </c>
      <c r="D131" t="s">
        <v>1108</v>
      </c>
    </row>
    <row r="132" spans="1:4" ht="15.75" customHeight="1" x14ac:dyDescent="0.15">
      <c r="A132" t="s">
        <v>1109</v>
      </c>
      <c r="B132" t="s">
        <v>399</v>
      </c>
      <c r="C132" t="s">
        <v>1110</v>
      </c>
      <c r="D132" t="s">
        <v>1111</v>
      </c>
    </row>
    <row r="133" spans="1:4" ht="15.75" customHeight="1" x14ac:dyDescent="0.15">
      <c r="A133" t="s">
        <v>1112</v>
      </c>
      <c r="B133" t="s">
        <v>1113</v>
      </c>
      <c r="C133" t="s">
        <v>1113</v>
      </c>
      <c r="D133" t="s">
        <v>1113</v>
      </c>
    </row>
    <row r="134" spans="1:4" ht="15.75" customHeight="1" x14ac:dyDescent="0.15">
      <c r="A134" t="s">
        <v>1114</v>
      </c>
      <c r="B134" t="s">
        <v>1115</v>
      </c>
      <c r="C134" t="s">
        <v>1116</v>
      </c>
      <c r="D134" t="s">
        <v>1117</v>
      </c>
    </row>
    <row r="135" spans="1:4" ht="15.75" customHeight="1" x14ac:dyDescent="0.15">
      <c r="A135" t="s">
        <v>1118</v>
      </c>
      <c r="B135" t="s">
        <v>1119</v>
      </c>
      <c r="C135" t="s">
        <v>1120</v>
      </c>
      <c r="D135" t="s">
        <v>1119</v>
      </c>
    </row>
    <row r="136" spans="1:4" ht="15.75" customHeight="1" x14ac:dyDescent="0.15">
      <c r="A136" t="s">
        <v>1121</v>
      </c>
      <c r="B136" t="s">
        <v>1122</v>
      </c>
      <c r="C136" t="s">
        <v>1123</v>
      </c>
      <c r="D136" t="s">
        <v>1124</v>
      </c>
    </row>
    <row r="137" spans="1:4" ht="15.75" customHeight="1" x14ac:dyDescent="0.15">
      <c r="A137" t="s">
        <v>1125</v>
      </c>
      <c r="B137" t="s">
        <v>1126</v>
      </c>
      <c r="C137" t="s">
        <v>1126</v>
      </c>
      <c r="D137" t="s">
        <v>1126</v>
      </c>
    </row>
    <row r="138" spans="1:4" ht="15.75" customHeight="1" x14ac:dyDescent="0.15">
      <c r="A138" t="s">
        <v>1127</v>
      </c>
      <c r="B138" t="s">
        <v>1128</v>
      </c>
      <c r="C138" t="s">
        <v>1129</v>
      </c>
      <c r="D138" t="s">
        <v>1130</v>
      </c>
    </row>
    <row r="139" spans="1:4" ht="15.75" customHeight="1" x14ac:dyDescent="0.15">
      <c r="A139" t="s">
        <v>1131</v>
      </c>
      <c r="B139" t="s">
        <v>1132</v>
      </c>
      <c r="C139" t="s">
        <v>1133</v>
      </c>
      <c r="D139" t="s">
        <v>1132</v>
      </c>
    </row>
    <row r="140" spans="1:4" ht="15.75" customHeight="1" x14ac:dyDescent="0.15">
      <c r="A140" t="s">
        <v>1134</v>
      </c>
      <c r="B140" t="s">
        <v>408</v>
      </c>
      <c r="C140" t="s">
        <v>1135</v>
      </c>
      <c r="D140" t="s">
        <v>408</v>
      </c>
    </row>
    <row r="141" spans="1:4" ht="15.75" customHeight="1" x14ac:dyDescent="0.15">
      <c r="A141" t="s">
        <v>1136</v>
      </c>
      <c r="B141" t="s">
        <v>410</v>
      </c>
      <c r="C141" t="s">
        <v>410</v>
      </c>
      <c r="D141" t="s">
        <v>410</v>
      </c>
    </row>
    <row r="142" spans="1:4" ht="15.75" customHeight="1" x14ac:dyDescent="0.15">
      <c r="A142" t="s">
        <v>1137</v>
      </c>
      <c r="B142" t="s">
        <v>1138</v>
      </c>
      <c r="C142" t="s">
        <v>1138</v>
      </c>
      <c r="D142" t="s">
        <v>1138</v>
      </c>
    </row>
    <row r="143" spans="1:4" ht="15.75" customHeight="1" x14ac:dyDescent="0.15">
      <c r="A143" t="s">
        <v>1139</v>
      </c>
      <c r="B143" t="s">
        <v>413</v>
      </c>
      <c r="C143" t="s">
        <v>1140</v>
      </c>
      <c r="D143" t="s">
        <v>1141</v>
      </c>
    </row>
    <row r="144" spans="1:4" ht="15.75" customHeight="1" x14ac:dyDescent="0.15">
      <c r="A144" t="s">
        <v>1142</v>
      </c>
      <c r="B144" t="s">
        <v>1143</v>
      </c>
      <c r="C144" t="s">
        <v>1144</v>
      </c>
      <c r="D144" t="s">
        <v>1143</v>
      </c>
    </row>
    <row r="145" spans="1:4" ht="15.75" customHeight="1" x14ac:dyDescent="0.15">
      <c r="A145" t="s">
        <v>1145</v>
      </c>
      <c r="B145" t="s">
        <v>1146</v>
      </c>
      <c r="C145" t="s">
        <v>1147</v>
      </c>
      <c r="D145" t="s">
        <v>1148</v>
      </c>
    </row>
    <row r="146" spans="1:4" ht="15.75" customHeight="1" x14ac:dyDescent="0.15">
      <c r="A146" t="s">
        <v>1149</v>
      </c>
      <c r="B146" t="s">
        <v>417</v>
      </c>
      <c r="C146" t="s">
        <v>1150</v>
      </c>
      <c r="D146" t="s">
        <v>1150</v>
      </c>
    </row>
    <row r="147" spans="1:4" ht="15.75" customHeight="1" x14ac:dyDescent="0.15">
      <c r="A147" t="s">
        <v>1151</v>
      </c>
      <c r="B147" t="s">
        <v>1152</v>
      </c>
      <c r="C147" t="s">
        <v>1152</v>
      </c>
      <c r="D147" t="s">
        <v>1152</v>
      </c>
    </row>
    <row r="148" spans="1:4" ht="15.75" customHeight="1" x14ac:dyDescent="0.15">
      <c r="A148" t="s">
        <v>1153</v>
      </c>
      <c r="B148" t="s">
        <v>1154</v>
      </c>
      <c r="C148" t="s">
        <v>1155</v>
      </c>
      <c r="D148" t="s">
        <v>1154</v>
      </c>
    </row>
    <row r="149" spans="1:4" ht="15.75" customHeight="1" x14ac:dyDescent="0.15">
      <c r="A149" t="s">
        <v>1156</v>
      </c>
      <c r="B149" t="s">
        <v>1157</v>
      </c>
      <c r="C149" t="s">
        <v>1158</v>
      </c>
      <c r="D149" t="s">
        <v>1158</v>
      </c>
    </row>
    <row r="150" spans="1:4" ht="15.75" customHeight="1" x14ac:dyDescent="0.15">
      <c r="A150" t="s">
        <v>1159</v>
      </c>
      <c r="B150" t="s">
        <v>422</v>
      </c>
      <c r="C150" t="s">
        <v>1160</v>
      </c>
      <c r="D150" t="s">
        <v>1160</v>
      </c>
    </row>
    <row r="151" spans="1:4" ht="15.75" customHeight="1" x14ac:dyDescent="0.15">
      <c r="A151" t="s">
        <v>1161</v>
      </c>
      <c r="B151" t="s">
        <v>424</v>
      </c>
      <c r="C151" t="s">
        <v>424</v>
      </c>
      <c r="D151" t="s">
        <v>424</v>
      </c>
    </row>
    <row r="152" spans="1:4" ht="15.75" customHeight="1" x14ac:dyDescent="0.15">
      <c r="A152" t="s">
        <v>1162</v>
      </c>
      <c r="B152" t="s">
        <v>1163</v>
      </c>
      <c r="C152" t="s">
        <v>1164</v>
      </c>
      <c r="D152" t="s">
        <v>1165</v>
      </c>
    </row>
    <row r="153" spans="1:4" ht="15.75" customHeight="1" x14ac:dyDescent="0.15">
      <c r="A153" t="s">
        <v>1166</v>
      </c>
      <c r="B153" t="s">
        <v>1167</v>
      </c>
      <c r="C153" t="s">
        <v>1168</v>
      </c>
      <c r="D153" t="s">
        <v>1168</v>
      </c>
    </row>
    <row r="154" spans="1:4" ht="15.75" customHeight="1" x14ac:dyDescent="0.15">
      <c r="A154" t="s">
        <v>1169</v>
      </c>
      <c r="B154" t="s">
        <v>428</v>
      </c>
      <c r="C154" t="s">
        <v>428</v>
      </c>
      <c r="D154" t="s">
        <v>428</v>
      </c>
    </row>
    <row r="155" spans="1:4" ht="15.75" customHeight="1" x14ac:dyDescent="0.15">
      <c r="A155" t="s">
        <v>1170</v>
      </c>
      <c r="B155" t="s">
        <v>1171</v>
      </c>
      <c r="C155" t="s">
        <v>1171</v>
      </c>
      <c r="D155" t="s">
        <v>1171</v>
      </c>
    </row>
    <row r="156" spans="1:4" ht="15.75" customHeight="1" x14ac:dyDescent="0.15">
      <c r="A156" t="s">
        <v>1172</v>
      </c>
      <c r="B156" t="s">
        <v>431</v>
      </c>
      <c r="C156" t="s">
        <v>431</v>
      </c>
      <c r="D156" t="s">
        <v>431</v>
      </c>
    </row>
    <row r="157" spans="1:4" ht="15.75" customHeight="1" x14ac:dyDescent="0.15">
      <c r="A157" t="s">
        <v>1173</v>
      </c>
      <c r="B157" t="s">
        <v>1174</v>
      </c>
      <c r="C157" t="s">
        <v>1175</v>
      </c>
      <c r="D157" t="s">
        <v>1175</v>
      </c>
    </row>
    <row r="158" spans="1:4" ht="15.75" customHeight="1" x14ac:dyDescent="0.15">
      <c r="A158" t="s">
        <v>1176</v>
      </c>
      <c r="B158" t="s">
        <v>1177</v>
      </c>
      <c r="C158" t="s">
        <v>1177</v>
      </c>
      <c r="D158" t="s">
        <v>1177</v>
      </c>
    </row>
    <row r="159" spans="1:4" ht="15.75" customHeight="1" x14ac:dyDescent="0.15">
      <c r="A159" t="s">
        <v>1178</v>
      </c>
      <c r="B159" t="s">
        <v>1179</v>
      </c>
      <c r="C159" t="s">
        <v>1179</v>
      </c>
      <c r="D159" t="s">
        <v>1179</v>
      </c>
    </row>
    <row r="160" spans="1:4" ht="15.75" customHeight="1" x14ac:dyDescent="0.15">
      <c r="A160" t="s">
        <v>1180</v>
      </c>
      <c r="B160" t="s">
        <v>1181</v>
      </c>
      <c r="C160" t="s">
        <v>1182</v>
      </c>
      <c r="D160" t="s">
        <v>1182</v>
      </c>
    </row>
    <row r="161" spans="1:4" ht="15.75" customHeight="1" x14ac:dyDescent="0.15">
      <c r="A161" t="s">
        <v>1183</v>
      </c>
      <c r="B161" t="s">
        <v>437</v>
      </c>
      <c r="C161" t="s">
        <v>1184</v>
      </c>
      <c r="D161" t="s">
        <v>437</v>
      </c>
    </row>
    <row r="162" spans="1:4" ht="15.75" customHeight="1" x14ac:dyDescent="0.15">
      <c r="A162" t="s">
        <v>1185</v>
      </c>
      <c r="B162" t="s">
        <v>1186</v>
      </c>
      <c r="C162" t="s">
        <v>1187</v>
      </c>
      <c r="D162" t="s">
        <v>1187</v>
      </c>
    </row>
    <row r="163" spans="1:4" ht="15.75" customHeight="1" x14ac:dyDescent="0.15">
      <c r="A163" t="s">
        <v>1188</v>
      </c>
      <c r="B163" t="s">
        <v>1189</v>
      </c>
      <c r="C163" t="s">
        <v>1189</v>
      </c>
      <c r="D163" t="s">
        <v>1189</v>
      </c>
    </row>
    <row r="164" spans="1:4" ht="15.75" customHeight="1" x14ac:dyDescent="0.15">
      <c r="A164" t="s">
        <v>1190</v>
      </c>
      <c r="B164" t="s">
        <v>1191</v>
      </c>
      <c r="C164" t="s">
        <v>1192</v>
      </c>
      <c r="D164" t="s">
        <v>1191</v>
      </c>
    </row>
    <row r="165" spans="1:4" ht="15.75" customHeight="1" x14ac:dyDescent="0.15">
      <c r="A165" t="s">
        <v>1193</v>
      </c>
      <c r="B165" t="s">
        <v>1194</v>
      </c>
      <c r="C165" t="s">
        <v>1195</v>
      </c>
      <c r="D165" t="s">
        <v>1196</v>
      </c>
    </row>
    <row r="166" spans="1:4" ht="15.75" customHeight="1" x14ac:dyDescent="0.15">
      <c r="A166" t="s">
        <v>1197</v>
      </c>
      <c r="B166" t="s">
        <v>1198</v>
      </c>
      <c r="C166" t="s">
        <v>1199</v>
      </c>
      <c r="D166" t="s">
        <v>1200</v>
      </c>
    </row>
    <row r="167" spans="1:4" ht="15.75" customHeight="1" x14ac:dyDescent="0.15">
      <c r="A167" t="s">
        <v>1201</v>
      </c>
      <c r="B167" t="s">
        <v>444</v>
      </c>
      <c r="C167" t="s">
        <v>1202</v>
      </c>
      <c r="D167" t="s">
        <v>1203</v>
      </c>
    </row>
    <row r="168" spans="1:4" ht="15.75" customHeight="1" x14ac:dyDescent="0.15">
      <c r="A168" t="s">
        <v>1204</v>
      </c>
      <c r="B168" t="s">
        <v>1205</v>
      </c>
      <c r="C168" t="s">
        <v>1206</v>
      </c>
      <c r="D168" t="s">
        <v>1207</v>
      </c>
    </row>
    <row r="169" spans="1:4" ht="15.75" customHeight="1" x14ac:dyDescent="0.15">
      <c r="A169" t="s">
        <v>1208</v>
      </c>
      <c r="B169" t="s">
        <v>1209</v>
      </c>
      <c r="C169" t="s">
        <v>1209</v>
      </c>
      <c r="D169" t="s">
        <v>1210</v>
      </c>
    </row>
    <row r="170" spans="1:4" ht="15.75" customHeight="1" x14ac:dyDescent="0.15">
      <c r="A170" t="s">
        <v>1211</v>
      </c>
      <c r="B170" t="s">
        <v>1212</v>
      </c>
      <c r="C170" t="s">
        <v>1213</v>
      </c>
      <c r="D170" t="s">
        <v>1212</v>
      </c>
    </row>
    <row r="171" spans="1:4" ht="15.75" customHeight="1" x14ac:dyDescent="0.15">
      <c r="A171" t="s">
        <v>1214</v>
      </c>
      <c r="B171" t="s">
        <v>1215</v>
      </c>
      <c r="C171" t="s">
        <v>1216</v>
      </c>
      <c r="D171" t="s">
        <v>1217</v>
      </c>
    </row>
    <row r="172" spans="1:4" ht="15.75" customHeight="1" x14ac:dyDescent="0.15">
      <c r="A172" t="s">
        <v>1218</v>
      </c>
      <c r="B172" t="s">
        <v>1219</v>
      </c>
      <c r="C172" t="s">
        <v>1220</v>
      </c>
      <c r="D172" t="s">
        <v>1221</v>
      </c>
    </row>
    <row r="173" spans="1:4" ht="15.75" customHeight="1" x14ac:dyDescent="0.15">
      <c r="A173" t="s">
        <v>1222</v>
      </c>
      <c r="B173" t="s">
        <v>1223</v>
      </c>
      <c r="C173" t="s">
        <v>1224</v>
      </c>
      <c r="D173" t="s">
        <v>1224</v>
      </c>
    </row>
    <row r="174" spans="1:4" ht="15.75" customHeight="1" x14ac:dyDescent="0.15">
      <c r="A174" t="s">
        <v>1225</v>
      </c>
      <c r="B174" t="s">
        <v>1226</v>
      </c>
      <c r="C174" t="s">
        <v>1226</v>
      </c>
      <c r="D174" t="s">
        <v>1227</v>
      </c>
    </row>
    <row r="175" spans="1:4" ht="15.75" customHeight="1" x14ac:dyDescent="0.15">
      <c r="A175" t="s">
        <v>1228</v>
      </c>
      <c r="B175" t="s">
        <v>1229</v>
      </c>
      <c r="C175" t="s">
        <v>1230</v>
      </c>
      <c r="D175" t="s">
        <v>1231</v>
      </c>
    </row>
    <row r="176" spans="1:4" ht="15.75" customHeight="1" x14ac:dyDescent="0.15">
      <c r="A176" t="s">
        <v>1232</v>
      </c>
      <c r="B176" t="s">
        <v>1233</v>
      </c>
      <c r="C176" t="s">
        <v>1234</v>
      </c>
      <c r="D176" t="s">
        <v>1235</v>
      </c>
    </row>
    <row r="177" spans="1:4" ht="15.75" customHeight="1" x14ac:dyDescent="0.15">
      <c r="A177" t="s">
        <v>1236</v>
      </c>
      <c r="B177" t="s">
        <v>1237</v>
      </c>
      <c r="C177" t="s">
        <v>1238</v>
      </c>
      <c r="D177" t="s">
        <v>1238</v>
      </c>
    </row>
    <row r="178" spans="1:4" ht="15.75" customHeight="1" x14ac:dyDescent="0.15">
      <c r="A178" t="s">
        <v>1239</v>
      </c>
      <c r="B178" t="s">
        <v>1240</v>
      </c>
      <c r="C178" t="s">
        <v>1240</v>
      </c>
      <c r="D178" t="s">
        <v>1240</v>
      </c>
    </row>
    <row r="179" spans="1:4" ht="15.75" customHeight="1" x14ac:dyDescent="0.15">
      <c r="A179" t="s">
        <v>1241</v>
      </c>
      <c r="B179" t="s">
        <v>1242</v>
      </c>
      <c r="C179" t="s">
        <v>1243</v>
      </c>
      <c r="D179" t="s">
        <v>1244</v>
      </c>
    </row>
    <row r="180" spans="1:4" ht="15.75" customHeight="1" x14ac:dyDescent="0.15">
      <c r="A180" t="s">
        <v>1245</v>
      </c>
      <c r="B180" t="s">
        <v>1246</v>
      </c>
      <c r="C180" t="s">
        <v>1247</v>
      </c>
      <c r="D180" t="s">
        <v>1248</v>
      </c>
    </row>
    <row r="181" spans="1:4" ht="15.75" customHeight="1" x14ac:dyDescent="0.15">
      <c r="A181" t="s">
        <v>1249</v>
      </c>
      <c r="B181" t="s">
        <v>1250</v>
      </c>
      <c r="C181" t="s">
        <v>1251</v>
      </c>
      <c r="D181" t="s">
        <v>1251</v>
      </c>
    </row>
    <row r="182" spans="1:4" ht="15.75" customHeight="1" x14ac:dyDescent="0.15">
      <c r="A182" t="s">
        <v>1252</v>
      </c>
      <c r="B182" t="s">
        <v>1253</v>
      </c>
      <c r="C182" t="s">
        <v>1254</v>
      </c>
      <c r="D182" t="s">
        <v>1253</v>
      </c>
    </row>
    <row r="183" spans="1:4" ht="15.75" customHeight="1" x14ac:dyDescent="0.15">
      <c r="A183" t="s">
        <v>1255</v>
      </c>
      <c r="B183" t="s">
        <v>1256</v>
      </c>
      <c r="C183" t="s">
        <v>1257</v>
      </c>
      <c r="D183" t="s">
        <v>1258</v>
      </c>
    </row>
    <row r="184" spans="1:4" ht="15.75" customHeight="1" x14ac:dyDescent="0.15">
      <c r="A184" t="s">
        <v>1259</v>
      </c>
      <c r="B184" t="s">
        <v>1260</v>
      </c>
      <c r="C184" t="s">
        <v>1261</v>
      </c>
      <c r="D184" t="s">
        <v>1260</v>
      </c>
    </row>
    <row r="185" spans="1:4" ht="15.75" customHeight="1" x14ac:dyDescent="0.15">
      <c r="A185" t="s">
        <v>1262</v>
      </c>
      <c r="B185" t="s">
        <v>463</v>
      </c>
      <c r="C185" t="s">
        <v>1263</v>
      </c>
      <c r="D185" t="s">
        <v>1264</v>
      </c>
    </row>
    <row r="186" spans="1:4" ht="15.75" customHeight="1" x14ac:dyDescent="0.15">
      <c r="A186" t="s">
        <v>1265</v>
      </c>
      <c r="B186" t="s">
        <v>1266</v>
      </c>
      <c r="C186" t="s">
        <v>1267</v>
      </c>
      <c r="D186" t="s">
        <v>1266</v>
      </c>
    </row>
    <row r="187" spans="1:4" ht="15.75" customHeight="1" x14ac:dyDescent="0.15">
      <c r="A187" t="s">
        <v>1268</v>
      </c>
      <c r="B187" t="s">
        <v>466</v>
      </c>
      <c r="C187" t="s">
        <v>1269</v>
      </c>
      <c r="D187" t="s">
        <v>1270</v>
      </c>
    </row>
    <row r="188" spans="1:4" ht="15.75" customHeight="1" x14ac:dyDescent="0.15">
      <c r="A188" t="s">
        <v>1271</v>
      </c>
      <c r="B188" t="s">
        <v>1272</v>
      </c>
      <c r="C188" t="s">
        <v>1273</v>
      </c>
      <c r="D188" t="s">
        <v>1274</v>
      </c>
    </row>
    <row r="189" spans="1:4" ht="15.75" customHeight="1" x14ac:dyDescent="0.15">
      <c r="A189" t="s">
        <v>1275</v>
      </c>
      <c r="B189" t="s">
        <v>1276</v>
      </c>
      <c r="C189" t="s">
        <v>1277</v>
      </c>
      <c r="D189" t="s">
        <v>1276</v>
      </c>
    </row>
    <row r="190" spans="1:4" ht="15.75" customHeight="1" x14ac:dyDescent="0.15">
      <c r="A190" t="s">
        <v>1278</v>
      </c>
      <c r="B190" t="s">
        <v>1279</v>
      </c>
      <c r="C190" t="s">
        <v>1280</v>
      </c>
      <c r="D190" t="s">
        <v>1281</v>
      </c>
    </row>
    <row r="191" spans="1:4" ht="15.75" customHeight="1" x14ac:dyDescent="0.15">
      <c r="A191" t="s">
        <v>1282</v>
      </c>
      <c r="B191" t="s">
        <v>1283</v>
      </c>
      <c r="C191" t="s">
        <v>1283</v>
      </c>
      <c r="D191" t="s">
        <v>1284</v>
      </c>
    </row>
    <row r="192" spans="1:4" ht="15.75" customHeight="1" x14ac:dyDescent="0.15">
      <c r="A192" t="s">
        <v>1285</v>
      </c>
      <c r="B192" t="s">
        <v>1286</v>
      </c>
      <c r="C192" t="s">
        <v>1286</v>
      </c>
      <c r="D192" t="s">
        <v>1286</v>
      </c>
    </row>
    <row r="193" spans="1:4" ht="15.75" customHeight="1" x14ac:dyDescent="0.15">
      <c r="A193" t="s">
        <v>1287</v>
      </c>
      <c r="B193" t="s">
        <v>1288</v>
      </c>
      <c r="C193" t="s">
        <v>1289</v>
      </c>
      <c r="D193" t="s">
        <v>1288</v>
      </c>
    </row>
    <row r="194" spans="1:4" ht="15.75" customHeight="1" x14ac:dyDescent="0.15">
      <c r="A194" t="s">
        <v>1290</v>
      </c>
      <c r="B194" t="s">
        <v>474</v>
      </c>
      <c r="C194" t="s">
        <v>474</v>
      </c>
      <c r="D194" t="s">
        <v>474</v>
      </c>
    </row>
    <row r="195" spans="1:4" ht="15.75" customHeight="1" x14ac:dyDescent="0.15">
      <c r="A195" t="s">
        <v>1291</v>
      </c>
      <c r="B195" t="s">
        <v>1292</v>
      </c>
      <c r="C195" t="s">
        <v>1293</v>
      </c>
      <c r="D195" t="s">
        <v>1294</v>
      </c>
    </row>
    <row r="196" spans="1:4" ht="15.75" customHeight="1" x14ac:dyDescent="0.15">
      <c r="A196" t="s">
        <v>1295</v>
      </c>
      <c r="B196" t="s">
        <v>1296</v>
      </c>
      <c r="C196" t="s">
        <v>1297</v>
      </c>
      <c r="D196" t="s">
        <v>1298</v>
      </c>
    </row>
    <row r="197" spans="1:4" ht="15.75" customHeight="1" x14ac:dyDescent="0.15">
      <c r="A197" t="s">
        <v>1299</v>
      </c>
      <c r="B197" t="s">
        <v>1300</v>
      </c>
      <c r="C197" t="s">
        <v>1301</v>
      </c>
      <c r="D197" t="s">
        <v>1302</v>
      </c>
    </row>
    <row r="198" spans="1:4" ht="15.75" customHeight="1" x14ac:dyDescent="0.15">
      <c r="A198" t="s">
        <v>1303</v>
      </c>
      <c r="B198" t="s">
        <v>1304</v>
      </c>
      <c r="C198" t="s">
        <v>1305</v>
      </c>
      <c r="D198" t="s">
        <v>1306</v>
      </c>
    </row>
    <row r="199" spans="1:4" ht="15.75" customHeight="1" x14ac:dyDescent="0.15">
      <c r="A199" t="s">
        <v>1307</v>
      </c>
      <c r="B199" t="s">
        <v>1308</v>
      </c>
      <c r="C199" t="s">
        <v>1309</v>
      </c>
      <c r="D199" t="s">
        <v>1310</v>
      </c>
    </row>
    <row r="200" spans="1:4" ht="15.75" customHeight="1" x14ac:dyDescent="0.15">
      <c r="A200" t="s">
        <v>1311</v>
      </c>
      <c r="B200" t="s">
        <v>481</v>
      </c>
      <c r="C200" t="s">
        <v>1312</v>
      </c>
      <c r="D200" t="s">
        <v>1313</v>
      </c>
    </row>
    <row r="201" spans="1:4" ht="15.75" customHeight="1" x14ac:dyDescent="0.15">
      <c r="A201" t="s">
        <v>1314</v>
      </c>
      <c r="B201" t="s">
        <v>1315</v>
      </c>
      <c r="C201" t="s">
        <v>1316</v>
      </c>
      <c r="D201" t="s">
        <v>1317</v>
      </c>
    </row>
    <row r="202" spans="1:4" ht="15.75" customHeight="1" x14ac:dyDescent="0.15">
      <c r="A202" t="s">
        <v>1318</v>
      </c>
      <c r="B202" t="s">
        <v>1319</v>
      </c>
      <c r="C202" t="s">
        <v>1320</v>
      </c>
      <c r="D202" t="s">
        <v>1320</v>
      </c>
    </row>
    <row r="203" spans="1:4" ht="15.75" customHeight="1" x14ac:dyDescent="0.15">
      <c r="A203" t="s">
        <v>1321</v>
      </c>
      <c r="B203" t="s">
        <v>1322</v>
      </c>
      <c r="C203" t="s">
        <v>1322</v>
      </c>
      <c r="D203" t="s">
        <v>1322</v>
      </c>
    </row>
    <row r="204" spans="1:4" ht="15.75" customHeight="1" x14ac:dyDescent="0.15">
      <c r="A204" t="s">
        <v>1323</v>
      </c>
      <c r="B204" t="s">
        <v>1324</v>
      </c>
      <c r="C204" t="s">
        <v>1325</v>
      </c>
      <c r="D204" t="s">
        <v>1326</v>
      </c>
    </row>
    <row r="205" spans="1:4" ht="15.75" customHeight="1" x14ac:dyDescent="0.15">
      <c r="A205" t="s">
        <v>1327</v>
      </c>
      <c r="B205" t="s">
        <v>487</v>
      </c>
      <c r="C205" t="s">
        <v>1328</v>
      </c>
      <c r="D205" t="s">
        <v>1328</v>
      </c>
    </row>
    <row r="206" spans="1:4" ht="15.75" customHeight="1" x14ac:dyDescent="0.15">
      <c r="A206" t="s">
        <v>1329</v>
      </c>
      <c r="B206" t="s">
        <v>1330</v>
      </c>
      <c r="C206" t="s">
        <v>1331</v>
      </c>
      <c r="D206" t="s">
        <v>1332</v>
      </c>
    </row>
    <row r="207" spans="1:4" ht="15.75" customHeight="1" x14ac:dyDescent="0.15">
      <c r="A207" t="s">
        <v>1333</v>
      </c>
      <c r="B207" t="s">
        <v>1334</v>
      </c>
      <c r="C207" t="s">
        <v>1334</v>
      </c>
      <c r="D207" t="s">
        <v>1334</v>
      </c>
    </row>
    <row r="208" spans="1:4" ht="15.75" customHeight="1" x14ac:dyDescent="0.15">
      <c r="A208" t="s">
        <v>1335</v>
      </c>
      <c r="B208" t="s">
        <v>491</v>
      </c>
      <c r="C208" t="s">
        <v>1336</v>
      </c>
      <c r="D208" t="s">
        <v>1337</v>
      </c>
    </row>
    <row r="209" spans="1:4" ht="15.75" customHeight="1" x14ac:dyDescent="0.15">
      <c r="A209" t="s">
        <v>1338</v>
      </c>
      <c r="B209" t="s">
        <v>493</v>
      </c>
      <c r="C209" t="s">
        <v>1339</v>
      </c>
      <c r="D209" t="s">
        <v>1339</v>
      </c>
    </row>
    <row r="210" spans="1:4" ht="15.75" customHeight="1" x14ac:dyDescent="0.15">
      <c r="A210" t="s">
        <v>1340</v>
      </c>
      <c r="B210" t="s">
        <v>1341</v>
      </c>
      <c r="C210" t="s">
        <v>1341</v>
      </c>
      <c r="D210" t="s">
        <v>1341</v>
      </c>
    </row>
    <row r="211" spans="1:4" ht="15.75" customHeight="1" x14ac:dyDescent="0.15">
      <c r="A211" t="s">
        <v>1342</v>
      </c>
      <c r="B211" t="s">
        <v>1343</v>
      </c>
      <c r="C211" t="s">
        <v>1344</v>
      </c>
      <c r="D211" t="s">
        <v>1345</v>
      </c>
    </row>
    <row r="212" spans="1:4" ht="15.75" customHeight="1" x14ac:dyDescent="0.15">
      <c r="A212" t="s">
        <v>1346</v>
      </c>
      <c r="B212" t="s">
        <v>1347</v>
      </c>
      <c r="C212" t="s">
        <v>1348</v>
      </c>
      <c r="D212" t="s">
        <v>1349</v>
      </c>
    </row>
    <row r="213" spans="1:4" ht="15.75" customHeight="1" x14ac:dyDescent="0.15">
      <c r="A213" t="s">
        <v>1350</v>
      </c>
      <c r="B213" t="s">
        <v>1351</v>
      </c>
      <c r="C213" t="s">
        <v>1352</v>
      </c>
      <c r="D213" t="s">
        <v>1353</v>
      </c>
    </row>
    <row r="214" spans="1:4" ht="15.75" customHeight="1" x14ac:dyDescent="0.15">
      <c r="A214" t="s">
        <v>1354</v>
      </c>
      <c r="B214" t="s">
        <v>1355</v>
      </c>
      <c r="C214" t="s">
        <v>1356</v>
      </c>
      <c r="D214" t="s">
        <v>1357</v>
      </c>
    </row>
    <row r="215" spans="1:4" ht="15.75" customHeight="1" x14ac:dyDescent="0.15">
      <c r="A215" t="s">
        <v>1358</v>
      </c>
      <c r="B215" t="s">
        <v>1359</v>
      </c>
      <c r="C215" t="s">
        <v>1360</v>
      </c>
      <c r="D215" t="s">
        <v>1361</v>
      </c>
    </row>
    <row r="216" spans="1:4" ht="15.75" customHeight="1" x14ac:dyDescent="0.15">
      <c r="A216" t="s">
        <v>1362</v>
      </c>
      <c r="B216" t="s">
        <v>501</v>
      </c>
      <c r="C216" t="s">
        <v>501</v>
      </c>
      <c r="D216" t="s">
        <v>1363</v>
      </c>
    </row>
    <row r="217" spans="1:4" ht="15.75" customHeight="1" x14ac:dyDescent="0.15">
      <c r="A217" t="s">
        <v>1364</v>
      </c>
      <c r="B217" t="s">
        <v>503</v>
      </c>
      <c r="C217" t="s">
        <v>1365</v>
      </c>
      <c r="D217" t="s">
        <v>1366</v>
      </c>
    </row>
    <row r="218" spans="1:4" ht="15.75" customHeight="1" x14ac:dyDescent="0.15">
      <c r="A218" t="s">
        <v>1367</v>
      </c>
      <c r="B218" t="s">
        <v>1368</v>
      </c>
      <c r="C218" t="s">
        <v>1369</v>
      </c>
      <c r="D218" t="s">
        <v>1370</v>
      </c>
    </row>
    <row r="219" spans="1:4" ht="15.75" customHeight="1" x14ac:dyDescent="0.15">
      <c r="A219" t="s">
        <v>1371</v>
      </c>
      <c r="B219" t="s">
        <v>1372</v>
      </c>
      <c r="C219" t="s">
        <v>1372</v>
      </c>
      <c r="D219" t="s">
        <v>1373</v>
      </c>
    </row>
    <row r="220" spans="1:4" ht="15.75" customHeight="1" x14ac:dyDescent="0.15">
      <c r="A220" t="s">
        <v>1374</v>
      </c>
      <c r="B220" t="s">
        <v>1375</v>
      </c>
      <c r="C220" t="s">
        <v>1376</v>
      </c>
      <c r="D220" t="s">
        <v>1376</v>
      </c>
    </row>
    <row r="221" spans="1:4" ht="15.75" customHeight="1" x14ac:dyDescent="0.15">
      <c r="A221" t="s">
        <v>1377</v>
      </c>
      <c r="B221" t="s">
        <v>1378</v>
      </c>
      <c r="C221" t="s">
        <v>1379</v>
      </c>
      <c r="D221" t="s">
        <v>1380</v>
      </c>
    </row>
    <row r="222" spans="1:4" ht="15.75" customHeight="1" x14ac:dyDescent="0.15">
      <c r="A222" t="s">
        <v>1381</v>
      </c>
      <c r="B222" t="s">
        <v>1382</v>
      </c>
      <c r="C222" t="s">
        <v>1382</v>
      </c>
      <c r="D222" t="s">
        <v>1382</v>
      </c>
    </row>
    <row r="223" spans="1:4" ht="15.75" customHeight="1" x14ac:dyDescent="0.15">
      <c r="A223" t="s">
        <v>1383</v>
      </c>
      <c r="B223" t="s">
        <v>1384</v>
      </c>
      <c r="C223" t="s">
        <v>1384</v>
      </c>
      <c r="D223" t="s">
        <v>1384</v>
      </c>
    </row>
    <row r="224" spans="1:4" ht="15.75" customHeight="1" x14ac:dyDescent="0.15">
      <c r="A224" t="s">
        <v>1385</v>
      </c>
      <c r="B224" t="s">
        <v>1386</v>
      </c>
      <c r="C224" t="s">
        <v>1386</v>
      </c>
      <c r="D224" t="s">
        <v>1386</v>
      </c>
    </row>
    <row r="225" spans="1:4" ht="15.75" customHeight="1" x14ac:dyDescent="0.15">
      <c r="A225" t="s">
        <v>1387</v>
      </c>
      <c r="B225" t="s">
        <v>1388</v>
      </c>
      <c r="C225" t="s">
        <v>1389</v>
      </c>
      <c r="D225" t="s">
        <v>1390</v>
      </c>
    </row>
    <row r="226" spans="1:4" ht="15.75" customHeight="1" x14ac:dyDescent="0.15">
      <c r="A226" t="s">
        <v>1391</v>
      </c>
      <c r="B226" t="s">
        <v>513</v>
      </c>
      <c r="C226" t="s">
        <v>1392</v>
      </c>
      <c r="D226" t="s">
        <v>1393</v>
      </c>
    </row>
    <row r="227" spans="1:4" ht="15.75" customHeight="1" x14ac:dyDescent="0.15">
      <c r="A227" t="s">
        <v>1394</v>
      </c>
      <c r="B227" t="s">
        <v>1395</v>
      </c>
      <c r="C227" t="s">
        <v>1396</v>
      </c>
      <c r="D227" t="s">
        <v>1397</v>
      </c>
    </row>
    <row r="228" spans="1:4" ht="15.75" customHeight="1" x14ac:dyDescent="0.15">
      <c r="A228" t="s">
        <v>1398</v>
      </c>
      <c r="B228" t="s">
        <v>1399</v>
      </c>
      <c r="C228" t="s">
        <v>1400</v>
      </c>
      <c r="D228" t="s">
        <v>1401</v>
      </c>
    </row>
    <row r="229" spans="1:4" ht="15.75" customHeight="1" x14ac:dyDescent="0.15">
      <c r="A229" t="s">
        <v>1402</v>
      </c>
      <c r="B229" t="s">
        <v>1403</v>
      </c>
      <c r="C229" t="s">
        <v>1403</v>
      </c>
      <c r="D229" t="s">
        <v>1403</v>
      </c>
    </row>
    <row r="230" spans="1:4" ht="15.75" customHeight="1" x14ac:dyDescent="0.15">
      <c r="A230" t="s">
        <v>1404</v>
      </c>
      <c r="B230" t="s">
        <v>1405</v>
      </c>
      <c r="C230" t="s">
        <v>1406</v>
      </c>
      <c r="D230" t="s">
        <v>1407</v>
      </c>
    </row>
    <row r="231" spans="1:4" ht="15.75" customHeight="1" x14ac:dyDescent="0.15">
      <c r="A231" t="s">
        <v>1408</v>
      </c>
      <c r="B231" t="s">
        <v>1409</v>
      </c>
      <c r="C231" t="s">
        <v>1409</v>
      </c>
      <c r="D231" t="s">
        <v>1409</v>
      </c>
    </row>
    <row r="232" spans="1:4" ht="15.75" customHeight="1" x14ac:dyDescent="0.15">
      <c r="A232" t="s">
        <v>1410</v>
      </c>
      <c r="B232" t="s">
        <v>1411</v>
      </c>
      <c r="C232" t="s">
        <v>1412</v>
      </c>
      <c r="D232" t="s">
        <v>1412</v>
      </c>
    </row>
    <row r="233" spans="1:4" ht="15.75" customHeight="1" x14ac:dyDescent="0.15">
      <c r="A233" t="s">
        <v>1413</v>
      </c>
      <c r="B233" t="s">
        <v>521</v>
      </c>
      <c r="C233" t="s">
        <v>1414</v>
      </c>
      <c r="D233" t="s">
        <v>1415</v>
      </c>
    </row>
    <row r="234" spans="1:4" ht="15.75" customHeight="1" x14ac:dyDescent="0.15">
      <c r="A234" t="s">
        <v>1416</v>
      </c>
      <c r="B234" t="s">
        <v>1417</v>
      </c>
      <c r="C234" t="s">
        <v>1417</v>
      </c>
      <c r="D234" t="s">
        <v>1417</v>
      </c>
    </row>
    <row r="235" spans="1:4" ht="15.75" customHeight="1" x14ac:dyDescent="0.15">
      <c r="A235" t="s">
        <v>1418</v>
      </c>
      <c r="B235" t="s">
        <v>1419</v>
      </c>
      <c r="C235" t="s">
        <v>1419</v>
      </c>
      <c r="D235" t="s">
        <v>1419</v>
      </c>
    </row>
    <row r="236" spans="1:4" ht="15.75" customHeight="1" x14ac:dyDescent="0.15">
      <c r="A236" t="s">
        <v>1420</v>
      </c>
      <c r="B236" t="s">
        <v>525</v>
      </c>
      <c r="C236" t="s">
        <v>1421</v>
      </c>
      <c r="D236" t="s">
        <v>1421</v>
      </c>
    </row>
    <row r="237" spans="1:4" ht="15.75" customHeight="1" x14ac:dyDescent="0.15">
      <c r="A237" t="s">
        <v>1422</v>
      </c>
      <c r="B237" t="s">
        <v>1423</v>
      </c>
      <c r="C237" t="s">
        <v>1424</v>
      </c>
      <c r="D237" t="s">
        <v>1425</v>
      </c>
    </row>
    <row r="238" spans="1:4" ht="15.75" customHeight="1" x14ac:dyDescent="0.15">
      <c r="A238" t="s">
        <v>1426</v>
      </c>
      <c r="B238" t="s">
        <v>1427</v>
      </c>
      <c r="C238" t="s">
        <v>1428</v>
      </c>
      <c r="D238" t="s">
        <v>1428</v>
      </c>
    </row>
    <row r="239" spans="1:4" ht="15.75" customHeight="1" x14ac:dyDescent="0.15">
      <c r="A239" t="s">
        <v>1429</v>
      </c>
      <c r="B239" t="s">
        <v>1430</v>
      </c>
      <c r="C239" t="s">
        <v>1431</v>
      </c>
      <c r="D239" t="s">
        <v>1432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PT-BR</vt:lpstr>
      <vt:lpstr>EN</vt:lpstr>
      <vt:lpstr>SP</vt:lpstr>
      <vt:lpstr>INDICE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Hugo Falcão Montan</dc:creator>
  <dcterms:created xsi:type="dcterms:W3CDTF">2020-09-24T18:33:21Z</dcterms:created>
</cp:coreProperties>
</file>