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joel/Desktop/"/>
    </mc:Choice>
  </mc:AlternateContent>
  <xr:revisionPtr revIDLastSave="0" documentId="12_ncr:500000_{71AA6B01-53DC-FF42-8B0E-C7C3096A224E}" xr6:coauthVersionLast="31" xr6:coauthVersionMax="31" xr10:uidLastSave="{00000000-0000-0000-0000-000000000000}"/>
  <bookViews>
    <workbookView xWindow="9940" yWindow="5580" windowWidth="33600" windowHeight="20540" activeTab="2" xr2:uid="{00000000-000D-0000-FFFF-FFFF00000000}"/>
  </bookViews>
  <sheets>
    <sheet name="rx_chain" sheetId="1" r:id="rId1"/>
    <sheet name="tx_chain" sheetId="2" r:id="rId2"/>
    <sheet name="power_budget" sheetId="3" r:id="rId3"/>
  </sheets>
  <calcPr calcId="162913"/>
  <fileRecoveryPr autoRecover="0"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7" i="3" l="1"/>
  <c r="D78" i="3"/>
  <c r="E66" i="3"/>
  <c r="E68" i="3" s="1"/>
  <c r="E78" i="3"/>
  <c r="E77" i="3"/>
  <c r="E25" i="3"/>
  <c r="J21" i="2"/>
  <c r="H30" i="2" l="1"/>
  <c r="H31" i="2" s="1"/>
  <c r="G30" i="2"/>
  <c r="G31" i="2" s="1"/>
  <c r="L30" i="2"/>
  <c r="L31" i="2" s="1"/>
  <c r="J11" i="2"/>
  <c r="F30" i="2"/>
  <c r="F31" i="2" s="1"/>
  <c r="L32" i="2" l="1"/>
  <c r="L33" i="2" s="1"/>
  <c r="J12" i="2"/>
  <c r="J13" i="2" s="1"/>
  <c r="L11" i="2"/>
  <c r="H3" i="1"/>
  <c r="H4" i="1" s="1"/>
  <c r="G10" i="1"/>
  <c r="Q28" i="1"/>
  <c r="Q27" i="1" s="1"/>
  <c r="R28" i="1"/>
  <c r="G28" i="1"/>
  <c r="H28" i="1" s="1"/>
  <c r="F28" i="1"/>
  <c r="G21" i="1"/>
  <c r="H21" i="1" s="1"/>
  <c r="G17" i="1"/>
  <c r="G15" i="1"/>
  <c r="H15" i="1" s="1"/>
  <c r="H25" i="1"/>
  <c r="G23" i="1"/>
  <c r="H23" i="1" s="1"/>
  <c r="G27" i="1"/>
  <c r="H27" i="1" s="1"/>
  <c r="G26" i="1"/>
  <c r="H26" i="1" s="1"/>
  <c r="F26" i="1"/>
  <c r="F27" i="1"/>
  <c r="F23" i="1"/>
  <c r="F25" i="1"/>
  <c r="F15" i="1"/>
  <c r="F21" i="1"/>
  <c r="F11" i="1"/>
  <c r="G11" i="1"/>
  <c r="H11" i="1" s="1"/>
  <c r="F12" i="1"/>
  <c r="G12" i="1"/>
  <c r="H12" i="1" s="1"/>
  <c r="L13" i="2" l="1"/>
  <c r="J14" i="2"/>
  <c r="J15" i="2" s="1"/>
  <c r="J16" i="2" s="1"/>
  <c r="J17" i="2" s="1"/>
  <c r="J18" i="2" s="1"/>
  <c r="J19" i="2" s="1"/>
  <c r="J20" i="2" s="1"/>
  <c r="J23" i="2" s="1"/>
  <c r="L23" i="2" s="1"/>
  <c r="Q26" i="1"/>
  <c r="R27" i="1"/>
  <c r="L12" i="2"/>
  <c r="O12" i="2" s="1"/>
  <c r="O11" i="2"/>
  <c r="N11" i="2"/>
  <c r="E40" i="3"/>
  <c r="E39" i="3"/>
  <c r="E38" i="3"/>
  <c r="E37" i="3"/>
  <c r="O23" i="2" l="1"/>
  <c r="N23" i="2"/>
  <c r="L14" i="2"/>
  <c r="N14" i="2" s="1"/>
  <c r="L20" i="2"/>
  <c r="J24" i="2"/>
  <c r="L24" i="2" s="1"/>
  <c r="N12" i="2"/>
  <c r="N13" i="2"/>
  <c r="O13" i="2"/>
  <c r="R26" i="1"/>
  <c r="Q25" i="1"/>
  <c r="L18" i="2"/>
  <c r="L15" i="2"/>
  <c r="O15" i="2" s="1"/>
  <c r="O14" i="2"/>
  <c r="L16" i="2"/>
  <c r="E48" i="3"/>
  <c r="E50" i="3" s="1"/>
  <c r="E80" i="3"/>
  <c r="E79" i="3"/>
  <c r="E28" i="3"/>
  <c r="E27" i="3"/>
  <c r="E26" i="3"/>
  <c r="E24" i="3"/>
  <c r="E23" i="3"/>
  <c r="E22" i="3"/>
  <c r="E21" i="3"/>
  <c r="E14" i="3"/>
  <c r="E11" i="3"/>
  <c r="E8" i="3"/>
  <c r="E30" i="3" l="1"/>
  <c r="E32" i="3" s="1"/>
  <c r="D76" i="3" s="1"/>
  <c r="E76" i="3" s="1"/>
  <c r="E82" i="3"/>
  <c r="E84" i="3" s="1"/>
  <c r="N24" i="2"/>
  <c r="O24" i="2"/>
  <c r="J22" i="2"/>
  <c r="L21" i="2"/>
  <c r="N20" i="2"/>
  <c r="O20" i="2"/>
  <c r="N15" i="2"/>
  <c r="R25" i="1"/>
  <c r="Q24" i="1"/>
  <c r="L19" i="2"/>
  <c r="O18" i="2"/>
  <c r="N18" i="2"/>
  <c r="N16" i="2"/>
  <c r="O16" i="2"/>
  <c r="H17" i="1"/>
  <c r="F17" i="1"/>
  <c r="M10" i="1"/>
  <c r="G16" i="1"/>
  <c r="H16" i="1" s="1"/>
  <c r="F16" i="1"/>
  <c r="H18" i="1"/>
  <c r="F18" i="1"/>
  <c r="N21" i="2" l="1"/>
  <c r="O21" i="2"/>
  <c r="L22" i="2"/>
  <c r="J25" i="2"/>
  <c r="L25" i="2" s="1"/>
  <c r="Q23" i="1"/>
  <c r="R24" i="1"/>
  <c r="N19" i="2"/>
  <c r="O19" i="2"/>
  <c r="L17" i="2"/>
  <c r="M11" i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N25" i="2" l="1"/>
  <c r="O25" i="2"/>
  <c r="N22" i="2"/>
  <c r="O22" i="2"/>
  <c r="Q22" i="1"/>
  <c r="R23" i="1"/>
  <c r="N17" i="2"/>
  <c r="O17" i="2"/>
  <c r="F10" i="1"/>
  <c r="H10" i="1"/>
  <c r="Q21" i="1" l="1"/>
  <c r="R22" i="1"/>
  <c r="G20" i="1"/>
  <c r="H20" i="1" s="1"/>
  <c r="G13" i="1"/>
  <c r="H13" i="1" s="1"/>
  <c r="F24" i="1"/>
  <c r="R29" i="1"/>
  <c r="H29" i="1"/>
  <c r="F29" i="1"/>
  <c r="H22" i="1"/>
  <c r="H19" i="1"/>
  <c r="H14" i="1"/>
  <c r="H9" i="1"/>
  <c r="J9" i="1" s="1"/>
  <c r="F22" i="1"/>
  <c r="F20" i="1"/>
  <c r="F19" i="1"/>
  <c r="F14" i="1"/>
  <c r="F13" i="1"/>
  <c r="F9" i="1"/>
  <c r="N9" i="1" s="1"/>
  <c r="N10" i="1" s="1"/>
  <c r="N11" i="1" s="1"/>
  <c r="N12" i="1" s="1"/>
  <c r="Q20" i="1" l="1"/>
  <c r="R21" i="1"/>
  <c r="N13" i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J10" i="1"/>
  <c r="J11" i="1" s="1"/>
  <c r="K9" i="1"/>
  <c r="G24" i="1"/>
  <c r="H24" i="1" s="1"/>
  <c r="Q19" i="1" l="1"/>
  <c r="R20" i="1"/>
  <c r="K11" i="1"/>
  <c r="J12" i="1"/>
  <c r="K10" i="1"/>
  <c r="V10" i="1" s="1"/>
  <c r="Q18" i="1" l="1"/>
  <c r="R19" i="1"/>
  <c r="K12" i="1"/>
  <c r="V12" i="1" s="1"/>
  <c r="J13" i="1"/>
  <c r="V11" i="1"/>
  <c r="R18" i="1" l="1"/>
  <c r="Q17" i="1"/>
  <c r="K13" i="1"/>
  <c r="V13" i="1" s="1"/>
  <c r="J14" i="1"/>
  <c r="Q16" i="1" l="1"/>
  <c r="R17" i="1"/>
  <c r="K14" i="1"/>
  <c r="V14" i="1" s="1"/>
  <c r="J15" i="1"/>
  <c r="U19" i="1"/>
  <c r="Q15" i="1" l="1"/>
  <c r="R16" i="1"/>
  <c r="K15" i="1"/>
  <c r="V15" i="1" s="1"/>
  <c r="J16" i="1"/>
  <c r="Q14" i="1" l="1"/>
  <c r="R15" i="1"/>
  <c r="K16" i="1"/>
  <c r="V16" i="1" s="1"/>
  <c r="J17" i="1"/>
  <c r="R14" i="1" l="1"/>
  <c r="Q13" i="1"/>
  <c r="K17" i="1"/>
  <c r="V17" i="1" s="1"/>
  <c r="J18" i="1"/>
  <c r="Q12" i="1" l="1"/>
  <c r="R13" i="1"/>
  <c r="J19" i="1"/>
  <c r="K18" i="1"/>
  <c r="V18" i="1" s="1"/>
  <c r="Q11" i="1" l="1"/>
  <c r="R12" i="1"/>
  <c r="K19" i="1"/>
  <c r="V19" i="1" s="1"/>
  <c r="J20" i="1"/>
  <c r="Q10" i="1" l="1"/>
  <c r="R10" i="1" s="1"/>
  <c r="R11" i="1"/>
  <c r="J21" i="1"/>
  <c r="K20" i="1"/>
  <c r="V20" i="1" s="1"/>
  <c r="K21" i="1" l="1"/>
  <c r="V21" i="1" s="1"/>
  <c r="J22" i="1"/>
  <c r="Q9" i="1" l="1"/>
  <c r="R9" i="1" s="1"/>
  <c r="J23" i="1"/>
  <c r="K22" i="1"/>
  <c r="V22" i="1" s="1"/>
  <c r="K23" i="1" l="1"/>
  <c r="V23" i="1" s="1"/>
  <c r="J24" i="1"/>
  <c r="J25" i="1" l="1"/>
  <c r="K24" i="1"/>
  <c r="V24" i="1" s="1"/>
  <c r="K25" i="1" l="1"/>
  <c r="V25" i="1" s="1"/>
  <c r="J26" i="1"/>
  <c r="J27" i="1" l="1"/>
  <c r="J28" i="1" s="1"/>
  <c r="K26" i="1"/>
  <c r="V26" i="1" s="1"/>
  <c r="K28" i="1" l="1"/>
  <c r="V28" i="1" s="1"/>
  <c r="J29" i="1"/>
  <c r="K29" i="1" s="1"/>
  <c r="K27" i="1"/>
  <c r="V27" i="1" s="1"/>
  <c r="V29" i="1" l="1"/>
</calcChain>
</file>

<file path=xl/sharedStrings.xml><?xml version="1.0" encoding="utf-8"?>
<sst xmlns="http://schemas.openxmlformats.org/spreadsheetml/2006/main" count="231" uniqueCount="134">
  <si>
    <t xml:space="preserve">Graviton Receiver Analog Front End Cascade Analysis </t>
  </si>
  <si>
    <t>desc</t>
  </si>
  <si>
    <t>gain</t>
  </si>
  <si>
    <t>dB</t>
  </si>
  <si>
    <t>dBm</t>
  </si>
  <si>
    <t>uW</t>
  </si>
  <si>
    <t>fs input</t>
  </si>
  <si>
    <t>W/W</t>
  </si>
  <si>
    <t>noise contribution</t>
  </si>
  <si>
    <t>critical</t>
  </si>
  <si>
    <t>FS limit #1</t>
  </si>
  <si>
    <t>FS limit #2</t>
  </si>
  <si>
    <t>total gain</t>
  </si>
  <si>
    <t>F</t>
  </si>
  <si>
    <t>cascade F</t>
  </si>
  <si>
    <t>NF</t>
  </si>
  <si>
    <t>cascade NF</t>
  </si>
  <si>
    <t>LNA</t>
  </si>
  <si>
    <t>db</t>
  </si>
  <si>
    <t>IIP3</t>
  </si>
  <si>
    <t>IP3 spur @ FS</t>
  </si>
  <si>
    <t>passband, fc (Hz)</t>
  </si>
  <si>
    <t>LMH6554</t>
  </si>
  <si>
    <t>reflectionless filter</t>
  </si>
  <si>
    <t>XLF-151+</t>
  </si>
  <si>
    <t>part number</t>
  </si>
  <si>
    <t>SF2098H</t>
  </si>
  <si>
    <t>PE43713</t>
  </si>
  <si>
    <t>AD42LB69</t>
  </si>
  <si>
    <t>notes</t>
  </si>
  <si>
    <t>MAX2031</t>
  </si>
  <si>
    <t>MIXER</t>
  </si>
  <si>
    <t>AMP</t>
  </si>
  <si>
    <t>DSA (I.L. + setting)</t>
  </si>
  <si>
    <t>switch</t>
  </si>
  <si>
    <t>legend</t>
  </si>
  <si>
    <t>[NUMBER]</t>
  </si>
  <si>
    <t>things that you can program</t>
  </si>
  <si>
    <t>transformer</t>
  </si>
  <si>
    <t>PE42820</t>
  </si>
  <si>
    <t>5.5V Supply</t>
  </si>
  <si>
    <t>eff</t>
  </si>
  <si>
    <t>volts</t>
  </si>
  <si>
    <t>amps</t>
  </si>
  <si>
    <t>watts</t>
  </si>
  <si>
    <t>MCU/PHY</t>
  </si>
  <si>
    <t>Amps</t>
  </si>
  <si>
    <t>OCXO</t>
  </si>
  <si>
    <t>Analog</t>
  </si>
  <si>
    <t>Switche</t>
  </si>
  <si>
    <t>Switches</t>
  </si>
  <si>
    <t>Fans</t>
  </si>
  <si>
    <t>29V Supply</t>
  </si>
  <si>
    <t>TX PA #1</t>
  </si>
  <si>
    <t>TX PA #2</t>
  </si>
  <si>
    <t>DAC (3.3V LDO)</t>
  </si>
  <si>
    <t>ADC (3.3V LDO)</t>
  </si>
  <si>
    <t>CLOCK (3.3V LDO)</t>
  </si>
  <si>
    <t>SYNTH (3.3V LDO)</t>
  </si>
  <si>
    <t>3.7V Supply</t>
  </si>
  <si>
    <t>link</t>
  </si>
  <si>
    <t>MEMS filter</t>
  </si>
  <si>
    <t>TC2-1TG2+</t>
  </si>
  <si>
    <t>TC3-1TG2+</t>
  </si>
  <si>
    <t>transformer (Z = 3:1)</t>
  </si>
  <si>
    <t>transformer (Z = 2:1)</t>
  </si>
  <si>
    <t>MEM2012SC470</t>
  </si>
  <si>
    <t>SKY67150-396LF</t>
  </si>
  <si>
    <t>baseband, fc (Hz)</t>
  </si>
  <si>
    <t>50-Ohm S.E.</t>
  </si>
  <si>
    <t>50-Ohm D.E.</t>
  </si>
  <si>
    <t>100-Ohm D.E.</t>
  </si>
  <si>
    <t>300-Ohm D.E.</t>
  </si>
  <si>
    <t>output Z</t>
  </si>
  <si>
    <t>377-Ohms S.E.</t>
  </si>
  <si>
    <t>antenna IL</t>
  </si>
  <si>
    <t>connector IL</t>
  </si>
  <si>
    <t>switch IL</t>
  </si>
  <si>
    <t>SAW filter IL</t>
  </si>
  <si>
    <t>subcarrier bw (Hz)</t>
  </si>
  <si>
    <t>subcarrier noise floor (dBm)</t>
  </si>
  <si>
    <t>ADC (250 Msps), Vpp(diff) = 2.0V</t>
  </si>
  <si>
    <t>DAC3484</t>
  </si>
  <si>
    <t>DAC</t>
  </si>
  <si>
    <t>mixer</t>
  </si>
  <si>
    <t>MMG3004NT1</t>
  </si>
  <si>
    <t>preamp</t>
  </si>
  <si>
    <t>SAW filter</t>
  </si>
  <si>
    <t>MMG3006NT1</t>
  </si>
  <si>
    <t>NPA1006</t>
  </si>
  <si>
    <t>PE42820MLBA-X</t>
  </si>
  <si>
    <t>Watts</t>
  </si>
  <si>
    <t>power divider</t>
  </si>
  <si>
    <t>FC0402E1000BST1</t>
  </si>
  <si>
    <t>vrms</t>
  </si>
  <si>
    <t>irms</t>
  </si>
  <si>
    <t>r</t>
  </si>
  <si>
    <t>output z</t>
  </si>
  <si>
    <t>W</t>
  </si>
  <si>
    <t>Ohms</t>
  </si>
  <si>
    <t>P/N</t>
  </si>
  <si>
    <t>MEMS</t>
  </si>
  <si>
    <t>PI filter</t>
  </si>
  <si>
    <t>50 D.E.</t>
  </si>
  <si>
    <t>50 S.E.</t>
  </si>
  <si>
    <t>helical Filter</t>
  </si>
  <si>
    <t>power meter</t>
  </si>
  <si>
    <t>out (worse)</t>
  </si>
  <si>
    <t>gain (worse)</t>
  </si>
  <si>
    <t>gain (typ)</t>
  </si>
  <si>
    <t>gain (best)</t>
  </si>
  <si>
    <t>power (worse)</t>
  </si>
  <si>
    <t>power amplifier (12.5W, 41dBm max)</t>
  </si>
  <si>
    <t>amp output (dBm)</t>
  </si>
  <si>
    <t>power (W)</t>
  </si>
  <si>
    <t>IF amp only</t>
  </si>
  <si>
    <t>helical filter</t>
  </si>
  <si>
    <t>SigCarrier</t>
  </si>
  <si>
    <t>3.7V supply</t>
  </si>
  <si>
    <t>-5.5V Supply</t>
  </si>
  <si>
    <t>-5.5V  supply</t>
  </si>
  <si>
    <t>5.5V supply</t>
  </si>
  <si>
    <t>ADC Digital 1.8</t>
  </si>
  <si>
    <t>ADC Analog 1.8</t>
  </si>
  <si>
    <t>ADC Analog 3.3</t>
  </si>
  <si>
    <t>DAC Digital 1.2</t>
  </si>
  <si>
    <t>DAC Digital 3.3</t>
  </si>
  <si>
    <t>DAC Analog 1.2</t>
  </si>
  <si>
    <t>2.5V Rail (ETH, CS VCCIO)</t>
  </si>
  <si>
    <t>1.8V Rail (CS VCCIO)</t>
  </si>
  <si>
    <t>AFE #1 5V</t>
  </si>
  <si>
    <t>AFE #1 -5V</t>
  </si>
  <si>
    <t>AFE #2 5V</t>
  </si>
  <si>
    <t>AFE #2 -5V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</si>
</sst>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#,##0.000"/>
    <numFmt numFmtId="167" formatCode="0.0E+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0" fontId="2" fillId="3" borderId="1" applyNumberFormat="0" applyAlignment="0" applyProtection="0"/>
  </cellStyleXfs>
  <cellXfs count="99">
    <xf numFmtId="0" fontId="0" fillId="0" borderId="0" xfId="0"/>
    <xf numFmtId="0" fontId="0" fillId="4" borderId="4" xfId="0" applyFont="1" applyFill="1" applyBorder="1"/>
    <xf numFmtId="165" fontId="0" fillId="4" borderId="0" xfId="0" applyNumberFormat="1" applyFont="1" applyFill="1" applyBorder="1"/>
    <xf numFmtId="0" fontId="0" fillId="4" borderId="0" xfId="0" applyFill="1"/>
    <xf numFmtId="0" fontId="1" fillId="4" borderId="0" xfId="0" applyFont="1" applyFill="1" applyAlignment="1">
      <alignment horizontal="right"/>
    </xf>
    <xf numFmtId="0" fontId="1" fillId="4" borderId="0" xfId="0" applyFont="1" applyFill="1"/>
    <xf numFmtId="0" fontId="1" fillId="4" borderId="2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1" fillId="4" borderId="4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/>
    </xf>
    <xf numFmtId="0" fontId="4" fillId="4" borderId="4" xfId="0" applyFont="1" applyFill="1" applyBorder="1"/>
    <xf numFmtId="165" fontId="4" fillId="4" borderId="0" xfId="0" applyNumberFormat="1" applyFont="1" applyFill="1" applyBorder="1"/>
    <xf numFmtId="165" fontId="4" fillId="4" borderId="5" xfId="0" applyNumberFormat="1" applyFont="1" applyFill="1" applyBorder="1"/>
    <xf numFmtId="165" fontId="4" fillId="4" borderId="0" xfId="0" applyNumberFormat="1" applyFont="1" applyFill="1"/>
    <xf numFmtId="0" fontId="4" fillId="4" borderId="0" xfId="0" applyFont="1" applyFill="1"/>
    <xf numFmtId="165" fontId="4" fillId="4" borderId="8" xfId="0" applyNumberFormat="1" applyFont="1" applyFill="1" applyBorder="1"/>
    <xf numFmtId="166" fontId="4" fillId="4" borderId="0" xfId="0" applyNumberFormat="1" applyFont="1" applyFill="1"/>
    <xf numFmtId="0" fontId="0" fillId="4" borderId="4" xfId="0" applyFill="1" applyBorder="1"/>
    <xf numFmtId="165" fontId="3" fillId="4" borderId="0" xfId="0" applyNumberFormat="1" applyFont="1" applyFill="1" applyBorder="1"/>
    <xf numFmtId="165" fontId="0" fillId="4" borderId="4" xfId="0" applyNumberFormat="1" applyFill="1" applyBorder="1"/>
    <xf numFmtId="165" fontId="0" fillId="4" borderId="5" xfId="0" applyNumberFormat="1" applyFill="1" applyBorder="1"/>
    <xf numFmtId="165" fontId="0" fillId="4" borderId="0" xfId="0" applyNumberFormat="1" applyFill="1"/>
    <xf numFmtId="2" fontId="0" fillId="4" borderId="0" xfId="0" applyNumberFormat="1" applyFill="1"/>
    <xf numFmtId="165" fontId="0" fillId="4" borderId="0" xfId="0" applyNumberFormat="1" applyFill="1" applyBorder="1"/>
    <xf numFmtId="0" fontId="5" fillId="4" borderId="0" xfId="0" applyFont="1" applyFill="1"/>
    <xf numFmtId="0" fontId="2" fillId="4" borderId="0" xfId="1" applyFill="1" applyBorder="1"/>
    <xf numFmtId="0" fontId="3" fillId="4" borderId="4" xfId="1" applyFont="1" applyFill="1" applyBorder="1"/>
    <xf numFmtId="3" fontId="0" fillId="4" borderId="0" xfId="0" applyNumberFormat="1" applyFill="1"/>
    <xf numFmtId="0" fontId="0" fillId="4" borderId="6" xfId="0" applyFill="1" applyBorder="1"/>
    <xf numFmtId="165" fontId="0" fillId="4" borderId="12" xfId="0" applyNumberFormat="1" applyFill="1" applyBorder="1"/>
    <xf numFmtId="165" fontId="0" fillId="4" borderId="7" xfId="0" applyNumberFormat="1" applyFill="1" applyBorder="1"/>
    <xf numFmtId="164" fontId="0" fillId="4" borderId="0" xfId="0" applyNumberFormat="1" applyFill="1"/>
    <xf numFmtId="0" fontId="0" fillId="4" borderId="0" xfId="0" applyFill="1" applyBorder="1"/>
    <xf numFmtId="0" fontId="1" fillId="4" borderId="12" xfId="0" applyFont="1" applyFill="1" applyBorder="1"/>
    <xf numFmtId="0" fontId="1" fillId="2" borderId="0" xfId="0" applyFont="1" applyFill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0" fontId="6" fillId="0" borderId="9" xfId="0" applyFont="1" applyBorder="1"/>
    <xf numFmtId="0" fontId="6" fillId="0" borderId="0" xfId="0" applyFont="1" applyBorder="1"/>
    <xf numFmtId="165" fontId="7" fillId="0" borderId="0" xfId="0" applyNumberFormat="1" applyFont="1" applyBorder="1"/>
    <xf numFmtId="165" fontId="6" fillId="0" borderId="0" xfId="0" applyNumberFormat="1" applyFont="1" applyBorder="1"/>
    <xf numFmtId="165" fontId="6" fillId="0" borderId="0" xfId="0" applyNumberFormat="1" applyFont="1"/>
    <xf numFmtId="165" fontId="6" fillId="0" borderId="12" xfId="0" applyNumberFormat="1" applyFont="1" applyBorder="1"/>
    <xf numFmtId="0" fontId="8" fillId="0" borderId="0" xfId="0" applyFont="1"/>
    <xf numFmtId="165" fontId="8" fillId="0" borderId="0" xfId="0" applyNumberFormat="1" applyFont="1"/>
    <xf numFmtId="0" fontId="0" fillId="2" borderId="4" xfId="0" applyFill="1" applyBorder="1"/>
    <xf numFmtId="0" fontId="9" fillId="0" borderId="16" xfId="0" applyFont="1" applyBorder="1"/>
    <xf numFmtId="0" fontId="9" fillId="0" borderId="0" xfId="0" applyFont="1" applyBorder="1"/>
    <xf numFmtId="0" fontId="0" fillId="0" borderId="10" xfId="0" applyBorder="1"/>
    <xf numFmtId="0" fontId="0" fillId="0" borderId="17" xfId="0" applyBorder="1"/>
    <xf numFmtId="0" fontId="0" fillId="0" borderId="11" xfId="0" applyBorder="1"/>
    <xf numFmtId="165" fontId="0" fillId="0" borderId="11" xfId="0" applyNumberFormat="1" applyBorder="1"/>
    <xf numFmtId="0" fontId="0" fillId="0" borderId="18" xfId="0" applyBorder="1"/>
    <xf numFmtId="0" fontId="0" fillId="0" borderId="16" xfId="0" applyBorder="1"/>
    <xf numFmtId="0" fontId="0" fillId="0" borderId="0" xfId="0" applyBorder="1"/>
    <xf numFmtId="165" fontId="0" fillId="0" borderId="0" xfId="0" applyNumberFormat="1" applyBorder="1"/>
    <xf numFmtId="0" fontId="0" fillId="0" borderId="19" xfId="0" applyBorder="1"/>
    <xf numFmtId="0" fontId="0" fillId="0" borderId="20" xfId="0" applyBorder="1"/>
    <xf numFmtId="165" fontId="0" fillId="0" borderId="20" xfId="0" applyNumberFormat="1" applyBorder="1"/>
    <xf numFmtId="0" fontId="0" fillId="0" borderId="21" xfId="0" applyBorder="1"/>
    <xf numFmtId="0" fontId="9" fillId="0" borderId="22" xfId="0" applyFont="1" applyBorder="1"/>
    <xf numFmtId="0" fontId="9" fillId="0" borderId="12" xfId="0" applyFont="1" applyBorder="1"/>
    <xf numFmtId="0" fontId="0" fillId="0" borderId="23" xfId="0" applyBorder="1"/>
    <xf numFmtId="0" fontId="0" fillId="4" borderId="0" xfId="0" applyFill="1" applyBorder="1" applyAlignment="1">
      <alignment vertical="center"/>
    </xf>
    <xf numFmtId="0" fontId="0" fillId="4" borderId="0" xfId="0" applyFont="1" applyFill="1" applyBorder="1"/>
    <xf numFmtId="0" fontId="1" fillId="4" borderId="25" xfId="0" applyFont="1" applyFill="1" applyBorder="1"/>
    <xf numFmtId="0" fontId="3" fillId="4" borderId="0" xfId="1" applyFont="1" applyFill="1" applyBorder="1"/>
    <xf numFmtId="0" fontId="0" fillId="4" borderId="0" xfId="0" applyFill="1" applyAlignment="1">
      <alignment horizontal="left"/>
    </xf>
    <xf numFmtId="0" fontId="1" fillId="4" borderId="24" xfId="0" applyFont="1" applyFill="1" applyBorder="1"/>
    <xf numFmtId="165" fontId="1" fillId="4" borderId="25" xfId="0" applyNumberFormat="1" applyFont="1" applyFill="1" applyBorder="1"/>
    <xf numFmtId="165" fontId="1" fillId="4" borderId="24" xfId="0" applyNumberFormat="1" applyFont="1" applyFill="1" applyBorder="1"/>
    <xf numFmtId="165" fontId="1" fillId="4" borderId="26" xfId="0" applyNumberFormat="1" applyFont="1" applyFill="1" applyBorder="1"/>
    <xf numFmtId="2" fontId="1" fillId="4" borderId="26" xfId="0" applyNumberFormat="1" applyFont="1" applyFill="1" applyBorder="1"/>
    <xf numFmtId="3" fontId="1" fillId="4" borderId="25" xfId="0" applyNumberFormat="1" applyFont="1" applyFill="1" applyBorder="1"/>
    <xf numFmtId="165" fontId="1" fillId="4" borderId="0" xfId="0" applyNumberFormat="1" applyFont="1" applyFill="1"/>
    <xf numFmtId="0" fontId="10" fillId="5" borderId="0" xfId="0" applyFont="1" applyFill="1"/>
    <xf numFmtId="1" fontId="0" fillId="4" borderId="0" xfId="0" applyNumberFormat="1" applyFill="1"/>
    <xf numFmtId="167" fontId="0" fillId="4" borderId="0" xfId="0" applyNumberFormat="1" applyFill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165" fontId="0" fillId="0" borderId="0" xfId="0" applyNumberFormat="1" applyFont="1"/>
    <xf numFmtId="165" fontId="0" fillId="4" borderId="27" xfId="0" applyNumberFormat="1" applyFill="1" applyBorder="1"/>
    <xf numFmtId="165" fontId="11" fillId="0" borderId="4" xfId="0" applyNumberFormat="1" applyFont="1" applyFill="1" applyBorder="1"/>
    <xf numFmtId="165" fontId="6" fillId="2" borderId="0" xfId="0" applyNumberFormat="1" applyFont="1" applyFill="1" applyBorder="1"/>
    <xf numFmtId="0" fontId="0" fillId="0" borderId="0" xfId="0" applyFont="1" applyFill="1"/>
    <xf numFmtId="0" fontId="6" fillId="0" borderId="0" xfId="0" applyFont="1" applyFill="1"/>
    <xf numFmtId="0" fontId="1" fillId="0" borderId="9" xfId="0" applyFont="1" applyBorder="1" applyAlignment="1">
      <alignment horizontal="right"/>
    </xf>
    <xf numFmtId="0" fontId="1" fillId="0" borderId="9" xfId="0" applyFont="1" applyBorder="1"/>
    <xf numFmtId="0" fontId="0" fillId="0" borderId="9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/>
    <xf numFmtId="0" fontId="0" fillId="0" borderId="10" xfId="0" quotePrefix="1" applyBorder="1"/>
    <xf numFmtId="0" fontId="0" fillId="0" borderId="13" xfId="0" quotePrefix="1" applyBorder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536168</xdr:colOff>
      <xdr:row>5</xdr:row>
      <xdr:rowOff>9198</xdr:rowOff>
    </xdr:from>
    <xdr:to>
      <xdr:col>19</xdr:col>
      <xdr:colOff>205891</xdr:colOff>
      <xdr:row>12</xdr:row>
      <xdr:rowOff>27946</xdr:rowOff>
    </xdr:to>
    <xdr:sp macro="" textlink="">
      <xdr:nvSpPr>
        <xdr:cNvPr id="2" name="Arc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6634710">
          <a:off x="12615568" y="607573"/>
          <a:ext cx="1209373" cy="1155623"/>
        </a:xfrm>
        <a:prstGeom prst="arc">
          <a:avLst/>
        </a:prstGeom>
        <a:ln w="63500">
          <a:solidFill>
            <a:srgbClr val="FF000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619124</xdr:colOff>
      <xdr:row>4</xdr:row>
      <xdr:rowOff>28575</xdr:rowOff>
    </xdr:from>
    <xdr:to>
      <xdr:col>21</xdr:col>
      <xdr:colOff>200025</xdr:colOff>
      <xdr:row>5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334999" y="409575"/>
          <a:ext cx="1638301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Figure-of-Merit</a:t>
          </a:r>
          <a:r>
            <a:rPr lang="en-US" sz="1400" b="1" baseline="0">
              <a:solidFill>
                <a:srgbClr val="FF0000"/>
              </a:solidFill>
            </a:rPr>
            <a:t> #1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186547</xdr:colOff>
      <xdr:row>31</xdr:row>
      <xdr:rowOff>67057</xdr:rowOff>
    </xdr:from>
    <xdr:to>
      <xdr:col>10</xdr:col>
      <xdr:colOff>53198</xdr:colOff>
      <xdr:row>33</xdr:row>
      <xdr:rowOff>9906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255504" y="5964274"/>
          <a:ext cx="1931781" cy="3183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Figure-of-Merit</a:t>
          </a:r>
          <a:r>
            <a:rPr lang="en-US" sz="1400" b="1" baseline="0">
              <a:solidFill>
                <a:srgbClr val="FF0000"/>
              </a:solidFill>
            </a:rPr>
            <a:t> #2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177022</xdr:colOff>
      <xdr:row>24</xdr:row>
      <xdr:rowOff>48005</xdr:rowOff>
    </xdr:from>
    <xdr:to>
      <xdr:col>10</xdr:col>
      <xdr:colOff>713520</xdr:colOff>
      <xdr:row>32</xdr:row>
      <xdr:rowOff>47703</xdr:rowOff>
    </xdr:to>
    <xdr:sp macro="" textlink="">
      <xdr:nvSpPr>
        <xdr:cNvPr id="7" name="Arc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6300000">
          <a:off x="6464118" y="4749170"/>
          <a:ext cx="1523698" cy="1243281"/>
        </a:xfrm>
        <a:prstGeom prst="arc">
          <a:avLst/>
        </a:prstGeom>
        <a:ln w="63500">
          <a:solidFill>
            <a:srgbClr val="FF000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594810</xdr:colOff>
      <xdr:row>15</xdr:row>
      <xdr:rowOff>4738</xdr:rowOff>
    </xdr:from>
    <xdr:to>
      <xdr:col>19</xdr:col>
      <xdr:colOff>264533</xdr:colOff>
      <xdr:row>22</xdr:row>
      <xdr:rowOff>63676</xdr:rowOff>
    </xdr:to>
    <xdr:sp macro="" textlink="">
      <xdr:nvSpPr>
        <xdr:cNvPr id="8" name="Arc 7">
          <a:extLst>
            <a:ext uri="{FF2B5EF4-FFF2-40B4-BE49-F238E27FC236}">
              <a16:creationId xmlns:a16="http://schemas.microsoft.com/office/drawing/2014/main" id="{5105C527-680F-3446-81B3-E4FCA69B735F}"/>
            </a:ext>
          </a:extLst>
        </xdr:cNvPr>
        <xdr:cNvSpPr/>
      </xdr:nvSpPr>
      <xdr:spPr>
        <a:xfrm rot="16634710">
          <a:off x="14506848" y="2586624"/>
          <a:ext cx="1409318" cy="1341622"/>
        </a:xfrm>
        <a:prstGeom prst="arc">
          <a:avLst/>
        </a:prstGeom>
        <a:ln w="63500">
          <a:solidFill>
            <a:srgbClr val="FF000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677766</xdr:colOff>
      <xdr:row>14</xdr:row>
      <xdr:rowOff>24115</xdr:rowOff>
    </xdr:from>
    <xdr:to>
      <xdr:col>20</xdr:col>
      <xdr:colOff>892215</xdr:colOff>
      <xdr:row>15</xdr:row>
      <xdr:rowOff>157465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6247B5F-ED67-FF4E-88CF-39BB1A91A5AB}"/>
            </a:ext>
          </a:extLst>
        </xdr:cNvPr>
        <xdr:cNvSpPr txBox="1"/>
      </xdr:nvSpPr>
      <xdr:spPr>
        <a:xfrm>
          <a:off x="15298842" y="2379242"/>
          <a:ext cx="1588943" cy="3262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Figure-of-Merit</a:t>
          </a:r>
          <a:r>
            <a:rPr lang="en-US" sz="1400" b="1" baseline="0">
              <a:solidFill>
                <a:srgbClr val="FF0000"/>
              </a:solidFill>
            </a:rPr>
            <a:t> #3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7"/>
  <sheetViews>
    <sheetView zoomScale="160" zoomScaleNormal="85" workbookViewId="0">
      <selection activeCell="E12" sqref="E12"/>
    </sheetView>
  </sheetViews>
  <sheetFormatPr baseColWidth="10" defaultColWidth="8.83203125" defaultRowHeight="15" x14ac:dyDescent="0.2"/>
  <cols>
    <col min="1" max="1" width="11.6640625" bestFit="1" customWidth="1"/>
    <col min="2" max="2" width="15.6640625" bestFit="1" customWidth="1"/>
    <col min="3" max="3" width="22.33203125" customWidth="1"/>
    <col min="4" max="4" width="5.33203125" customWidth="1"/>
    <col min="5" max="5" width="5.6640625" bestFit="1" customWidth="1"/>
    <col min="6" max="6" width="7.33203125" customWidth="1"/>
    <col min="7" max="7" width="7.1640625" customWidth="1"/>
    <col min="8" max="8" width="8.83203125" customWidth="1"/>
    <col min="9" max="9" width="1.83203125" customWidth="1"/>
    <col min="10" max="10" width="9.33203125" bestFit="1" customWidth="1"/>
    <col min="11" max="11" width="11.83203125" bestFit="1" customWidth="1"/>
    <col min="12" max="12" width="3.6640625" customWidth="1"/>
    <col min="14" max="14" width="11.5" bestFit="1" customWidth="1"/>
    <col min="15" max="16" width="10" bestFit="1" customWidth="1"/>
    <col min="18" max="18" width="10.1640625" bestFit="1" customWidth="1"/>
    <col min="19" max="19" width="3" customWidth="1"/>
    <col min="20" max="20" width="5" bestFit="1" customWidth="1"/>
    <col min="21" max="21" width="12.6640625" bestFit="1" customWidth="1"/>
    <col min="22" max="22" width="17.5" bestFit="1" customWidth="1"/>
    <col min="23" max="23" width="7.1640625" bestFit="1" customWidth="1"/>
    <col min="24" max="26" width="7.1640625" customWidth="1"/>
  </cols>
  <sheetData>
    <row r="1" spans="1:27" x14ac:dyDescent="0.2">
      <c r="A1" s="3"/>
      <c r="B1" s="3"/>
      <c r="C1" s="3"/>
      <c r="D1" s="3"/>
      <c r="E1" s="3"/>
      <c r="F1" s="3"/>
      <c r="G1" s="4" t="s">
        <v>21</v>
      </c>
      <c r="H1" s="80">
        <v>915000000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3" t="s">
        <v>0</v>
      </c>
      <c r="B2" s="3"/>
      <c r="D2" s="3"/>
      <c r="E2" s="3"/>
      <c r="F2" s="3"/>
      <c r="G2" s="4" t="s">
        <v>68</v>
      </c>
      <c r="H2" s="80">
        <v>35000000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3"/>
      <c r="B3" s="3"/>
      <c r="C3" s="3"/>
      <c r="D3" s="3"/>
      <c r="E3" s="3"/>
      <c r="F3" s="3"/>
      <c r="G3" s="4" t="s">
        <v>79</v>
      </c>
      <c r="H3" s="80">
        <f>125000000/4096</f>
        <v>30517.578125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3"/>
      <c r="B4" s="3"/>
      <c r="C4" s="3"/>
      <c r="D4" s="3"/>
      <c r="E4" s="3"/>
      <c r="F4" s="3"/>
      <c r="G4" s="4" t="s">
        <v>80</v>
      </c>
      <c r="H4" s="79">
        <f>-174+10*LOG10(H3)</f>
        <v>-129.15449934959719</v>
      </c>
      <c r="I4" s="3" t="s">
        <v>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5" t="s">
        <v>73</v>
      </c>
      <c r="B7" s="5" t="s">
        <v>25</v>
      </c>
      <c r="C7" s="5" t="s">
        <v>1</v>
      </c>
      <c r="D7" s="5"/>
      <c r="E7" s="6" t="s">
        <v>2</v>
      </c>
      <c r="F7" s="7" t="s">
        <v>2</v>
      </c>
      <c r="G7" s="6" t="s">
        <v>15</v>
      </c>
      <c r="H7" s="8" t="s">
        <v>13</v>
      </c>
      <c r="I7" s="9"/>
      <c r="J7" s="4" t="s">
        <v>14</v>
      </c>
      <c r="K7" s="4" t="s">
        <v>16</v>
      </c>
      <c r="L7" s="4"/>
      <c r="M7" s="4" t="s">
        <v>12</v>
      </c>
      <c r="N7" s="4" t="s">
        <v>12</v>
      </c>
      <c r="O7" s="4" t="s">
        <v>10</v>
      </c>
      <c r="P7" s="4" t="s">
        <v>11</v>
      </c>
      <c r="Q7" s="4" t="s">
        <v>6</v>
      </c>
      <c r="R7" s="4" t="s">
        <v>6</v>
      </c>
      <c r="S7" s="9"/>
      <c r="T7" s="4" t="s">
        <v>19</v>
      </c>
      <c r="U7" s="4" t="s">
        <v>20</v>
      </c>
      <c r="V7" s="4" t="s">
        <v>8</v>
      </c>
      <c r="W7" s="4" t="s">
        <v>29</v>
      </c>
      <c r="X7" s="4"/>
      <c r="Y7" s="4"/>
      <c r="Z7" s="4"/>
      <c r="AA7" s="3"/>
    </row>
    <row r="8" spans="1:27" ht="16" thickBot="1" x14ac:dyDescent="0.25">
      <c r="A8" s="3"/>
      <c r="B8" s="3"/>
      <c r="C8" s="5"/>
      <c r="D8" s="5"/>
      <c r="E8" s="10" t="s">
        <v>3</v>
      </c>
      <c r="F8" s="11" t="s">
        <v>7</v>
      </c>
      <c r="G8" s="10" t="s">
        <v>3</v>
      </c>
      <c r="H8" s="12"/>
      <c r="I8" s="9"/>
      <c r="J8" s="4"/>
      <c r="K8" s="4" t="s">
        <v>3</v>
      </c>
      <c r="L8" s="4"/>
      <c r="M8" s="4" t="s">
        <v>3</v>
      </c>
      <c r="N8" s="4" t="s">
        <v>7</v>
      </c>
      <c r="O8" s="4" t="s">
        <v>4</v>
      </c>
      <c r="P8" s="4" t="s">
        <v>4</v>
      </c>
      <c r="Q8" s="4" t="s">
        <v>4</v>
      </c>
      <c r="R8" s="4" t="s">
        <v>5</v>
      </c>
      <c r="S8" s="9"/>
      <c r="T8" s="4" t="s">
        <v>4</v>
      </c>
      <c r="U8" s="4" t="s">
        <v>4</v>
      </c>
      <c r="V8" s="4" t="s">
        <v>18</v>
      </c>
      <c r="W8" s="3"/>
      <c r="X8" s="3"/>
      <c r="Y8" s="3"/>
      <c r="Z8" s="3"/>
      <c r="AA8" s="3"/>
    </row>
    <row r="9" spans="1:27" ht="17" thickTop="1" thickBot="1" x14ac:dyDescent="0.25">
      <c r="A9" s="3" t="s">
        <v>74</v>
      </c>
      <c r="B9" s="3"/>
      <c r="C9" s="3" t="s">
        <v>60</v>
      </c>
      <c r="D9" s="3"/>
      <c r="E9" s="13">
        <v>0</v>
      </c>
      <c r="F9" s="14">
        <f>10^(E9/10)</f>
        <v>1</v>
      </c>
      <c r="G9" s="13">
        <v>0</v>
      </c>
      <c r="H9" s="15">
        <f>10^(G9/10)</f>
        <v>1</v>
      </c>
      <c r="I9" s="3"/>
      <c r="J9" s="16">
        <f>H9</f>
        <v>1</v>
      </c>
      <c r="K9" s="16">
        <f t="shared" ref="K9:K10" si="0">10*LOG10(J9)</f>
        <v>0</v>
      </c>
      <c r="L9" s="16"/>
      <c r="M9" s="17">
        <v>0</v>
      </c>
      <c r="N9" s="16">
        <f>F9</f>
        <v>1</v>
      </c>
      <c r="O9" s="17"/>
      <c r="P9" s="17"/>
      <c r="Q9" s="18">
        <f>Q10-E9</f>
        <v>-42.67</v>
      </c>
      <c r="R9" s="19">
        <f t="shared" ref="R9:R28" si="1">10^((Q9-30)/10)*1000000</f>
        <v>5.4075432294557912E-2</v>
      </c>
      <c r="S9" s="3"/>
      <c r="T9" s="3"/>
      <c r="U9" s="3"/>
      <c r="V9" s="3"/>
      <c r="W9" s="3"/>
      <c r="X9" s="3"/>
      <c r="Y9" s="3"/>
      <c r="Z9" s="3"/>
      <c r="AA9" s="3"/>
    </row>
    <row r="10" spans="1:27" ht="16" thickTop="1" x14ac:dyDescent="0.2">
      <c r="A10" s="3" t="s">
        <v>69</v>
      </c>
      <c r="B10" s="3"/>
      <c r="C10" s="35" t="s">
        <v>75</v>
      </c>
      <c r="D10" s="3"/>
      <c r="E10" s="20">
        <v>0</v>
      </c>
      <c r="F10" s="21">
        <f>10^(E10/10)</f>
        <v>1</v>
      </c>
      <c r="G10" s="22">
        <f>ABS(E10)</f>
        <v>0</v>
      </c>
      <c r="H10" s="23">
        <f t="shared" ref="H10:H29" si="2">10^(G10/10)</f>
        <v>1</v>
      </c>
      <c r="I10" s="3"/>
      <c r="J10" s="24">
        <f>J9+((H10-1)/N9)</f>
        <v>1</v>
      </c>
      <c r="K10" s="24">
        <f t="shared" si="0"/>
        <v>0</v>
      </c>
      <c r="L10" s="24"/>
      <c r="M10" s="3">
        <f>E10+M9</f>
        <v>0</v>
      </c>
      <c r="N10" s="24">
        <f>N9*F10</f>
        <v>1</v>
      </c>
      <c r="O10" s="3"/>
      <c r="P10" s="3"/>
      <c r="Q10" s="24">
        <f t="shared" ref="Q10:Q27" si="3">Q11-E10</f>
        <v>-42.67</v>
      </c>
      <c r="R10" s="30">
        <f t="shared" si="1"/>
        <v>5.4075432294557912E-2</v>
      </c>
      <c r="S10" s="3"/>
      <c r="T10" s="3"/>
      <c r="U10" s="3"/>
      <c r="V10" s="25">
        <f>K10-K9</f>
        <v>0</v>
      </c>
      <c r="W10" s="3"/>
      <c r="X10" s="3"/>
      <c r="Y10" s="3"/>
      <c r="Z10" s="3"/>
      <c r="AA10" s="3"/>
    </row>
    <row r="11" spans="1:27" x14ac:dyDescent="0.2">
      <c r="A11" s="3" t="s">
        <v>69</v>
      </c>
      <c r="B11" s="3"/>
      <c r="C11" s="35" t="s">
        <v>116</v>
      </c>
      <c r="D11" s="3"/>
      <c r="E11" s="20">
        <v>-1</v>
      </c>
      <c r="F11" s="21">
        <f t="shared" ref="F11:F12" si="4">10^(E11/10)</f>
        <v>0.79432823472428149</v>
      </c>
      <c r="G11" s="22">
        <f t="shared" ref="G11:G12" si="5">ABS(E11)</f>
        <v>1</v>
      </c>
      <c r="H11" s="23">
        <f t="shared" ref="H11:H12" si="6">10^(G11/10)</f>
        <v>1.2589254117941673</v>
      </c>
      <c r="I11" s="3"/>
      <c r="J11" s="24">
        <f t="shared" ref="J11:J12" si="7">J10+((H11-1)/N10)</f>
        <v>1.2589254117941673</v>
      </c>
      <c r="K11" s="24">
        <f t="shared" ref="K11:K12" si="8">10*LOG10(J11)</f>
        <v>1.0000000000000002</v>
      </c>
      <c r="L11" s="24"/>
      <c r="M11" s="3">
        <f t="shared" ref="M11:M12" si="9">E11+M10</f>
        <v>-1</v>
      </c>
      <c r="N11" s="24">
        <f t="shared" ref="N11:N12" si="10">N10*F11</f>
        <v>0.79432823472428149</v>
      </c>
      <c r="O11" s="3"/>
      <c r="P11" s="3"/>
      <c r="Q11" s="24">
        <f t="shared" si="3"/>
        <v>-42.67</v>
      </c>
      <c r="R11" s="30">
        <f t="shared" si="1"/>
        <v>5.4075432294557912E-2</v>
      </c>
      <c r="S11" s="3"/>
      <c r="T11" s="3"/>
      <c r="U11" s="3"/>
      <c r="V11" s="25">
        <f t="shared" ref="V11:V14" si="11">K11-K10</f>
        <v>1.0000000000000002</v>
      </c>
      <c r="W11" s="3"/>
      <c r="X11" s="3"/>
      <c r="Y11" s="3"/>
      <c r="Z11" s="3"/>
      <c r="AA11" s="3"/>
    </row>
    <row r="12" spans="1:27" x14ac:dyDescent="0.2">
      <c r="A12" s="3" t="s">
        <v>69</v>
      </c>
      <c r="B12" s="70">
        <v>132136</v>
      </c>
      <c r="C12" s="35" t="s">
        <v>76</v>
      </c>
      <c r="D12" s="3"/>
      <c r="E12" s="20">
        <v>0</v>
      </c>
      <c r="F12" s="21">
        <f t="shared" si="4"/>
        <v>1</v>
      </c>
      <c r="G12" s="22">
        <f t="shared" si="5"/>
        <v>0</v>
      </c>
      <c r="H12" s="23">
        <f t="shared" si="6"/>
        <v>1</v>
      </c>
      <c r="I12" s="3"/>
      <c r="J12" s="24">
        <f t="shared" si="7"/>
        <v>1.2589254117941673</v>
      </c>
      <c r="K12" s="24">
        <f t="shared" si="8"/>
        <v>1.0000000000000002</v>
      </c>
      <c r="L12" s="24"/>
      <c r="M12" s="3">
        <f t="shared" si="9"/>
        <v>-1</v>
      </c>
      <c r="N12" s="24">
        <f t="shared" si="10"/>
        <v>0.79432823472428149</v>
      </c>
      <c r="O12" s="3"/>
      <c r="P12" s="3"/>
      <c r="Q12" s="24">
        <f t="shared" si="3"/>
        <v>-43.67</v>
      </c>
      <c r="R12" s="30">
        <f t="shared" si="1"/>
        <v>4.2953642676488643E-2</v>
      </c>
      <c r="S12" s="3"/>
      <c r="T12" s="3"/>
      <c r="U12" s="3"/>
      <c r="V12" s="25">
        <f t="shared" si="11"/>
        <v>0</v>
      </c>
      <c r="W12" s="3"/>
      <c r="X12" s="3"/>
      <c r="Y12" s="3"/>
      <c r="Z12" s="3"/>
      <c r="AA12" s="3"/>
    </row>
    <row r="13" spans="1:27" x14ac:dyDescent="0.2">
      <c r="A13" s="3" t="s">
        <v>69</v>
      </c>
      <c r="B13" s="3" t="s">
        <v>39</v>
      </c>
      <c r="C13" s="67" t="s">
        <v>77</v>
      </c>
      <c r="D13" s="3"/>
      <c r="E13" s="20">
        <v>-0.3</v>
      </c>
      <c r="F13" s="26">
        <f t="shared" ref="F13:F29" si="12">10^(E13/10)</f>
        <v>0.93325430079699101</v>
      </c>
      <c r="G13" s="22">
        <f>ABS(E13)</f>
        <v>0.3</v>
      </c>
      <c r="H13" s="23">
        <f t="shared" si="2"/>
        <v>1.0715193052376064</v>
      </c>
      <c r="I13" s="3"/>
      <c r="J13" s="24">
        <f t="shared" ref="J13:J27" si="13">J12+((H13-1)/N12)</f>
        <v>1.3489628825916538</v>
      </c>
      <c r="K13" s="24">
        <f t="shared" ref="K13:K27" si="14">10*LOG10(J13)</f>
        <v>1.3000000000000007</v>
      </c>
      <c r="L13" s="24"/>
      <c r="M13" s="3">
        <f t="shared" ref="M13:M27" si="15">E13+M12</f>
        <v>-1.3</v>
      </c>
      <c r="N13" s="24">
        <f t="shared" ref="N13:N27" si="16">N12*F13</f>
        <v>0.74131024130091749</v>
      </c>
      <c r="O13" s="3"/>
      <c r="P13" s="3"/>
      <c r="Q13" s="24">
        <f t="shared" si="3"/>
        <v>-43.67</v>
      </c>
      <c r="R13" s="30">
        <f t="shared" si="1"/>
        <v>4.2953642676488643E-2</v>
      </c>
      <c r="S13" s="3"/>
      <c r="T13" s="3"/>
      <c r="U13" s="3"/>
      <c r="V13" s="25">
        <f t="shared" si="11"/>
        <v>0.30000000000000049</v>
      </c>
      <c r="W13" s="3"/>
      <c r="X13" s="3"/>
      <c r="Y13" s="3"/>
      <c r="Z13" s="3"/>
      <c r="AA13" s="3"/>
    </row>
    <row r="14" spans="1:27" x14ac:dyDescent="0.2">
      <c r="A14" s="78" t="s">
        <v>69</v>
      </c>
      <c r="B14" t="s">
        <v>67</v>
      </c>
      <c r="C14" s="67" t="s">
        <v>17</v>
      </c>
      <c r="D14" s="5"/>
      <c r="E14" s="20">
        <v>20.5</v>
      </c>
      <c r="F14" s="26">
        <f t="shared" si="12"/>
        <v>112.20184543019634</v>
      </c>
      <c r="G14" s="22">
        <v>0.23</v>
      </c>
      <c r="H14" s="23">
        <f t="shared" si="2"/>
        <v>1.0543868963912588</v>
      </c>
      <c r="I14" s="3"/>
      <c r="J14" s="24">
        <f t="shared" si="13"/>
        <v>1.4223287871228198</v>
      </c>
      <c r="K14" s="24">
        <f t="shared" si="14"/>
        <v>1.5300000000000002</v>
      </c>
      <c r="L14" s="24"/>
      <c r="M14" s="3">
        <f t="shared" si="15"/>
        <v>19.2</v>
      </c>
      <c r="N14" s="24">
        <f t="shared" si="16"/>
        <v>83.176377110267097</v>
      </c>
      <c r="O14" s="3"/>
      <c r="P14" s="3"/>
      <c r="Q14" s="24">
        <f t="shared" si="3"/>
        <v>-43.97</v>
      </c>
      <c r="R14" s="30">
        <f t="shared" si="1"/>
        <v>4.008667176273021E-2</v>
      </c>
      <c r="S14" s="3"/>
      <c r="T14" s="3"/>
      <c r="U14" s="3"/>
      <c r="V14" s="25">
        <f t="shared" si="11"/>
        <v>0.22999999999999954</v>
      </c>
      <c r="W14" s="3"/>
      <c r="X14" s="3"/>
      <c r="Y14" s="3"/>
      <c r="Z14" s="3"/>
      <c r="AA14" s="3"/>
    </row>
    <row r="15" spans="1:27" x14ac:dyDescent="0.2">
      <c r="A15" s="78" t="s">
        <v>69</v>
      </c>
      <c r="B15" s="3" t="s">
        <v>26</v>
      </c>
      <c r="C15" s="67" t="s">
        <v>78</v>
      </c>
      <c r="D15" s="3"/>
      <c r="E15" s="20">
        <v>-2</v>
      </c>
      <c r="F15" s="26">
        <f t="shared" ref="F15" si="17">10^(E15/10)</f>
        <v>0.63095734448019325</v>
      </c>
      <c r="G15" s="22">
        <f>ABS(E15)</f>
        <v>2</v>
      </c>
      <c r="H15" s="23">
        <f t="shared" ref="H15" si="18">10^(G15/10)</f>
        <v>1.5848931924611136</v>
      </c>
      <c r="I15" s="3"/>
      <c r="J15" s="24">
        <f t="shared" si="13"/>
        <v>1.4293607499562782</v>
      </c>
      <c r="K15" s="24">
        <f t="shared" si="14"/>
        <v>1.5514185226392949</v>
      </c>
      <c r="L15" s="24"/>
      <c r="M15" s="3">
        <f t="shared" si="15"/>
        <v>17.2</v>
      </c>
      <c r="N15" s="24">
        <f t="shared" si="16"/>
        <v>52.480746024977257</v>
      </c>
      <c r="O15" s="3"/>
      <c r="P15" s="3"/>
      <c r="Q15" s="24">
        <f t="shared" si="3"/>
        <v>-23.47</v>
      </c>
      <c r="R15" s="30">
        <f t="shared" si="1"/>
        <v>4.4977985489328782</v>
      </c>
      <c r="S15" s="3"/>
      <c r="T15" s="3"/>
      <c r="U15" s="3"/>
      <c r="V15" s="25">
        <f t="shared" ref="V15:V20" si="19">K15-K14</f>
        <v>2.1418522639294668E-2</v>
      </c>
      <c r="W15" s="3"/>
      <c r="X15" s="3"/>
      <c r="Y15" s="3"/>
      <c r="Z15" s="3"/>
      <c r="AA15" s="3"/>
    </row>
    <row r="16" spans="1:27" x14ac:dyDescent="0.2">
      <c r="A16" s="78" t="s">
        <v>69</v>
      </c>
      <c r="B16" s="3" t="s">
        <v>27</v>
      </c>
      <c r="C16" s="67" t="s">
        <v>33</v>
      </c>
      <c r="D16" s="5"/>
      <c r="E16" s="48">
        <v>-0.5</v>
      </c>
      <c r="F16" s="26">
        <f t="shared" si="12"/>
        <v>0.89125093813374545</v>
      </c>
      <c r="G16" s="22">
        <f>ABS(E16)</f>
        <v>0.5</v>
      </c>
      <c r="H16" s="23">
        <f t="shared" si="2"/>
        <v>1.1220184543019636</v>
      </c>
      <c r="I16" s="3"/>
      <c r="J16" s="24">
        <f t="shared" si="13"/>
        <v>1.431685763671668</v>
      </c>
      <c r="K16" s="24">
        <f t="shared" si="14"/>
        <v>1.5584770646406789</v>
      </c>
      <c r="L16" s="24"/>
      <c r="M16" s="3">
        <f t="shared" si="15"/>
        <v>16.7</v>
      </c>
      <c r="N16" s="24">
        <f t="shared" si="16"/>
        <v>46.77351412871981</v>
      </c>
      <c r="O16" s="3"/>
      <c r="P16" s="3"/>
      <c r="Q16" s="24">
        <f t="shared" si="3"/>
        <v>-25.47</v>
      </c>
      <c r="R16" s="30">
        <f t="shared" si="1"/>
        <v>2.8379190284415561</v>
      </c>
      <c r="S16" s="3"/>
      <c r="T16" s="3"/>
      <c r="U16" s="3"/>
      <c r="V16" s="25">
        <f t="shared" si="19"/>
        <v>7.058542001384005E-3</v>
      </c>
      <c r="W16" s="3"/>
      <c r="X16" s="3"/>
      <c r="Y16" s="3"/>
      <c r="Z16" s="3"/>
      <c r="AA16" s="3"/>
    </row>
    <row r="17" spans="1:27" x14ac:dyDescent="0.2">
      <c r="A17" s="78" t="s">
        <v>69</v>
      </c>
      <c r="B17" s="3" t="s">
        <v>26</v>
      </c>
      <c r="C17" s="67" t="s">
        <v>78</v>
      </c>
      <c r="D17" s="3"/>
      <c r="E17" s="20">
        <v>-2</v>
      </c>
      <c r="F17" s="26">
        <f t="shared" ref="F17" si="20">10^(E17/10)</f>
        <v>0.63095734448019325</v>
      </c>
      <c r="G17" s="22">
        <f>ABS(E17)</f>
        <v>2</v>
      </c>
      <c r="H17" s="23">
        <f t="shared" ref="H17" si="21">10^(G17/10)</f>
        <v>1.5848931924611136</v>
      </c>
      <c r="I17" s="3"/>
      <c r="J17" s="24">
        <f t="shared" si="13"/>
        <v>1.4441905583905659</v>
      </c>
      <c r="K17" s="24">
        <f t="shared" si="14"/>
        <v>1.5962450140352813</v>
      </c>
      <c r="L17" s="24"/>
      <c r="M17" s="3">
        <f t="shared" si="15"/>
        <v>14.7</v>
      </c>
      <c r="N17" s="24">
        <f t="shared" si="16"/>
        <v>29.512092266663853</v>
      </c>
      <c r="O17" s="3"/>
      <c r="P17" s="3"/>
      <c r="Q17" s="24">
        <f t="shared" si="3"/>
        <v>-25.97</v>
      </c>
      <c r="R17" s="30">
        <f t="shared" si="1"/>
        <v>2.5292979964461457</v>
      </c>
      <c r="S17" s="3"/>
      <c r="T17" s="3"/>
      <c r="U17" s="3"/>
      <c r="V17" s="25">
        <f t="shared" si="19"/>
        <v>3.7767949394602374E-2</v>
      </c>
      <c r="W17" s="3"/>
      <c r="X17" s="3"/>
      <c r="Y17" s="3"/>
      <c r="Z17" s="3"/>
      <c r="AA17" s="3"/>
    </row>
    <row r="18" spans="1:27" x14ac:dyDescent="0.2">
      <c r="A18" s="78" t="s">
        <v>69</v>
      </c>
      <c r="B18" t="s">
        <v>67</v>
      </c>
      <c r="C18" s="67" t="s">
        <v>17</v>
      </c>
      <c r="D18" s="5"/>
      <c r="E18" s="20">
        <v>20.5</v>
      </c>
      <c r="F18" s="26">
        <f t="shared" ref="F18" si="22">10^(E18/10)</f>
        <v>112.20184543019634</v>
      </c>
      <c r="G18" s="22">
        <v>0.23</v>
      </c>
      <c r="H18" s="23">
        <f t="shared" ref="H18" si="23">10^(G18/10)</f>
        <v>1.0543868963912588</v>
      </c>
      <c r="I18" s="3"/>
      <c r="J18" s="24">
        <f t="shared" si="13"/>
        <v>1.4460334265918384</v>
      </c>
      <c r="K18" s="24">
        <f t="shared" si="14"/>
        <v>1.6017833225076323</v>
      </c>
      <c r="L18" s="24"/>
      <c r="M18" s="3">
        <f t="shared" si="15"/>
        <v>35.200000000000003</v>
      </c>
      <c r="N18" s="24">
        <f t="shared" si="16"/>
        <v>3311.3112148259106</v>
      </c>
      <c r="O18" s="3"/>
      <c r="P18" s="3"/>
      <c r="Q18" s="24">
        <f t="shared" si="3"/>
        <v>-27.97</v>
      </c>
      <c r="R18" s="30">
        <f t="shared" si="1"/>
        <v>1.5958791472367311</v>
      </c>
      <c r="S18" s="3"/>
      <c r="T18" s="3"/>
      <c r="U18" s="3"/>
      <c r="V18" s="25">
        <f t="shared" si="19"/>
        <v>5.538308472351039E-3</v>
      </c>
      <c r="W18" s="3"/>
      <c r="X18" s="3"/>
      <c r="Y18" s="3"/>
      <c r="Z18" s="3"/>
      <c r="AA18" s="3"/>
    </row>
    <row r="19" spans="1:27" x14ac:dyDescent="0.2">
      <c r="A19" s="78" t="s">
        <v>69</v>
      </c>
      <c r="B19" s="71" t="s">
        <v>30</v>
      </c>
      <c r="C19" s="68" t="s">
        <v>31</v>
      </c>
      <c r="D19" s="68"/>
      <c r="E19" s="71">
        <v>-7</v>
      </c>
      <c r="F19" s="72">
        <f t="shared" si="12"/>
        <v>0.19952623149688795</v>
      </c>
      <c r="G19" s="73">
        <v>7</v>
      </c>
      <c r="H19" s="74">
        <f t="shared" si="2"/>
        <v>5.0118723362727229</v>
      </c>
      <c r="I19" s="68"/>
      <c r="J19" s="72">
        <f t="shared" si="13"/>
        <v>1.4472449926682345</v>
      </c>
      <c r="K19" s="72">
        <f t="shared" si="14"/>
        <v>1.6054205562331727</v>
      </c>
      <c r="L19" s="72"/>
      <c r="M19" s="68">
        <f t="shared" si="15"/>
        <v>28.200000000000003</v>
      </c>
      <c r="N19" s="72">
        <f t="shared" si="16"/>
        <v>660.69344800759586</v>
      </c>
      <c r="O19" s="68">
        <v>0</v>
      </c>
      <c r="P19" s="68">
        <v>-10</v>
      </c>
      <c r="Q19" s="72">
        <f t="shared" si="3"/>
        <v>-7.4700000000000006</v>
      </c>
      <c r="R19" s="76">
        <f t="shared" si="1"/>
        <v>179.06058540352925</v>
      </c>
      <c r="S19" s="68"/>
      <c r="T19" s="68">
        <v>36</v>
      </c>
      <c r="U19" s="68">
        <f>Q19 - (T19-Q19)*3</f>
        <v>-137.88</v>
      </c>
      <c r="V19" s="75">
        <f t="shared" si="19"/>
        <v>3.6372337255403675E-3</v>
      </c>
      <c r="W19" s="27" t="s">
        <v>9</v>
      </c>
      <c r="X19" s="27"/>
      <c r="Y19" s="27"/>
      <c r="Z19" s="27"/>
      <c r="AA19" s="3"/>
    </row>
    <row r="20" spans="1:27" x14ac:dyDescent="0.2">
      <c r="A20" s="78" t="s">
        <v>70</v>
      </c>
      <c r="B20" s="3" t="s">
        <v>24</v>
      </c>
      <c r="C20" s="35" t="s">
        <v>23</v>
      </c>
      <c r="D20" s="3"/>
      <c r="E20" s="1">
        <v>-1.4</v>
      </c>
      <c r="F20" s="26">
        <f t="shared" si="12"/>
        <v>0.72443596007499012</v>
      </c>
      <c r="G20" s="22">
        <f>ABS(E20)</f>
        <v>1.4</v>
      </c>
      <c r="H20" s="23">
        <f t="shared" si="2"/>
        <v>1.3803842646028848</v>
      </c>
      <c r="I20" s="3"/>
      <c r="J20" s="24">
        <f t="shared" si="13"/>
        <v>1.4478207275506523</v>
      </c>
      <c r="K20" s="24">
        <f t="shared" si="14"/>
        <v>1.607147898614544</v>
      </c>
      <c r="L20" s="24"/>
      <c r="M20" s="3">
        <f t="shared" si="15"/>
        <v>26.800000000000004</v>
      </c>
      <c r="N20" s="24">
        <f t="shared" si="16"/>
        <v>478.63009232263829</v>
      </c>
      <c r="O20" s="3"/>
      <c r="P20" s="3"/>
      <c r="Q20" s="24">
        <f t="shared" si="3"/>
        <v>-14.47</v>
      </c>
      <c r="R20" s="30">
        <f t="shared" si="1"/>
        <v>35.727283815192834</v>
      </c>
      <c r="S20" s="3"/>
      <c r="T20" s="3"/>
      <c r="U20" s="3"/>
      <c r="V20" s="25">
        <f t="shared" si="19"/>
        <v>1.7273423813712885E-3</v>
      </c>
      <c r="W20" s="3"/>
      <c r="X20" s="3"/>
      <c r="Y20" s="3"/>
      <c r="Z20" s="3"/>
      <c r="AA20" s="3"/>
    </row>
    <row r="21" spans="1:27" x14ac:dyDescent="0.2">
      <c r="A21" s="3" t="s">
        <v>71</v>
      </c>
      <c r="B21" s="3" t="s">
        <v>93</v>
      </c>
      <c r="C21" s="35" t="s">
        <v>92</v>
      </c>
      <c r="D21" s="3"/>
      <c r="E21" s="1">
        <v>-3</v>
      </c>
      <c r="F21" s="26">
        <f t="shared" si="12"/>
        <v>0.50118723362727224</v>
      </c>
      <c r="G21" s="22">
        <f>ABS(E21)</f>
        <v>3</v>
      </c>
      <c r="H21" s="23">
        <f t="shared" ref="H21" si="24">10^(G21/10)</f>
        <v>1.9952623149688797</v>
      </c>
      <c r="I21" s="3"/>
      <c r="J21" s="24">
        <f t="shared" si="13"/>
        <v>1.4499001252545016</v>
      </c>
      <c r="K21" s="24">
        <f t="shared" si="14"/>
        <v>1.6133808737653488</v>
      </c>
      <c r="L21" s="24"/>
      <c r="M21" s="24">
        <f t="shared" si="15"/>
        <v>23.800000000000004</v>
      </c>
      <c r="N21" s="24">
        <f t="shared" si="16"/>
        <v>239.88329190194901</v>
      </c>
      <c r="O21" s="3"/>
      <c r="P21" s="3"/>
      <c r="Q21" s="24">
        <f t="shared" si="3"/>
        <v>-15.870000000000001</v>
      </c>
      <c r="R21" s="30">
        <f t="shared" si="1"/>
        <v>25.882129151530865</v>
      </c>
      <c r="S21" s="3"/>
      <c r="T21" s="3"/>
      <c r="U21" s="3"/>
      <c r="V21" s="25">
        <f t="shared" ref="V21" si="25">K21-K20</f>
        <v>6.232975150804787E-3</v>
      </c>
      <c r="W21" s="3"/>
      <c r="X21" s="3"/>
      <c r="Y21" s="3"/>
      <c r="Z21" s="3"/>
      <c r="AA21" s="3"/>
    </row>
    <row r="22" spans="1:27" x14ac:dyDescent="0.2">
      <c r="A22" s="3" t="s">
        <v>72</v>
      </c>
      <c r="B22" s="3" t="s">
        <v>22</v>
      </c>
      <c r="C22" s="69" t="s">
        <v>32</v>
      </c>
      <c r="D22" s="28"/>
      <c r="E22" s="29">
        <v>13.47</v>
      </c>
      <c r="F22" s="26">
        <f t="shared" si="12"/>
        <v>22.233098906514034</v>
      </c>
      <c r="G22" s="86">
        <v>10</v>
      </c>
      <c r="H22" s="23">
        <f t="shared" si="2"/>
        <v>10</v>
      </c>
      <c r="I22" s="3"/>
      <c r="J22" s="24">
        <f t="shared" si="13"/>
        <v>1.4874183697668317</v>
      </c>
      <c r="K22" s="24">
        <f t="shared" si="14"/>
        <v>1.7243314076522385</v>
      </c>
      <c r="L22" s="24"/>
      <c r="M22" s="24">
        <f t="shared" si="15"/>
        <v>37.270000000000003</v>
      </c>
      <c r="N22" s="24">
        <f t="shared" si="16"/>
        <v>5333.3489548762091</v>
      </c>
      <c r="O22" s="3"/>
      <c r="P22" s="3"/>
      <c r="Q22" s="24">
        <f t="shared" si="3"/>
        <v>-18.87</v>
      </c>
      <c r="R22" s="30">
        <f t="shared" si="1"/>
        <v>12.971792709839523</v>
      </c>
      <c r="S22" s="3"/>
      <c r="T22" s="3"/>
      <c r="U22" s="3"/>
      <c r="V22" s="25">
        <f>K22-K20</f>
        <v>0.11718350903769448</v>
      </c>
      <c r="W22" s="3"/>
      <c r="X22" s="3"/>
      <c r="Y22" s="3"/>
      <c r="Z22" s="3"/>
      <c r="AA22" s="3"/>
    </row>
    <row r="23" spans="1:27" x14ac:dyDescent="0.2">
      <c r="A23" s="3" t="s">
        <v>71</v>
      </c>
      <c r="B23" s="3" t="s">
        <v>63</v>
      </c>
      <c r="C23" s="69" t="s">
        <v>64</v>
      </c>
      <c r="D23" s="28"/>
      <c r="E23" s="29">
        <v>-0.35</v>
      </c>
      <c r="F23" s="26">
        <f t="shared" si="12"/>
        <v>0.92257142715476315</v>
      </c>
      <c r="G23" s="22">
        <f>ABS(E23)</f>
        <v>0.35</v>
      </c>
      <c r="H23" s="23">
        <f t="shared" si="2"/>
        <v>1.0839269140212036</v>
      </c>
      <c r="I23" s="3"/>
      <c r="J23" s="24">
        <f t="shared" si="13"/>
        <v>1.4874341060171186</v>
      </c>
      <c r="K23" s="24">
        <f t="shared" si="14"/>
        <v>1.724377353908203</v>
      </c>
      <c r="L23" s="24"/>
      <c r="M23" s="24">
        <f t="shared" si="15"/>
        <v>36.92</v>
      </c>
      <c r="N23" s="24">
        <f t="shared" si="16"/>
        <v>4920.3953568145089</v>
      </c>
      <c r="O23" s="3"/>
      <c r="P23" s="3"/>
      <c r="Q23" s="24">
        <f t="shared" si="3"/>
        <v>-5.4000000000000012</v>
      </c>
      <c r="R23" s="30">
        <f t="shared" si="1"/>
        <v>288.4031503126601</v>
      </c>
      <c r="S23" s="3"/>
      <c r="T23" s="3"/>
      <c r="U23" s="3"/>
      <c r="V23" s="25">
        <f t="shared" ref="V23:V29" si="26">K23-K21</f>
        <v>0.11099648014285424</v>
      </c>
      <c r="W23" s="3"/>
      <c r="X23" s="3"/>
      <c r="Y23" s="3"/>
      <c r="Z23" s="3"/>
      <c r="AA23" s="3"/>
    </row>
    <row r="24" spans="1:27" x14ac:dyDescent="0.2">
      <c r="A24" s="3" t="s">
        <v>71</v>
      </c>
      <c r="B24" s="3" t="s">
        <v>66</v>
      </c>
      <c r="C24" s="67" t="s">
        <v>61</v>
      </c>
      <c r="D24" s="3"/>
      <c r="E24" s="1">
        <v>0</v>
      </c>
      <c r="F24" s="26">
        <f t="shared" si="12"/>
        <v>1</v>
      </c>
      <c r="G24" s="22">
        <f>ABS(E24)</f>
        <v>0</v>
      </c>
      <c r="H24" s="23">
        <f t="shared" si="2"/>
        <v>1</v>
      </c>
      <c r="I24" s="3"/>
      <c r="J24" s="24">
        <f t="shared" si="13"/>
        <v>1.4874341060171186</v>
      </c>
      <c r="K24" s="24">
        <f t="shared" si="14"/>
        <v>1.724377353908203</v>
      </c>
      <c r="L24" s="24"/>
      <c r="M24" s="24">
        <f t="shared" si="15"/>
        <v>36.92</v>
      </c>
      <c r="N24" s="24">
        <f t="shared" si="16"/>
        <v>4920.3953568145089</v>
      </c>
      <c r="O24" s="3"/>
      <c r="P24" s="3"/>
      <c r="Q24" s="24">
        <f t="shared" si="3"/>
        <v>-5.7500000000000009</v>
      </c>
      <c r="R24" s="30">
        <f t="shared" si="1"/>
        <v>266.07250597988059</v>
      </c>
      <c r="S24" s="3"/>
      <c r="T24" s="3"/>
      <c r="U24" s="3"/>
      <c r="V24" s="25">
        <f t="shared" si="26"/>
        <v>4.5946255964546268E-5</v>
      </c>
      <c r="W24" s="3"/>
      <c r="X24" s="3"/>
      <c r="Y24" s="3"/>
      <c r="Z24" s="3"/>
      <c r="AA24" s="3"/>
    </row>
    <row r="25" spans="1:27" x14ac:dyDescent="0.2">
      <c r="A25" s="3" t="s">
        <v>72</v>
      </c>
      <c r="B25" s="66" t="s">
        <v>22</v>
      </c>
      <c r="C25" s="67" t="s">
        <v>32</v>
      </c>
      <c r="D25" s="5"/>
      <c r="E25" s="1">
        <v>13.47</v>
      </c>
      <c r="F25" s="2">
        <f t="shared" si="12"/>
        <v>22.233098906514034</v>
      </c>
      <c r="G25" s="86">
        <v>10</v>
      </c>
      <c r="H25" s="23">
        <f t="shared" si="2"/>
        <v>10</v>
      </c>
      <c r="I25" s="3"/>
      <c r="J25" s="24">
        <f t="shared" si="13"/>
        <v>1.4892632273269613</v>
      </c>
      <c r="K25" s="24">
        <f t="shared" si="14"/>
        <v>1.7297146610148402</v>
      </c>
      <c r="L25" s="24"/>
      <c r="M25" s="24">
        <f t="shared" si="15"/>
        <v>50.39</v>
      </c>
      <c r="N25" s="24">
        <f t="shared" si="16"/>
        <v>109395.63662720939</v>
      </c>
      <c r="O25" s="3"/>
      <c r="P25" s="3"/>
      <c r="Q25" s="24">
        <f t="shared" si="3"/>
        <v>-5.7500000000000009</v>
      </c>
      <c r="R25" s="30">
        <f t="shared" si="1"/>
        <v>266.07250597988059</v>
      </c>
      <c r="S25" s="3"/>
      <c r="T25" s="3"/>
      <c r="U25" s="3"/>
      <c r="V25" s="25">
        <f t="shared" si="26"/>
        <v>5.3373071066371569E-3</v>
      </c>
      <c r="W25" s="3"/>
      <c r="X25" s="3"/>
      <c r="Y25" s="3"/>
      <c r="Z25" s="3"/>
      <c r="AA25" s="3"/>
    </row>
    <row r="26" spans="1:27" x14ac:dyDescent="0.2">
      <c r="A26" s="3" t="s">
        <v>71</v>
      </c>
      <c r="B26" s="66" t="s">
        <v>63</v>
      </c>
      <c r="C26" s="69" t="s">
        <v>64</v>
      </c>
      <c r="D26" s="5"/>
      <c r="E26" s="1">
        <v>-0.35</v>
      </c>
      <c r="F26" s="2">
        <f t="shared" si="12"/>
        <v>0.92257142715476315</v>
      </c>
      <c r="G26" s="22">
        <f>E26</f>
        <v>-0.35</v>
      </c>
      <c r="H26" s="23">
        <f t="shared" si="2"/>
        <v>0.92257142715476315</v>
      </c>
      <c r="I26" s="3"/>
      <c r="J26" s="24">
        <f t="shared" si="13"/>
        <v>1.4892625195421243</v>
      </c>
      <c r="K26" s="24">
        <f t="shared" si="14"/>
        <v>1.7297125969934066</v>
      </c>
      <c r="L26" s="24"/>
      <c r="M26" s="24">
        <f t="shared" si="15"/>
        <v>50.04</v>
      </c>
      <c r="N26" s="24">
        <f t="shared" si="16"/>
        <v>100925.28860766844</v>
      </c>
      <c r="O26" s="3"/>
      <c r="P26" s="3"/>
      <c r="Q26" s="24">
        <f t="shared" si="3"/>
        <v>7.72</v>
      </c>
      <c r="R26" s="30">
        <f t="shared" ref="R26:R27" si="27">10^((Q26-30)/10)*1000000</f>
        <v>5915.6163417547323</v>
      </c>
      <c r="S26" s="3"/>
      <c r="T26" s="3"/>
      <c r="U26" s="3"/>
      <c r="V26" s="25">
        <f t="shared" si="26"/>
        <v>5.3352430852036115E-3</v>
      </c>
      <c r="W26" s="3"/>
      <c r="X26" s="3"/>
      <c r="Y26" s="3"/>
      <c r="Z26" s="3"/>
      <c r="AA26" s="3"/>
    </row>
    <row r="27" spans="1:27" x14ac:dyDescent="0.2">
      <c r="A27" s="3" t="s">
        <v>71</v>
      </c>
      <c r="B27" s="66" t="s">
        <v>66</v>
      </c>
      <c r="C27" s="67" t="s">
        <v>61</v>
      </c>
      <c r="D27" s="5"/>
      <c r="E27" s="1">
        <v>0</v>
      </c>
      <c r="F27" s="2">
        <f t="shared" si="12"/>
        <v>1</v>
      </c>
      <c r="G27" s="22">
        <f>E27</f>
        <v>0</v>
      </c>
      <c r="H27" s="23">
        <f t="shared" si="2"/>
        <v>1</v>
      </c>
      <c r="I27" s="3"/>
      <c r="J27" s="24">
        <f t="shared" si="13"/>
        <v>1.4892625195421243</v>
      </c>
      <c r="K27" s="24">
        <f t="shared" si="14"/>
        <v>1.7297125969934066</v>
      </c>
      <c r="L27" s="24"/>
      <c r="M27" s="24">
        <f t="shared" si="15"/>
        <v>50.04</v>
      </c>
      <c r="N27" s="24">
        <f t="shared" si="16"/>
        <v>100925.28860766844</v>
      </c>
      <c r="O27" s="3"/>
      <c r="P27" s="3"/>
      <c r="Q27" s="24">
        <f t="shared" si="3"/>
        <v>7.37</v>
      </c>
      <c r="R27" s="30">
        <f t="shared" si="27"/>
        <v>5457.5786109127084</v>
      </c>
      <c r="S27" s="3"/>
      <c r="T27" s="3"/>
      <c r="U27" s="3"/>
      <c r="V27" s="25">
        <f t="shared" si="26"/>
        <v>-2.0640214335454488E-6</v>
      </c>
      <c r="W27" s="3"/>
      <c r="X27" s="3"/>
      <c r="Y27" s="3"/>
      <c r="Z27" s="3"/>
      <c r="AA27" s="3"/>
    </row>
    <row r="28" spans="1:27" ht="16" thickBot="1" x14ac:dyDescent="0.25">
      <c r="A28" s="3" t="s">
        <v>70</v>
      </c>
      <c r="B28" s="3" t="s">
        <v>62</v>
      </c>
      <c r="C28" s="35" t="s">
        <v>65</v>
      </c>
      <c r="D28" s="3"/>
      <c r="E28" s="1">
        <v>-0.37</v>
      </c>
      <c r="F28" s="2">
        <f t="shared" si="12"/>
        <v>0.9183325964835809</v>
      </c>
      <c r="G28" s="22">
        <f>ABS(E28)</f>
        <v>0.37</v>
      </c>
      <c r="H28" s="23">
        <f t="shared" si="2"/>
        <v>1.0889300933334334</v>
      </c>
      <c r="I28" s="3"/>
      <c r="J28" s="24">
        <f t="shared" ref="J28:J29" si="28">J27+((H28-1)/N27)</f>
        <v>1.4892634006898977</v>
      </c>
      <c r="K28" s="24">
        <f t="shared" ref="K28:K29" si="29">10*LOG10(J28)</f>
        <v>1.7297151665706134</v>
      </c>
      <c r="L28" s="24"/>
      <c r="M28" s="24">
        <f t="shared" ref="M28:M29" si="30">E28+M27</f>
        <v>49.67</v>
      </c>
      <c r="N28" s="24">
        <f t="shared" ref="N28:N29" si="31">N27*F28</f>
        <v>92682.982337934925</v>
      </c>
      <c r="O28" s="3"/>
      <c r="P28" s="3"/>
      <c r="Q28" s="24">
        <f>Q29-E28</f>
        <v>7.37</v>
      </c>
      <c r="R28" s="30">
        <f t="shared" si="1"/>
        <v>5457.5786109127084</v>
      </c>
      <c r="S28" s="3"/>
      <c r="T28" s="3"/>
      <c r="U28" s="3"/>
      <c r="V28" s="25">
        <f t="shared" si="26"/>
        <v>2.5695772067901856E-6</v>
      </c>
      <c r="W28" s="3"/>
      <c r="X28" s="3"/>
      <c r="Y28" s="3"/>
      <c r="Z28" s="3"/>
      <c r="AA28" s="3"/>
    </row>
    <row r="29" spans="1:27" ht="16" thickBot="1" x14ac:dyDescent="0.25">
      <c r="A29" s="3"/>
      <c r="B29" s="3" t="s">
        <v>28</v>
      </c>
      <c r="C29" s="3" t="s">
        <v>81</v>
      </c>
      <c r="D29" s="3"/>
      <c r="E29" s="20">
        <v>0</v>
      </c>
      <c r="F29" s="26">
        <f t="shared" si="12"/>
        <v>1</v>
      </c>
      <c r="G29" s="22">
        <v>27</v>
      </c>
      <c r="H29" s="23">
        <f t="shared" si="2"/>
        <v>501.18723362727269</v>
      </c>
      <c r="I29" s="3"/>
      <c r="J29" s="25">
        <f t="shared" si="28"/>
        <v>1.4946601544521312</v>
      </c>
      <c r="K29" s="85">
        <f t="shared" si="29"/>
        <v>1.7454245699207842</v>
      </c>
      <c r="L29" s="24"/>
      <c r="M29" s="24">
        <f t="shared" si="30"/>
        <v>49.67</v>
      </c>
      <c r="N29" s="24">
        <f t="shared" si="31"/>
        <v>92682.982337934925</v>
      </c>
      <c r="O29" s="3">
        <v>9</v>
      </c>
      <c r="P29" s="3">
        <v>7</v>
      </c>
      <c r="Q29" s="77">
        <v>7</v>
      </c>
      <c r="R29" s="30">
        <f t="shared" ref="R29" si="32">10^((Q29-30)/10)*1000000</f>
        <v>5011.8723362727214</v>
      </c>
      <c r="S29" s="3"/>
      <c r="T29" s="3"/>
      <c r="U29" s="3"/>
      <c r="V29" s="25">
        <f t="shared" si="26"/>
        <v>1.5711972927377582E-2</v>
      </c>
      <c r="W29" s="3"/>
      <c r="X29" s="3"/>
      <c r="Y29" s="3"/>
      <c r="Z29" s="3"/>
      <c r="AA29" s="3"/>
    </row>
    <row r="30" spans="1:27" x14ac:dyDescent="0.2">
      <c r="A30" s="3"/>
      <c r="B30" s="3"/>
      <c r="C30" s="3"/>
      <c r="D30" s="3"/>
      <c r="E30" s="31"/>
      <c r="F30" s="32"/>
      <c r="G30" s="31"/>
      <c r="H30" s="33"/>
      <c r="I30" s="3"/>
      <c r="J30" s="34"/>
      <c r="K30" s="24"/>
      <c r="L30" s="24"/>
      <c r="M30" s="3"/>
      <c r="N30" s="24"/>
      <c r="O30" s="3"/>
      <c r="P30" s="3"/>
      <c r="Q30" s="3"/>
      <c r="R30" s="3"/>
      <c r="S30" s="3"/>
      <c r="T30" s="3"/>
      <c r="U30" s="3"/>
      <c r="V30" s="3"/>
      <c r="W30" s="25"/>
      <c r="X30" s="25"/>
      <c r="Y30" s="25"/>
      <c r="Z30" s="25"/>
      <c r="AA30" s="25"/>
    </row>
    <row r="31" spans="1:27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24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5"/>
      <c r="P34" s="35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5"/>
      <c r="P35" s="35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5"/>
      <c r="P36" s="35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2">
      <c r="A37" s="3"/>
      <c r="B37" s="3"/>
      <c r="C37" s="36" t="s">
        <v>35</v>
      </c>
      <c r="D37" s="3"/>
      <c r="E37" s="3"/>
      <c r="F37" s="3"/>
      <c r="G37" s="3"/>
      <c r="H37" s="3"/>
      <c r="I37" s="3"/>
      <c r="J37" s="24"/>
      <c r="K37" s="24"/>
      <c r="L37" s="3"/>
      <c r="M37" s="3"/>
      <c r="N37" s="3"/>
      <c r="O37" s="35"/>
      <c r="P37" s="35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5"/>
      <c r="P38" s="35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2">
      <c r="A39" s="3"/>
      <c r="B39" s="37" t="s">
        <v>36</v>
      </c>
      <c r="C39" s="3" t="s">
        <v>37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5"/>
      <c r="P39" s="35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5"/>
      <c r="P40" s="35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5"/>
      <c r="P41" s="35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5"/>
      <c r="P42" s="35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5"/>
      <c r="P43" s="35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5"/>
      <c r="P44" s="35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5"/>
      <c r="P45" s="35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5"/>
      <c r="P46" s="35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5"/>
      <c r="P47" s="35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5"/>
      <c r="P48" s="35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5"/>
      <c r="P49" s="35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5"/>
      <c r="P50" s="35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5"/>
      <c r="P51" s="35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5"/>
      <c r="P52" s="35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</sheetData>
  <conditionalFormatting sqref="V10:V2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7:P35"/>
  <sheetViews>
    <sheetView topLeftCell="A8" zoomScale="177" workbookViewId="0">
      <selection activeCell="F25" sqref="F25"/>
    </sheetView>
  </sheetViews>
  <sheetFormatPr baseColWidth="10" defaultColWidth="9.1640625" defaultRowHeight="15" x14ac:dyDescent="0.2"/>
  <cols>
    <col min="1" max="3" width="9.1640625" style="38"/>
    <col min="4" max="4" width="13.83203125" style="38" bestFit="1" customWidth="1"/>
    <col min="5" max="5" width="32.83203125" style="38" customWidth="1"/>
    <col min="6" max="6" width="10.33203125" style="38" bestFit="1" customWidth="1"/>
    <col min="7" max="7" width="8.1640625" style="38" bestFit="1" customWidth="1"/>
    <col min="8" max="8" width="9" style="38" bestFit="1" customWidth="1"/>
    <col min="9" max="9" width="5.6640625" style="38" bestFit="1" customWidth="1"/>
    <col min="10" max="10" width="9.1640625" style="38"/>
    <col min="11" max="11" width="2.6640625" style="38" customWidth="1"/>
    <col min="12" max="12" width="12.1640625" style="38" bestFit="1" customWidth="1"/>
    <col min="13" max="13" width="10.83203125" style="38" bestFit="1" customWidth="1"/>
    <col min="14" max="16384" width="9.1640625" style="38"/>
  </cols>
  <sheetData>
    <row r="7" spans="3:16" x14ac:dyDescent="0.2">
      <c r="M7" s="82"/>
      <c r="N7" s="82"/>
    </row>
    <row r="9" spans="3:16" x14ac:dyDescent="0.2">
      <c r="F9" s="39"/>
      <c r="G9" s="39"/>
      <c r="H9" s="39"/>
    </row>
    <row r="10" spans="3:16" x14ac:dyDescent="0.2">
      <c r="C10" s="91" t="s">
        <v>97</v>
      </c>
      <c r="D10" s="91" t="s">
        <v>100</v>
      </c>
      <c r="E10" s="91" t="s">
        <v>1</v>
      </c>
      <c r="F10" s="90" t="s">
        <v>108</v>
      </c>
      <c r="G10" s="90" t="s">
        <v>109</v>
      </c>
      <c r="H10" s="90" t="s">
        <v>110</v>
      </c>
      <c r="I10" s="40"/>
      <c r="J10" s="91" t="s">
        <v>107</v>
      </c>
      <c r="K10" s="40"/>
      <c r="L10" s="91" t="s">
        <v>111</v>
      </c>
      <c r="M10" s="91" t="s">
        <v>96</v>
      </c>
      <c r="N10" s="91" t="s">
        <v>95</v>
      </c>
      <c r="O10" s="91" t="s">
        <v>94</v>
      </c>
      <c r="P10" s="82"/>
    </row>
    <row r="11" spans="3:16" x14ac:dyDescent="0.2">
      <c r="D11" s="88" t="s">
        <v>82</v>
      </c>
      <c r="E11" s="81" t="s">
        <v>83</v>
      </c>
      <c r="F11" s="42">
        <v>6.99</v>
      </c>
      <c r="G11" s="42">
        <v>7</v>
      </c>
      <c r="H11" s="42">
        <v>7</v>
      </c>
      <c r="I11" s="41" t="s">
        <v>4</v>
      </c>
      <c r="J11" s="44">
        <f>F11</f>
        <v>6.99</v>
      </c>
      <c r="K11" s="44"/>
      <c r="L11" s="38">
        <f t="shared" ref="L11:L19" si="0">10^(J11/10)/1000</f>
        <v>5.0003453497697867E-3</v>
      </c>
      <c r="M11" s="38">
        <v>50</v>
      </c>
      <c r="N11" s="38">
        <f>SQRT(L11/M11)</f>
        <v>1.000034534380667E-2</v>
      </c>
      <c r="O11" s="38">
        <f>SQRT(L11*M11)</f>
        <v>0.50001726719033346</v>
      </c>
    </row>
    <row r="12" spans="3:16" x14ac:dyDescent="0.2">
      <c r="C12" s="82" t="s">
        <v>103</v>
      </c>
      <c r="D12" s="89" t="s">
        <v>62</v>
      </c>
      <c r="E12" s="81" t="s">
        <v>38</v>
      </c>
      <c r="F12" s="42">
        <v>-0.35</v>
      </c>
      <c r="G12" s="42">
        <v>-0.4</v>
      </c>
      <c r="H12" s="42">
        <v>-0.4</v>
      </c>
      <c r="I12" s="81" t="s">
        <v>3</v>
      </c>
      <c r="J12" s="44">
        <f t="shared" ref="J12:J19" si="1">J11+F12</f>
        <v>6.6400000000000006</v>
      </c>
      <c r="K12" s="44"/>
      <c r="L12" s="38">
        <f t="shared" si="0"/>
        <v>4.6131757456037946E-3</v>
      </c>
      <c r="M12" s="38">
        <v>200</v>
      </c>
      <c r="N12" s="38">
        <f t="shared" ref="N12:N17" si="2">SQRT(L12/M12)</f>
        <v>4.8026949443014779E-3</v>
      </c>
      <c r="O12" s="38">
        <f t="shared" ref="O12:O17" si="3">SQRT(L12*M12)</f>
        <v>0.96053898886029554</v>
      </c>
    </row>
    <row r="13" spans="3:16" x14ac:dyDescent="0.2">
      <c r="C13" s="82"/>
      <c r="D13" s="3" t="s">
        <v>66</v>
      </c>
      <c r="E13" s="83" t="s">
        <v>101</v>
      </c>
      <c r="F13" s="42">
        <v>-1.4</v>
      </c>
      <c r="G13" s="42">
        <v>0</v>
      </c>
      <c r="H13" s="42">
        <v>0</v>
      </c>
      <c r="I13" s="81"/>
      <c r="J13" s="44">
        <f t="shared" si="1"/>
        <v>5.24</v>
      </c>
      <c r="K13" s="44"/>
      <c r="L13" s="38">
        <f t="shared" si="0"/>
        <v>3.3419504002611426E-3</v>
      </c>
      <c r="M13" s="38">
        <v>201</v>
      </c>
      <c r="N13" s="38">
        <f t="shared" ref="N13" si="4">SQRT(L13/M13)</f>
        <v>4.0775751258280762E-3</v>
      </c>
      <c r="O13" s="38">
        <f t="shared" ref="O13" si="5">SQRT(L13*M13)</f>
        <v>0.81959260029144332</v>
      </c>
    </row>
    <row r="14" spans="3:16" x14ac:dyDescent="0.2">
      <c r="D14" s="88" t="s">
        <v>22</v>
      </c>
      <c r="E14" s="82" t="s">
        <v>115</v>
      </c>
      <c r="F14" s="43">
        <v>-14.22</v>
      </c>
      <c r="G14" s="43">
        <v>-14.22</v>
      </c>
      <c r="H14" s="43">
        <v>-14.22</v>
      </c>
      <c r="I14" s="38" t="s">
        <v>3</v>
      </c>
      <c r="J14" s="44">
        <f t="shared" si="1"/>
        <v>-8.98</v>
      </c>
      <c r="K14" s="44"/>
      <c r="L14" s="38">
        <f t="shared" si="0"/>
        <v>1.2647363474711513E-4</v>
      </c>
      <c r="M14" s="38">
        <v>50</v>
      </c>
      <c r="N14" s="38">
        <f t="shared" si="2"/>
        <v>1.5904316064962688E-3</v>
      </c>
      <c r="O14" s="38">
        <f t="shared" si="3"/>
        <v>7.9521580324813448E-2</v>
      </c>
    </row>
    <row r="15" spans="3:16" x14ac:dyDescent="0.2">
      <c r="D15" s="38" t="s">
        <v>24</v>
      </c>
      <c r="E15" s="41" t="s">
        <v>23</v>
      </c>
      <c r="F15" s="87">
        <v>-1.8</v>
      </c>
      <c r="G15" s="87">
        <v>-1.4</v>
      </c>
      <c r="H15" s="87">
        <v>-1.4</v>
      </c>
      <c r="I15" s="38" t="s">
        <v>3</v>
      </c>
      <c r="J15" s="44">
        <f t="shared" si="1"/>
        <v>-10.780000000000001</v>
      </c>
      <c r="K15" s="44"/>
      <c r="L15" s="38">
        <f t="shared" si="0"/>
        <v>8.3560301823124781E-5</v>
      </c>
      <c r="M15" s="38">
        <v>50</v>
      </c>
      <c r="N15" s="38">
        <f t="shared" si="2"/>
        <v>1.2927513436320596E-3</v>
      </c>
      <c r="O15" s="38">
        <f t="shared" si="3"/>
        <v>6.463756718160299E-2</v>
      </c>
    </row>
    <row r="16" spans="3:16" x14ac:dyDescent="0.2">
      <c r="C16" s="82" t="s">
        <v>104</v>
      </c>
      <c r="D16" s="82" t="s">
        <v>30</v>
      </c>
      <c r="E16" s="81" t="s">
        <v>84</v>
      </c>
      <c r="F16" s="42">
        <v>-7</v>
      </c>
      <c r="G16" s="42">
        <v>-7</v>
      </c>
      <c r="H16" s="42">
        <v>-7</v>
      </c>
      <c r="I16" s="38" t="s">
        <v>3</v>
      </c>
      <c r="J16" s="44">
        <f t="shared" si="1"/>
        <v>-17.78</v>
      </c>
      <c r="K16" s="44"/>
      <c r="L16" s="38">
        <f t="shared" si="0"/>
        <v>1.6672472125510625E-5</v>
      </c>
      <c r="M16" s="38">
        <v>50</v>
      </c>
      <c r="N16" s="38">
        <f t="shared" si="2"/>
        <v>5.7745081393155255E-4</v>
      </c>
      <c r="O16" s="38">
        <f t="shared" si="3"/>
        <v>2.8872540696577628E-2</v>
      </c>
    </row>
    <row r="17" spans="3:15" x14ac:dyDescent="0.2">
      <c r="C17" s="82" t="s">
        <v>104</v>
      </c>
      <c r="D17" s="38" t="s">
        <v>85</v>
      </c>
      <c r="E17" s="81" t="s">
        <v>86</v>
      </c>
      <c r="F17" s="43">
        <v>17.5</v>
      </c>
      <c r="G17" s="43">
        <v>19.5</v>
      </c>
      <c r="H17" s="43">
        <v>19.5</v>
      </c>
      <c r="I17" s="38" t="s">
        <v>3</v>
      </c>
      <c r="J17" s="44">
        <f t="shared" si="1"/>
        <v>-0.28000000000000114</v>
      </c>
      <c r="K17" s="44"/>
      <c r="L17" s="38">
        <f t="shared" si="0"/>
        <v>9.3756200692587997E-4</v>
      </c>
      <c r="M17" s="38">
        <v>50</v>
      </c>
      <c r="N17" s="38">
        <f t="shared" si="2"/>
        <v>4.3302702154158464E-3</v>
      </c>
      <c r="O17" s="38">
        <f t="shared" si="3"/>
        <v>0.21651351077079231</v>
      </c>
    </row>
    <row r="18" spans="3:15" x14ac:dyDescent="0.2">
      <c r="C18" s="82" t="s">
        <v>104</v>
      </c>
      <c r="D18" s="82" t="s">
        <v>26</v>
      </c>
      <c r="E18" s="83" t="s">
        <v>87</v>
      </c>
      <c r="F18" s="43">
        <v>-3</v>
      </c>
      <c r="G18" s="43">
        <v>-2</v>
      </c>
      <c r="H18" s="43">
        <v>-2</v>
      </c>
      <c r="I18" s="38" t="s">
        <v>3</v>
      </c>
      <c r="J18" s="44">
        <f t="shared" si="1"/>
        <v>-3.2800000000000011</v>
      </c>
      <c r="K18" s="44"/>
      <c r="L18" s="38">
        <f t="shared" si="0"/>
        <v>4.6989410860521526E-4</v>
      </c>
      <c r="M18" s="38">
        <v>50</v>
      </c>
      <c r="N18" s="38">
        <f t="shared" ref="N18:N19" si="6">SQRT(L18/M18)</f>
        <v>3.0655965442478411E-3</v>
      </c>
      <c r="O18" s="38">
        <f t="shared" ref="O18:O19" si="7">SQRT(L18*M18)</f>
        <v>0.15327982721239206</v>
      </c>
    </row>
    <row r="19" spans="3:15" x14ac:dyDescent="0.2">
      <c r="C19" s="82" t="s">
        <v>104</v>
      </c>
      <c r="D19" s="38" t="s">
        <v>85</v>
      </c>
      <c r="E19" s="81" t="s">
        <v>86</v>
      </c>
      <c r="F19" s="43">
        <v>17.5</v>
      </c>
      <c r="G19" s="43">
        <v>19.5</v>
      </c>
      <c r="H19" s="43">
        <v>19.5</v>
      </c>
      <c r="I19" s="82" t="s">
        <v>3</v>
      </c>
      <c r="J19" s="44">
        <f t="shared" si="1"/>
        <v>14.219999999999999</v>
      </c>
      <c r="K19" s="44"/>
      <c r="L19" s="38">
        <f t="shared" si="0"/>
        <v>2.6424087573219474E-2</v>
      </c>
      <c r="M19" s="38">
        <v>50</v>
      </c>
      <c r="N19" s="38">
        <f t="shared" si="6"/>
        <v>2.2988730966810443E-2</v>
      </c>
      <c r="O19" s="38">
        <f t="shared" si="7"/>
        <v>1.1494365483405222</v>
      </c>
    </row>
    <row r="20" spans="3:15" x14ac:dyDescent="0.2">
      <c r="C20" s="82" t="s">
        <v>104</v>
      </c>
      <c r="D20" s="38" t="s">
        <v>88</v>
      </c>
      <c r="E20" s="83" t="s">
        <v>86</v>
      </c>
      <c r="F20" s="43">
        <v>16.5</v>
      </c>
      <c r="G20" s="43">
        <v>17.5</v>
      </c>
      <c r="H20" s="43">
        <v>17.5</v>
      </c>
      <c r="I20" s="82" t="s">
        <v>3</v>
      </c>
      <c r="J20" s="44">
        <f t="shared" ref="J20:J22" si="8">J19+F20</f>
        <v>30.72</v>
      </c>
      <c r="K20" s="44"/>
      <c r="L20" s="38">
        <f t="shared" ref="L20:L25" si="9">10^(J20/10)/1000</f>
        <v>1.1803206356517304</v>
      </c>
      <c r="M20" s="38">
        <v>50</v>
      </c>
      <c r="N20" s="38">
        <f t="shared" ref="N20:N25" si="10">SQRT(L20/M20)</f>
        <v>0.1536437851428902</v>
      </c>
      <c r="O20" s="38">
        <f t="shared" ref="O20:O25" si="11">SQRT(L20*M20)</f>
        <v>7.6821892571445103</v>
      </c>
    </row>
    <row r="21" spans="3:15" x14ac:dyDescent="0.2">
      <c r="C21" s="82" t="s">
        <v>104</v>
      </c>
      <c r="E21" s="83" t="s">
        <v>102</v>
      </c>
      <c r="F21" s="43">
        <v>-3.4</v>
      </c>
      <c r="G21" s="43">
        <v>-3</v>
      </c>
      <c r="H21" s="43">
        <v>-3</v>
      </c>
      <c r="I21" s="82"/>
      <c r="J21" s="44">
        <f t="shared" si="8"/>
        <v>27.32</v>
      </c>
      <c r="K21" s="44"/>
      <c r="L21" s="38">
        <f t="shared" si="9"/>
        <v>0.53951062251512827</v>
      </c>
      <c r="M21" s="38">
        <v>50</v>
      </c>
      <c r="N21" s="38">
        <f t="shared" si="10"/>
        <v>0.1038759474098916</v>
      </c>
      <c r="O21" s="38">
        <f t="shared" si="11"/>
        <v>5.1937973704945799</v>
      </c>
    </row>
    <row r="22" spans="3:15" x14ac:dyDescent="0.2">
      <c r="C22" s="82" t="s">
        <v>104</v>
      </c>
      <c r="D22" s="82" t="s">
        <v>89</v>
      </c>
      <c r="E22" s="83" t="s">
        <v>112</v>
      </c>
      <c r="F22" s="44">
        <v>12.5</v>
      </c>
      <c r="G22" s="44">
        <v>14</v>
      </c>
      <c r="H22" s="44">
        <v>14</v>
      </c>
      <c r="I22" s="82" t="s">
        <v>3</v>
      </c>
      <c r="J22" s="44">
        <f t="shared" si="8"/>
        <v>39.82</v>
      </c>
      <c r="K22" s="44"/>
      <c r="L22" s="38">
        <f t="shared" si="9"/>
        <v>9.5940063151593389</v>
      </c>
      <c r="M22" s="38">
        <v>50</v>
      </c>
      <c r="N22" s="38">
        <f t="shared" si="10"/>
        <v>0.43804123813082574</v>
      </c>
      <c r="O22" s="38">
        <f t="shared" si="11"/>
        <v>21.902061906541288</v>
      </c>
    </row>
    <row r="23" spans="3:15" x14ac:dyDescent="0.2">
      <c r="C23" s="82" t="s">
        <v>104</v>
      </c>
      <c r="E23" s="83" t="s">
        <v>106</v>
      </c>
      <c r="F23" s="44">
        <v>-0.3</v>
      </c>
      <c r="G23" s="44">
        <v>-0.3</v>
      </c>
      <c r="H23" s="44">
        <v>-0.3</v>
      </c>
      <c r="I23" s="82" t="s">
        <v>3</v>
      </c>
      <c r="J23" s="44">
        <f>J20+F23</f>
        <v>30.419999999999998</v>
      </c>
      <c r="K23" s="44"/>
      <c r="L23" s="38">
        <f t="shared" si="9"/>
        <v>1.101539309541415</v>
      </c>
      <c r="M23" s="38">
        <v>50</v>
      </c>
      <c r="N23" s="38">
        <f t="shared" si="10"/>
        <v>0.14842771368861107</v>
      </c>
      <c r="O23" s="38">
        <f t="shared" si="11"/>
        <v>7.421385684430553</v>
      </c>
    </row>
    <row r="24" spans="3:15" x14ac:dyDescent="0.2">
      <c r="C24" s="82" t="s">
        <v>104</v>
      </c>
      <c r="D24" s="38" t="s">
        <v>90</v>
      </c>
      <c r="E24" s="83" t="s">
        <v>34</v>
      </c>
      <c r="F24" s="44">
        <v>-0.3</v>
      </c>
      <c r="G24" s="44">
        <v>-0.3</v>
      </c>
      <c r="H24" s="44">
        <v>-0.3</v>
      </c>
      <c r="I24" s="82" t="s">
        <v>3</v>
      </c>
      <c r="J24" s="44">
        <f>J21+F24</f>
        <v>27.02</v>
      </c>
      <c r="K24" s="44"/>
      <c r="L24" s="38">
        <f t="shared" ref="L24" si="12">10^(J24/10)/1000</f>
        <v>0.50350060878790504</v>
      </c>
      <c r="M24" s="38">
        <v>50</v>
      </c>
      <c r="N24" s="38">
        <f t="shared" ref="N24" si="13">SQRT(L24/M24)</f>
        <v>0.10034945030122537</v>
      </c>
      <c r="O24" s="38">
        <f t="shared" ref="O24" si="14">SQRT(L24*M24)</f>
        <v>5.017472515061268</v>
      </c>
    </row>
    <row r="25" spans="3:15" x14ac:dyDescent="0.2">
      <c r="C25" s="82" t="s">
        <v>104</v>
      </c>
      <c r="E25" s="83" t="s">
        <v>105</v>
      </c>
      <c r="F25" s="44">
        <v>-1</v>
      </c>
      <c r="G25" s="44">
        <v>-1</v>
      </c>
      <c r="H25" s="44">
        <v>-1</v>
      </c>
      <c r="I25" s="82" t="s">
        <v>3</v>
      </c>
      <c r="J25" s="44">
        <f>J22+F25</f>
        <v>38.82</v>
      </c>
      <c r="K25" s="44"/>
      <c r="L25" s="38">
        <f t="shared" si="9"/>
        <v>7.6207901002541334</v>
      </c>
      <c r="M25" s="38">
        <v>50</v>
      </c>
      <c r="N25" s="38">
        <f t="shared" si="10"/>
        <v>0.39040466442536603</v>
      </c>
      <c r="O25" s="38">
        <f t="shared" si="11"/>
        <v>19.520233221268303</v>
      </c>
    </row>
    <row r="26" spans="3:15" x14ac:dyDescent="0.2">
      <c r="F26" s="44"/>
      <c r="G26" s="44"/>
      <c r="H26" s="44"/>
    </row>
    <row r="27" spans="3:15" x14ac:dyDescent="0.2">
      <c r="F27" s="44"/>
      <c r="G27" s="44"/>
      <c r="H27" s="44"/>
    </row>
    <row r="28" spans="3:15" x14ac:dyDescent="0.2">
      <c r="F28" s="44"/>
      <c r="G28" s="44"/>
      <c r="H28" s="44"/>
      <c r="L28" s="92"/>
      <c r="M28" s="92"/>
    </row>
    <row r="29" spans="3:15" x14ac:dyDescent="0.2">
      <c r="F29" s="45"/>
      <c r="G29" s="43"/>
      <c r="H29" s="43"/>
      <c r="L29" s="38">
        <v>50</v>
      </c>
      <c r="M29" s="82" t="s">
        <v>99</v>
      </c>
      <c r="N29" s="82"/>
    </row>
    <row r="30" spans="3:15" x14ac:dyDescent="0.2">
      <c r="E30" s="46" t="s">
        <v>113</v>
      </c>
      <c r="F30" s="47">
        <f>SUM(F11:F26)</f>
        <v>38.220000000000006</v>
      </c>
      <c r="G30" s="47">
        <f>SUM(G11:G26)</f>
        <v>47.88</v>
      </c>
      <c r="H30" s="47">
        <f>SUM(H11:H26)</f>
        <v>47.88</v>
      </c>
      <c r="I30" s="46" t="s">
        <v>4</v>
      </c>
      <c r="L30" s="82">
        <f>0.5*SQRT(2)</f>
        <v>0.70710678118654757</v>
      </c>
      <c r="N30" s="82"/>
    </row>
    <row r="31" spans="3:15" x14ac:dyDescent="0.2">
      <c r="E31" s="82" t="s">
        <v>114</v>
      </c>
      <c r="F31" s="84">
        <f>10^(F30/10)/1000</f>
        <v>6.6374307040191036</v>
      </c>
      <c r="G31" s="84">
        <f>10^(G30/10)/1000</f>
        <v>61.376200516479472</v>
      </c>
      <c r="H31" s="84">
        <f>10^(H30/10)/1000</f>
        <v>61.376200516479472</v>
      </c>
      <c r="I31" s="82" t="s">
        <v>91</v>
      </c>
      <c r="L31" s="38">
        <f>L30/SQRT(2)</f>
        <v>0.5</v>
      </c>
      <c r="N31" s="82"/>
    </row>
    <row r="32" spans="3:15" x14ac:dyDescent="0.2">
      <c r="L32" s="38">
        <f>L31*L31/L29</f>
        <v>5.0000000000000001E-3</v>
      </c>
      <c r="M32" s="82" t="s">
        <v>98</v>
      </c>
      <c r="N32" s="82"/>
    </row>
    <row r="33" spans="6:13" x14ac:dyDescent="0.2">
      <c r="L33" s="38">
        <f>10*LOG10(L32)+30</f>
        <v>6.9897000433601875</v>
      </c>
      <c r="M33" s="82" t="s">
        <v>4</v>
      </c>
    </row>
    <row r="35" spans="6:13" x14ac:dyDescent="0.2">
      <c r="F35" s="82"/>
    </row>
  </sheetData>
  <mergeCells count="1">
    <mergeCell ref="L28:M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F84"/>
  <sheetViews>
    <sheetView tabSelected="1" topLeftCell="A32" zoomScale="99" workbookViewId="0">
      <selection activeCell="G54" sqref="G54"/>
    </sheetView>
  </sheetViews>
  <sheetFormatPr baseColWidth="10" defaultColWidth="8.83203125" defaultRowHeight="15" x14ac:dyDescent="0.2"/>
  <cols>
    <col min="2" max="5" width="12" customWidth="1"/>
    <col min="6" max="6" width="20" bestFit="1" customWidth="1"/>
  </cols>
  <sheetData>
    <row r="5" spans="2:6" ht="16" thickBot="1" x14ac:dyDescent="0.25"/>
    <row r="6" spans="2:6" x14ac:dyDescent="0.2">
      <c r="B6" s="93" t="s">
        <v>40</v>
      </c>
      <c r="C6" s="94"/>
      <c r="D6" s="94"/>
      <c r="E6" s="94"/>
      <c r="F6" s="95"/>
    </row>
    <row r="7" spans="2:6" ht="16" x14ac:dyDescent="0.2">
      <c r="B7" s="49" t="s">
        <v>41</v>
      </c>
      <c r="C7" s="50" t="s">
        <v>42</v>
      </c>
      <c r="D7" s="50" t="s">
        <v>43</v>
      </c>
      <c r="E7" s="50" t="s">
        <v>44</v>
      </c>
      <c r="F7" s="51"/>
    </row>
    <row r="8" spans="2:6" x14ac:dyDescent="0.2">
      <c r="B8" s="52">
        <v>1</v>
      </c>
      <c r="C8" s="53">
        <v>1.8</v>
      </c>
      <c r="D8" s="53">
        <v>0.42699999999999999</v>
      </c>
      <c r="E8" s="54">
        <f>C8*D8/B8</f>
        <v>0.76859999999999995</v>
      </c>
      <c r="F8" s="55" t="s">
        <v>122</v>
      </c>
    </row>
    <row r="9" spans="2:6" x14ac:dyDescent="0.2">
      <c r="B9" s="56"/>
      <c r="C9" s="57"/>
      <c r="D9" s="57"/>
      <c r="E9" s="58"/>
      <c r="F9" s="51" t="s">
        <v>123</v>
      </c>
    </row>
    <row r="10" spans="2:6" x14ac:dyDescent="0.2">
      <c r="B10" s="56"/>
      <c r="C10" s="57"/>
      <c r="D10" s="57"/>
      <c r="E10" s="58"/>
      <c r="F10" s="51" t="s">
        <v>124</v>
      </c>
    </row>
    <row r="11" spans="2:6" x14ac:dyDescent="0.2">
      <c r="B11" s="56">
        <v>1</v>
      </c>
      <c r="C11" s="57">
        <v>1.2</v>
      </c>
      <c r="D11" s="57">
        <v>0.8</v>
      </c>
      <c r="E11" s="58">
        <f t="shared" ref="E11:E28" si="0">C11*D11/B11</f>
        <v>0.96</v>
      </c>
      <c r="F11" s="51" t="s">
        <v>125</v>
      </c>
    </row>
    <row r="12" spans="2:6" x14ac:dyDescent="0.2">
      <c r="B12" s="56"/>
      <c r="C12" s="57"/>
      <c r="D12" s="57"/>
      <c r="E12" s="58"/>
      <c r="F12" s="51" t="s">
        <v>126</v>
      </c>
    </row>
    <row r="13" spans="2:6" x14ac:dyDescent="0.2">
      <c r="B13" s="56"/>
      <c r="C13" s="57"/>
      <c r="D13" s="57"/>
      <c r="E13" s="58"/>
      <c r="F13" s="51" t="s">
        <v>127</v>
      </c>
    </row>
    <row r="14" spans="2:6" x14ac:dyDescent="0.2">
      <c r="B14" s="56">
        <v>1</v>
      </c>
      <c r="C14" s="57">
        <v>3.3</v>
      </c>
      <c r="D14" s="57">
        <v>1</v>
      </c>
      <c r="E14" s="58">
        <f t="shared" si="0"/>
        <v>3.3</v>
      </c>
      <c r="F14" s="51" t="s">
        <v>45</v>
      </c>
    </row>
    <row r="15" spans="2:6" x14ac:dyDescent="0.2">
      <c r="B15" s="56"/>
      <c r="C15" s="57"/>
      <c r="D15" s="57"/>
      <c r="E15" s="58"/>
      <c r="F15" s="51" t="s">
        <v>128</v>
      </c>
    </row>
    <row r="16" spans="2:6" x14ac:dyDescent="0.2">
      <c r="B16" s="56"/>
      <c r="C16" s="57"/>
      <c r="D16" s="57"/>
      <c r="E16" s="58"/>
      <c r="F16" s="51" t="s">
        <v>129</v>
      </c>
    </row>
    <row r="17" spans="2:6" x14ac:dyDescent="0.2">
      <c r="B17" s="56"/>
      <c r="C17" s="57"/>
      <c r="D17" s="57"/>
      <c r="E17" s="58"/>
      <c r="F17" s="51" t="s">
        <v>130</v>
      </c>
    </row>
    <row r="18" spans="2:6" x14ac:dyDescent="0.2">
      <c r="B18" s="56"/>
      <c r="C18" s="57"/>
      <c r="D18" s="57"/>
      <c r="E18" s="58"/>
      <c r="F18" s="51" t="s">
        <v>131</v>
      </c>
    </row>
    <row r="19" spans="2:6" x14ac:dyDescent="0.2">
      <c r="B19" s="56"/>
      <c r="C19" s="57"/>
      <c r="D19" s="57"/>
      <c r="E19" s="58"/>
      <c r="F19" s="51" t="s">
        <v>132</v>
      </c>
    </row>
    <row r="20" spans="2:6" x14ac:dyDescent="0.2">
      <c r="B20" s="56"/>
      <c r="C20" s="57"/>
      <c r="D20" s="57"/>
      <c r="E20" s="58"/>
      <c r="F20" s="51" t="s">
        <v>133</v>
      </c>
    </row>
    <row r="21" spans="2:6" x14ac:dyDescent="0.2">
      <c r="B21" s="56">
        <v>1</v>
      </c>
      <c r="C21" s="57">
        <v>5.5</v>
      </c>
      <c r="D21" s="57">
        <v>2</v>
      </c>
      <c r="E21" s="58">
        <f t="shared" si="0"/>
        <v>11</v>
      </c>
      <c r="F21" s="51" t="s">
        <v>46</v>
      </c>
    </row>
    <row r="22" spans="2:6" x14ac:dyDescent="0.2">
      <c r="B22" s="56">
        <v>1</v>
      </c>
      <c r="C22" s="57">
        <v>5.5</v>
      </c>
      <c r="D22" s="57">
        <v>0.5</v>
      </c>
      <c r="E22" s="58">
        <f t="shared" si="0"/>
        <v>2.75</v>
      </c>
      <c r="F22" s="51" t="s">
        <v>47</v>
      </c>
    </row>
    <row r="23" spans="2:6" x14ac:dyDescent="0.2">
      <c r="B23" s="56">
        <v>1</v>
      </c>
      <c r="C23" s="57">
        <v>5.5</v>
      </c>
      <c r="D23" s="57">
        <v>2</v>
      </c>
      <c r="E23" s="58">
        <f t="shared" si="0"/>
        <v>11</v>
      </c>
      <c r="F23" s="51" t="s">
        <v>46</v>
      </c>
    </row>
    <row r="24" spans="2:6" x14ac:dyDescent="0.2">
      <c r="B24" s="56">
        <v>1</v>
      </c>
      <c r="C24" s="57">
        <v>5.5</v>
      </c>
      <c r="D24" s="57">
        <v>2</v>
      </c>
      <c r="E24" s="58">
        <f t="shared" si="0"/>
        <v>11</v>
      </c>
      <c r="F24" s="51" t="s">
        <v>48</v>
      </c>
    </row>
    <row r="25" spans="2:6" x14ac:dyDescent="0.2">
      <c r="B25" s="56">
        <v>1</v>
      </c>
      <c r="C25" s="96">
        <v>5.5</v>
      </c>
      <c r="D25" s="96">
        <v>3</v>
      </c>
      <c r="E25" s="58">
        <f t="shared" si="0"/>
        <v>16.5</v>
      </c>
      <c r="F25" s="51" t="s">
        <v>117</v>
      </c>
    </row>
    <row r="26" spans="2:6" x14ac:dyDescent="0.2">
      <c r="B26" s="56">
        <v>1</v>
      </c>
      <c r="C26" s="57">
        <v>5.5</v>
      </c>
      <c r="D26" s="57">
        <v>0.1</v>
      </c>
      <c r="E26" s="58">
        <f t="shared" si="0"/>
        <v>0.55000000000000004</v>
      </c>
      <c r="F26" s="51" t="s">
        <v>49</v>
      </c>
    </row>
    <row r="27" spans="2:6" x14ac:dyDescent="0.2">
      <c r="B27" s="56">
        <v>1</v>
      </c>
      <c r="C27" s="57">
        <v>5.5</v>
      </c>
      <c r="D27" s="57">
        <v>0.1</v>
      </c>
      <c r="E27" s="58">
        <f t="shared" si="0"/>
        <v>0.55000000000000004</v>
      </c>
      <c r="F27" s="51" t="s">
        <v>50</v>
      </c>
    </row>
    <row r="28" spans="2:6" x14ac:dyDescent="0.2">
      <c r="B28" s="56">
        <v>1</v>
      </c>
      <c r="C28" s="57">
        <v>5.5</v>
      </c>
      <c r="D28" s="57">
        <v>1</v>
      </c>
      <c r="E28" s="58">
        <f t="shared" si="0"/>
        <v>5.5</v>
      </c>
      <c r="F28" s="51" t="s">
        <v>51</v>
      </c>
    </row>
    <row r="29" spans="2:6" x14ac:dyDescent="0.2">
      <c r="B29" s="56"/>
      <c r="C29" s="57"/>
      <c r="D29" s="57"/>
      <c r="E29" s="58"/>
      <c r="F29" s="51"/>
    </row>
    <row r="30" spans="2:6" x14ac:dyDescent="0.2">
      <c r="B30" s="56"/>
      <c r="C30" s="57"/>
      <c r="D30" s="57" t="s">
        <v>44</v>
      </c>
      <c r="E30" s="58">
        <f>SUM(E8:E28)</f>
        <v>63.878599999999992</v>
      </c>
      <c r="F30" s="51"/>
    </row>
    <row r="31" spans="2:6" x14ac:dyDescent="0.2">
      <c r="B31" s="56"/>
      <c r="C31" s="57"/>
      <c r="D31" s="57" t="s">
        <v>42</v>
      </c>
      <c r="E31" s="58">
        <v>5.5</v>
      </c>
      <c r="F31" s="51"/>
    </row>
    <row r="32" spans="2:6" ht="16" thickBot="1" x14ac:dyDescent="0.25">
      <c r="B32" s="59"/>
      <c r="C32" s="60"/>
      <c r="D32" s="60" t="s">
        <v>43</v>
      </c>
      <c r="E32" s="61">
        <f>E30/E31</f>
        <v>11.614290909090908</v>
      </c>
      <c r="F32" s="62"/>
    </row>
    <row r="34" spans="2:6" ht="16" thickBot="1" x14ac:dyDescent="0.25"/>
    <row r="35" spans="2:6" x14ac:dyDescent="0.2">
      <c r="B35" s="93" t="s">
        <v>59</v>
      </c>
      <c r="C35" s="94"/>
      <c r="D35" s="94"/>
      <c r="E35" s="94"/>
      <c r="F35" s="95"/>
    </row>
    <row r="36" spans="2:6" ht="16" x14ac:dyDescent="0.2">
      <c r="B36" s="49" t="s">
        <v>41</v>
      </c>
      <c r="C36" s="50" t="s">
        <v>42</v>
      </c>
      <c r="D36" s="50" t="s">
        <v>43</v>
      </c>
      <c r="E36" s="50" t="s">
        <v>44</v>
      </c>
      <c r="F36" s="51"/>
    </row>
    <row r="37" spans="2:6" x14ac:dyDescent="0.2">
      <c r="B37" s="52">
        <v>1</v>
      </c>
      <c r="C37" s="53">
        <v>3.7</v>
      </c>
      <c r="D37" s="53">
        <v>0.13500000000000001</v>
      </c>
      <c r="E37" s="54">
        <f>C37*D37/B37</f>
        <v>0.49950000000000006</v>
      </c>
      <c r="F37" s="55" t="s">
        <v>55</v>
      </c>
    </row>
    <row r="38" spans="2:6" x14ac:dyDescent="0.2">
      <c r="B38" s="56">
        <v>1</v>
      </c>
      <c r="C38" s="57">
        <v>3.7</v>
      </c>
      <c r="D38" s="57">
        <v>0.52200000000000002</v>
      </c>
      <c r="E38" s="58">
        <f t="shared" ref="E38:E40" si="1">C38*D38/B38</f>
        <v>1.9314000000000002</v>
      </c>
      <c r="F38" s="51" t="s">
        <v>56</v>
      </c>
    </row>
    <row r="39" spans="2:6" x14ac:dyDescent="0.2">
      <c r="B39" s="56">
        <v>1</v>
      </c>
      <c r="C39" s="57">
        <v>3.7</v>
      </c>
      <c r="D39" s="57">
        <v>0.66500000000000004</v>
      </c>
      <c r="E39" s="58">
        <f t="shared" si="1"/>
        <v>2.4605000000000001</v>
      </c>
      <c r="F39" s="51" t="s">
        <v>57</v>
      </c>
    </row>
    <row r="40" spans="2:6" x14ac:dyDescent="0.2">
      <c r="B40" s="56">
        <v>1</v>
      </c>
      <c r="C40" s="57">
        <v>3.7</v>
      </c>
      <c r="D40" s="57">
        <v>0.435</v>
      </c>
      <c r="E40" s="58">
        <f t="shared" si="1"/>
        <v>1.6095000000000002</v>
      </c>
      <c r="F40" s="51" t="s">
        <v>58</v>
      </c>
    </row>
    <row r="41" spans="2:6" x14ac:dyDescent="0.2">
      <c r="B41" s="56"/>
      <c r="C41" s="57"/>
      <c r="D41" s="57"/>
      <c r="E41" s="58"/>
      <c r="F41" s="51"/>
    </row>
    <row r="42" spans="2:6" x14ac:dyDescent="0.2">
      <c r="B42" s="56"/>
      <c r="C42" s="57"/>
      <c r="D42" s="57"/>
      <c r="E42" s="58"/>
      <c r="F42" s="51"/>
    </row>
    <row r="43" spans="2:6" x14ac:dyDescent="0.2">
      <c r="B43" s="56"/>
      <c r="C43" s="57"/>
      <c r="D43" s="57"/>
      <c r="E43" s="58"/>
      <c r="F43" s="51"/>
    </row>
    <row r="44" spans="2:6" x14ac:dyDescent="0.2">
      <c r="B44" s="56"/>
      <c r="C44" s="57"/>
      <c r="D44" s="57"/>
      <c r="E44" s="58"/>
      <c r="F44" s="51"/>
    </row>
    <row r="45" spans="2:6" x14ac:dyDescent="0.2">
      <c r="B45" s="56"/>
      <c r="C45" s="57"/>
      <c r="D45" s="57"/>
      <c r="E45" s="58"/>
      <c r="F45" s="51"/>
    </row>
    <row r="46" spans="2:6" x14ac:dyDescent="0.2">
      <c r="B46" s="56"/>
      <c r="C46" s="57"/>
      <c r="D46" s="57"/>
      <c r="E46" s="58"/>
      <c r="F46" s="51"/>
    </row>
    <row r="47" spans="2:6" x14ac:dyDescent="0.2">
      <c r="B47" s="56"/>
      <c r="C47" s="57"/>
      <c r="D47" s="57"/>
      <c r="E47" s="58"/>
      <c r="F47" s="51"/>
    </row>
    <row r="48" spans="2:6" x14ac:dyDescent="0.2">
      <c r="B48" s="56"/>
      <c r="C48" s="57"/>
      <c r="D48" s="57" t="s">
        <v>44</v>
      </c>
      <c r="E48" s="58">
        <f>SUM(E37:E46)</f>
        <v>6.5009000000000015</v>
      </c>
      <c r="F48" s="51"/>
    </row>
    <row r="49" spans="2:6" x14ac:dyDescent="0.2">
      <c r="B49" s="56"/>
      <c r="C49" s="57"/>
      <c r="D49" s="57" t="s">
        <v>42</v>
      </c>
      <c r="E49" s="58">
        <v>3.9</v>
      </c>
      <c r="F49" s="51"/>
    </row>
    <row r="50" spans="2:6" ht="16" thickBot="1" x14ac:dyDescent="0.25">
      <c r="B50" s="59"/>
      <c r="C50" s="60"/>
      <c r="D50" s="60" t="s">
        <v>43</v>
      </c>
      <c r="E50" s="61">
        <f>E48/E49</f>
        <v>1.6668974358974362</v>
      </c>
      <c r="F50" s="62"/>
    </row>
    <row r="52" spans="2:6" ht="16" thickBot="1" x14ac:dyDescent="0.25"/>
    <row r="53" spans="2:6" x14ac:dyDescent="0.2">
      <c r="B53" s="98" t="s">
        <v>119</v>
      </c>
      <c r="C53" s="94"/>
      <c r="D53" s="94"/>
      <c r="E53" s="94"/>
      <c r="F53" s="95"/>
    </row>
    <row r="54" spans="2:6" ht="16" x14ac:dyDescent="0.2">
      <c r="B54" s="49" t="s">
        <v>41</v>
      </c>
      <c r="C54" s="50" t="s">
        <v>42</v>
      </c>
      <c r="D54" s="50" t="s">
        <v>43</v>
      </c>
      <c r="E54" s="50" t="s">
        <v>44</v>
      </c>
      <c r="F54" s="51"/>
    </row>
    <row r="55" spans="2:6" x14ac:dyDescent="0.2">
      <c r="B55" s="52"/>
      <c r="C55" s="53"/>
      <c r="D55" s="53"/>
      <c r="E55" s="54"/>
      <c r="F55" s="55"/>
    </row>
    <row r="56" spans="2:6" x14ac:dyDescent="0.2">
      <c r="B56" s="56"/>
      <c r="C56" s="57"/>
      <c r="D56" s="57"/>
      <c r="E56" s="58"/>
      <c r="F56" s="51"/>
    </row>
    <row r="57" spans="2:6" x14ac:dyDescent="0.2">
      <c r="B57" s="56"/>
      <c r="C57" s="57"/>
      <c r="D57" s="57"/>
      <c r="E57" s="58"/>
      <c r="F57" s="51"/>
    </row>
    <row r="58" spans="2:6" x14ac:dyDescent="0.2">
      <c r="B58" s="56"/>
      <c r="C58" s="57"/>
      <c r="D58" s="57"/>
      <c r="E58" s="58"/>
      <c r="F58" s="51"/>
    </row>
    <row r="59" spans="2:6" x14ac:dyDescent="0.2">
      <c r="B59" s="56"/>
      <c r="C59" s="57"/>
      <c r="D59" s="57"/>
      <c r="E59" s="58"/>
      <c r="F59" s="51"/>
    </row>
    <row r="60" spans="2:6" x14ac:dyDescent="0.2">
      <c r="B60" s="56"/>
      <c r="C60" s="57"/>
      <c r="D60" s="57"/>
      <c r="E60" s="58"/>
      <c r="F60" s="51"/>
    </row>
    <row r="61" spans="2:6" x14ac:dyDescent="0.2">
      <c r="B61" s="56"/>
      <c r="C61" s="57"/>
      <c r="D61" s="57"/>
      <c r="E61" s="58"/>
      <c r="F61" s="51"/>
    </row>
    <row r="62" spans="2:6" x14ac:dyDescent="0.2">
      <c r="B62" s="56"/>
      <c r="C62" s="57"/>
      <c r="D62" s="57"/>
      <c r="E62" s="58"/>
      <c r="F62" s="51"/>
    </row>
    <row r="63" spans="2:6" x14ac:dyDescent="0.2">
      <c r="B63" s="56"/>
      <c r="C63" s="57"/>
      <c r="D63" s="57"/>
      <c r="E63" s="58"/>
      <c r="F63" s="51"/>
    </row>
    <row r="64" spans="2:6" x14ac:dyDescent="0.2">
      <c r="B64" s="56"/>
      <c r="C64" s="57"/>
      <c r="D64" s="57"/>
      <c r="E64" s="58"/>
      <c r="F64" s="51"/>
    </row>
    <row r="65" spans="2:6" x14ac:dyDescent="0.2">
      <c r="B65" s="56"/>
      <c r="C65" s="57"/>
      <c r="D65" s="57"/>
      <c r="E65" s="58"/>
      <c r="F65" s="51"/>
    </row>
    <row r="66" spans="2:6" x14ac:dyDescent="0.2">
      <c r="B66" s="56"/>
      <c r="C66" s="57"/>
      <c r="D66" s="57" t="s">
        <v>44</v>
      </c>
      <c r="E66" s="58">
        <f>SUM(E55:E64)</f>
        <v>0</v>
      </c>
      <c r="F66" s="51"/>
    </row>
    <row r="67" spans="2:6" x14ac:dyDescent="0.2">
      <c r="B67" s="56"/>
      <c r="C67" s="57"/>
      <c r="D67" s="57" t="s">
        <v>42</v>
      </c>
      <c r="E67" s="58">
        <v>3.9</v>
      </c>
      <c r="F67" s="51"/>
    </row>
    <row r="68" spans="2:6" ht="16" thickBot="1" x14ac:dyDescent="0.25">
      <c r="B68" s="59"/>
      <c r="C68" s="60"/>
      <c r="D68" s="60" t="s">
        <v>43</v>
      </c>
      <c r="E68" s="61">
        <f>E66/E67</f>
        <v>0</v>
      </c>
      <c r="F68" s="62"/>
    </row>
    <row r="73" spans="2:6" ht="16" thickBot="1" x14ac:dyDescent="0.25"/>
    <row r="74" spans="2:6" x14ac:dyDescent="0.2">
      <c r="B74" s="93" t="s">
        <v>52</v>
      </c>
      <c r="C74" s="94"/>
      <c r="D74" s="94"/>
      <c r="E74" s="94"/>
      <c r="F74" s="95"/>
    </row>
    <row r="75" spans="2:6" ht="16" x14ac:dyDescent="0.2">
      <c r="B75" s="63" t="s">
        <v>41</v>
      </c>
      <c r="C75" s="64" t="s">
        <v>42</v>
      </c>
      <c r="D75" s="64" t="s">
        <v>43</v>
      </c>
      <c r="E75" s="64" t="s">
        <v>44</v>
      </c>
      <c r="F75" s="65"/>
    </row>
    <row r="76" spans="2:6" x14ac:dyDescent="0.2">
      <c r="B76" s="56">
        <v>0.85</v>
      </c>
      <c r="C76" s="57">
        <v>5.5</v>
      </c>
      <c r="D76" s="58">
        <f>E32</f>
        <v>11.614290909090908</v>
      </c>
      <c r="E76" s="58">
        <f t="shared" ref="E76:E80" si="2">C76*D76/B76</f>
        <v>75.151294117647055</v>
      </c>
      <c r="F76" s="51" t="s">
        <v>121</v>
      </c>
    </row>
    <row r="77" spans="2:6" x14ac:dyDescent="0.2">
      <c r="B77" s="56">
        <v>0.85</v>
      </c>
      <c r="C77" s="57">
        <v>5.5</v>
      </c>
      <c r="D77" s="58">
        <f>E50</f>
        <v>1.6668974358974362</v>
      </c>
      <c r="E77" s="58">
        <f t="shared" si="2"/>
        <v>10.785806938159883</v>
      </c>
      <c r="F77" s="97" t="s">
        <v>120</v>
      </c>
    </row>
    <row r="78" spans="2:6" x14ac:dyDescent="0.2">
      <c r="B78" s="56">
        <v>0.85</v>
      </c>
      <c r="C78" s="57">
        <v>3.7</v>
      </c>
      <c r="D78" s="58">
        <f>E68</f>
        <v>0</v>
      </c>
      <c r="E78" s="58">
        <f t="shared" si="2"/>
        <v>0</v>
      </c>
      <c r="F78" s="97" t="s">
        <v>118</v>
      </c>
    </row>
    <row r="79" spans="2:6" x14ac:dyDescent="0.2">
      <c r="B79" s="56">
        <v>1</v>
      </c>
      <c r="C79" s="57">
        <v>29</v>
      </c>
      <c r="D79" s="57">
        <v>1</v>
      </c>
      <c r="E79" s="58">
        <f t="shared" si="2"/>
        <v>29</v>
      </c>
      <c r="F79" s="51" t="s">
        <v>53</v>
      </c>
    </row>
    <row r="80" spans="2:6" x14ac:dyDescent="0.2">
      <c r="B80" s="56">
        <v>1</v>
      </c>
      <c r="C80" s="57">
        <v>29</v>
      </c>
      <c r="D80" s="57">
        <v>1</v>
      </c>
      <c r="E80" s="58">
        <f t="shared" si="2"/>
        <v>29</v>
      </c>
      <c r="F80" s="51" t="s">
        <v>54</v>
      </c>
    </row>
    <row r="81" spans="2:6" x14ac:dyDescent="0.2">
      <c r="B81" s="56"/>
      <c r="C81" s="57"/>
      <c r="D81" s="57"/>
      <c r="E81" s="58"/>
      <c r="F81" s="51"/>
    </row>
    <row r="82" spans="2:6" x14ac:dyDescent="0.2">
      <c r="B82" s="56"/>
      <c r="C82" s="57"/>
      <c r="D82" s="57" t="s">
        <v>44</v>
      </c>
      <c r="E82" s="58">
        <f>SUM(E76:E80)</f>
        <v>143.93710105580692</v>
      </c>
      <c r="F82" s="51"/>
    </row>
    <row r="83" spans="2:6" x14ac:dyDescent="0.2">
      <c r="B83" s="56"/>
      <c r="C83" s="57"/>
      <c r="D83" s="57" t="s">
        <v>42</v>
      </c>
      <c r="E83" s="58">
        <v>29</v>
      </c>
      <c r="F83" s="51"/>
    </row>
    <row r="84" spans="2:6" ht="16" thickBot="1" x14ac:dyDescent="0.25">
      <c r="B84" s="59"/>
      <c r="C84" s="60"/>
      <c r="D84" s="60" t="s">
        <v>43</v>
      </c>
      <c r="E84" s="61">
        <f>E82/E83</f>
        <v>4.9633483122692041</v>
      </c>
      <c r="F84" s="62"/>
    </row>
  </sheetData>
  <mergeCells count="4">
    <mergeCell ref="B6:F6"/>
    <mergeCell ref="B74:F74"/>
    <mergeCell ref="B35:F35"/>
    <mergeCell ref="B53:F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rx_chain</vt:lpstr>
      <vt:lpstr>tx_chain</vt:lpstr>
      <vt:lpstr>power_budget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joel2</dc:creator>
  <cp:lastModifiedBy>john jones</cp:lastModifiedBy>
  <dcterms:created xsi:type="dcterms:W3CDTF">2016-11-05T01:53:38Z</dcterms:created>
  <dcterms:modified xsi:type="dcterms:W3CDTF">2018-04-14T02:40:57Z</dcterms:modified>
</cp:coreProperties>
</file>