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xr:revisionPtr revIDLastSave="0" documentId="8_{01C4BC19-DFA8-0B48-946C-24FC1D8EA1D9}" xr6:coauthVersionLast="31" xr6:coauthVersionMax="31" xr10:uidLastSave="{00000000-0000-0000-0000-000000000000}"/>
  <bookViews>
    <workbookView xWindow="-33600" yWindow="15420" windowWidth="33600" windowHeight="20540" xr2:uid="{00000000-000D-0000-FFFF-FFFF00000000}"/>
  </bookViews>
  <sheets>
    <sheet name="rx_chain" sheetId="1" r:id="rId1"/>
    <sheet name="tx_chain" sheetId="2" r:id="rId2"/>
    <sheet name="power_budget" sheetId="3" r:id="rId3"/>
  </sheet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8" i="2"/>
  <c r="H4" i="1" l="1"/>
  <c r="H3" i="1"/>
  <c r="G10" i="1"/>
  <c r="Q30" i="1"/>
  <c r="Q29" i="1" s="1"/>
  <c r="Q31" i="1"/>
  <c r="G30" i="1"/>
  <c r="R31" i="1"/>
  <c r="G31" i="1"/>
  <c r="H31" i="1" s="1"/>
  <c r="F31" i="1"/>
  <c r="G21" i="1"/>
  <c r="G17" i="1"/>
  <c r="G15" i="1"/>
  <c r="H15" i="1" s="1"/>
  <c r="H25" i="1"/>
  <c r="H27" i="1"/>
  <c r="H28" i="1"/>
  <c r="H30" i="1"/>
  <c r="G23" i="1"/>
  <c r="H23" i="1" s="1"/>
  <c r="G29" i="1"/>
  <c r="H29" i="1" s="1"/>
  <c r="G27" i="1"/>
  <c r="G26" i="1"/>
  <c r="H26" i="1" s="1"/>
  <c r="F26" i="1"/>
  <c r="F27" i="1"/>
  <c r="F28" i="1"/>
  <c r="F29" i="1"/>
  <c r="F23" i="1"/>
  <c r="F25" i="1"/>
  <c r="F30" i="1"/>
  <c r="F15" i="1"/>
  <c r="H21" i="1"/>
  <c r="F21" i="1"/>
  <c r="F11" i="1"/>
  <c r="G11" i="1"/>
  <c r="H11" i="1" s="1"/>
  <c r="F12" i="1"/>
  <c r="G12" i="1"/>
  <c r="H12" i="1" s="1"/>
  <c r="R29" i="1" l="1"/>
  <c r="Q28" i="1"/>
  <c r="R30" i="1"/>
  <c r="E43" i="3"/>
  <c r="E42" i="3"/>
  <c r="E41" i="3"/>
  <c r="E40" i="3"/>
  <c r="Q27" i="1" l="1"/>
  <c r="Q26" i="1" s="1"/>
  <c r="Q25" i="1" s="1"/>
  <c r="Q24" i="1" s="1"/>
  <c r="R28" i="1"/>
  <c r="R27" i="1"/>
  <c r="E51" i="3"/>
  <c r="E53" i="3" s="1"/>
  <c r="E28" i="3"/>
  <c r="E27" i="3"/>
  <c r="E26" i="3"/>
  <c r="E30" i="3" s="1"/>
  <c r="E32" i="3" s="1"/>
  <c r="E17" i="3"/>
  <c r="E16" i="3"/>
  <c r="E15" i="3"/>
  <c r="E14" i="3"/>
  <c r="E13" i="3"/>
  <c r="E12" i="3"/>
  <c r="E11" i="3"/>
  <c r="E10" i="3"/>
  <c r="E9" i="3"/>
  <c r="E8" i="3"/>
  <c r="E19" i="3" s="1"/>
  <c r="E21" i="3" s="1"/>
  <c r="R26" i="1" l="1"/>
  <c r="H17" i="1"/>
  <c r="F17" i="1"/>
  <c r="M10" i="1"/>
  <c r="G16" i="1"/>
  <c r="H16" i="1" s="1"/>
  <c r="F16" i="1"/>
  <c r="H18" i="1"/>
  <c r="F18" i="1"/>
  <c r="R25" i="1" l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Q23" i="1" l="1"/>
  <c r="R24" i="1"/>
  <c r="F10" i="1"/>
  <c r="H10" i="1"/>
  <c r="Q22" i="1" l="1"/>
  <c r="R23" i="1"/>
  <c r="G20" i="1"/>
  <c r="H20" i="1" s="1"/>
  <c r="G13" i="1"/>
  <c r="H13" i="1" s="1"/>
  <c r="F24" i="1"/>
  <c r="R32" i="1"/>
  <c r="H32" i="1"/>
  <c r="F32" i="1"/>
  <c r="H22" i="1"/>
  <c r="H19" i="1"/>
  <c r="H14" i="1"/>
  <c r="H9" i="1"/>
  <c r="J9" i="1" s="1"/>
  <c r="F22" i="1"/>
  <c r="F20" i="1"/>
  <c r="F19" i="1"/>
  <c r="F14" i="1"/>
  <c r="F13" i="1"/>
  <c r="F9" i="1"/>
  <c r="N9" i="1" s="1"/>
  <c r="N10" i="1" s="1"/>
  <c r="N11" i="1" s="1"/>
  <c r="N12" i="1" s="1"/>
  <c r="N13" i="1" l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R22" i="1"/>
  <c r="Q21" i="1"/>
  <c r="M32" i="1"/>
  <c r="J10" i="1"/>
  <c r="J11" i="1" s="1"/>
  <c r="K9" i="1"/>
  <c r="G24" i="1"/>
  <c r="H24" i="1" s="1"/>
  <c r="Q20" i="1" l="1"/>
  <c r="R21" i="1"/>
  <c r="K11" i="1"/>
  <c r="J12" i="1"/>
  <c r="K10" i="1"/>
  <c r="V10" i="1" s="1"/>
  <c r="K12" i="1" l="1"/>
  <c r="V12" i="1" s="1"/>
  <c r="J13" i="1"/>
  <c r="Q19" i="1"/>
  <c r="R20" i="1"/>
  <c r="V11" i="1"/>
  <c r="Q18" i="1" l="1"/>
  <c r="R19" i="1"/>
  <c r="K13" i="1"/>
  <c r="V13" i="1" s="1"/>
  <c r="J14" i="1"/>
  <c r="N32" i="1"/>
  <c r="K14" i="1" l="1"/>
  <c r="V14" i="1" s="1"/>
  <c r="J15" i="1"/>
  <c r="Q17" i="1"/>
  <c r="R18" i="1"/>
  <c r="U19" i="1"/>
  <c r="Q16" i="1" l="1"/>
  <c r="R17" i="1"/>
  <c r="K15" i="1"/>
  <c r="V15" i="1" s="1"/>
  <c r="J16" i="1"/>
  <c r="K16" i="1" l="1"/>
  <c r="V16" i="1" s="1"/>
  <c r="J17" i="1"/>
  <c r="Q15" i="1"/>
  <c r="R16" i="1"/>
  <c r="Q14" i="1" l="1"/>
  <c r="R15" i="1"/>
  <c r="K17" i="1"/>
  <c r="V17" i="1" s="1"/>
  <c r="J18" i="1"/>
  <c r="J19" i="1" l="1"/>
  <c r="K18" i="1"/>
  <c r="V18" i="1" s="1"/>
  <c r="Q13" i="1"/>
  <c r="R14" i="1"/>
  <c r="Q12" i="1" l="1"/>
  <c r="R13" i="1"/>
  <c r="K19" i="1"/>
  <c r="V19" i="1" s="1"/>
  <c r="J20" i="1"/>
  <c r="J21" i="1" l="1"/>
  <c r="K20" i="1"/>
  <c r="V20" i="1" s="1"/>
  <c r="Q11" i="1"/>
  <c r="R12" i="1"/>
  <c r="R11" i="1" l="1"/>
  <c r="Q10" i="1"/>
  <c r="R10" i="1" s="1"/>
  <c r="K21" i="1"/>
  <c r="V21" i="1" s="1"/>
  <c r="J22" i="1"/>
  <c r="Q9" i="1" l="1"/>
  <c r="R9" i="1" s="1"/>
  <c r="J23" i="1"/>
  <c r="K22" i="1"/>
  <c r="V22" i="1" s="1"/>
  <c r="K23" i="1" l="1"/>
  <c r="V23" i="1" s="1"/>
  <c r="J24" i="1"/>
  <c r="J25" i="1" l="1"/>
  <c r="K24" i="1"/>
  <c r="V24" i="1" s="1"/>
  <c r="K25" i="1" l="1"/>
  <c r="V25" i="1" s="1"/>
  <c r="J26" i="1"/>
  <c r="J27" i="1" l="1"/>
  <c r="K26" i="1"/>
  <c r="V26" i="1" s="1"/>
  <c r="K27" i="1" l="1"/>
  <c r="V27" i="1" s="1"/>
  <c r="J28" i="1"/>
  <c r="J29" i="1" l="1"/>
  <c r="K28" i="1"/>
  <c r="V28" i="1" s="1"/>
  <c r="K29" i="1" l="1"/>
  <c r="V29" i="1" s="1"/>
  <c r="J30" i="1"/>
  <c r="J31" i="1" s="1"/>
  <c r="K31" i="1" s="1"/>
  <c r="V31" i="1" l="1"/>
  <c r="K30" i="1"/>
  <c r="V30" i="1" s="1"/>
  <c r="J32" i="1"/>
  <c r="K32" i="1" s="1"/>
  <c r="V32" i="1" s="1"/>
</calcChain>
</file>

<file path=xl/sharedStrings.xml><?xml version="1.0" encoding="utf-8"?>
<sst xmlns="http://schemas.openxmlformats.org/spreadsheetml/2006/main" count="189" uniqueCount="101">
  <si>
    <t xml:space="preserve">Graviton Receiver Analog Front End Cascade Analysis </t>
  </si>
  <si>
    <t>desc</t>
  </si>
  <si>
    <t>gain</t>
  </si>
  <si>
    <t>dB</t>
  </si>
  <si>
    <t>dBm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</si>
  <si>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</si>
  <si>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</si>
  <si>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</si>
  <si>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</si>
  <si>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</si>
  <si>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</si>
  <si>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</si>
  <si>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</si>
  <si>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</si>
  <si>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</si>
  <si>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</si>
  <si>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</si>
  <si>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</si>
  <si>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db</t>
  </si>
  <si>
    <t>IIP3</t>
  </si>
  <si>
    <t>IP3 spur @ FS</t>
  </si>
  <si>
    <t>passband, fc (Hz)</t>
  </si>
  <si>
    <t>LMH6554</t>
  </si>
  <si>
    <t>reflectionless filter</t>
  </si>
  <si>
    <t>XLF-151+</t>
  </si>
  <si>
    <t>part number</t>
  </si>
  <si>
    <t>SF2098H</t>
  </si>
  <si>
    <t>PE43713</t>
  </si>
  <si>
    <t>AD42LB69</t>
  </si>
  <si>
    <t>notes</t>
  </si>
  <si>
    <t>MAX2031</t>
  </si>
  <si>
    <t>MIXER</t>
  </si>
  <si>
    <t>AMP</t>
  </si>
  <si>
    <t>DSA (I.L. + setting)</t>
  </si>
  <si>
    <t>switch</t>
  </si>
  <si>
    <t>legend</t>
  </si>
  <si>
    <t>[NUMBER]</t>
  </si>
  <si>
    <t>things that you can program</t>
  </si>
  <si>
    <t>amp output</t>
  </si>
  <si>
    <t>budget</t>
  </si>
  <si>
    <t>PE42820</t>
  </si>
  <si>
    <t>5.5V Supply</t>
  </si>
  <si>
    <t>eff</t>
  </si>
  <si>
    <t>volts</t>
  </si>
  <si>
    <t>amps</t>
  </si>
  <si>
    <t>watts</t>
  </si>
  <si>
    <t>ADC Digital</t>
  </si>
  <si>
    <t>DAC Digital</t>
  </si>
  <si>
    <t>MCU/PHY</t>
  </si>
  <si>
    <t>Amps</t>
  </si>
  <si>
    <t>OCXO</t>
  </si>
  <si>
    <t>Analog</t>
  </si>
  <si>
    <t>Switche</t>
  </si>
  <si>
    <t>Switches</t>
  </si>
  <si>
    <t>Fans</t>
  </si>
  <si>
    <t>29V Supply</t>
  </si>
  <si>
    <t>5V supply</t>
  </si>
  <si>
    <t>TX PA #1</t>
  </si>
  <si>
    <t>TX PA #2</t>
  </si>
  <si>
    <t>DAC (3.3V LDO)</t>
  </si>
  <si>
    <t>ADC (3.3V LDO)</t>
  </si>
  <si>
    <t>CLOCK (3.3V LDO)</t>
  </si>
  <si>
    <t>SYNTH (3.3V LDO)</t>
  </si>
  <si>
    <t>3.7V Supply</t>
  </si>
  <si>
    <t>link</t>
  </si>
  <si>
    <t>MEMS filter</t>
  </si>
  <si>
    <t>TC2-1TG2+</t>
  </si>
  <si>
    <t>TC3-1TG2+</t>
  </si>
  <si>
    <t>transformer (Z = 3:1)</t>
  </si>
  <si>
    <t>transformer (Z = 2:1)</t>
  </si>
  <si>
    <t>MEM2012SC470</t>
  </si>
  <si>
    <t>SKY67150-396LF</t>
  </si>
  <si>
    <t>baseband, fc (Hz)</t>
  </si>
  <si>
    <t>50-Ohm S.E.</t>
  </si>
  <si>
    <t>50-Ohm D.E.</t>
  </si>
  <si>
    <t>100-Ohm D.E.</t>
  </si>
  <si>
    <t>300-Ohm D.E.</t>
  </si>
  <si>
    <t>output Z</t>
  </si>
  <si>
    <t>377-Ohms S.E.</t>
  </si>
  <si>
    <t>antenna IL</t>
  </si>
  <si>
    <t>cable IL</t>
  </si>
  <si>
    <t>connector IL</t>
  </si>
  <si>
    <t>switch IL</t>
  </si>
  <si>
    <t>SAW filter IL</t>
  </si>
  <si>
    <t>subcarrier bw (Hz)</t>
  </si>
  <si>
    <t>subcarrier noise floor (dBm)</t>
  </si>
  <si>
    <t>ADC (250 Msps), Vpp(diff) = 2.0V</t>
  </si>
  <si>
    <t>DAC3484</t>
  </si>
  <si>
    <t>DAC</t>
  </si>
  <si>
    <t>mixer</t>
  </si>
  <si>
    <t>MMG3004NT1</t>
  </si>
  <si>
    <t>preamp</t>
  </si>
  <si>
    <t>SF2098</t>
  </si>
  <si>
    <t>SAW filter</t>
  </si>
  <si>
    <t>MMG3006NT1</t>
  </si>
  <si>
    <t>NPA1006</t>
  </si>
  <si>
    <t>power amplifier</t>
  </si>
  <si>
    <t>PE42820MLBA-X</t>
  </si>
  <si>
    <t>power</t>
  </si>
  <si>
    <t>Watts</t>
  </si>
  <si>
    <t>(12.5W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</si>
</sst>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00"/>
    <numFmt numFmtId="167" formatCode="0.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92">
    <xf numFmtId="0" fontId="0" fillId="0" borderId="0" xfId="0"/>
    <xf numFmtId="0" fontId="0" fillId="4" borderId="4" xfId="0" applyFont="1" applyFill="1" applyBorder="1"/>
    <xf numFmtId="165" fontId="0" fillId="4" borderId="0" xfId="0" applyNumberFormat="1" applyFont="1" applyFill="1" applyBorder="1"/>
    <xf numFmtId="0" fontId="0" fillId="4" borderId="0" xfId="0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4" borderId="2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4" fillId="4" borderId="4" xfId="0" applyFont="1" applyFill="1" applyBorder="1"/>
    <xf numFmtId="165" fontId="4" fillId="4" borderId="0" xfId="0" applyNumberFormat="1" applyFont="1" applyFill="1" applyBorder="1"/>
    <xf numFmtId="165" fontId="4" fillId="4" borderId="5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8" xfId="0" applyNumberFormat="1" applyFont="1" applyFill="1" applyBorder="1"/>
    <xf numFmtId="166" fontId="4" fillId="4" borderId="0" xfId="0" applyNumberFormat="1" applyFont="1" applyFill="1"/>
    <xf numFmtId="0" fontId="0" fillId="4" borderId="4" xfId="0" applyFill="1" applyBorder="1"/>
    <xf numFmtId="165" fontId="3" fillId="4" borderId="0" xfId="0" applyNumberFormat="1" applyFon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165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5" fillId="4" borderId="0" xfId="0" applyFont="1" applyFill="1"/>
    <xf numFmtId="0" fontId="2" fillId="4" borderId="0" xfId="1" applyFill="1" applyBorder="1"/>
    <xf numFmtId="0" fontId="3" fillId="4" borderId="4" xfId="1" applyFont="1" applyFill="1" applyBorder="1"/>
    <xf numFmtId="165" fontId="6" fillId="4" borderId="8" xfId="0" applyNumberFormat="1" applyFont="1" applyFill="1" applyBorder="1"/>
    <xf numFmtId="3" fontId="0" fillId="4" borderId="0" xfId="0" applyNumberFormat="1" applyFill="1"/>
    <xf numFmtId="0" fontId="0" fillId="4" borderId="6" xfId="0" applyFill="1" applyBorder="1"/>
    <xf numFmtId="165" fontId="0" fillId="4" borderId="12" xfId="0" applyNumberFormat="1" applyFill="1" applyBorder="1"/>
    <xf numFmtId="165" fontId="0" fillId="4" borderId="7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2" xfId="0" applyFont="1" applyFill="1" applyBorder="1"/>
    <xf numFmtId="0" fontId="1" fillId="2" borderId="0" xfId="0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9" xfId="0" applyFont="1" applyBorder="1"/>
    <xf numFmtId="0" fontId="8" fillId="0" borderId="9" xfId="0" applyFont="1" applyBorder="1" applyAlignment="1">
      <alignment horizontal="right"/>
    </xf>
    <xf numFmtId="0" fontId="7" fillId="0" borderId="0" xfId="0" applyFont="1" applyBorder="1"/>
    <xf numFmtId="165" fontId="8" fillId="0" borderId="0" xfId="0" applyNumberFormat="1" applyFont="1" applyBorder="1"/>
    <xf numFmtId="165" fontId="7" fillId="0" borderId="0" xfId="0" applyNumberFormat="1" applyFont="1" applyBorder="1"/>
    <xf numFmtId="165" fontId="7" fillId="0" borderId="0" xfId="0" applyNumberFormat="1" applyFont="1"/>
    <xf numFmtId="165" fontId="7" fillId="0" borderId="12" xfId="0" applyNumberFormat="1" applyFont="1" applyBorder="1"/>
    <xf numFmtId="0" fontId="9" fillId="0" borderId="0" xfId="0" applyFont="1"/>
    <xf numFmtId="165" fontId="9" fillId="0" borderId="0" xfId="0" applyNumberFormat="1" applyFont="1"/>
    <xf numFmtId="0" fontId="0" fillId="2" borderId="4" xfId="0" applyFill="1" applyBorder="1"/>
    <xf numFmtId="0" fontId="10" fillId="0" borderId="16" xfId="0" applyFont="1" applyBorder="1"/>
    <xf numFmtId="0" fontId="10" fillId="0" borderId="0" xfId="0" applyFont="1" applyBorder="1"/>
    <xf numFmtId="0" fontId="0" fillId="0" borderId="10" xfId="0" applyBorder="1"/>
    <xf numFmtId="0" fontId="0" fillId="0" borderId="17" xfId="0" applyBorder="1"/>
    <xf numFmtId="0" fontId="0" fillId="0" borderId="11" xfId="0" applyBorder="1"/>
    <xf numFmtId="165" fontId="0" fillId="0" borderId="11" xfId="0" applyNumberFormat="1" applyBorder="1"/>
    <xf numFmtId="0" fontId="0" fillId="0" borderId="18" xfId="0" applyBorder="1"/>
    <xf numFmtId="0" fontId="0" fillId="0" borderId="16" xfId="0" applyBorder="1"/>
    <xf numFmtId="0" fontId="0" fillId="0" borderId="0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20" xfId="0" applyNumberFormat="1" applyBorder="1"/>
    <xf numFmtId="0" fontId="0" fillId="0" borderId="21" xfId="0" applyBorder="1"/>
    <xf numFmtId="0" fontId="10" fillId="0" borderId="22" xfId="0" applyFont="1" applyBorder="1"/>
    <xf numFmtId="0" fontId="10" fillId="0" borderId="12" xfId="0" applyFont="1" applyBorder="1"/>
    <xf numFmtId="0" fontId="0" fillId="0" borderId="23" xfId="0" applyBorder="1"/>
    <xf numFmtId="0" fontId="0" fillId="4" borderId="0" xfId="0" applyFill="1" applyBorder="1" applyAlignment="1">
      <alignment vertical="center"/>
    </xf>
    <xf numFmtId="0" fontId="0" fillId="4" borderId="0" xfId="0" applyFont="1" applyFill="1" applyBorder="1"/>
    <xf numFmtId="0" fontId="1" fillId="4" borderId="25" xfId="0" applyFont="1" applyFill="1" applyBorder="1"/>
    <xf numFmtId="0" fontId="3" fillId="4" borderId="0" xfId="1" applyFont="1" applyFill="1" applyBorder="1"/>
    <xf numFmtId="0" fontId="0" fillId="4" borderId="0" xfId="0" applyFill="1" applyAlignment="1">
      <alignment horizontal="left"/>
    </xf>
    <xf numFmtId="165" fontId="0" fillId="5" borderId="4" xfId="0" applyNumberFormat="1" applyFill="1" applyBorder="1"/>
    <xf numFmtId="0" fontId="1" fillId="4" borderId="24" xfId="0" applyFont="1" applyFill="1" applyBorder="1"/>
    <xf numFmtId="165" fontId="1" fillId="4" borderId="25" xfId="0" applyNumberFormat="1" applyFont="1" applyFill="1" applyBorder="1"/>
    <xf numFmtId="165" fontId="1" fillId="4" borderId="24" xfId="0" applyNumberFormat="1" applyFont="1" applyFill="1" applyBorder="1"/>
    <xf numFmtId="165" fontId="1" fillId="4" borderId="26" xfId="0" applyNumberFormat="1" applyFont="1" applyFill="1" applyBorder="1"/>
    <xf numFmtId="2" fontId="1" fillId="4" borderId="26" xfId="0" applyNumberFormat="1" applyFont="1" applyFill="1" applyBorder="1"/>
    <xf numFmtId="3" fontId="1" fillId="4" borderId="25" xfId="0" applyNumberFormat="1" applyFont="1" applyFill="1" applyBorder="1"/>
    <xf numFmtId="2" fontId="0" fillId="4" borderId="0" xfId="0" applyNumberFormat="1" applyFill="1" applyBorder="1"/>
    <xf numFmtId="165" fontId="1" fillId="4" borderId="0" xfId="0" applyNumberFormat="1" applyFont="1" applyFill="1"/>
    <xf numFmtId="0" fontId="11" fillId="6" borderId="0" xfId="0" applyFont="1" applyFill="1"/>
    <xf numFmtId="1" fontId="0" fillId="4" borderId="0" xfId="0" applyNumberFormat="1" applyFill="1"/>
    <xf numFmtId="167" fontId="0" fillId="4" borderId="0" xfId="0" applyNumberForma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65" fontId="0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5</xdr:row>
      <xdr:rowOff>9198</xdr:rowOff>
    </xdr:from>
    <xdr:to>
      <xdr:col>19</xdr:col>
      <xdr:colOff>205891</xdr:colOff>
      <xdr:row>12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4</xdr:row>
      <xdr:rowOff>28575</xdr:rowOff>
    </xdr:from>
    <xdr:to>
      <xdr:col>21</xdr:col>
      <xdr:colOff>200025</xdr:colOff>
      <xdr:row>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219678</xdr:colOff>
      <xdr:row>35</xdr:row>
      <xdr:rowOff>144361</xdr:rowOff>
    </xdr:from>
    <xdr:to>
      <xdr:col>10</xdr:col>
      <xdr:colOff>86329</xdr:colOff>
      <xdr:row>37</xdr:row>
      <xdr:rowOff>87211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145121" y="6590817"/>
          <a:ext cx="1932411" cy="3286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210153</xdr:colOff>
      <xdr:row>25</xdr:row>
      <xdr:rowOff>125310</xdr:rowOff>
    </xdr:from>
    <xdr:to>
      <xdr:col>10</xdr:col>
      <xdr:colOff>746651</xdr:colOff>
      <xdr:row>36</xdr:row>
      <xdr:rowOff>125008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9034977" y="5061499"/>
          <a:ext cx="2161913" cy="1243840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594810</xdr:colOff>
      <xdr:row>15</xdr:row>
      <xdr:rowOff>4738</xdr:rowOff>
    </xdr:from>
    <xdr:to>
      <xdr:col>19</xdr:col>
      <xdr:colOff>264533</xdr:colOff>
      <xdr:row>22</xdr:row>
      <xdr:rowOff>63676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5105C527-680F-3446-81B3-E4FCA69B735F}"/>
            </a:ext>
          </a:extLst>
        </xdr:cNvPr>
        <xdr:cNvSpPr/>
      </xdr:nvSpPr>
      <xdr:spPr>
        <a:xfrm rot="16634710">
          <a:off x="14506848" y="2586624"/>
          <a:ext cx="1409318" cy="1341622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677766</xdr:colOff>
      <xdr:row>14</xdr:row>
      <xdr:rowOff>24115</xdr:rowOff>
    </xdr:from>
    <xdr:to>
      <xdr:col>20</xdr:col>
      <xdr:colOff>892215</xdr:colOff>
      <xdr:row>15</xdr:row>
      <xdr:rowOff>157465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247B5F-ED67-FF4E-88CF-39BB1A91A5AB}"/>
            </a:ext>
          </a:extLst>
        </xdr:cNvPr>
        <xdr:cNvSpPr txBox="1"/>
      </xdr:nvSpPr>
      <xdr:spPr>
        <a:xfrm>
          <a:off x="15298842" y="2379242"/>
          <a:ext cx="1588943" cy="3262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#3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zoomScale="115" zoomScaleNormal="85" workbookViewId="0">
      <selection activeCell="E16" sqref="E16"/>
    </sheetView>
  </sheetViews>
  <sheetFormatPr baseColWidth="10" defaultColWidth="8.83203125" defaultRowHeight="15" x14ac:dyDescent="0.2"/>
  <cols>
    <col min="1" max="1" width="11.6640625" bestFit="1" customWidth="1"/>
    <col min="2" max="2" width="14" bestFit="1" customWidth="1"/>
    <col min="3" max="3" width="22.33203125" customWidth="1"/>
    <col min="4" max="4" width="5.33203125" customWidth="1"/>
    <col min="5" max="5" width="5.6640625" bestFit="1" customWidth="1"/>
    <col min="6" max="6" width="7.33203125" customWidth="1"/>
    <col min="7" max="7" width="7.1640625" customWidth="1"/>
    <col min="8" max="8" width="8.83203125" customWidth="1"/>
    <col min="9" max="9" width="1.83203125" customWidth="1"/>
    <col min="10" max="10" width="9.33203125" bestFit="1" customWidth="1"/>
    <col min="11" max="11" width="11.83203125" bestFit="1" customWidth="1"/>
    <col min="12" max="12" width="3.6640625" customWidth="1"/>
    <col min="14" max="14" width="11.5" bestFit="1" customWidth="1"/>
    <col min="15" max="16" width="10" bestFit="1" customWidth="1"/>
    <col min="18" max="18" width="10.1640625" bestFit="1" customWidth="1"/>
    <col min="19" max="19" width="3" customWidth="1"/>
    <col min="20" max="20" width="5" bestFit="1" customWidth="1"/>
    <col min="21" max="21" width="12.6640625" bestFit="1" customWidth="1"/>
    <col min="22" max="22" width="17.5" bestFit="1" customWidth="1"/>
    <col min="23" max="23" width="7.1640625" bestFit="1" customWidth="1"/>
    <col min="24" max="26" width="7.1640625" customWidth="1"/>
  </cols>
  <sheetData>
    <row r="1" spans="1:27" x14ac:dyDescent="0.2">
      <c r="A1" s="3"/>
      <c r="B1" s="3"/>
      <c r="C1" s="3"/>
      <c r="D1" s="3"/>
      <c r="E1" s="3"/>
      <c r="F1" s="3"/>
      <c r="G1" s="4" t="s">
        <v>21</v>
      </c>
      <c r="H1" s="84">
        <v>915000000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3" t="s">
        <v>0</v>
      </c>
      <c r="B2" s="3"/>
      <c r="D2" s="3"/>
      <c r="E2" s="3"/>
      <c r="F2" s="3"/>
      <c r="G2" s="4" t="s">
        <v>72</v>
      </c>
      <c r="H2" s="84">
        <v>35000000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3"/>
      <c r="C3" s="3"/>
      <c r="D3" s="3"/>
      <c r="E3" s="3"/>
      <c r="F3" s="3"/>
      <c r="G3" s="4" t="s">
        <v>84</v>
      </c>
      <c r="H3" s="84">
        <f>125000000/4096</f>
        <v>30517.578125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3"/>
      <c r="B4" s="3"/>
      <c r="C4" s="3"/>
      <c r="D4" s="3"/>
      <c r="E4" s="3"/>
      <c r="F4" s="3"/>
      <c r="G4" s="4" t="s">
        <v>85</v>
      </c>
      <c r="H4" s="83">
        <f>-174+10*LOG10(H3)</f>
        <v>-129.15449934959719</v>
      </c>
      <c r="I4" s="3" t="s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5" t="s">
        <v>77</v>
      </c>
      <c r="B7" s="5" t="s">
        <v>25</v>
      </c>
      <c r="C7" s="5" t="s">
        <v>1</v>
      </c>
      <c r="D7" s="5"/>
      <c r="E7" s="6" t="s">
        <v>2</v>
      </c>
      <c r="F7" s="7" t="s">
        <v>2</v>
      </c>
      <c r="G7" s="6" t="s">
        <v>15</v>
      </c>
      <c r="H7" s="8" t="s">
        <v>13</v>
      </c>
      <c r="I7" s="9"/>
      <c r="J7" s="4" t="s">
        <v>14</v>
      </c>
      <c r="K7" s="4" t="s">
        <v>16</v>
      </c>
      <c r="L7" s="4"/>
      <c r="M7" s="4" t="s">
        <v>12</v>
      </c>
      <c r="N7" s="4" t="s">
        <v>12</v>
      </c>
      <c r="O7" s="4" t="s">
        <v>10</v>
      </c>
      <c r="P7" s="4" t="s">
        <v>11</v>
      </c>
      <c r="Q7" s="4" t="s">
        <v>6</v>
      </c>
      <c r="R7" s="4" t="s">
        <v>6</v>
      </c>
      <c r="S7" s="9"/>
      <c r="T7" s="4" t="s">
        <v>19</v>
      </c>
      <c r="U7" s="4" t="s">
        <v>20</v>
      </c>
      <c r="V7" s="4" t="s">
        <v>8</v>
      </c>
      <c r="W7" s="4" t="s">
        <v>29</v>
      </c>
      <c r="X7" s="4"/>
      <c r="Y7" s="4"/>
      <c r="Z7" s="4"/>
      <c r="AA7" s="3"/>
    </row>
    <row r="8" spans="1:27" ht="16" thickBot="1" x14ac:dyDescent="0.25">
      <c r="A8" s="3"/>
      <c r="B8" s="3"/>
      <c r="C8" s="5"/>
      <c r="D8" s="5"/>
      <c r="E8" s="10" t="s">
        <v>3</v>
      </c>
      <c r="F8" s="11" t="s">
        <v>7</v>
      </c>
      <c r="G8" s="10" t="s">
        <v>3</v>
      </c>
      <c r="H8" s="12"/>
      <c r="I8" s="9"/>
      <c r="J8" s="4"/>
      <c r="K8" s="4" t="s">
        <v>3</v>
      </c>
      <c r="L8" s="4"/>
      <c r="M8" s="4" t="s">
        <v>3</v>
      </c>
      <c r="N8" s="4" t="s">
        <v>7</v>
      </c>
      <c r="O8" s="4" t="s">
        <v>4</v>
      </c>
      <c r="P8" s="4" t="s">
        <v>4</v>
      </c>
      <c r="Q8" s="4" t="s">
        <v>4</v>
      </c>
      <c r="R8" s="4" t="s">
        <v>5</v>
      </c>
      <c r="S8" s="9"/>
      <c r="T8" s="4" t="s">
        <v>4</v>
      </c>
      <c r="U8" s="4" t="s">
        <v>4</v>
      </c>
      <c r="V8" s="4" t="s">
        <v>18</v>
      </c>
      <c r="W8" s="3"/>
      <c r="X8" s="3"/>
      <c r="Y8" s="3"/>
      <c r="Z8" s="3"/>
      <c r="AA8" s="3"/>
    </row>
    <row r="9" spans="1:27" ht="17" thickTop="1" thickBot="1" x14ac:dyDescent="0.25">
      <c r="A9" s="3" t="s">
        <v>78</v>
      </c>
      <c r="B9" s="3"/>
      <c r="C9" s="3" t="s">
        <v>64</v>
      </c>
      <c r="D9" s="3"/>
      <c r="E9" s="13">
        <v>0</v>
      </c>
      <c r="F9" s="14">
        <f>10^(E9/10)</f>
        <v>1</v>
      </c>
      <c r="G9" s="13">
        <v>0</v>
      </c>
      <c r="H9" s="15">
        <f>10^(G9/10)</f>
        <v>1</v>
      </c>
      <c r="I9" s="3"/>
      <c r="J9" s="16">
        <f>H9</f>
        <v>1</v>
      </c>
      <c r="K9" s="16">
        <f t="shared" ref="K9:K10" si="0">10*LOG10(J9)</f>
        <v>0</v>
      </c>
      <c r="L9" s="16"/>
      <c r="M9" s="17">
        <v>0</v>
      </c>
      <c r="N9" s="16">
        <f>F9</f>
        <v>1</v>
      </c>
      <c r="O9" s="17"/>
      <c r="P9" s="17"/>
      <c r="Q9" s="18">
        <f>Q10-E9</f>
        <v>-40.46</v>
      </c>
      <c r="R9" s="19">
        <f t="shared" ref="R9:R31" si="1">10^((Q9-30)/10)*1000000</f>
        <v>8.9949758153003115E-2</v>
      </c>
      <c r="S9" s="3"/>
      <c r="T9" s="3"/>
      <c r="U9" s="3"/>
      <c r="V9" s="3"/>
      <c r="W9" s="3"/>
      <c r="X9" s="3"/>
      <c r="Y9" s="3"/>
      <c r="Z9" s="3"/>
      <c r="AA9" s="3"/>
    </row>
    <row r="10" spans="1:27" ht="16" thickTop="1" x14ac:dyDescent="0.2">
      <c r="A10" s="3" t="s">
        <v>73</v>
      </c>
      <c r="B10" s="3"/>
      <c r="C10" s="36" t="s">
        <v>79</v>
      </c>
      <c r="D10" s="3"/>
      <c r="E10" s="20">
        <v>0</v>
      </c>
      <c r="F10" s="21">
        <f>10^(E10/10)</f>
        <v>1</v>
      </c>
      <c r="G10" s="22">
        <f>ABS(E10)</f>
        <v>0</v>
      </c>
      <c r="H10" s="23">
        <f t="shared" ref="H10:H32" si="2">10^(G10/10)</f>
        <v>1</v>
      </c>
      <c r="I10" s="3"/>
      <c r="J10" s="24">
        <f>J9+((H10-1)/N9)</f>
        <v>1</v>
      </c>
      <c r="K10" s="24">
        <f t="shared" si="0"/>
        <v>0</v>
      </c>
      <c r="L10" s="24"/>
      <c r="M10" s="3">
        <f>E10+M9</f>
        <v>0</v>
      </c>
      <c r="N10" s="24">
        <f>N9*F10</f>
        <v>1</v>
      </c>
      <c r="O10" s="3"/>
      <c r="P10" s="3"/>
      <c r="Q10" s="24">
        <f t="shared" ref="Q10:Q30" si="3">Q11-E10</f>
        <v>-40.46</v>
      </c>
      <c r="R10" s="31">
        <f t="shared" si="1"/>
        <v>8.9949758153003115E-2</v>
      </c>
      <c r="S10" s="3"/>
      <c r="T10" s="3"/>
      <c r="U10" s="3"/>
      <c r="V10" s="25">
        <f>K10-K9</f>
        <v>0</v>
      </c>
      <c r="W10" s="3"/>
      <c r="X10" s="3"/>
      <c r="Y10" s="3"/>
      <c r="Z10" s="3"/>
      <c r="AA10" s="3"/>
    </row>
    <row r="11" spans="1:27" x14ac:dyDescent="0.2">
      <c r="A11" s="3" t="s">
        <v>73</v>
      </c>
      <c r="B11" s="3"/>
      <c r="C11" s="36" t="s">
        <v>80</v>
      </c>
      <c r="D11" s="3"/>
      <c r="E11" s="20">
        <v>0</v>
      </c>
      <c r="F11" s="21">
        <f t="shared" ref="F11:F12" si="4">10^(E11/10)</f>
        <v>1</v>
      </c>
      <c r="G11" s="22">
        <f t="shared" ref="G11:G12" si="5">ABS(E11)</f>
        <v>0</v>
      </c>
      <c r="H11" s="23">
        <f t="shared" ref="H11:H12" si="6">10^(G11/10)</f>
        <v>1</v>
      </c>
      <c r="I11" s="3"/>
      <c r="J11" s="24">
        <f t="shared" ref="J11:J12" si="7">J10+((H11-1)/N10)</f>
        <v>1</v>
      </c>
      <c r="K11" s="24">
        <f t="shared" ref="K11:K12" si="8">10*LOG10(J11)</f>
        <v>0</v>
      </c>
      <c r="L11" s="24"/>
      <c r="M11" s="3">
        <f t="shared" ref="M11:M12" si="9">E11+M10</f>
        <v>0</v>
      </c>
      <c r="N11" s="24">
        <f t="shared" ref="N11:N12" si="10">N10*F11</f>
        <v>1</v>
      </c>
      <c r="O11" s="3"/>
      <c r="P11" s="3"/>
      <c r="Q11" s="24">
        <f t="shared" si="3"/>
        <v>-40.46</v>
      </c>
      <c r="R11" s="31">
        <f t="shared" si="1"/>
        <v>8.9949758153003115E-2</v>
      </c>
      <c r="S11" s="3"/>
      <c r="T11" s="3"/>
      <c r="U11" s="3"/>
      <c r="V11" s="25">
        <f t="shared" ref="V11:V14" si="11">K11-K10</f>
        <v>0</v>
      </c>
      <c r="W11" s="3"/>
      <c r="X11" s="3"/>
      <c r="Y11" s="3"/>
      <c r="Z11" s="3"/>
      <c r="AA11" s="3"/>
    </row>
    <row r="12" spans="1:27" x14ac:dyDescent="0.2">
      <c r="A12" s="3" t="s">
        <v>73</v>
      </c>
      <c r="B12" s="72">
        <v>132136</v>
      </c>
      <c r="C12" s="36" t="s">
        <v>81</v>
      </c>
      <c r="D12" s="3"/>
      <c r="E12" s="20">
        <v>0</v>
      </c>
      <c r="F12" s="21">
        <f t="shared" si="4"/>
        <v>1</v>
      </c>
      <c r="G12" s="22">
        <f t="shared" si="5"/>
        <v>0</v>
      </c>
      <c r="H12" s="23">
        <f t="shared" si="6"/>
        <v>1</v>
      </c>
      <c r="I12" s="3"/>
      <c r="J12" s="24">
        <f t="shared" si="7"/>
        <v>1</v>
      </c>
      <c r="K12" s="24">
        <f t="shared" si="8"/>
        <v>0</v>
      </c>
      <c r="L12" s="24"/>
      <c r="M12" s="3">
        <f t="shared" si="9"/>
        <v>0</v>
      </c>
      <c r="N12" s="24">
        <f t="shared" si="10"/>
        <v>1</v>
      </c>
      <c r="O12" s="3"/>
      <c r="P12" s="3"/>
      <c r="Q12" s="24">
        <f t="shared" si="3"/>
        <v>-40.46</v>
      </c>
      <c r="R12" s="31">
        <f t="shared" si="1"/>
        <v>8.9949758153003115E-2</v>
      </c>
      <c r="S12" s="3"/>
      <c r="T12" s="3"/>
      <c r="U12" s="3"/>
      <c r="V12" s="25">
        <f t="shared" si="11"/>
        <v>0</v>
      </c>
      <c r="W12" s="3"/>
      <c r="X12" s="3"/>
      <c r="Y12" s="3"/>
      <c r="Z12" s="3"/>
      <c r="AA12" s="3"/>
    </row>
    <row r="13" spans="1:27" x14ac:dyDescent="0.2">
      <c r="A13" s="3" t="s">
        <v>73</v>
      </c>
      <c r="B13" s="3" t="s">
        <v>40</v>
      </c>
      <c r="C13" s="69" t="s">
        <v>82</v>
      </c>
      <c r="D13" s="3"/>
      <c r="E13" s="20">
        <v>-0.3</v>
      </c>
      <c r="F13" s="26">
        <f t="shared" ref="F13:F32" si="12">10^(E13/10)</f>
        <v>0.93325430079699101</v>
      </c>
      <c r="G13" s="22">
        <f>ABS(E13)</f>
        <v>0.3</v>
      </c>
      <c r="H13" s="23">
        <f t="shared" si="2"/>
        <v>1.0715193052376064</v>
      </c>
      <c r="I13" s="3"/>
      <c r="J13" s="24">
        <f t="shared" ref="J13:J30" si="13">J12+((H13-1)/N12)</f>
        <v>1.0715193052376064</v>
      </c>
      <c r="K13" s="24">
        <f t="shared" ref="K13:K30" si="14">10*LOG10(J13)</f>
        <v>0.3</v>
      </c>
      <c r="L13" s="24"/>
      <c r="M13" s="3">
        <f t="shared" ref="M13:M30" si="15">E13+M12</f>
        <v>-0.3</v>
      </c>
      <c r="N13" s="24">
        <f t="shared" ref="N13:N30" si="16">N12*F13</f>
        <v>0.93325430079699101</v>
      </c>
      <c r="O13" s="3"/>
      <c r="P13" s="3"/>
      <c r="Q13" s="24">
        <f t="shared" si="3"/>
        <v>-40.46</v>
      </c>
      <c r="R13" s="31">
        <f t="shared" si="1"/>
        <v>8.9949758153003115E-2</v>
      </c>
      <c r="S13" s="3"/>
      <c r="T13" s="3"/>
      <c r="U13" s="3"/>
      <c r="V13" s="25">
        <f t="shared" si="11"/>
        <v>0.3</v>
      </c>
      <c r="W13" s="3"/>
      <c r="X13" s="3"/>
      <c r="Y13" s="3"/>
      <c r="Z13" s="3"/>
      <c r="AA13" s="3"/>
    </row>
    <row r="14" spans="1:27" x14ac:dyDescent="0.2">
      <c r="A14" s="82" t="s">
        <v>73</v>
      </c>
      <c r="B14" t="s">
        <v>71</v>
      </c>
      <c r="C14" s="69" t="s">
        <v>17</v>
      </c>
      <c r="D14" s="5"/>
      <c r="E14" s="20">
        <v>20.5</v>
      </c>
      <c r="F14" s="26">
        <f t="shared" si="12"/>
        <v>112.20184543019634</v>
      </c>
      <c r="G14" s="22">
        <v>0.23</v>
      </c>
      <c r="H14" s="23">
        <f t="shared" si="2"/>
        <v>1.0543868963912588</v>
      </c>
      <c r="I14" s="3"/>
      <c r="J14" s="24">
        <f t="shared" si="13"/>
        <v>1.1297959146727978</v>
      </c>
      <c r="K14" s="24">
        <f t="shared" si="14"/>
        <v>0.53</v>
      </c>
      <c r="L14" s="24"/>
      <c r="M14" s="3">
        <f t="shared" si="15"/>
        <v>20.2</v>
      </c>
      <c r="N14" s="24">
        <f t="shared" si="16"/>
        <v>104.71285480508995</v>
      </c>
      <c r="O14" s="3"/>
      <c r="P14" s="3"/>
      <c r="Q14" s="24">
        <f t="shared" si="3"/>
        <v>-40.76</v>
      </c>
      <c r="R14" s="31">
        <f t="shared" si="1"/>
        <v>8.3945998651939982E-2</v>
      </c>
      <c r="S14" s="3"/>
      <c r="T14" s="3"/>
      <c r="U14" s="3"/>
      <c r="V14" s="25">
        <f t="shared" si="11"/>
        <v>0.23000000000000004</v>
      </c>
      <c r="W14" s="3"/>
      <c r="X14" s="3"/>
      <c r="Y14" s="3"/>
      <c r="Z14" s="3"/>
      <c r="AA14" s="3"/>
    </row>
    <row r="15" spans="1:27" x14ac:dyDescent="0.2">
      <c r="A15" s="82" t="s">
        <v>73</v>
      </c>
      <c r="B15" s="3" t="s">
        <v>26</v>
      </c>
      <c r="C15" s="69" t="s">
        <v>83</v>
      </c>
      <c r="D15" s="3"/>
      <c r="E15" s="20">
        <v>-2</v>
      </c>
      <c r="F15" s="26">
        <f t="shared" ref="F15" si="17">10^(E15/10)</f>
        <v>0.63095734448019325</v>
      </c>
      <c r="G15" s="22">
        <f>ABS(E15)</f>
        <v>2</v>
      </c>
      <c r="H15" s="23">
        <f t="shared" ref="H15" si="18">10^(G15/10)</f>
        <v>1.5848931924611136</v>
      </c>
      <c r="I15" s="3"/>
      <c r="J15" s="24">
        <f t="shared" si="13"/>
        <v>1.1353816012969455</v>
      </c>
      <c r="K15" s="24">
        <f t="shared" si="14"/>
        <v>0.55141852263929469</v>
      </c>
      <c r="L15" s="24"/>
      <c r="M15" s="3">
        <f t="shared" si="15"/>
        <v>18.2</v>
      </c>
      <c r="N15" s="24">
        <f t="shared" si="16"/>
        <v>66.069344800759595</v>
      </c>
      <c r="O15" s="3"/>
      <c r="P15" s="3"/>
      <c r="Q15" s="24">
        <f t="shared" si="3"/>
        <v>-20.259999999999998</v>
      </c>
      <c r="R15" s="31">
        <f t="shared" si="1"/>
        <v>9.4188959652284083</v>
      </c>
      <c r="S15" s="3"/>
      <c r="T15" s="3"/>
      <c r="U15" s="3"/>
      <c r="V15" s="25">
        <f t="shared" ref="V15:V20" si="19">K15-K14</f>
        <v>2.1418522639294668E-2</v>
      </c>
      <c r="W15" s="3"/>
      <c r="X15" s="3"/>
      <c r="Y15" s="3"/>
      <c r="Z15" s="3"/>
      <c r="AA15" s="3"/>
    </row>
    <row r="16" spans="1:27" x14ac:dyDescent="0.2">
      <c r="A16" s="82" t="s">
        <v>73</v>
      </c>
      <c r="B16" s="3" t="s">
        <v>27</v>
      </c>
      <c r="C16" s="69" t="s">
        <v>33</v>
      </c>
      <c r="D16" s="5"/>
      <c r="E16" s="50">
        <v>-0.5</v>
      </c>
      <c r="F16" s="26">
        <f t="shared" si="12"/>
        <v>0.89125093813374545</v>
      </c>
      <c r="G16" s="22">
        <f>ABS(E16)</f>
        <v>0.5</v>
      </c>
      <c r="H16" s="23">
        <f t="shared" si="2"/>
        <v>1.1220184543019636</v>
      </c>
      <c r="I16" s="3"/>
      <c r="J16" s="24">
        <f t="shared" si="13"/>
        <v>1.1372284253372009</v>
      </c>
      <c r="K16" s="24">
        <f t="shared" si="14"/>
        <v>0.55847706464067903</v>
      </c>
      <c r="L16" s="24"/>
      <c r="M16" s="3">
        <f t="shared" si="15"/>
        <v>17.7</v>
      </c>
      <c r="N16" s="24">
        <f t="shared" si="16"/>
        <v>58.884365535558885</v>
      </c>
      <c r="O16" s="3"/>
      <c r="P16" s="3"/>
      <c r="Q16" s="24">
        <f t="shared" si="3"/>
        <v>-22.259999999999998</v>
      </c>
      <c r="R16" s="31">
        <f t="shared" si="1"/>
        <v>5.9429215861557241</v>
      </c>
      <c r="S16" s="3"/>
      <c r="T16" s="3"/>
      <c r="U16" s="3"/>
      <c r="V16" s="25">
        <f t="shared" si="19"/>
        <v>7.0585420013843381E-3</v>
      </c>
      <c r="W16" s="3"/>
      <c r="X16" s="3"/>
      <c r="Y16" s="3"/>
      <c r="Z16" s="3"/>
      <c r="AA16" s="3"/>
    </row>
    <row r="17" spans="1:27" x14ac:dyDescent="0.2">
      <c r="A17" s="82" t="s">
        <v>73</v>
      </c>
      <c r="B17" s="3" t="s">
        <v>26</v>
      </c>
      <c r="C17" s="69" t="s">
        <v>83</v>
      </c>
      <c r="D17" s="3"/>
      <c r="E17" s="20">
        <v>-2</v>
      </c>
      <c r="F17" s="26">
        <f t="shared" ref="F17" si="20">10^(E17/10)</f>
        <v>0.63095734448019325</v>
      </c>
      <c r="G17" s="22">
        <f>ABS(E17)</f>
        <v>2</v>
      </c>
      <c r="H17" s="23">
        <f t="shared" ref="H17" si="21">10^(G17/10)</f>
        <v>1.5848931924611136</v>
      </c>
      <c r="I17" s="3"/>
      <c r="J17" s="24">
        <f t="shared" si="13"/>
        <v>1.1471613368518527</v>
      </c>
      <c r="K17" s="24">
        <f t="shared" si="14"/>
        <v>0.59624501403528196</v>
      </c>
      <c r="L17" s="24"/>
      <c r="M17" s="3">
        <f t="shared" si="15"/>
        <v>15.7</v>
      </c>
      <c r="N17" s="24">
        <f t="shared" si="16"/>
        <v>37.153522909717246</v>
      </c>
      <c r="O17" s="3"/>
      <c r="P17" s="3"/>
      <c r="Q17" s="24">
        <f t="shared" si="3"/>
        <v>-22.759999999999998</v>
      </c>
      <c r="R17" s="31">
        <f t="shared" si="1"/>
        <v>5.2966344389165778</v>
      </c>
      <c r="S17" s="3"/>
      <c r="T17" s="3"/>
      <c r="U17" s="3"/>
      <c r="V17" s="25">
        <f t="shared" si="19"/>
        <v>3.7767949394602929E-2</v>
      </c>
      <c r="W17" s="3"/>
      <c r="X17" s="3"/>
      <c r="Y17" s="3"/>
      <c r="Z17" s="3"/>
      <c r="AA17" s="3"/>
    </row>
    <row r="18" spans="1:27" x14ac:dyDescent="0.2">
      <c r="A18" s="82" t="s">
        <v>73</v>
      </c>
      <c r="B18" t="s">
        <v>71</v>
      </c>
      <c r="C18" s="69" t="s">
        <v>17</v>
      </c>
      <c r="D18" s="5"/>
      <c r="E18" s="20">
        <v>20.5</v>
      </c>
      <c r="F18" s="26">
        <f t="shared" ref="F18" si="22">10^(E18/10)</f>
        <v>112.20184543019634</v>
      </c>
      <c r="G18" s="22">
        <v>0.23</v>
      </c>
      <c r="H18" s="23">
        <f t="shared" ref="H18" si="23">10^(G18/10)</f>
        <v>1.0543868963912588</v>
      </c>
      <c r="I18" s="3"/>
      <c r="J18" s="24">
        <f t="shared" si="13"/>
        <v>1.1486251790969992</v>
      </c>
      <c r="K18" s="24">
        <f t="shared" si="14"/>
        <v>0.60178332250763344</v>
      </c>
      <c r="L18" s="24"/>
      <c r="M18" s="3">
        <f t="shared" si="15"/>
        <v>36.200000000000003</v>
      </c>
      <c r="N18" s="24">
        <f t="shared" si="16"/>
        <v>4168.6938347033529</v>
      </c>
      <c r="O18" s="3"/>
      <c r="P18" s="3"/>
      <c r="Q18" s="24">
        <f t="shared" si="3"/>
        <v>-24.759999999999998</v>
      </c>
      <c r="R18" s="31">
        <f t="shared" si="1"/>
        <v>3.3419504002611373</v>
      </c>
      <c r="S18" s="3"/>
      <c r="T18" s="3"/>
      <c r="U18" s="3"/>
      <c r="V18" s="25">
        <f t="shared" si="19"/>
        <v>5.538308472351483E-3</v>
      </c>
      <c r="W18" s="3"/>
      <c r="X18" s="3"/>
      <c r="Y18" s="3"/>
      <c r="Z18" s="3"/>
      <c r="AA18" s="3"/>
    </row>
    <row r="19" spans="1:27" x14ac:dyDescent="0.2">
      <c r="A19" s="82" t="s">
        <v>73</v>
      </c>
      <c r="B19" s="74" t="s">
        <v>30</v>
      </c>
      <c r="C19" s="70" t="s">
        <v>31</v>
      </c>
      <c r="D19" s="70"/>
      <c r="E19" s="74">
        <v>-7</v>
      </c>
      <c r="F19" s="75">
        <f t="shared" si="12"/>
        <v>0.19952623149688795</v>
      </c>
      <c r="G19" s="76">
        <v>7</v>
      </c>
      <c r="H19" s="77">
        <f t="shared" si="2"/>
        <v>5.0118723362727229</v>
      </c>
      <c r="I19" s="70"/>
      <c r="J19" s="75">
        <f t="shared" si="13"/>
        <v>1.1495875602397148</v>
      </c>
      <c r="K19" s="75">
        <f t="shared" si="14"/>
        <v>0.60542055623317403</v>
      </c>
      <c r="L19" s="75"/>
      <c r="M19" s="70">
        <f t="shared" si="15"/>
        <v>29.200000000000003</v>
      </c>
      <c r="N19" s="75">
        <f t="shared" si="16"/>
        <v>831.76377110267072</v>
      </c>
      <c r="O19" s="70">
        <v>0</v>
      </c>
      <c r="P19" s="70">
        <v>-10</v>
      </c>
      <c r="Q19" s="75">
        <f t="shared" si="3"/>
        <v>-4.26</v>
      </c>
      <c r="R19" s="79">
        <f t="shared" si="1"/>
        <v>374.97300224548354</v>
      </c>
      <c r="S19" s="70"/>
      <c r="T19" s="70">
        <v>36</v>
      </c>
      <c r="U19" s="70">
        <f>Q19 - (T19-Q19)*3</f>
        <v>-125.04</v>
      </c>
      <c r="V19" s="78">
        <f t="shared" si="19"/>
        <v>3.6372337255405895E-3</v>
      </c>
      <c r="W19" s="27" t="s">
        <v>9</v>
      </c>
      <c r="X19" s="27"/>
      <c r="Y19" s="27"/>
      <c r="Z19" s="27"/>
      <c r="AA19" s="3"/>
    </row>
    <row r="20" spans="1:27" x14ac:dyDescent="0.2">
      <c r="A20" s="82" t="s">
        <v>74</v>
      </c>
      <c r="B20" s="3" t="s">
        <v>24</v>
      </c>
      <c r="C20" s="36" t="s">
        <v>23</v>
      </c>
      <c r="D20" s="3"/>
      <c r="E20" s="1">
        <v>-1.4</v>
      </c>
      <c r="F20" s="26">
        <f t="shared" si="12"/>
        <v>0.72443596007499012</v>
      </c>
      <c r="G20" s="22">
        <f>ABS(E20)</f>
        <v>1.4</v>
      </c>
      <c r="H20" s="23">
        <f t="shared" si="2"/>
        <v>1.3803842646028848</v>
      </c>
      <c r="I20" s="3"/>
      <c r="J20" s="24">
        <f t="shared" si="13"/>
        <v>1.1500448827125349</v>
      </c>
      <c r="K20" s="24">
        <f t="shared" si="14"/>
        <v>0.60714789861454543</v>
      </c>
      <c r="L20" s="24"/>
      <c r="M20" s="3">
        <f t="shared" si="15"/>
        <v>27.800000000000004</v>
      </c>
      <c r="N20" s="24">
        <f t="shared" si="16"/>
        <v>602.55958607435753</v>
      </c>
      <c r="O20" s="3"/>
      <c r="P20" s="3"/>
      <c r="Q20" s="24">
        <f t="shared" si="3"/>
        <v>-11.26</v>
      </c>
      <c r="R20" s="31">
        <f t="shared" si="1"/>
        <v>74.816950051115413</v>
      </c>
      <c r="S20" s="3"/>
      <c r="T20" s="3"/>
      <c r="U20" s="3"/>
      <c r="V20" s="25">
        <f t="shared" si="19"/>
        <v>1.7273423813713995E-3</v>
      </c>
      <c r="W20" s="3"/>
      <c r="X20" s="3"/>
      <c r="Y20" s="3"/>
      <c r="Z20" s="3"/>
      <c r="AA20" s="3"/>
    </row>
    <row r="21" spans="1:27" x14ac:dyDescent="0.2">
      <c r="A21" s="3" t="s">
        <v>75</v>
      </c>
      <c r="B21" s="3" t="s">
        <v>66</v>
      </c>
      <c r="C21" s="36" t="s">
        <v>69</v>
      </c>
      <c r="D21" s="3"/>
      <c r="E21" s="1">
        <v>-0.37</v>
      </c>
      <c r="F21" s="26">
        <f t="shared" si="12"/>
        <v>0.9183325964835809</v>
      </c>
      <c r="G21" s="22">
        <f>ABS(E21)</f>
        <v>0.37</v>
      </c>
      <c r="H21" s="23">
        <f t="shared" ref="H21" si="24">10^(G21/10)</f>
        <v>1.0889300933334334</v>
      </c>
      <c r="I21" s="3"/>
      <c r="J21" s="24">
        <f t="shared" si="13"/>
        <v>1.1501924699311084</v>
      </c>
      <c r="K21" s="24">
        <f t="shared" si="14"/>
        <v>0.60770520036116904</v>
      </c>
      <c r="L21" s="24"/>
      <c r="M21" s="3">
        <f t="shared" si="15"/>
        <v>27.430000000000003</v>
      </c>
      <c r="N21" s="24">
        <f t="shared" si="16"/>
        <v>553.35010921573655</v>
      </c>
      <c r="O21" s="3"/>
      <c r="P21" s="3"/>
      <c r="Q21" s="24">
        <f t="shared" si="3"/>
        <v>-12.66</v>
      </c>
      <c r="R21" s="31">
        <f t="shared" si="1"/>
        <v>54.200089040162347</v>
      </c>
      <c r="S21" s="3"/>
      <c r="T21" s="3"/>
      <c r="U21" s="3"/>
      <c r="V21" s="25">
        <f t="shared" ref="V21" si="25">K21-K20</f>
        <v>5.5730174662360632E-4</v>
      </c>
      <c r="W21" s="3"/>
      <c r="X21" s="3"/>
      <c r="Y21" s="3"/>
      <c r="Z21" s="3"/>
      <c r="AA21" s="3"/>
    </row>
    <row r="22" spans="1:27" x14ac:dyDescent="0.2">
      <c r="A22" s="3" t="s">
        <v>76</v>
      </c>
      <c r="B22" s="3" t="s">
        <v>22</v>
      </c>
      <c r="C22" s="71" t="s">
        <v>32</v>
      </c>
      <c r="D22" s="28"/>
      <c r="E22" s="29">
        <v>7.3</v>
      </c>
      <c r="F22" s="26">
        <f t="shared" si="12"/>
        <v>5.3703179637025285</v>
      </c>
      <c r="G22" s="73">
        <v>10</v>
      </c>
      <c r="H22" s="23">
        <f t="shared" si="2"/>
        <v>10</v>
      </c>
      <c r="I22" s="3"/>
      <c r="J22" s="24">
        <f t="shared" si="13"/>
        <v>1.1664570370652068</v>
      </c>
      <c r="K22" s="24">
        <f t="shared" si="14"/>
        <v>0.66868747494007263</v>
      </c>
      <c r="L22" s="24"/>
      <c r="M22" s="3">
        <f t="shared" si="15"/>
        <v>34.730000000000004</v>
      </c>
      <c r="N22" s="24">
        <f t="shared" si="16"/>
        <v>2971.666031738026</v>
      </c>
      <c r="O22" s="3"/>
      <c r="P22" s="3"/>
      <c r="Q22" s="24">
        <f t="shared" si="3"/>
        <v>-13.03</v>
      </c>
      <c r="R22" s="31">
        <f t="shared" si="1"/>
        <v>49.773708497893601</v>
      </c>
      <c r="S22" s="3"/>
      <c r="T22" s="3"/>
      <c r="U22" s="3"/>
      <c r="V22" s="25">
        <f>K22-K20</f>
        <v>6.1539576325527201E-2</v>
      </c>
      <c r="W22" s="3"/>
      <c r="X22" s="3"/>
      <c r="Y22" s="3"/>
      <c r="Z22" s="3"/>
      <c r="AA22" s="3"/>
    </row>
    <row r="23" spans="1:27" x14ac:dyDescent="0.2">
      <c r="A23" s="3" t="s">
        <v>75</v>
      </c>
      <c r="B23" s="3" t="s">
        <v>67</v>
      </c>
      <c r="C23" s="71" t="s">
        <v>68</v>
      </c>
      <c r="D23" s="28"/>
      <c r="E23" s="29">
        <v>-0.5</v>
      </c>
      <c r="F23" s="26">
        <f t="shared" si="12"/>
        <v>0.89125093813374545</v>
      </c>
      <c r="G23" s="22">
        <f>ABS(E23)</f>
        <v>0.5</v>
      </c>
      <c r="H23" s="23">
        <f t="shared" si="2"/>
        <v>1.1220184543019636</v>
      </c>
      <c r="I23" s="3"/>
      <c r="J23" s="24">
        <f t="shared" si="13"/>
        <v>1.1664980976867567</v>
      </c>
      <c r="K23" s="24">
        <f t="shared" si="14"/>
        <v>0.6688403488732132</v>
      </c>
      <c r="L23" s="24"/>
      <c r="M23" s="3">
        <f t="shared" si="15"/>
        <v>34.230000000000004</v>
      </c>
      <c r="N23" s="24">
        <f t="shared" si="16"/>
        <v>2648.5001386067001</v>
      </c>
      <c r="O23" s="3"/>
      <c r="P23" s="3"/>
      <c r="Q23" s="24">
        <f t="shared" si="3"/>
        <v>-5.7299999999999995</v>
      </c>
      <c r="R23" s="31">
        <f t="shared" si="1"/>
        <v>267.30064086633115</v>
      </c>
      <c r="S23" s="3"/>
      <c r="T23" s="3"/>
      <c r="U23" s="3"/>
      <c r="V23" s="25">
        <f t="shared" ref="V23:V31" si="26">K23-K21</f>
        <v>6.1135148512044157E-2</v>
      </c>
      <c r="W23" s="3"/>
      <c r="X23" s="3"/>
      <c r="Y23" s="3"/>
      <c r="Z23" s="3"/>
      <c r="AA23" s="3"/>
    </row>
    <row r="24" spans="1:27" x14ac:dyDescent="0.2">
      <c r="A24" s="3" t="s">
        <v>75</v>
      </c>
      <c r="B24" s="3" t="s">
        <v>70</v>
      </c>
      <c r="C24" s="69" t="s">
        <v>65</v>
      </c>
      <c r="D24" s="3"/>
      <c r="E24" s="1">
        <v>0</v>
      </c>
      <c r="F24" s="26">
        <f t="shared" si="12"/>
        <v>1</v>
      </c>
      <c r="G24" s="22">
        <f>ABS(E24)</f>
        <v>0</v>
      </c>
      <c r="H24" s="23">
        <f t="shared" si="2"/>
        <v>1</v>
      </c>
      <c r="I24" s="3"/>
      <c r="J24" s="24">
        <f t="shared" si="13"/>
        <v>1.1664980976867567</v>
      </c>
      <c r="K24" s="24">
        <f t="shared" si="14"/>
        <v>0.6688403488732132</v>
      </c>
      <c r="L24" s="24"/>
      <c r="M24" s="3">
        <f t="shared" si="15"/>
        <v>34.230000000000004</v>
      </c>
      <c r="N24" s="24">
        <f t="shared" si="16"/>
        <v>2648.5001386067001</v>
      </c>
      <c r="O24" s="3"/>
      <c r="P24" s="3"/>
      <c r="Q24" s="24">
        <f t="shared" si="3"/>
        <v>-6.2299999999999995</v>
      </c>
      <c r="R24" s="31">
        <f t="shared" si="1"/>
        <v>238.23194693586913</v>
      </c>
      <c r="S24" s="3"/>
      <c r="T24" s="3"/>
      <c r="U24" s="3"/>
      <c r="V24" s="25">
        <f t="shared" si="26"/>
        <v>1.5287393314056263E-4</v>
      </c>
      <c r="W24" s="3"/>
      <c r="X24" s="3"/>
      <c r="Y24" s="3"/>
      <c r="Z24" s="3"/>
      <c r="AA24" s="3"/>
    </row>
    <row r="25" spans="1:27" x14ac:dyDescent="0.2">
      <c r="A25" s="3" t="s">
        <v>76</v>
      </c>
      <c r="B25" s="68" t="s">
        <v>22</v>
      </c>
      <c r="C25" s="69" t="s">
        <v>32</v>
      </c>
      <c r="D25" s="5"/>
      <c r="E25" s="1">
        <v>7.3</v>
      </c>
      <c r="F25" s="2">
        <f t="shared" si="12"/>
        <v>5.3703179637025285</v>
      </c>
      <c r="G25" s="73">
        <v>10</v>
      </c>
      <c r="H25" s="23">
        <f t="shared" si="2"/>
        <v>10</v>
      </c>
      <c r="I25" s="3"/>
      <c r="J25" s="24">
        <f t="shared" si="13"/>
        <v>1.1698962474050854</v>
      </c>
      <c r="K25" s="24">
        <f t="shared" si="14"/>
        <v>0.68147347919290835</v>
      </c>
      <c r="L25" s="24"/>
      <c r="M25" s="3">
        <f t="shared" si="15"/>
        <v>41.53</v>
      </c>
      <c r="N25" s="24">
        <f t="shared" si="16"/>
        <v>14223.287871228198</v>
      </c>
      <c r="O25" s="3"/>
      <c r="P25" s="3"/>
      <c r="Q25" s="24">
        <f t="shared" si="3"/>
        <v>-6.2299999999999995</v>
      </c>
      <c r="R25" s="31">
        <f t="shared" si="1"/>
        <v>238.23194693586913</v>
      </c>
      <c r="S25" s="3"/>
      <c r="T25" s="3"/>
      <c r="U25" s="3"/>
      <c r="V25" s="25">
        <f t="shared" si="26"/>
        <v>1.2633130319695152E-2</v>
      </c>
      <c r="W25" s="3"/>
      <c r="X25" s="3"/>
      <c r="Y25" s="3"/>
      <c r="Z25" s="3"/>
      <c r="AA25" s="3"/>
    </row>
    <row r="26" spans="1:27" x14ac:dyDescent="0.2">
      <c r="A26" s="3" t="s">
        <v>75</v>
      </c>
      <c r="B26" s="68" t="s">
        <v>67</v>
      </c>
      <c r="C26" s="71" t="s">
        <v>68</v>
      </c>
      <c r="D26" s="5"/>
      <c r="E26" s="1">
        <v>-0.5</v>
      </c>
      <c r="F26" s="2">
        <f t="shared" si="12"/>
        <v>0.89125093813374545</v>
      </c>
      <c r="G26" s="22">
        <f>E26</f>
        <v>-0.5</v>
      </c>
      <c r="H26" s="23">
        <f t="shared" si="2"/>
        <v>0.89125093813374545</v>
      </c>
      <c r="I26" s="3"/>
      <c r="J26" s="24">
        <f t="shared" si="13"/>
        <v>1.1698886015595642</v>
      </c>
      <c r="K26" s="24">
        <f t="shared" si="14"/>
        <v>0.68144509582662738</v>
      </c>
      <c r="L26" s="24"/>
      <c r="M26" s="3">
        <f t="shared" si="15"/>
        <v>41.03</v>
      </c>
      <c r="N26" s="24">
        <f t="shared" si="16"/>
        <v>12676.518658578454</v>
      </c>
      <c r="O26" s="3"/>
      <c r="P26" s="3"/>
      <c r="Q26" s="24">
        <f t="shared" si="3"/>
        <v>1.0700000000000003</v>
      </c>
      <c r="R26" s="31">
        <f t="shared" si="1"/>
        <v>1279.3813041575243</v>
      </c>
      <c r="S26" s="3"/>
      <c r="T26" s="3"/>
      <c r="U26" s="3"/>
      <c r="V26" s="25">
        <f t="shared" si="26"/>
        <v>1.2604746953414181E-2</v>
      </c>
      <c r="W26" s="3"/>
      <c r="X26" s="3"/>
      <c r="Y26" s="3"/>
      <c r="Z26" s="3"/>
      <c r="AA26" s="3"/>
    </row>
    <row r="27" spans="1:27" x14ac:dyDescent="0.2">
      <c r="A27" s="3" t="s">
        <v>75</v>
      </c>
      <c r="B27" s="68" t="s">
        <v>70</v>
      </c>
      <c r="C27" s="69" t="s">
        <v>65</v>
      </c>
      <c r="D27" s="5"/>
      <c r="E27" s="1">
        <v>0</v>
      </c>
      <c r="F27" s="2">
        <f t="shared" si="12"/>
        <v>1</v>
      </c>
      <c r="G27" s="22">
        <f>E27</f>
        <v>0</v>
      </c>
      <c r="H27" s="23">
        <f t="shared" si="2"/>
        <v>1</v>
      </c>
      <c r="I27" s="3"/>
      <c r="J27" s="24">
        <f t="shared" si="13"/>
        <v>1.1698886015595642</v>
      </c>
      <c r="K27" s="24">
        <f t="shared" si="14"/>
        <v>0.68144509582662738</v>
      </c>
      <c r="L27" s="24"/>
      <c r="M27" s="3">
        <f t="shared" si="15"/>
        <v>41.03</v>
      </c>
      <c r="N27" s="24">
        <f t="shared" si="16"/>
        <v>12676.518658578454</v>
      </c>
      <c r="O27" s="3"/>
      <c r="P27" s="3"/>
      <c r="Q27" s="24">
        <f t="shared" si="3"/>
        <v>0.57000000000000028</v>
      </c>
      <c r="R27" s="31">
        <f t="shared" si="1"/>
        <v>1140.2497875611678</v>
      </c>
      <c r="S27" s="3"/>
      <c r="T27" s="3"/>
      <c r="U27" s="3"/>
      <c r="V27" s="25">
        <f t="shared" si="26"/>
        <v>-2.8383366280970712E-5</v>
      </c>
      <c r="W27" s="3"/>
      <c r="X27" s="3"/>
      <c r="Y27" s="3"/>
      <c r="Z27" s="3"/>
      <c r="AA27" s="3"/>
    </row>
    <row r="28" spans="1:27" x14ac:dyDescent="0.2">
      <c r="A28" s="3" t="s">
        <v>76</v>
      </c>
      <c r="B28" s="68" t="s">
        <v>22</v>
      </c>
      <c r="C28" s="69" t="s">
        <v>32</v>
      </c>
      <c r="D28" s="5"/>
      <c r="E28" s="1">
        <v>7.3</v>
      </c>
      <c r="F28" s="2">
        <f t="shared" si="12"/>
        <v>5.3703179637025285</v>
      </c>
      <c r="G28" s="73">
        <v>10</v>
      </c>
      <c r="H28" s="23">
        <f t="shared" si="2"/>
        <v>10</v>
      </c>
      <c r="I28" s="3"/>
      <c r="J28" s="24">
        <f t="shared" si="13"/>
        <v>1.1705985756654209</v>
      </c>
      <c r="K28" s="24">
        <f t="shared" si="14"/>
        <v>0.68407991347421571</v>
      </c>
      <c r="L28" s="24"/>
      <c r="M28" s="3">
        <f t="shared" si="15"/>
        <v>48.33</v>
      </c>
      <c r="N28" s="24">
        <f t="shared" si="16"/>
        <v>68076.935869374152</v>
      </c>
      <c r="O28" s="3"/>
      <c r="P28" s="3"/>
      <c r="Q28" s="24">
        <f t="shared" si="3"/>
        <v>0.57000000000000028</v>
      </c>
      <c r="R28" s="31">
        <f t="shared" si="1"/>
        <v>1140.2497875611678</v>
      </c>
      <c r="S28" s="3"/>
      <c r="T28" s="3"/>
      <c r="U28" s="3"/>
      <c r="V28" s="25">
        <f t="shared" si="26"/>
        <v>2.6348176475883278E-3</v>
      </c>
      <c r="W28" s="3"/>
      <c r="X28" s="3"/>
      <c r="Y28" s="3"/>
      <c r="Z28" s="3"/>
      <c r="AA28" s="3"/>
    </row>
    <row r="29" spans="1:27" x14ac:dyDescent="0.2">
      <c r="A29" s="3" t="s">
        <v>75</v>
      </c>
      <c r="B29" s="68" t="s">
        <v>67</v>
      </c>
      <c r="C29" s="71" t="s">
        <v>68</v>
      </c>
      <c r="D29" s="5"/>
      <c r="E29" s="1">
        <v>-0.5</v>
      </c>
      <c r="F29" s="2">
        <f t="shared" si="12"/>
        <v>0.89125093813374545</v>
      </c>
      <c r="G29" s="22">
        <f>E29</f>
        <v>-0.5</v>
      </c>
      <c r="H29" s="23">
        <f t="shared" si="2"/>
        <v>0.89125093813374545</v>
      </c>
      <c r="I29" s="3"/>
      <c r="J29" s="24">
        <f t="shared" si="13"/>
        <v>1.1705969782218744</v>
      </c>
      <c r="K29" s="24">
        <f t="shared" si="14"/>
        <v>0.68407398692172172</v>
      </c>
      <c r="L29" s="24"/>
      <c r="M29" s="3">
        <f t="shared" si="15"/>
        <v>47.83</v>
      </c>
      <c r="N29" s="24">
        <f t="shared" si="16"/>
        <v>60673.63295885054</v>
      </c>
      <c r="O29" s="3"/>
      <c r="P29" s="3"/>
      <c r="Q29" s="24">
        <f t="shared" si="3"/>
        <v>7.87</v>
      </c>
      <c r="R29" s="31">
        <f t="shared" si="1"/>
        <v>6123.5039172477318</v>
      </c>
      <c r="S29" s="3"/>
      <c r="T29" s="3"/>
      <c r="U29" s="3"/>
      <c r="V29" s="25">
        <f t="shared" si="26"/>
        <v>2.6288910950943434E-3</v>
      </c>
      <c r="W29" s="3"/>
      <c r="X29" s="3"/>
      <c r="Y29" s="3"/>
      <c r="Z29" s="3"/>
      <c r="AA29" s="3"/>
    </row>
    <row r="30" spans="1:27" x14ac:dyDescent="0.2">
      <c r="A30" s="3" t="s">
        <v>75</v>
      </c>
      <c r="B30" s="68" t="s">
        <v>70</v>
      </c>
      <c r="C30" s="69" t="s">
        <v>65</v>
      </c>
      <c r="D30" s="3"/>
      <c r="E30" s="1">
        <v>0</v>
      </c>
      <c r="F30" s="2">
        <f t="shared" si="12"/>
        <v>1</v>
      </c>
      <c r="G30" s="22">
        <f>ABS(E30)</f>
        <v>0</v>
      </c>
      <c r="H30" s="23">
        <f t="shared" si="2"/>
        <v>1</v>
      </c>
      <c r="I30" s="3"/>
      <c r="J30" s="24">
        <f t="shared" si="13"/>
        <v>1.1705969782218744</v>
      </c>
      <c r="K30" s="24">
        <f t="shared" si="14"/>
        <v>0.68407398692172172</v>
      </c>
      <c r="L30" s="24"/>
      <c r="M30" s="3">
        <f t="shared" si="15"/>
        <v>47.83</v>
      </c>
      <c r="N30" s="24">
        <f t="shared" si="16"/>
        <v>60673.63295885054</v>
      </c>
      <c r="O30" s="3"/>
      <c r="P30" s="3"/>
      <c r="Q30" s="24">
        <f t="shared" si="3"/>
        <v>7.37</v>
      </c>
      <c r="R30" s="31">
        <f t="shared" si="1"/>
        <v>5457.5786109127084</v>
      </c>
      <c r="S30" s="3"/>
      <c r="T30" s="3"/>
      <c r="U30" s="3"/>
      <c r="V30" s="25">
        <f t="shared" si="26"/>
        <v>-5.9265524939844383E-6</v>
      </c>
      <c r="W30" s="3"/>
      <c r="X30" s="3"/>
      <c r="Y30" s="3"/>
      <c r="Z30" s="3"/>
      <c r="AA30" s="3"/>
    </row>
    <row r="31" spans="1:27" ht="16" thickBot="1" x14ac:dyDescent="0.25">
      <c r="A31" s="3" t="s">
        <v>74</v>
      </c>
      <c r="B31" s="3" t="s">
        <v>66</v>
      </c>
      <c r="C31" s="36" t="s">
        <v>69</v>
      </c>
      <c r="D31" s="3"/>
      <c r="E31" s="1">
        <v>-0.37</v>
      </c>
      <c r="F31" s="2">
        <f t="shared" si="12"/>
        <v>0.9183325964835809</v>
      </c>
      <c r="G31" s="22">
        <f>ABS(E31)</f>
        <v>0.37</v>
      </c>
      <c r="H31" s="23">
        <f t="shared" si="2"/>
        <v>1.0889300933334334</v>
      </c>
      <c r="I31" s="3"/>
      <c r="J31" s="24">
        <f t="shared" ref="J31" si="27">J30+((H31-1)/N30)</f>
        <v>1.1705984439342274</v>
      </c>
      <c r="K31" s="24">
        <f t="shared" ref="K31" si="28">10*LOG10(J31)</f>
        <v>0.68407942474874783</v>
      </c>
      <c r="L31" s="24"/>
      <c r="M31" s="3">
        <f t="shared" ref="M31" si="29">E31+M30</f>
        <v>47.46</v>
      </c>
      <c r="N31" s="24">
        <f t="shared" ref="N31" si="30">N30*F31</f>
        <v>55718.574893192985</v>
      </c>
      <c r="O31" s="3"/>
      <c r="P31" s="3"/>
      <c r="Q31" s="24">
        <f>Q32-E31</f>
        <v>7.37</v>
      </c>
      <c r="R31" s="31">
        <f t="shared" si="1"/>
        <v>5457.5786109127084</v>
      </c>
      <c r="S31" s="3"/>
      <c r="T31" s="3"/>
      <c r="U31" s="3"/>
      <c r="V31" s="25">
        <f t="shared" si="26"/>
        <v>5.437827026111286E-6</v>
      </c>
      <c r="W31" s="3"/>
      <c r="X31" s="3"/>
      <c r="Y31" s="3"/>
      <c r="Z31" s="3"/>
      <c r="AA31" s="3"/>
    </row>
    <row r="32" spans="1:27" ht="17" thickTop="1" thickBot="1" x14ac:dyDescent="0.25">
      <c r="A32" s="3"/>
      <c r="B32" s="3" t="s">
        <v>28</v>
      </c>
      <c r="C32" s="3" t="s">
        <v>86</v>
      </c>
      <c r="D32" s="3"/>
      <c r="E32" s="20">
        <v>0</v>
      </c>
      <c r="F32" s="26">
        <f t="shared" si="12"/>
        <v>1</v>
      </c>
      <c r="G32" s="22">
        <v>27</v>
      </c>
      <c r="H32" s="23">
        <f t="shared" si="2"/>
        <v>501.18723362727269</v>
      </c>
      <c r="I32" s="3"/>
      <c r="J32" s="80">
        <f>J30+((H32-1)/N30)</f>
        <v>1.178840876093731</v>
      </c>
      <c r="K32" s="30">
        <f t="shared" ref="K32" si="31">10*LOG10(J32)</f>
        <v>0.71455186521429559</v>
      </c>
      <c r="L32" s="24"/>
      <c r="M32" s="3">
        <f>E32+M30</f>
        <v>47.83</v>
      </c>
      <c r="N32" s="24">
        <f>N30*F32</f>
        <v>60673.63295885054</v>
      </c>
      <c r="O32" s="3">
        <v>9</v>
      </c>
      <c r="P32" s="3">
        <v>7</v>
      </c>
      <c r="Q32" s="81">
        <v>7</v>
      </c>
      <c r="R32" s="31">
        <f t="shared" ref="R32" si="32">10^((Q32-30)/10)*1000000</f>
        <v>5011.8723362727214</v>
      </c>
      <c r="S32" s="3"/>
      <c r="T32" s="3"/>
      <c r="U32" s="3"/>
      <c r="V32" s="25">
        <f>K32-K30</f>
        <v>3.0477878292573868E-2</v>
      </c>
      <c r="W32" s="3"/>
      <c r="X32" s="3"/>
      <c r="Y32" s="3"/>
      <c r="Z32" s="3"/>
      <c r="AA32" s="3"/>
    </row>
    <row r="33" spans="1:27" ht="16" thickTop="1" x14ac:dyDescent="0.2">
      <c r="A33" s="3"/>
      <c r="B33" s="3"/>
      <c r="C33" s="3"/>
      <c r="D33" s="3"/>
      <c r="E33" s="32"/>
      <c r="F33" s="33"/>
      <c r="G33" s="32"/>
      <c r="H33" s="34"/>
      <c r="I33" s="3"/>
      <c r="J33" s="35"/>
      <c r="K33" s="24"/>
      <c r="L33" s="24"/>
      <c r="M33" s="3"/>
      <c r="N33" s="24"/>
      <c r="O33" s="3"/>
      <c r="P33" s="3"/>
      <c r="Q33" s="3"/>
      <c r="R33" s="3"/>
      <c r="S33" s="3"/>
      <c r="T33" s="3"/>
      <c r="U33" s="3"/>
      <c r="V33" s="3"/>
      <c r="W33" s="25"/>
      <c r="X33" s="25"/>
      <c r="Y33" s="25"/>
      <c r="Z33" s="25"/>
      <c r="AA33" s="25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6"/>
      <c r="P37" s="36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6"/>
      <c r="P38" s="36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6"/>
      <c r="P39" s="36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7" t="s">
        <v>35</v>
      </c>
      <c r="D40" s="3"/>
      <c r="E40" s="3"/>
      <c r="F40" s="3"/>
      <c r="G40" s="3"/>
      <c r="H40" s="3"/>
      <c r="I40" s="3"/>
      <c r="J40" s="24"/>
      <c r="K40" s="24"/>
      <c r="L40" s="3"/>
      <c r="M40" s="3"/>
      <c r="N40" s="3"/>
      <c r="O40" s="36"/>
      <c r="P40" s="36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6"/>
      <c r="P41" s="36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8" t="s">
        <v>36</v>
      </c>
      <c r="C42" s="3" t="s">
        <v>37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6"/>
      <c r="P42" s="36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6"/>
      <c r="P43" s="36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6"/>
      <c r="P44" s="36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6"/>
      <c r="P45" s="36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6"/>
      <c r="P46" s="36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6"/>
      <c r="P47" s="36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6"/>
      <c r="P48" s="36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6"/>
      <c r="P49" s="36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6"/>
      <c r="P50" s="36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6"/>
      <c r="P51" s="36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6"/>
      <c r="P52" s="36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6"/>
      <c r="P53" s="36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6"/>
      <c r="P54" s="36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6"/>
      <c r="P55" s="36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</sheetData>
  <conditionalFormatting sqref="V10:V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9:H28"/>
  <sheetViews>
    <sheetView topLeftCell="A6" zoomScale="177" workbookViewId="0">
      <selection activeCell="O32" sqref="O32"/>
    </sheetView>
  </sheetViews>
  <sheetFormatPr baseColWidth="10" defaultColWidth="9.1640625" defaultRowHeight="15" x14ac:dyDescent="0.2"/>
  <cols>
    <col min="1" max="3" width="9.1640625" style="39"/>
    <col min="4" max="4" width="13.83203125" style="39" bestFit="1" customWidth="1"/>
    <col min="5" max="5" width="32.83203125" style="39" customWidth="1"/>
    <col min="6" max="16384" width="9.1640625" style="39"/>
  </cols>
  <sheetData>
    <row r="9" spans="4:7" x14ac:dyDescent="0.2">
      <c r="F9" s="40"/>
    </row>
    <row r="10" spans="4:7" x14ac:dyDescent="0.2">
      <c r="E10" s="41"/>
      <c r="F10" s="42" t="s">
        <v>39</v>
      </c>
      <c r="G10" s="41"/>
    </row>
    <row r="11" spans="4:7" x14ac:dyDescent="0.2">
      <c r="D11" s="89" t="s">
        <v>87</v>
      </c>
      <c r="E11" s="88" t="s">
        <v>88</v>
      </c>
      <c r="F11" s="44">
        <v>7</v>
      </c>
      <c r="G11" s="43" t="s">
        <v>4</v>
      </c>
    </row>
    <row r="12" spans="4:7" x14ac:dyDescent="0.2">
      <c r="D12" s="89"/>
      <c r="E12" s="88"/>
      <c r="F12" s="44">
        <v>7</v>
      </c>
      <c r="G12" s="43"/>
    </row>
    <row r="13" spans="4:7" x14ac:dyDescent="0.2">
      <c r="D13" s="89" t="s">
        <v>30</v>
      </c>
      <c r="E13" s="88" t="s">
        <v>89</v>
      </c>
      <c r="F13" s="44">
        <v>-7</v>
      </c>
      <c r="G13" s="39" t="s">
        <v>3</v>
      </c>
    </row>
    <row r="14" spans="4:7" x14ac:dyDescent="0.2">
      <c r="D14" s="39" t="s">
        <v>24</v>
      </c>
      <c r="E14" s="43" t="s">
        <v>23</v>
      </c>
      <c r="F14" s="45">
        <v>-1.4</v>
      </c>
      <c r="G14" s="39" t="s">
        <v>3</v>
      </c>
    </row>
    <row r="15" spans="4:7" x14ac:dyDescent="0.2">
      <c r="D15" s="39" t="s">
        <v>66</v>
      </c>
      <c r="E15" s="43" t="s">
        <v>69</v>
      </c>
      <c r="F15" s="45">
        <v>-0.37</v>
      </c>
      <c r="G15" s="89" t="s">
        <v>3</v>
      </c>
    </row>
    <row r="16" spans="4:7" x14ac:dyDescent="0.2">
      <c r="D16" s="3" t="s">
        <v>70</v>
      </c>
      <c r="E16" s="90" t="s">
        <v>65</v>
      </c>
      <c r="F16" s="45">
        <v>0</v>
      </c>
      <c r="G16" s="39" t="s">
        <v>3</v>
      </c>
    </row>
    <row r="17" spans="4:8" x14ac:dyDescent="0.2">
      <c r="D17" s="3" t="s">
        <v>70</v>
      </c>
      <c r="E17" s="90" t="s">
        <v>65</v>
      </c>
      <c r="F17" s="45">
        <v>0</v>
      </c>
      <c r="G17" s="39" t="s">
        <v>3</v>
      </c>
    </row>
    <row r="18" spans="4:8" x14ac:dyDescent="0.2">
      <c r="D18" s="39" t="s">
        <v>90</v>
      </c>
      <c r="E18" s="88" t="s">
        <v>91</v>
      </c>
      <c r="F18" s="45">
        <v>19.399999999999999</v>
      </c>
      <c r="G18" s="89" t="s">
        <v>3</v>
      </c>
    </row>
    <row r="19" spans="4:8" x14ac:dyDescent="0.2">
      <c r="D19" s="89" t="s">
        <v>92</v>
      </c>
      <c r="E19" s="90" t="s">
        <v>93</v>
      </c>
      <c r="F19" s="45">
        <v>-2</v>
      </c>
      <c r="G19" s="39" t="s">
        <v>3</v>
      </c>
    </row>
    <row r="20" spans="4:8" x14ac:dyDescent="0.2">
      <c r="D20" s="39" t="s">
        <v>94</v>
      </c>
      <c r="E20" s="90" t="s">
        <v>91</v>
      </c>
      <c r="F20" s="45">
        <v>17.5</v>
      </c>
      <c r="G20" s="89" t="s">
        <v>3</v>
      </c>
    </row>
    <row r="21" spans="4:8" x14ac:dyDescent="0.2">
      <c r="D21" s="89" t="s">
        <v>95</v>
      </c>
      <c r="E21" s="90" t="s">
        <v>96</v>
      </c>
      <c r="F21" s="46">
        <v>14</v>
      </c>
      <c r="G21" s="89" t="s">
        <v>3</v>
      </c>
      <c r="H21" s="89" t="s">
        <v>100</v>
      </c>
    </row>
    <row r="22" spans="4:8" x14ac:dyDescent="0.2">
      <c r="D22" s="39" t="s">
        <v>97</v>
      </c>
      <c r="E22" s="90" t="s">
        <v>34</v>
      </c>
      <c r="F22" s="46">
        <v>-0.3</v>
      </c>
      <c r="G22" s="89" t="s">
        <v>3</v>
      </c>
    </row>
    <row r="23" spans="4:8" x14ac:dyDescent="0.2">
      <c r="F23" s="46"/>
    </row>
    <row r="24" spans="4:8" x14ac:dyDescent="0.2">
      <c r="F24" s="46"/>
    </row>
    <row r="25" spans="4:8" x14ac:dyDescent="0.2">
      <c r="F25" s="46"/>
    </row>
    <row r="26" spans="4:8" x14ac:dyDescent="0.2">
      <c r="F26" s="47"/>
    </row>
    <row r="27" spans="4:8" x14ac:dyDescent="0.2">
      <c r="E27" s="48" t="s">
        <v>38</v>
      </c>
      <c r="F27" s="49">
        <f>SUM(F11:F23)</f>
        <v>53.83</v>
      </c>
      <c r="G27" s="48" t="s">
        <v>4</v>
      </c>
    </row>
    <row r="28" spans="4:8" x14ac:dyDescent="0.2">
      <c r="E28" s="89" t="s">
        <v>98</v>
      </c>
      <c r="F28" s="91">
        <f>10^(F27/10)/1000</f>
        <v>241.54608344449414</v>
      </c>
      <c r="G28" s="89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53"/>
  <sheetViews>
    <sheetView workbookViewId="0">
      <selection activeCell="D8" sqref="D8"/>
    </sheetView>
  </sheetViews>
  <sheetFormatPr baseColWidth="10" defaultColWidth="8.83203125" defaultRowHeight="15" x14ac:dyDescent="0.2"/>
  <cols>
    <col min="2" max="5" width="12" customWidth="1"/>
    <col min="6" max="6" width="14.6640625" customWidth="1"/>
  </cols>
  <sheetData>
    <row r="5" spans="2:6" ht="16" thickBot="1" x14ac:dyDescent="0.25"/>
    <row r="6" spans="2:6" x14ac:dyDescent="0.2">
      <c r="B6" s="85" t="s">
        <v>41</v>
      </c>
      <c r="C6" s="86"/>
      <c r="D6" s="86"/>
      <c r="E6" s="86"/>
      <c r="F6" s="87"/>
    </row>
    <row r="7" spans="2:6" ht="16" x14ac:dyDescent="0.2">
      <c r="B7" s="51" t="s">
        <v>42</v>
      </c>
      <c r="C7" s="52" t="s">
        <v>43</v>
      </c>
      <c r="D7" s="52" t="s">
        <v>44</v>
      </c>
      <c r="E7" s="52" t="s">
        <v>45</v>
      </c>
      <c r="F7" s="53"/>
    </row>
    <row r="8" spans="2:6" x14ac:dyDescent="0.2">
      <c r="B8" s="54">
        <v>0.85</v>
      </c>
      <c r="C8" s="55">
        <v>1.8</v>
      </c>
      <c r="D8" s="55">
        <v>0.42699999999999999</v>
      </c>
      <c r="E8" s="56">
        <f>C8*D8/B8</f>
        <v>0.90423529411764703</v>
      </c>
      <c r="F8" s="57" t="s">
        <v>46</v>
      </c>
    </row>
    <row r="9" spans="2:6" x14ac:dyDescent="0.2">
      <c r="B9" s="58">
        <v>0.85</v>
      </c>
      <c r="C9" s="59">
        <v>1.2</v>
      </c>
      <c r="D9" s="59">
        <v>0.8</v>
      </c>
      <c r="E9" s="60">
        <f t="shared" ref="E9:E17" si="0">C9*D9/B9</f>
        <v>1.1294117647058823</v>
      </c>
      <c r="F9" s="53" t="s">
        <v>47</v>
      </c>
    </row>
    <row r="10" spans="2:6" x14ac:dyDescent="0.2">
      <c r="B10" s="58">
        <v>0.85</v>
      </c>
      <c r="C10" s="59">
        <v>3.3</v>
      </c>
      <c r="D10" s="59">
        <v>1</v>
      </c>
      <c r="E10" s="60">
        <f t="shared" si="0"/>
        <v>3.8823529411764706</v>
      </c>
      <c r="F10" s="53" t="s">
        <v>48</v>
      </c>
    </row>
    <row r="11" spans="2:6" x14ac:dyDescent="0.2">
      <c r="B11" s="58">
        <v>1</v>
      </c>
      <c r="C11" s="59">
        <v>5.5</v>
      </c>
      <c r="D11" s="59">
        <v>2</v>
      </c>
      <c r="E11" s="60">
        <f t="shared" si="0"/>
        <v>11</v>
      </c>
      <c r="F11" s="53" t="s">
        <v>49</v>
      </c>
    </row>
    <row r="12" spans="2:6" x14ac:dyDescent="0.2">
      <c r="B12" s="58">
        <v>1</v>
      </c>
      <c r="C12" s="59">
        <v>5.5</v>
      </c>
      <c r="D12" s="59">
        <v>0.5</v>
      </c>
      <c r="E12" s="60">
        <f t="shared" si="0"/>
        <v>2.75</v>
      </c>
      <c r="F12" s="53" t="s">
        <v>50</v>
      </c>
    </row>
    <row r="13" spans="2:6" x14ac:dyDescent="0.2">
      <c r="B13" s="58">
        <v>1</v>
      </c>
      <c r="C13" s="59">
        <v>5.5</v>
      </c>
      <c r="D13" s="59">
        <v>2</v>
      </c>
      <c r="E13" s="60">
        <f t="shared" si="0"/>
        <v>11</v>
      </c>
      <c r="F13" s="53" t="s">
        <v>49</v>
      </c>
    </row>
    <row r="14" spans="2:6" x14ac:dyDescent="0.2">
      <c r="B14" s="58">
        <v>1</v>
      </c>
      <c r="C14" s="59">
        <v>5.5</v>
      </c>
      <c r="D14" s="59">
        <v>2</v>
      </c>
      <c r="E14" s="60">
        <f t="shared" si="0"/>
        <v>11</v>
      </c>
      <c r="F14" s="53" t="s">
        <v>51</v>
      </c>
    </row>
    <row r="15" spans="2:6" x14ac:dyDescent="0.2">
      <c r="B15" s="58">
        <v>1</v>
      </c>
      <c r="C15" s="59">
        <v>5.5</v>
      </c>
      <c r="D15" s="59">
        <v>0.1</v>
      </c>
      <c r="E15" s="60">
        <f t="shared" si="0"/>
        <v>0.55000000000000004</v>
      </c>
      <c r="F15" s="53" t="s">
        <v>52</v>
      </c>
    </row>
    <row r="16" spans="2:6" x14ac:dyDescent="0.2">
      <c r="B16" s="58">
        <v>1</v>
      </c>
      <c r="C16" s="59">
        <v>5.5</v>
      </c>
      <c r="D16" s="59">
        <v>0.1</v>
      </c>
      <c r="E16" s="60">
        <f t="shared" si="0"/>
        <v>0.55000000000000004</v>
      </c>
      <c r="F16" s="53" t="s">
        <v>53</v>
      </c>
    </row>
    <row r="17" spans="2:6" x14ac:dyDescent="0.2">
      <c r="B17" s="58">
        <v>1</v>
      </c>
      <c r="C17" s="59">
        <v>5.5</v>
      </c>
      <c r="D17" s="59">
        <v>1</v>
      </c>
      <c r="E17" s="60">
        <f t="shared" si="0"/>
        <v>5.5</v>
      </c>
      <c r="F17" s="53" t="s">
        <v>54</v>
      </c>
    </row>
    <row r="18" spans="2:6" x14ac:dyDescent="0.2">
      <c r="B18" s="58"/>
      <c r="C18" s="59"/>
      <c r="D18" s="59"/>
      <c r="E18" s="60"/>
      <c r="F18" s="53"/>
    </row>
    <row r="19" spans="2:6" x14ac:dyDescent="0.2">
      <c r="B19" s="58"/>
      <c r="C19" s="59"/>
      <c r="D19" s="59" t="s">
        <v>45</v>
      </c>
      <c r="E19" s="60">
        <f>SUM(E8:E17)</f>
        <v>48.265999999999991</v>
      </c>
      <c r="F19" s="53"/>
    </row>
    <row r="20" spans="2:6" x14ac:dyDescent="0.2">
      <c r="B20" s="58"/>
      <c r="C20" s="59"/>
      <c r="D20" s="59" t="s">
        <v>43</v>
      </c>
      <c r="E20" s="60">
        <v>5.5</v>
      </c>
      <c r="F20" s="53"/>
    </row>
    <row r="21" spans="2:6" ht="16" thickBot="1" x14ac:dyDescent="0.25">
      <c r="B21" s="61"/>
      <c r="C21" s="62"/>
      <c r="D21" s="62" t="s">
        <v>44</v>
      </c>
      <c r="E21" s="63">
        <f>E19/E20</f>
        <v>8.7756363636363623</v>
      </c>
      <c r="F21" s="64"/>
    </row>
    <row r="23" spans="2:6" ht="16" thickBot="1" x14ac:dyDescent="0.25"/>
    <row r="24" spans="2:6" x14ac:dyDescent="0.2">
      <c r="B24" s="85" t="s">
        <v>55</v>
      </c>
      <c r="C24" s="86"/>
      <c r="D24" s="86"/>
      <c r="E24" s="86"/>
      <c r="F24" s="87"/>
    </row>
    <row r="25" spans="2:6" ht="16" x14ac:dyDescent="0.2">
      <c r="B25" s="65" t="s">
        <v>42</v>
      </c>
      <c r="C25" s="66" t="s">
        <v>43</v>
      </c>
      <c r="D25" s="66" t="s">
        <v>44</v>
      </c>
      <c r="E25" s="66" t="s">
        <v>45</v>
      </c>
      <c r="F25" s="67"/>
    </row>
    <row r="26" spans="2:6" x14ac:dyDescent="0.2">
      <c r="B26" s="58">
        <v>0.85</v>
      </c>
      <c r="C26" s="59">
        <v>5.5</v>
      </c>
      <c r="D26" s="59">
        <v>6.3</v>
      </c>
      <c r="E26" s="60">
        <f t="shared" ref="E26:E28" si="1">C26*D26/B26</f>
        <v>40.764705882352942</v>
      </c>
      <c r="F26" s="53" t="s">
        <v>56</v>
      </c>
    </row>
    <row r="27" spans="2:6" x14ac:dyDescent="0.2">
      <c r="B27" s="58">
        <v>1</v>
      </c>
      <c r="C27" s="59">
        <v>29</v>
      </c>
      <c r="D27" s="59">
        <v>1.8</v>
      </c>
      <c r="E27" s="60">
        <f t="shared" si="1"/>
        <v>52.2</v>
      </c>
      <c r="F27" s="53" t="s">
        <v>57</v>
      </c>
    </row>
    <row r="28" spans="2:6" x14ac:dyDescent="0.2">
      <c r="B28" s="58">
        <v>1</v>
      </c>
      <c r="C28" s="59">
        <v>29</v>
      </c>
      <c r="D28" s="59">
        <v>1.8</v>
      </c>
      <c r="E28" s="60">
        <f t="shared" si="1"/>
        <v>52.2</v>
      </c>
      <c r="F28" s="53" t="s">
        <v>58</v>
      </c>
    </row>
    <row r="29" spans="2:6" x14ac:dyDescent="0.2">
      <c r="B29" s="58"/>
      <c r="C29" s="59"/>
      <c r="D29" s="59"/>
      <c r="E29" s="60"/>
      <c r="F29" s="53"/>
    </row>
    <row r="30" spans="2:6" x14ac:dyDescent="0.2">
      <c r="B30" s="58"/>
      <c r="C30" s="59"/>
      <c r="D30" s="59" t="s">
        <v>45</v>
      </c>
      <c r="E30" s="60">
        <f>SUM(E26:E28)</f>
        <v>145.16470588235296</v>
      </c>
      <c r="F30" s="53"/>
    </row>
    <row r="31" spans="2:6" x14ac:dyDescent="0.2">
      <c r="B31" s="58"/>
      <c r="C31" s="59"/>
      <c r="D31" s="59" t="s">
        <v>43</v>
      </c>
      <c r="E31" s="60">
        <v>29</v>
      </c>
      <c r="F31" s="53"/>
    </row>
    <row r="32" spans="2:6" ht="16" thickBot="1" x14ac:dyDescent="0.25">
      <c r="B32" s="61"/>
      <c r="C32" s="62"/>
      <c r="D32" s="62" t="s">
        <v>44</v>
      </c>
      <c r="E32" s="63">
        <f>E30/E31</f>
        <v>5.0056795131845853</v>
      </c>
      <c r="F32" s="64"/>
    </row>
    <row r="37" spans="2:6" ht="16" thickBot="1" x14ac:dyDescent="0.25"/>
    <row r="38" spans="2:6" x14ac:dyDescent="0.2">
      <c r="B38" s="85" t="s">
        <v>63</v>
      </c>
      <c r="C38" s="86"/>
      <c r="D38" s="86"/>
      <c r="E38" s="86"/>
      <c r="F38" s="87"/>
    </row>
    <row r="39" spans="2:6" ht="16" x14ac:dyDescent="0.2">
      <c r="B39" s="51" t="s">
        <v>42</v>
      </c>
      <c r="C39" s="52" t="s">
        <v>43</v>
      </c>
      <c r="D39" s="52" t="s">
        <v>44</v>
      </c>
      <c r="E39" s="52" t="s">
        <v>45</v>
      </c>
      <c r="F39" s="53"/>
    </row>
    <row r="40" spans="2:6" x14ac:dyDescent="0.2">
      <c r="B40" s="54">
        <v>1</v>
      </c>
      <c r="C40" s="55">
        <v>3.7</v>
      </c>
      <c r="D40" s="55">
        <v>0.13500000000000001</v>
      </c>
      <c r="E40" s="56">
        <f>C40*D40/B40</f>
        <v>0.49950000000000006</v>
      </c>
      <c r="F40" s="57" t="s">
        <v>59</v>
      </c>
    </row>
    <row r="41" spans="2:6" x14ac:dyDescent="0.2">
      <c r="B41" s="58">
        <v>1</v>
      </c>
      <c r="C41" s="59">
        <v>3.7</v>
      </c>
      <c r="D41" s="59">
        <v>0.52200000000000002</v>
      </c>
      <c r="E41" s="60">
        <f t="shared" ref="E41:E43" si="2">C41*D41/B41</f>
        <v>1.9314000000000002</v>
      </c>
      <c r="F41" s="53" t="s">
        <v>60</v>
      </c>
    </row>
    <row r="42" spans="2:6" x14ac:dyDescent="0.2">
      <c r="B42" s="58">
        <v>1</v>
      </c>
      <c r="C42" s="59">
        <v>3.7</v>
      </c>
      <c r="D42" s="59">
        <v>0.66500000000000004</v>
      </c>
      <c r="E42" s="60">
        <f t="shared" si="2"/>
        <v>2.4605000000000001</v>
      </c>
      <c r="F42" s="53" t="s">
        <v>61</v>
      </c>
    </row>
    <row r="43" spans="2:6" x14ac:dyDescent="0.2">
      <c r="B43" s="58">
        <v>1</v>
      </c>
      <c r="C43" s="59">
        <v>3.7</v>
      </c>
      <c r="D43" s="59">
        <v>0.435</v>
      </c>
      <c r="E43" s="60">
        <f t="shared" si="2"/>
        <v>1.6095000000000002</v>
      </c>
      <c r="F43" s="53" t="s">
        <v>62</v>
      </c>
    </row>
    <row r="44" spans="2:6" x14ac:dyDescent="0.2">
      <c r="B44" s="58"/>
      <c r="C44" s="59"/>
      <c r="D44" s="59"/>
      <c r="E44" s="60"/>
      <c r="F44" s="53"/>
    </row>
    <row r="45" spans="2:6" x14ac:dyDescent="0.2">
      <c r="B45" s="58"/>
      <c r="C45" s="59"/>
      <c r="D45" s="59"/>
      <c r="E45" s="60"/>
      <c r="F45" s="53"/>
    </row>
    <row r="46" spans="2:6" x14ac:dyDescent="0.2">
      <c r="B46" s="58"/>
      <c r="C46" s="59"/>
      <c r="D46" s="59"/>
      <c r="E46" s="60"/>
      <c r="F46" s="53"/>
    </row>
    <row r="47" spans="2:6" x14ac:dyDescent="0.2">
      <c r="B47" s="58"/>
      <c r="C47" s="59"/>
      <c r="D47" s="59"/>
      <c r="E47" s="60"/>
      <c r="F47" s="53"/>
    </row>
    <row r="48" spans="2:6" x14ac:dyDescent="0.2">
      <c r="B48" s="58"/>
      <c r="C48" s="59"/>
      <c r="D48" s="59"/>
      <c r="E48" s="60"/>
      <c r="F48" s="53"/>
    </row>
    <row r="49" spans="2:6" x14ac:dyDescent="0.2">
      <c r="B49" s="58"/>
      <c r="C49" s="59"/>
      <c r="D49" s="59"/>
      <c r="E49" s="60"/>
      <c r="F49" s="53"/>
    </row>
    <row r="50" spans="2:6" x14ac:dyDescent="0.2">
      <c r="B50" s="58"/>
      <c r="C50" s="59"/>
      <c r="D50" s="59"/>
      <c r="E50" s="60"/>
      <c r="F50" s="53"/>
    </row>
    <row r="51" spans="2:6" x14ac:dyDescent="0.2">
      <c r="B51" s="58"/>
      <c r="C51" s="59"/>
      <c r="D51" s="59" t="s">
        <v>45</v>
      </c>
      <c r="E51" s="60">
        <f>SUM(E40:E49)</f>
        <v>6.5009000000000015</v>
      </c>
      <c r="F51" s="53"/>
    </row>
    <row r="52" spans="2:6" x14ac:dyDescent="0.2">
      <c r="B52" s="58"/>
      <c r="C52" s="59"/>
      <c r="D52" s="59" t="s">
        <v>43</v>
      </c>
      <c r="E52" s="60">
        <v>3.9</v>
      </c>
      <c r="F52" s="53"/>
    </row>
    <row r="53" spans="2:6" ht="16" thickBot="1" x14ac:dyDescent="0.25">
      <c r="B53" s="61"/>
      <c r="C53" s="62"/>
      <c r="D53" s="62" t="s">
        <v>44</v>
      </c>
      <c r="E53" s="63">
        <f>E51/E52</f>
        <v>1.6668974358974362</v>
      </c>
      <c r="F53" s="64"/>
    </row>
  </sheetData>
  <mergeCells count="3">
    <mergeCell ref="B6:F6"/>
    <mergeCell ref="B24:F24"/>
    <mergeCell ref="B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rx_chain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john jones</cp:lastModifiedBy>
  <dcterms:created xsi:type="dcterms:W3CDTF">2016-11-05T01:53:38Z</dcterms:created>
  <dcterms:modified xsi:type="dcterms:W3CDTF">2018-03-28T19:35:16Z</dcterms:modified>
</cp:coreProperties>
</file>