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gi\Desktop\Skólinn\Önn 10\Masters Project\T-899-MEIS-Thesis\"/>
    </mc:Choice>
  </mc:AlternateContent>
  <xr:revisionPtr revIDLastSave="0" documentId="13_ncr:1_{959AAC47-21B3-4304-8195-6179A270F4E8}" xr6:coauthVersionLast="47" xr6:coauthVersionMax="47" xr10:uidLastSave="{00000000-0000-0000-0000-000000000000}"/>
  <bookViews>
    <workbookView xWindow="-108" yWindow="-108" windowWidth="23256" windowHeight="12576" activeTab="2" xr2:uid="{0CA5A4C5-F54B-45BC-BB46-D574C6B2256D}"/>
  </bookViews>
  <sheets>
    <sheet name="FailureSpeeds" sheetId="1" r:id="rId1"/>
    <sheet name="Timing" sheetId="2" r:id="rId2"/>
    <sheet name="Calibration Pixe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3" l="1"/>
  <c r="R21" i="3"/>
  <c r="S21" i="3"/>
  <c r="Q22" i="3"/>
  <c r="R22" i="3"/>
  <c r="S22" i="3"/>
  <c r="R20" i="3"/>
  <c r="S20" i="3"/>
  <c r="Q20" i="3"/>
  <c r="M21" i="3"/>
  <c r="N21" i="3"/>
  <c r="O21" i="3"/>
  <c r="M22" i="3"/>
  <c r="N22" i="3"/>
  <c r="O22" i="3"/>
  <c r="N20" i="3"/>
  <c r="O20" i="3"/>
  <c r="M20" i="3"/>
  <c r="K22" i="3"/>
  <c r="K20" i="3"/>
  <c r="I20" i="3"/>
  <c r="I22" i="3"/>
  <c r="J22" i="3"/>
  <c r="J20" i="3"/>
  <c r="I21" i="3"/>
  <c r="K21" i="3"/>
  <c r="J21" i="3"/>
  <c r="C21" i="3"/>
  <c r="E19" i="3"/>
  <c r="F17" i="3"/>
  <c r="E17" i="3"/>
  <c r="C17" i="3"/>
  <c r="C19" i="3" s="1"/>
  <c r="B17" i="3"/>
  <c r="C24" i="2"/>
  <c r="F56" i="2"/>
  <c r="F57" i="2"/>
  <c r="F55" i="2"/>
  <c r="F54" i="2"/>
  <c r="F53" i="2"/>
  <c r="F52" i="2"/>
  <c r="G56" i="2"/>
  <c r="G52" i="2"/>
  <c r="F48" i="2"/>
  <c r="F47" i="2"/>
  <c r="F46" i="2"/>
  <c r="F45" i="2"/>
  <c r="G48" i="2"/>
  <c r="G45" i="2"/>
  <c r="F30" i="2"/>
  <c r="F31" i="2"/>
  <c r="F32" i="2"/>
  <c r="F33" i="2"/>
  <c r="F29" i="2"/>
  <c r="F38" i="2"/>
  <c r="F39" i="2"/>
  <c r="F40" i="2"/>
  <c r="F37" i="2"/>
  <c r="G40" i="2"/>
  <c r="G37" i="2"/>
  <c r="G33" i="2"/>
  <c r="G29" i="2"/>
  <c r="S23" i="2"/>
  <c r="R23" i="2"/>
  <c r="Q23" i="2"/>
  <c r="P23" i="2"/>
  <c r="AA23" i="2"/>
  <c r="Z23" i="2"/>
  <c r="Y23" i="2"/>
  <c r="X23" i="2"/>
  <c r="W23" i="2"/>
  <c r="V23" i="2"/>
  <c r="M23" i="2"/>
  <c r="L23" i="2"/>
  <c r="K23" i="2"/>
  <c r="J23" i="2"/>
  <c r="D23" i="2"/>
  <c r="E23" i="2"/>
  <c r="F23" i="2"/>
  <c r="G23" i="2"/>
  <c r="C23" i="2"/>
  <c r="AA19" i="2"/>
  <c r="AA20" i="2"/>
  <c r="AA21" i="2"/>
  <c r="W19" i="2"/>
  <c r="X19" i="2"/>
  <c r="Y19" i="2"/>
  <c r="Z19" i="2"/>
  <c r="W20" i="2"/>
  <c r="X20" i="2"/>
  <c r="Y20" i="2"/>
  <c r="Z20" i="2"/>
  <c r="W21" i="2"/>
  <c r="X21" i="2"/>
  <c r="Y21" i="2"/>
  <c r="Z21" i="2"/>
  <c r="V21" i="2"/>
  <c r="V20" i="2"/>
  <c r="V19" i="2"/>
  <c r="Q19" i="2"/>
  <c r="R19" i="2"/>
  <c r="S19" i="2"/>
  <c r="Q20" i="2"/>
  <c r="R20" i="2"/>
  <c r="S20" i="2"/>
  <c r="Q21" i="2"/>
  <c r="R21" i="2"/>
  <c r="S21" i="2"/>
  <c r="P21" i="2"/>
  <c r="P20" i="2"/>
  <c r="P19" i="2"/>
  <c r="K19" i="2"/>
  <c r="L19" i="2"/>
  <c r="M19" i="2"/>
  <c r="K20" i="2"/>
  <c r="L20" i="2"/>
  <c r="M20" i="2"/>
  <c r="K21" i="2"/>
  <c r="L21" i="2"/>
  <c r="M21" i="2"/>
  <c r="J21" i="2"/>
  <c r="J20" i="2"/>
  <c r="J19" i="2"/>
  <c r="D19" i="2"/>
  <c r="E19" i="2"/>
  <c r="F19" i="2"/>
  <c r="G19" i="2"/>
  <c r="D20" i="2"/>
  <c r="E20" i="2"/>
  <c r="F20" i="2"/>
  <c r="G20" i="2"/>
  <c r="D21" i="2"/>
  <c r="E21" i="2"/>
  <c r="F21" i="2"/>
  <c r="G21" i="2"/>
  <c r="C19" i="2"/>
  <c r="C20" i="2"/>
  <c r="C21" i="2"/>
  <c r="I5" i="1"/>
  <c r="I6" i="1"/>
  <c r="I7" i="1"/>
  <c r="I8" i="1"/>
  <c r="I9" i="1"/>
  <c r="I10" i="1"/>
  <c r="I4" i="1"/>
  <c r="I3" i="1"/>
  <c r="D8" i="1"/>
  <c r="D7" i="1"/>
  <c r="M70" i="1"/>
  <c r="L70" i="1"/>
  <c r="K70" i="1"/>
  <c r="M69" i="1"/>
  <c r="L69" i="1"/>
  <c r="K69" i="1"/>
  <c r="M68" i="1"/>
  <c r="L68" i="1"/>
  <c r="K68" i="1"/>
  <c r="M67" i="1"/>
  <c r="L67" i="1"/>
  <c r="K67" i="1"/>
  <c r="N68" i="1"/>
  <c r="N69" i="1"/>
  <c r="N70" i="1"/>
  <c r="N67" i="1"/>
  <c r="D6" i="1"/>
  <c r="D5" i="1"/>
  <c r="D4" i="1"/>
  <c r="F58" i="1"/>
  <c r="E58" i="1"/>
  <c r="D58" i="1"/>
  <c r="F57" i="1"/>
  <c r="E57" i="1"/>
  <c r="F56" i="1"/>
  <c r="E56" i="1"/>
  <c r="D57" i="1"/>
  <c r="D56" i="1"/>
  <c r="G56" i="1"/>
  <c r="G58" i="1"/>
  <c r="G57" i="1"/>
  <c r="C23" i="3" l="1"/>
  <c r="D23" i="3" s="1"/>
  <c r="D21" i="3"/>
  <c r="E23" i="3" s="1"/>
  <c r="C22" i="3"/>
  <c r="D22" i="3" s="1"/>
  <c r="W24" i="2"/>
  <c r="F24" i="2"/>
  <c r="D24" i="2"/>
  <c r="S25" i="2"/>
  <c r="L24" i="2"/>
  <c r="X24" i="2"/>
  <c r="E24" i="2"/>
  <c r="X25" i="2"/>
  <c r="J24" i="2"/>
  <c r="C25" i="2"/>
  <c r="Y25" i="2"/>
  <c r="K24" i="2"/>
  <c r="Z25" i="2"/>
  <c r="L25" i="2"/>
  <c r="M25" i="2"/>
  <c r="AA24" i="2"/>
  <c r="G24" i="2"/>
  <c r="P25" i="2"/>
  <c r="V24" i="2"/>
  <c r="Q25" i="2"/>
  <c r="R25" i="2"/>
  <c r="P24" i="2"/>
  <c r="Q24" i="2"/>
  <c r="R24" i="2"/>
  <c r="S24" i="2"/>
  <c r="AA25" i="2"/>
  <c r="Y24" i="2"/>
  <c r="Z24" i="2"/>
  <c r="V25" i="2"/>
  <c r="W25" i="2"/>
  <c r="M24" i="2"/>
  <c r="J25" i="2"/>
  <c r="K25" i="2"/>
  <c r="G25" i="2"/>
  <c r="F25" i="2"/>
  <c r="E25" i="2"/>
  <c r="D25" i="2"/>
  <c r="E22" i="3" l="1"/>
</calcChain>
</file>

<file path=xl/sharedStrings.xml><?xml version="1.0" encoding="utf-8"?>
<sst xmlns="http://schemas.openxmlformats.org/spreadsheetml/2006/main" count="350" uniqueCount="46">
  <si>
    <t>Period</t>
  </si>
  <si>
    <t>Frequency</t>
  </si>
  <si>
    <t>Trials</t>
  </si>
  <si>
    <t>Immediate Failure</t>
  </si>
  <si>
    <t>Gain</t>
  </si>
  <si>
    <t>[-8.944,-6.309,46.979,-2.469,4.151]</t>
  </si>
  <si>
    <t>Trial</t>
  </si>
  <si>
    <t>Successful Stabilzation</t>
  </si>
  <si>
    <t>10 Sec Control</t>
  </si>
  <si>
    <t>19 ms</t>
  </si>
  <si>
    <t>x</t>
  </si>
  <si>
    <t>2 ms</t>
  </si>
  <si>
    <t>20 ms</t>
  </si>
  <si>
    <t>Control for 10 seconds</t>
  </si>
  <si>
    <t>10 (100%)</t>
  </si>
  <si>
    <t>8 (80%)</t>
  </si>
  <si>
    <t>2 (20%)</t>
  </si>
  <si>
    <t>40 ms</t>
  </si>
  <si>
    <t>35 ms</t>
  </si>
  <si>
    <t>[-0.707,-1.195,29.098,-1.252,2.480]</t>
  </si>
  <si>
    <t>0 (0%)</t>
  </si>
  <si>
    <t>CameraLoop</t>
  </si>
  <si>
    <t>Old Frame Function</t>
  </si>
  <si>
    <t>GetFrame</t>
  </si>
  <si>
    <t>ImageManipulation</t>
  </si>
  <si>
    <t>ImagePresentation</t>
  </si>
  <si>
    <t>QubeLoop</t>
  </si>
  <si>
    <t>Average</t>
  </si>
  <si>
    <t>Variance</t>
  </si>
  <si>
    <t>StandardDev</t>
  </si>
  <si>
    <t>Lower 95%</t>
  </si>
  <si>
    <t>Upper 95%</t>
  </si>
  <si>
    <t>Old Frame Function w/o image</t>
  </si>
  <si>
    <t>New Frame Function No Logging</t>
  </si>
  <si>
    <t>New Frame Function Operation</t>
  </si>
  <si>
    <t>Angle Calculation</t>
  </si>
  <si>
    <t>QubeSampleToCamVoltageSet</t>
  </si>
  <si>
    <t>T-value</t>
  </si>
  <si>
    <t>Samples</t>
  </si>
  <si>
    <t>N/A - Subtask</t>
  </si>
  <si>
    <t>95% Confidence Interval</t>
  </si>
  <si>
    <t>Sigma Period</t>
  </si>
  <si>
    <t>Mean Period</t>
  </si>
  <si>
    <t>Mean Frequency</t>
  </si>
  <si>
    <t>Timer Name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</si>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</sst>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"/>
    <numFmt numFmtId="167" formatCode="0.0"/>
    <numFmt numFmtId="168" formatCode="#,##0.00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D715-CB65-4557-933D-3605D2871ED3}">
  <dimension ref="B3:N70"/>
  <sheetViews>
    <sheetView topLeftCell="A7" workbookViewId="0">
      <selection activeCell="B21" sqref="B21"/>
    </sheetView>
  </sheetViews>
  <sheetFormatPr defaultRowHeight="14.4" x14ac:dyDescent="0.3"/>
  <cols>
    <col min="2" max="2" width="30.5546875" bestFit="1" customWidth="1"/>
    <col min="4" max="4" width="12.5546875" bestFit="1" customWidth="1"/>
    <col min="5" max="5" width="6.88671875" customWidth="1"/>
    <col min="6" max="6" width="16" customWidth="1"/>
    <col min="7" max="7" width="19.44140625" customWidth="1"/>
    <col min="8" max="8" width="21.21875" customWidth="1"/>
  </cols>
  <sheetData>
    <row r="3" spans="2:9" x14ac:dyDescent="0.3">
      <c r="B3" t="s">
        <v>4</v>
      </c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13</v>
      </c>
      <c r="I3" t="str">
        <f>_xlfn.CONCAT(B3," &amp; ",C3," &amp; ",D3," &amp; ",E3," &amp; ",F3," &amp; ",G3," &amp; ",H3,"\\\midrule")</f>
        <v>Gain &amp; Period &amp; Frequency &amp; Trials &amp; Immediate Failure &amp; Successful Stabilzation &amp; Control for 10 seconds\\\midrule</v>
      </c>
    </row>
    <row r="4" spans="2:9" x14ac:dyDescent="0.3">
      <c r="B4" t="s">
        <v>5</v>
      </c>
      <c r="C4" s="5">
        <v>2</v>
      </c>
      <c r="D4" s="4">
        <f>1000/2</f>
        <v>500</v>
      </c>
      <c r="E4">
        <v>10</v>
      </c>
      <c r="F4">
        <v>0</v>
      </c>
      <c r="G4">
        <v>10</v>
      </c>
      <c r="H4" t="s">
        <v>14</v>
      </c>
      <c r="I4" t="str">
        <f>_xlfn.CONCAT(B4," &amp; $\si{\qty{",TEXT(C4,"0,0"),"}\milli\second}$ &amp; $\si{\qty{",TEXT(D4,"0,00"),"}\hertz}$ &amp; ",E4," &amp; ",F4," &amp; ",G4," &amp; ", H4, "\\")</f>
        <v>[-8.944,-6.309,46.979,-2.469,4.151] &amp; $\si{\qty{2,0}\milli\second}$ &amp; $\si{\qty{500,00}\hertz}$ &amp; 10 &amp; 0 &amp; 10 &amp; 10 (100%)\\</v>
      </c>
    </row>
    <row r="5" spans="2:9" x14ac:dyDescent="0.3">
      <c r="B5" t="s">
        <v>5</v>
      </c>
      <c r="C5" s="5">
        <v>19</v>
      </c>
      <c r="D5" s="4">
        <f>1000/19</f>
        <v>52.631578947368418</v>
      </c>
      <c r="E5">
        <v>10</v>
      </c>
      <c r="F5">
        <v>2</v>
      </c>
      <c r="G5">
        <v>8</v>
      </c>
      <c r="H5" t="s">
        <v>15</v>
      </c>
      <c r="I5" t="str">
        <f t="shared" ref="I5:I10" si="0">_xlfn.CONCAT(B5," &amp; $\si{\qty{",TEXT(C5,"0,0"),"}\milli\second}$ &amp; $\si{\qty{",TEXT(D5,"0,00"),"}\hertz}$ &amp; ",E5," &amp; ",F5," &amp; ",G5," &amp; ", H5, "\\")</f>
        <v>[-8.944,-6.309,46.979,-2.469,4.151] &amp; $\si{\qty{19,0}\milli\second}$ &amp; $\si{\qty{52,63}\hertz}$ &amp; 10 &amp; 2 &amp; 8 &amp; 8 (80%)\\</v>
      </c>
    </row>
    <row r="6" spans="2:9" x14ac:dyDescent="0.3">
      <c r="B6" t="s">
        <v>5</v>
      </c>
      <c r="C6" s="5">
        <v>20</v>
      </c>
      <c r="D6" s="4">
        <f>1000/20</f>
        <v>50</v>
      </c>
      <c r="E6">
        <v>10</v>
      </c>
      <c r="F6">
        <v>6</v>
      </c>
      <c r="G6">
        <v>4</v>
      </c>
      <c r="H6" t="s">
        <v>16</v>
      </c>
      <c r="I6" t="str">
        <f t="shared" si="0"/>
        <v>[-8.944,-6.309,46.979,-2.469,4.151] &amp; $\si{\qty{20,0}\milli\second}$ &amp; $\si{\qty{50,00}\hertz}$ &amp; 10 &amp; 6 &amp; 4 &amp; 2 (20%)\\</v>
      </c>
    </row>
    <row r="7" spans="2:9" x14ac:dyDescent="0.3">
      <c r="B7" t="s">
        <v>19</v>
      </c>
      <c r="C7" s="5">
        <v>2</v>
      </c>
      <c r="D7" s="4">
        <f>1000/2</f>
        <v>500</v>
      </c>
      <c r="E7">
        <v>10</v>
      </c>
      <c r="F7">
        <v>0</v>
      </c>
      <c r="G7">
        <v>10</v>
      </c>
      <c r="H7" t="s">
        <v>14</v>
      </c>
      <c r="I7" t="str">
        <f t="shared" si="0"/>
        <v>[-0.707,-1.195,29.098,-1.252,2.480] &amp; $\si{\qty{2,0}\milli\second}$ &amp; $\si{\qty{500,00}\hertz}$ &amp; 10 &amp; 0 &amp; 10 &amp; 10 (100%)\\</v>
      </c>
    </row>
    <row r="8" spans="2:9" x14ac:dyDescent="0.3">
      <c r="B8" t="s">
        <v>19</v>
      </c>
      <c r="C8" s="5">
        <v>20</v>
      </c>
      <c r="D8" s="4">
        <f>1000/20</f>
        <v>50</v>
      </c>
      <c r="E8">
        <v>10</v>
      </c>
      <c r="F8">
        <v>0</v>
      </c>
      <c r="G8">
        <v>10</v>
      </c>
      <c r="H8" t="s">
        <v>14</v>
      </c>
      <c r="I8" t="str">
        <f t="shared" si="0"/>
        <v>[-0.707,-1.195,29.098,-1.252,2.480] &amp; $\si{\qty{20,0}\milli\second}$ &amp; $\si{\qty{50,00}\hertz}$ &amp; 10 &amp; 0 &amp; 10 &amp; 10 (100%)\\</v>
      </c>
    </row>
    <row r="9" spans="2:9" x14ac:dyDescent="0.3">
      <c r="B9" t="s">
        <v>19</v>
      </c>
      <c r="C9" s="5">
        <v>35</v>
      </c>
      <c r="D9" s="4">
        <v>28.571428571428573</v>
      </c>
      <c r="E9">
        <v>10</v>
      </c>
      <c r="F9">
        <v>0</v>
      </c>
      <c r="G9">
        <v>10</v>
      </c>
      <c r="H9" t="s">
        <v>14</v>
      </c>
      <c r="I9" t="str">
        <f t="shared" si="0"/>
        <v>[-0.707,-1.195,29.098,-1.252,2.480] &amp; $\si{\qty{35,0}\milli\second}$ &amp; $\si{\qty{28,57}\hertz}$ &amp; 10 &amp; 0 &amp; 10 &amp; 10 (100%)\\</v>
      </c>
    </row>
    <row r="10" spans="2:9" x14ac:dyDescent="0.3">
      <c r="B10" t="s">
        <v>19</v>
      </c>
      <c r="C10" s="5">
        <v>40</v>
      </c>
      <c r="D10" s="4">
        <v>25</v>
      </c>
      <c r="E10">
        <v>10</v>
      </c>
      <c r="F10">
        <v>10</v>
      </c>
      <c r="G10">
        <v>0</v>
      </c>
      <c r="H10" t="s">
        <v>20</v>
      </c>
      <c r="I10" t="str">
        <f t="shared" si="0"/>
        <v>[-0.707,-1.195,29.098,-1.252,2.480] &amp; $\si{\qty{40,0}\milli\second}$ &amp; $\si{\qty{25,00}\hertz}$ &amp; 10 &amp; 10 &amp; 0 &amp; 0 (0%)\\</v>
      </c>
    </row>
    <row r="24" spans="2:13" x14ac:dyDescent="0.3">
      <c r="B24" t="s">
        <v>6</v>
      </c>
      <c r="C24" t="s">
        <v>0</v>
      </c>
      <c r="D24" t="s">
        <v>3</v>
      </c>
      <c r="E24" t="s">
        <v>7</v>
      </c>
      <c r="F24" t="s">
        <v>8</v>
      </c>
      <c r="I24" t="s">
        <v>6</v>
      </c>
      <c r="J24" t="s">
        <v>0</v>
      </c>
      <c r="K24" t="s">
        <v>3</v>
      </c>
      <c r="L24" t="s">
        <v>7</v>
      </c>
      <c r="M24" t="s">
        <v>8</v>
      </c>
    </row>
    <row r="25" spans="2:13" x14ac:dyDescent="0.3">
      <c r="B25">
        <v>1</v>
      </c>
      <c r="C25" t="s">
        <v>9</v>
      </c>
      <c r="D25" t="s">
        <v>10</v>
      </c>
      <c r="I25">
        <v>1</v>
      </c>
      <c r="J25" t="s">
        <v>11</v>
      </c>
      <c r="L25" t="s">
        <v>10</v>
      </c>
      <c r="M25" t="s">
        <v>10</v>
      </c>
    </row>
    <row r="26" spans="2:13" x14ac:dyDescent="0.3">
      <c r="B26">
        <v>2</v>
      </c>
      <c r="C26" t="s">
        <v>9</v>
      </c>
      <c r="E26" t="s">
        <v>10</v>
      </c>
      <c r="F26" t="s">
        <v>10</v>
      </c>
      <c r="I26">
        <v>2</v>
      </c>
      <c r="J26" t="s">
        <v>11</v>
      </c>
      <c r="L26" t="s">
        <v>10</v>
      </c>
      <c r="M26" t="s">
        <v>10</v>
      </c>
    </row>
    <row r="27" spans="2:13" x14ac:dyDescent="0.3">
      <c r="B27">
        <v>3</v>
      </c>
      <c r="C27" t="s">
        <v>9</v>
      </c>
      <c r="D27" t="s">
        <v>10</v>
      </c>
      <c r="I27">
        <v>3</v>
      </c>
      <c r="J27" t="s">
        <v>11</v>
      </c>
      <c r="L27" t="s">
        <v>10</v>
      </c>
      <c r="M27" t="s">
        <v>10</v>
      </c>
    </row>
    <row r="28" spans="2:13" x14ac:dyDescent="0.3">
      <c r="B28">
        <v>4</v>
      </c>
      <c r="C28" t="s">
        <v>9</v>
      </c>
      <c r="E28" t="s">
        <v>10</v>
      </c>
      <c r="F28" t="s">
        <v>10</v>
      </c>
      <c r="I28">
        <v>4</v>
      </c>
      <c r="J28" t="s">
        <v>11</v>
      </c>
      <c r="L28" t="s">
        <v>10</v>
      </c>
      <c r="M28" t="s">
        <v>10</v>
      </c>
    </row>
    <row r="29" spans="2:13" x14ac:dyDescent="0.3">
      <c r="B29">
        <v>5</v>
      </c>
      <c r="C29" t="s">
        <v>9</v>
      </c>
      <c r="E29" t="s">
        <v>10</v>
      </c>
      <c r="F29" t="s">
        <v>10</v>
      </c>
      <c r="I29">
        <v>5</v>
      </c>
      <c r="J29" t="s">
        <v>11</v>
      </c>
      <c r="L29" t="s">
        <v>10</v>
      </c>
      <c r="M29" t="s">
        <v>10</v>
      </c>
    </row>
    <row r="30" spans="2:13" x14ac:dyDescent="0.3">
      <c r="B30">
        <v>6</v>
      </c>
      <c r="C30" t="s">
        <v>9</v>
      </c>
      <c r="E30" t="s">
        <v>10</v>
      </c>
      <c r="F30" t="s">
        <v>10</v>
      </c>
      <c r="I30">
        <v>6</v>
      </c>
      <c r="J30" t="s">
        <v>11</v>
      </c>
      <c r="L30" t="s">
        <v>10</v>
      </c>
      <c r="M30" t="s">
        <v>10</v>
      </c>
    </row>
    <row r="31" spans="2:13" x14ac:dyDescent="0.3">
      <c r="B31">
        <v>7</v>
      </c>
      <c r="C31" t="s">
        <v>9</v>
      </c>
      <c r="E31" t="s">
        <v>10</v>
      </c>
      <c r="F31" t="s">
        <v>10</v>
      </c>
      <c r="I31">
        <v>7</v>
      </c>
      <c r="J31" t="s">
        <v>11</v>
      </c>
      <c r="L31" t="s">
        <v>10</v>
      </c>
      <c r="M31" t="s">
        <v>10</v>
      </c>
    </row>
    <row r="32" spans="2:13" x14ac:dyDescent="0.3">
      <c r="B32">
        <v>8</v>
      </c>
      <c r="C32" t="s">
        <v>9</v>
      </c>
      <c r="E32" t="s">
        <v>10</v>
      </c>
      <c r="F32" t="s">
        <v>10</v>
      </c>
      <c r="I32">
        <v>8</v>
      </c>
      <c r="J32" t="s">
        <v>11</v>
      </c>
      <c r="L32" t="s">
        <v>10</v>
      </c>
      <c r="M32" t="s">
        <v>10</v>
      </c>
    </row>
    <row r="33" spans="2:13" x14ac:dyDescent="0.3">
      <c r="B33">
        <v>9</v>
      </c>
      <c r="C33" t="s">
        <v>9</v>
      </c>
      <c r="E33" t="s">
        <v>10</v>
      </c>
      <c r="F33" t="s">
        <v>10</v>
      </c>
      <c r="I33">
        <v>9</v>
      </c>
      <c r="J33" t="s">
        <v>11</v>
      </c>
      <c r="L33" t="s">
        <v>10</v>
      </c>
      <c r="M33" t="s">
        <v>10</v>
      </c>
    </row>
    <row r="34" spans="2:13" x14ac:dyDescent="0.3">
      <c r="B34">
        <v>10</v>
      </c>
      <c r="C34" t="s">
        <v>9</v>
      </c>
      <c r="E34" t="s">
        <v>10</v>
      </c>
      <c r="F34" t="s">
        <v>10</v>
      </c>
      <c r="I34">
        <v>10</v>
      </c>
      <c r="J34" t="s">
        <v>11</v>
      </c>
      <c r="L34" t="s">
        <v>10</v>
      </c>
      <c r="M34" t="s">
        <v>10</v>
      </c>
    </row>
    <row r="35" spans="2:13" x14ac:dyDescent="0.3">
      <c r="B35">
        <v>11</v>
      </c>
      <c r="C35" t="s">
        <v>11</v>
      </c>
      <c r="E35" t="s">
        <v>10</v>
      </c>
      <c r="F35" t="s">
        <v>10</v>
      </c>
      <c r="I35">
        <v>11</v>
      </c>
      <c r="J35" t="s">
        <v>12</v>
      </c>
      <c r="L35" t="s">
        <v>10</v>
      </c>
      <c r="M35" t="s">
        <v>10</v>
      </c>
    </row>
    <row r="36" spans="2:13" x14ac:dyDescent="0.3">
      <c r="B36">
        <v>12</v>
      </c>
      <c r="C36" t="s">
        <v>11</v>
      </c>
      <c r="E36" t="s">
        <v>10</v>
      </c>
      <c r="F36" t="s">
        <v>10</v>
      </c>
      <c r="I36">
        <v>12</v>
      </c>
      <c r="J36" t="s">
        <v>12</v>
      </c>
      <c r="L36" t="s">
        <v>10</v>
      </c>
      <c r="M36" t="s">
        <v>10</v>
      </c>
    </row>
    <row r="37" spans="2:13" x14ac:dyDescent="0.3">
      <c r="B37">
        <v>13</v>
      </c>
      <c r="C37" t="s">
        <v>11</v>
      </c>
      <c r="E37" t="s">
        <v>10</v>
      </c>
      <c r="F37" t="s">
        <v>10</v>
      </c>
      <c r="I37">
        <v>13</v>
      </c>
      <c r="J37" t="s">
        <v>12</v>
      </c>
      <c r="L37" t="s">
        <v>10</v>
      </c>
      <c r="M37" t="s">
        <v>10</v>
      </c>
    </row>
    <row r="38" spans="2:13" x14ac:dyDescent="0.3">
      <c r="B38">
        <v>14</v>
      </c>
      <c r="C38" t="s">
        <v>11</v>
      </c>
      <c r="E38" t="s">
        <v>10</v>
      </c>
      <c r="F38" t="s">
        <v>10</v>
      </c>
      <c r="I38">
        <v>14</v>
      </c>
      <c r="J38" t="s">
        <v>12</v>
      </c>
      <c r="L38" t="s">
        <v>10</v>
      </c>
      <c r="M38" t="s">
        <v>10</v>
      </c>
    </row>
    <row r="39" spans="2:13" x14ac:dyDescent="0.3">
      <c r="B39">
        <v>15</v>
      </c>
      <c r="C39" t="s">
        <v>11</v>
      </c>
      <c r="E39" t="s">
        <v>10</v>
      </c>
      <c r="F39" t="s">
        <v>10</v>
      </c>
      <c r="I39">
        <v>15</v>
      </c>
      <c r="J39" t="s">
        <v>12</v>
      </c>
      <c r="L39" t="s">
        <v>10</v>
      </c>
      <c r="M39" t="s">
        <v>10</v>
      </c>
    </row>
    <row r="40" spans="2:13" x14ac:dyDescent="0.3">
      <c r="B40">
        <v>16</v>
      </c>
      <c r="C40" t="s">
        <v>11</v>
      </c>
      <c r="E40" t="s">
        <v>10</v>
      </c>
      <c r="F40" t="s">
        <v>10</v>
      </c>
      <c r="I40">
        <v>16</v>
      </c>
      <c r="J40" t="s">
        <v>12</v>
      </c>
      <c r="L40" t="s">
        <v>10</v>
      </c>
      <c r="M40" t="s">
        <v>10</v>
      </c>
    </row>
    <row r="41" spans="2:13" x14ac:dyDescent="0.3">
      <c r="B41">
        <v>17</v>
      </c>
      <c r="C41" t="s">
        <v>11</v>
      </c>
      <c r="E41" t="s">
        <v>10</v>
      </c>
      <c r="F41" t="s">
        <v>10</v>
      </c>
      <c r="I41">
        <v>17</v>
      </c>
      <c r="J41" t="s">
        <v>12</v>
      </c>
      <c r="L41" t="s">
        <v>10</v>
      </c>
      <c r="M41" t="s">
        <v>10</v>
      </c>
    </row>
    <row r="42" spans="2:13" x14ac:dyDescent="0.3">
      <c r="B42">
        <v>18</v>
      </c>
      <c r="C42" t="s">
        <v>11</v>
      </c>
      <c r="E42" t="s">
        <v>10</v>
      </c>
      <c r="F42" t="s">
        <v>10</v>
      </c>
      <c r="I42">
        <v>18</v>
      </c>
      <c r="J42" t="s">
        <v>12</v>
      </c>
      <c r="L42" t="s">
        <v>10</v>
      </c>
      <c r="M42" t="s">
        <v>10</v>
      </c>
    </row>
    <row r="43" spans="2:13" x14ac:dyDescent="0.3">
      <c r="B43">
        <v>19</v>
      </c>
      <c r="C43" t="s">
        <v>11</v>
      </c>
      <c r="E43" t="s">
        <v>10</v>
      </c>
      <c r="F43" t="s">
        <v>10</v>
      </c>
      <c r="I43">
        <v>19</v>
      </c>
      <c r="J43" t="s">
        <v>12</v>
      </c>
      <c r="L43" t="s">
        <v>10</v>
      </c>
      <c r="M43" t="s">
        <v>10</v>
      </c>
    </row>
    <row r="44" spans="2:13" x14ac:dyDescent="0.3">
      <c r="B44">
        <v>20</v>
      </c>
      <c r="C44" t="s">
        <v>11</v>
      </c>
      <c r="E44" t="s">
        <v>10</v>
      </c>
      <c r="F44" t="s">
        <v>10</v>
      </c>
      <c r="I44">
        <v>20</v>
      </c>
      <c r="J44" t="s">
        <v>12</v>
      </c>
      <c r="L44" t="s">
        <v>10</v>
      </c>
      <c r="M44" t="s">
        <v>10</v>
      </c>
    </row>
    <row r="45" spans="2:13" x14ac:dyDescent="0.3">
      <c r="B45">
        <v>21</v>
      </c>
      <c r="C45" t="s">
        <v>12</v>
      </c>
      <c r="D45" t="s">
        <v>10</v>
      </c>
      <c r="I45">
        <v>21</v>
      </c>
      <c r="J45" t="s">
        <v>17</v>
      </c>
      <c r="K45" t="s">
        <v>10</v>
      </c>
    </row>
    <row r="46" spans="2:13" x14ac:dyDescent="0.3">
      <c r="B46">
        <v>22</v>
      </c>
      <c r="C46" t="s">
        <v>12</v>
      </c>
      <c r="D46" t="s">
        <v>10</v>
      </c>
      <c r="I46">
        <v>22</v>
      </c>
      <c r="J46" t="s">
        <v>17</v>
      </c>
      <c r="K46" t="s">
        <v>10</v>
      </c>
    </row>
    <row r="47" spans="2:13" x14ac:dyDescent="0.3">
      <c r="B47">
        <v>23</v>
      </c>
      <c r="C47" t="s">
        <v>12</v>
      </c>
      <c r="E47" t="s">
        <v>10</v>
      </c>
      <c r="F47" t="s">
        <v>10</v>
      </c>
      <c r="I47">
        <v>23</v>
      </c>
      <c r="J47" t="s">
        <v>17</v>
      </c>
      <c r="K47" t="s">
        <v>10</v>
      </c>
    </row>
    <row r="48" spans="2:13" x14ac:dyDescent="0.3">
      <c r="B48">
        <v>24</v>
      </c>
      <c r="C48" t="s">
        <v>12</v>
      </c>
      <c r="D48" t="s">
        <v>10</v>
      </c>
      <c r="I48">
        <v>24</v>
      </c>
      <c r="J48" t="s">
        <v>17</v>
      </c>
      <c r="K48" t="s">
        <v>10</v>
      </c>
    </row>
    <row r="49" spans="2:13" x14ac:dyDescent="0.3">
      <c r="B49">
        <v>25</v>
      </c>
      <c r="C49" t="s">
        <v>12</v>
      </c>
      <c r="E49" t="s">
        <v>10</v>
      </c>
      <c r="I49">
        <v>25</v>
      </c>
      <c r="J49" t="s">
        <v>17</v>
      </c>
      <c r="K49" t="s">
        <v>10</v>
      </c>
    </row>
    <row r="50" spans="2:13" x14ac:dyDescent="0.3">
      <c r="B50">
        <v>26</v>
      </c>
      <c r="C50" t="s">
        <v>12</v>
      </c>
      <c r="D50" t="s">
        <v>10</v>
      </c>
      <c r="I50">
        <v>26</v>
      </c>
      <c r="J50" t="s">
        <v>17</v>
      </c>
      <c r="K50" t="s">
        <v>10</v>
      </c>
    </row>
    <row r="51" spans="2:13" x14ac:dyDescent="0.3">
      <c r="B51">
        <v>27</v>
      </c>
      <c r="C51" t="s">
        <v>12</v>
      </c>
      <c r="D51" t="s">
        <v>10</v>
      </c>
      <c r="I51">
        <v>27</v>
      </c>
      <c r="J51" t="s">
        <v>17</v>
      </c>
      <c r="K51" t="s">
        <v>10</v>
      </c>
    </row>
    <row r="52" spans="2:13" x14ac:dyDescent="0.3">
      <c r="B52">
        <v>28</v>
      </c>
      <c r="C52" t="s">
        <v>12</v>
      </c>
      <c r="D52" t="s">
        <v>10</v>
      </c>
      <c r="I52">
        <v>28</v>
      </c>
      <c r="J52" t="s">
        <v>17</v>
      </c>
      <c r="K52" t="s">
        <v>10</v>
      </c>
    </row>
    <row r="53" spans="2:13" x14ac:dyDescent="0.3">
      <c r="B53">
        <v>29</v>
      </c>
      <c r="C53" t="s">
        <v>12</v>
      </c>
      <c r="E53" t="s">
        <v>10</v>
      </c>
      <c r="F53" t="s">
        <v>10</v>
      </c>
      <c r="I53">
        <v>29</v>
      </c>
      <c r="J53" t="s">
        <v>17</v>
      </c>
      <c r="K53" t="s">
        <v>10</v>
      </c>
    </row>
    <row r="54" spans="2:13" x14ac:dyDescent="0.3">
      <c r="B54">
        <v>30</v>
      </c>
      <c r="C54" t="s">
        <v>12</v>
      </c>
      <c r="E54" t="s">
        <v>10</v>
      </c>
      <c r="I54">
        <v>30</v>
      </c>
      <c r="J54" t="s">
        <v>17</v>
      </c>
      <c r="K54" t="s">
        <v>10</v>
      </c>
    </row>
    <row r="55" spans="2:13" x14ac:dyDescent="0.3">
      <c r="I55">
        <v>31</v>
      </c>
      <c r="J55" t="s">
        <v>18</v>
      </c>
      <c r="L55" t="s">
        <v>10</v>
      </c>
      <c r="M55" t="s">
        <v>10</v>
      </c>
    </row>
    <row r="56" spans="2:13" x14ac:dyDescent="0.3">
      <c r="C56" t="s">
        <v>11</v>
      </c>
      <c r="D56">
        <f>+COUNTIFS($C$25:$C$54,C56,D25:D54,"x")</f>
        <v>0</v>
      </c>
      <c r="E56">
        <f>+COUNTIFS($C$25:$C$54,C56,E25:E54,"x")</f>
        <v>10</v>
      </c>
      <c r="F56">
        <f>+COUNTIFS($C$25:$C$54,C56,F25:F54,"x")</f>
        <v>10</v>
      </c>
      <c r="G56">
        <f>+COUNTIF($C$25:$C$54,C56)</f>
        <v>10</v>
      </c>
      <c r="I56">
        <v>32</v>
      </c>
      <c r="J56" t="s">
        <v>18</v>
      </c>
      <c r="L56" t="s">
        <v>10</v>
      </c>
      <c r="M56" t="s">
        <v>10</v>
      </c>
    </row>
    <row r="57" spans="2:13" x14ac:dyDescent="0.3">
      <c r="C57" t="s">
        <v>9</v>
      </c>
      <c r="D57">
        <f>+COUNTIFS($C$25:$C$54,C57,D25:D54,"x")</f>
        <v>2</v>
      </c>
      <c r="E57">
        <f>+COUNTIFS($C$25:$C$54,C57,E25:E54,"x")</f>
        <v>8</v>
      </c>
      <c r="F57">
        <f>+COUNTIFS($C$25:$C$54,C57,F25:F54,"x")</f>
        <v>8</v>
      </c>
      <c r="G57">
        <f>+COUNTIF($C$25:$C$54,C57)</f>
        <v>10</v>
      </c>
      <c r="I57">
        <v>33</v>
      </c>
      <c r="J57" t="s">
        <v>18</v>
      </c>
      <c r="L57" t="s">
        <v>10</v>
      </c>
      <c r="M57" t="s">
        <v>10</v>
      </c>
    </row>
    <row r="58" spans="2:13" x14ac:dyDescent="0.3">
      <c r="C58" t="s">
        <v>12</v>
      </c>
      <c r="D58">
        <f>+COUNTIFS($C$25:$C$54,C58,D25:D54,"x")</f>
        <v>6</v>
      </c>
      <c r="E58">
        <f>+COUNTIFS($C$25:$C$54,C58,E25:E54,"x")</f>
        <v>4</v>
      </c>
      <c r="F58">
        <f>+COUNTIFS($C$25:$C$54,C58,F25:F54,"x")</f>
        <v>2</v>
      </c>
      <c r="G58">
        <f>+COUNTIF($C$25:$C$54,C58)</f>
        <v>10</v>
      </c>
      <c r="I58">
        <v>34</v>
      </c>
      <c r="J58" t="s">
        <v>18</v>
      </c>
      <c r="L58" t="s">
        <v>10</v>
      </c>
      <c r="M58" t="s">
        <v>10</v>
      </c>
    </row>
    <row r="59" spans="2:13" x14ac:dyDescent="0.3">
      <c r="I59">
        <v>35</v>
      </c>
      <c r="J59" t="s">
        <v>18</v>
      </c>
      <c r="L59" t="s">
        <v>10</v>
      </c>
      <c r="M59" t="s">
        <v>10</v>
      </c>
    </row>
    <row r="60" spans="2:13" x14ac:dyDescent="0.3">
      <c r="I60">
        <v>36</v>
      </c>
      <c r="J60" t="s">
        <v>18</v>
      </c>
      <c r="L60" t="s">
        <v>10</v>
      </c>
      <c r="M60" t="s">
        <v>10</v>
      </c>
    </row>
    <row r="61" spans="2:13" x14ac:dyDescent="0.3">
      <c r="I61">
        <v>37</v>
      </c>
      <c r="J61" t="s">
        <v>18</v>
      </c>
      <c r="L61" t="s">
        <v>10</v>
      </c>
      <c r="M61" t="s">
        <v>10</v>
      </c>
    </row>
    <row r="62" spans="2:13" x14ac:dyDescent="0.3">
      <c r="I62">
        <v>38</v>
      </c>
      <c r="J62" t="s">
        <v>18</v>
      </c>
      <c r="L62" t="s">
        <v>10</v>
      </c>
      <c r="M62" t="s">
        <v>10</v>
      </c>
    </row>
    <row r="63" spans="2:13" x14ac:dyDescent="0.3">
      <c r="I63">
        <v>39</v>
      </c>
      <c r="J63" t="s">
        <v>18</v>
      </c>
      <c r="L63" t="s">
        <v>10</v>
      </c>
      <c r="M63" t="s">
        <v>10</v>
      </c>
    </row>
    <row r="64" spans="2:13" x14ac:dyDescent="0.3">
      <c r="I64">
        <v>40</v>
      </c>
      <c r="J64" t="s">
        <v>18</v>
      </c>
      <c r="L64" t="s">
        <v>10</v>
      </c>
      <c r="M64" t="s">
        <v>10</v>
      </c>
    </row>
    <row r="67" spans="10:14" x14ac:dyDescent="0.3">
      <c r="J67" t="s">
        <v>11</v>
      </c>
      <c r="K67">
        <f>+COUNTIFS($J$25:$J$64,J67,K25:K64,"x")</f>
        <v>0</v>
      </c>
      <c r="L67">
        <f>+COUNTIFS($J$25:$J$64,J67,L25:L64,"x")</f>
        <v>10</v>
      </c>
      <c r="M67">
        <f>+COUNTIFS($J$25:$J$64,J67,M25:M64,"x")</f>
        <v>10</v>
      </c>
      <c r="N67">
        <f>+COUNTIF($J$25:$J$64,J67)</f>
        <v>10</v>
      </c>
    </row>
    <row r="68" spans="10:14" x14ac:dyDescent="0.3">
      <c r="J68" t="s">
        <v>12</v>
      </c>
      <c r="K68">
        <f>+COUNTIFS($J$25:$J$64,J68,K25:K64,"x")</f>
        <v>0</v>
      </c>
      <c r="L68">
        <f>+COUNTIFS($J$25:$J$64,J68,L25:L64,"x")</f>
        <v>10</v>
      </c>
      <c r="M68">
        <f>+COUNTIFS($J$25:$J$64,J68,M25:M64,"x")</f>
        <v>10</v>
      </c>
      <c r="N68">
        <f t="shared" ref="N68:N70" si="1">+COUNTIF($J$25:$J$64,J68)</f>
        <v>10</v>
      </c>
    </row>
    <row r="69" spans="10:14" x14ac:dyDescent="0.3">
      <c r="J69" t="s">
        <v>18</v>
      </c>
      <c r="K69">
        <f>+COUNTIFS($J$25:$J$64,J69,K25:K64,"x")</f>
        <v>0</v>
      </c>
      <c r="L69">
        <f>+COUNTIFS($J$25:$J$64,J69,L25:L64,"x")</f>
        <v>10</v>
      </c>
      <c r="M69">
        <f>+COUNTIFS($J$25:$J$64,J69,M25:M64,"x")</f>
        <v>10</v>
      </c>
      <c r="N69">
        <f t="shared" si="1"/>
        <v>10</v>
      </c>
    </row>
    <row r="70" spans="10:14" x14ac:dyDescent="0.3">
      <c r="J70" t="s">
        <v>17</v>
      </c>
      <c r="K70">
        <f>+COUNTIFS($J$25:$J$64,J70,K25:K64,"x")</f>
        <v>10</v>
      </c>
      <c r="L70">
        <f>+COUNTIFS($J$25:$J$64,J70,L25:L64,"x")</f>
        <v>0</v>
      </c>
      <c r="M70">
        <f>+COUNTIFS($J$25:$J$64,J70,M25:M64,"x")</f>
        <v>0</v>
      </c>
      <c r="N70">
        <f t="shared" si="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575E-F315-43D3-83E3-79970BF6D7BE}">
  <dimension ref="B2:AA57"/>
  <sheetViews>
    <sheetView workbookViewId="0">
      <selection activeCell="C19" sqref="C19"/>
    </sheetView>
  </sheetViews>
  <sheetFormatPr defaultRowHeight="14.4" x14ac:dyDescent="0.3"/>
  <cols>
    <col min="2" max="2" width="17.109375" customWidth="1"/>
    <col min="3" max="3" width="10.33203125" customWidth="1"/>
    <col min="4" max="4" width="11.44140625" bestFit="1" customWidth="1"/>
    <col min="5" max="5" width="14.33203125" customWidth="1"/>
    <col min="6" max="6" width="14" customWidth="1"/>
    <col min="7" max="7" width="11.6640625" customWidth="1"/>
    <col min="8" max="8" width="16.77734375" customWidth="1"/>
    <col min="9" max="9" width="11.77734375" bestFit="1" customWidth="1"/>
    <col min="10" max="10" width="27.33203125" bestFit="1" customWidth="1"/>
    <col min="11" max="11" width="10.44140625" bestFit="1" customWidth="1"/>
    <col min="12" max="12" width="17.77734375" bestFit="1" customWidth="1"/>
    <col min="13" max="13" width="17" bestFit="1" customWidth="1"/>
    <col min="14" max="14" width="9.6640625" bestFit="1" customWidth="1"/>
    <col min="15" max="15" width="11.77734375" bestFit="1" customWidth="1"/>
    <col min="16" max="16" width="28.33203125" bestFit="1" customWidth="1"/>
    <col min="17" max="17" width="9.44140625" bestFit="1" customWidth="1"/>
    <col min="18" max="18" width="17.77734375" bestFit="1" customWidth="1"/>
    <col min="19" max="19" width="9.77734375" bestFit="1" customWidth="1"/>
    <col min="21" max="21" width="11.77734375" bestFit="1" customWidth="1"/>
    <col min="22" max="22" width="27.6640625" bestFit="1" customWidth="1"/>
    <col min="23" max="23" width="9.21875" bestFit="1" customWidth="1"/>
    <col min="24" max="24" width="17.77734375" bestFit="1" customWidth="1"/>
    <col min="25" max="25" width="15.44140625" bestFit="1" customWidth="1"/>
    <col min="26" max="26" width="12.21875" bestFit="1" customWidth="1"/>
    <col min="27" max="27" width="27" bestFit="1" customWidth="1"/>
  </cols>
  <sheetData>
    <row r="2" spans="2:27" x14ac:dyDescent="0.3">
      <c r="C2" t="s">
        <v>22</v>
      </c>
      <c r="J2" t="s">
        <v>32</v>
      </c>
      <c r="P2" t="s">
        <v>33</v>
      </c>
      <c r="V2" t="s">
        <v>34</v>
      </c>
    </row>
    <row r="3" spans="2:27" x14ac:dyDescent="0.3">
      <c r="B3" t="s">
        <v>6</v>
      </c>
      <c r="C3" t="s">
        <v>21</v>
      </c>
      <c r="D3" t="s">
        <v>23</v>
      </c>
      <c r="E3" t="s">
        <v>24</v>
      </c>
      <c r="F3" t="s">
        <v>25</v>
      </c>
      <c r="G3" t="s">
        <v>26</v>
      </c>
      <c r="I3" t="s">
        <v>6</v>
      </c>
      <c r="J3" t="s">
        <v>21</v>
      </c>
      <c r="K3" t="s">
        <v>23</v>
      </c>
      <c r="L3" t="s">
        <v>24</v>
      </c>
      <c r="M3" t="s">
        <v>26</v>
      </c>
      <c r="O3" t="s">
        <v>6</v>
      </c>
      <c r="P3" t="s">
        <v>21</v>
      </c>
      <c r="Q3" t="s">
        <v>23</v>
      </c>
      <c r="R3" t="s">
        <v>24</v>
      </c>
      <c r="S3" t="s">
        <v>26</v>
      </c>
      <c r="U3" t="s">
        <v>6</v>
      </c>
      <c r="V3" t="s">
        <v>21</v>
      </c>
      <c r="W3" t="s">
        <v>23</v>
      </c>
      <c r="X3" t="s">
        <v>24</v>
      </c>
      <c r="Y3" t="s">
        <v>35</v>
      </c>
      <c r="Z3" t="s">
        <v>26</v>
      </c>
      <c r="AA3" t="s">
        <v>36</v>
      </c>
    </row>
    <row r="4" spans="2:27" x14ac:dyDescent="0.3">
      <c r="B4">
        <v>1</v>
      </c>
      <c r="C4" s="1">
        <v>31.003564999999998</v>
      </c>
      <c r="D4" s="1">
        <v>17.543123000000001</v>
      </c>
      <c r="E4" s="1">
        <v>2.5481039999999999</v>
      </c>
      <c r="F4" s="1">
        <v>10.905656</v>
      </c>
      <c r="G4" s="1">
        <v>13.24967</v>
      </c>
      <c r="I4">
        <v>1</v>
      </c>
      <c r="J4" s="1">
        <v>23.901164999999999</v>
      </c>
      <c r="K4" s="1">
        <v>21.306532000000001</v>
      </c>
      <c r="L4" s="1">
        <v>2.5890219999999999</v>
      </c>
      <c r="M4" s="1">
        <v>13.249616</v>
      </c>
      <c r="O4">
        <v>1</v>
      </c>
      <c r="P4" s="1">
        <v>6.6651930000000004</v>
      </c>
      <c r="Q4" s="1">
        <v>4.4713580000000004</v>
      </c>
      <c r="R4" s="1">
        <v>2.1899579999999998</v>
      </c>
      <c r="S4" s="1">
        <v>6.499771</v>
      </c>
      <c r="U4">
        <v>1</v>
      </c>
      <c r="V4" s="1">
        <v>6.6561450000000004</v>
      </c>
      <c r="W4" s="1">
        <v>3.9215970000000002</v>
      </c>
      <c r="X4" s="1">
        <v>2.3237160000000001</v>
      </c>
      <c r="Y4" s="1">
        <v>0.558778</v>
      </c>
      <c r="Z4" s="1">
        <v>6.4997980000000002</v>
      </c>
      <c r="AA4" s="1">
        <v>3.187246</v>
      </c>
    </row>
    <row r="5" spans="2:27" x14ac:dyDescent="0.3">
      <c r="B5">
        <v>2</v>
      </c>
      <c r="C5" s="1">
        <v>31.184622999999998</v>
      </c>
      <c r="D5" s="1">
        <v>17.505382999999998</v>
      </c>
      <c r="E5" s="1">
        <v>2.627046</v>
      </c>
      <c r="F5" s="1">
        <v>11.045608</v>
      </c>
      <c r="G5" s="1">
        <v>13.249634</v>
      </c>
      <c r="I5">
        <v>2</v>
      </c>
      <c r="J5" s="1">
        <v>23.882321000000001</v>
      </c>
      <c r="K5" s="1">
        <v>21.267904999999999</v>
      </c>
      <c r="L5" s="1">
        <v>2.6091690000000001</v>
      </c>
      <c r="M5" s="1">
        <v>13.248658000000001</v>
      </c>
      <c r="O5">
        <v>2</v>
      </c>
      <c r="P5" s="1">
        <v>6.6637149999999998</v>
      </c>
      <c r="Q5" s="1">
        <v>4.4102629999999996</v>
      </c>
      <c r="R5" s="1">
        <v>2.249663</v>
      </c>
      <c r="S5" s="1">
        <v>6.4997369999999997</v>
      </c>
      <c r="U5">
        <v>2</v>
      </c>
      <c r="V5" s="1">
        <v>6.6604890000000001</v>
      </c>
      <c r="W5" s="1">
        <v>3.9326029999999998</v>
      </c>
      <c r="X5" s="1">
        <v>2.3233000000000001</v>
      </c>
      <c r="Y5" s="1">
        <v>0.54768799999999995</v>
      </c>
      <c r="Z5" s="1">
        <v>6.4998310000000004</v>
      </c>
      <c r="AA5" s="1">
        <v>3.1980599999999999</v>
      </c>
    </row>
    <row r="6" spans="2:27" x14ac:dyDescent="0.3">
      <c r="B6">
        <v>3</v>
      </c>
      <c r="C6" s="1">
        <v>31.21386</v>
      </c>
      <c r="D6" s="1">
        <v>17.386295</v>
      </c>
      <c r="E6" s="1">
        <v>2.7109969999999999</v>
      </c>
      <c r="F6" s="1">
        <v>11.110023</v>
      </c>
      <c r="G6" s="1">
        <v>13.249594999999999</v>
      </c>
      <c r="I6">
        <v>3</v>
      </c>
      <c r="J6" s="1">
        <v>23.889285999999998</v>
      </c>
      <c r="K6" s="1">
        <v>21.238202000000001</v>
      </c>
      <c r="L6" s="1">
        <v>2.6455600000000001</v>
      </c>
      <c r="M6" s="1">
        <v>13.249672</v>
      </c>
      <c r="O6">
        <v>3</v>
      </c>
      <c r="P6" s="1">
        <v>6.661232</v>
      </c>
      <c r="Q6" s="1">
        <v>4.2800840000000004</v>
      </c>
      <c r="R6" s="1">
        <v>2.377237</v>
      </c>
      <c r="S6" s="1">
        <v>6.4998189999999996</v>
      </c>
      <c r="U6">
        <v>3</v>
      </c>
      <c r="V6" s="1">
        <v>6.6512659999999997</v>
      </c>
      <c r="W6" s="1">
        <v>3.9624959999999998</v>
      </c>
      <c r="X6" s="1">
        <v>2.3095530000000002</v>
      </c>
      <c r="Y6" s="1">
        <v>0.55598599999999998</v>
      </c>
      <c r="Z6" s="1">
        <v>6.4997819999999997</v>
      </c>
      <c r="AA6" s="1">
        <v>3.2126980000000001</v>
      </c>
    </row>
    <row r="7" spans="2:27" x14ac:dyDescent="0.3">
      <c r="B7">
        <v>4</v>
      </c>
      <c r="C7" s="1">
        <v>31.327459999999999</v>
      </c>
      <c r="D7" s="1">
        <v>17.623650000000001</v>
      </c>
      <c r="E7" s="1">
        <v>2.6972520000000002</v>
      </c>
      <c r="F7" s="1">
        <v>10.999665</v>
      </c>
      <c r="G7" s="1">
        <v>13.2494</v>
      </c>
      <c r="I7">
        <v>4</v>
      </c>
      <c r="J7" s="1">
        <v>23.904043000000001</v>
      </c>
      <c r="K7" s="1">
        <v>21.204236999999999</v>
      </c>
      <c r="L7" s="1">
        <v>2.694442</v>
      </c>
      <c r="M7" s="1">
        <v>13.249625999999999</v>
      </c>
      <c r="O7">
        <v>4</v>
      </c>
      <c r="P7" s="1">
        <v>6.6637529999999998</v>
      </c>
      <c r="Q7" s="1">
        <v>4.4622529999999996</v>
      </c>
      <c r="R7" s="1">
        <v>2.1976490000000002</v>
      </c>
      <c r="S7" s="1">
        <v>6.4998480000000001</v>
      </c>
      <c r="U7">
        <v>4</v>
      </c>
      <c r="V7" s="1">
        <v>6.6557449999999996</v>
      </c>
      <c r="W7" s="1">
        <v>3.892998</v>
      </c>
      <c r="X7" s="1">
        <v>2.3716979999999999</v>
      </c>
      <c r="Y7" s="1">
        <v>0.54475399999999996</v>
      </c>
      <c r="Z7" s="1">
        <v>6.4997129999999999</v>
      </c>
      <c r="AA7" s="1">
        <v>3.1823869999999999</v>
      </c>
    </row>
    <row r="8" spans="2:27" x14ac:dyDescent="0.3">
      <c r="B8">
        <v>5</v>
      </c>
      <c r="C8" s="1">
        <v>31.434840999999999</v>
      </c>
      <c r="D8" s="1">
        <v>17.567951000000001</v>
      </c>
      <c r="E8" s="1">
        <v>2.641095</v>
      </c>
      <c r="F8" s="1">
        <v>11.219291999999999</v>
      </c>
      <c r="G8" s="1">
        <v>13.249732</v>
      </c>
      <c r="I8">
        <v>5</v>
      </c>
      <c r="J8" s="1">
        <v>23.892899</v>
      </c>
      <c r="K8" s="1">
        <v>21.234883</v>
      </c>
      <c r="L8" s="1">
        <v>2.65279</v>
      </c>
      <c r="M8" s="1">
        <v>13.249739999999999</v>
      </c>
      <c r="O8">
        <v>5</v>
      </c>
      <c r="P8" s="1">
        <v>6.6604010000000002</v>
      </c>
      <c r="Q8" s="1">
        <v>4.4252000000000002</v>
      </c>
      <c r="R8" s="1">
        <v>2.2312729999999998</v>
      </c>
      <c r="S8" s="1">
        <v>6.4998519999999997</v>
      </c>
      <c r="U8">
        <v>5</v>
      </c>
      <c r="V8" s="1">
        <v>6.6613259999999999</v>
      </c>
      <c r="W8" s="1">
        <v>3.9355329999999999</v>
      </c>
      <c r="X8" s="1">
        <v>2.3295870000000001</v>
      </c>
      <c r="Y8" s="1">
        <v>0.55408800000000002</v>
      </c>
      <c r="Z8" s="1">
        <v>6.4997689999999997</v>
      </c>
      <c r="AA8" s="1">
        <v>3.1955819999999999</v>
      </c>
    </row>
    <row r="9" spans="2:27" x14ac:dyDescent="0.3">
      <c r="B9">
        <v>6</v>
      </c>
      <c r="C9" s="1">
        <v>31.259497</v>
      </c>
      <c r="D9" s="1">
        <v>17.487565</v>
      </c>
      <c r="E9" s="1">
        <v>2.6151369999999998</v>
      </c>
      <c r="F9" s="1">
        <v>11.150143</v>
      </c>
      <c r="G9" s="1">
        <v>13.249644</v>
      </c>
      <c r="I9">
        <v>6</v>
      </c>
      <c r="J9" s="1">
        <v>23.897666000000001</v>
      </c>
      <c r="K9" s="1">
        <v>21.247792</v>
      </c>
      <c r="L9" s="1">
        <v>2.6444559999999999</v>
      </c>
      <c r="M9" s="1">
        <v>13.248977999999999</v>
      </c>
      <c r="O9">
        <v>6</v>
      </c>
      <c r="P9" s="1">
        <v>6.6601850000000002</v>
      </c>
      <c r="Q9" s="1">
        <v>4.3957259999999998</v>
      </c>
      <c r="R9" s="1">
        <v>2.2605930000000001</v>
      </c>
      <c r="S9" s="1">
        <v>6.49986</v>
      </c>
      <c r="U9">
        <v>6</v>
      </c>
      <c r="V9" s="1">
        <v>6.6599050000000002</v>
      </c>
      <c r="W9" s="1">
        <v>3.9989590000000002</v>
      </c>
      <c r="X9" s="1">
        <v>2.325132</v>
      </c>
      <c r="Y9" s="1">
        <v>0.54017099999999996</v>
      </c>
      <c r="Z9" s="1">
        <v>6.499816</v>
      </c>
      <c r="AA9" s="1">
        <v>3.2094619999999998</v>
      </c>
    </row>
    <row r="10" spans="2:27" x14ac:dyDescent="0.3">
      <c r="B10">
        <v>7</v>
      </c>
      <c r="C10" s="1">
        <v>31.559370000000001</v>
      </c>
      <c r="D10" s="1">
        <v>17.535532</v>
      </c>
      <c r="E10" s="1">
        <v>2.7593610000000002</v>
      </c>
      <c r="F10" s="1">
        <v>11.257845</v>
      </c>
      <c r="G10" s="1">
        <v>13.248796</v>
      </c>
      <c r="I10">
        <v>7</v>
      </c>
      <c r="J10" s="1">
        <v>23.8904</v>
      </c>
      <c r="K10" s="1">
        <v>21.254033</v>
      </c>
      <c r="L10" s="1">
        <v>2.6308829999999999</v>
      </c>
      <c r="M10" s="1">
        <v>13.249612000000001</v>
      </c>
      <c r="O10">
        <v>7</v>
      </c>
      <c r="P10" s="1">
        <v>6.6620270000000001</v>
      </c>
      <c r="Q10" s="1">
        <v>4.3904189999999996</v>
      </c>
      <c r="R10" s="1">
        <v>2.2678660000000002</v>
      </c>
      <c r="S10" s="1">
        <v>6.4998250000000004</v>
      </c>
      <c r="U10">
        <v>7</v>
      </c>
      <c r="V10" s="1">
        <v>6.6606750000000003</v>
      </c>
      <c r="W10" s="1">
        <v>3.973678</v>
      </c>
      <c r="X10" s="1">
        <v>2.2951039999999998</v>
      </c>
      <c r="Y10" s="1">
        <v>0.54957900000000004</v>
      </c>
      <c r="Z10" s="1">
        <v>6.4998750000000003</v>
      </c>
      <c r="AA10" s="1">
        <v>3.2133210000000001</v>
      </c>
    </row>
    <row r="11" spans="2:27" x14ac:dyDescent="0.3">
      <c r="B11">
        <v>8</v>
      </c>
      <c r="C11" s="1">
        <v>31.477651999999999</v>
      </c>
      <c r="D11" s="1">
        <v>17.538112000000002</v>
      </c>
      <c r="E11" s="1">
        <v>2.7530410000000001</v>
      </c>
      <c r="F11" s="1">
        <v>11.179593000000001</v>
      </c>
      <c r="G11" s="1">
        <v>13.249237000000001</v>
      </c>
      <c r="I11">
        <v>8</v>
      </c>
      <c r="J11" s="1">
        <v>23.899585999999999</v>
      </c>
      <c r="K11" s="1">
        <v>21.157841999999999</v>
      </c>
      <c r="L11" s="1">
        <v>2.7364660000000001</v>
      </c>
      <c r="M11" s="1">
        <v>13.249423999999999</v>
      </c>
      <c r="O11">
        <v>8</v>
      </c>
      <c r="P11" s="1">
        <v>6.6632350000000002</v>
      </c>
      <c r="Q11" s="1">
        <v>4.4560810000000002</v>
      </c>
      <c r="R11" s="1">
        <v>2.2032660000000002</v>
      </c>
      <c r="S11" s="1">
        <v>6.4997639999999999</v>
      </c>
      <c r="U11">
        <v>8</v>
      </c>
      <c r="V11" s="1">
        <v>6.6601739999999996</v>
      </c>
      <c r="W11" s="1">
        <v>3.8924080000000001</v>
      </c>
      <c r="X11" s="1">
        <v>2.3572109999999999</v>
      </c>
      <c r="Y11" s="1">
        <v>0.563249</v>
      </c>
      <c r="Z11" s="1">
        <v>6.4998050000000003</v>
      </c>
      <c r="AA11" s="1">
        <v>3.2264110000000001</v>
      </c>
    </row>
    <row r="12" spans="2:27" x14ac:dyDescent="0.3">
      <c r="B12">
        <v>9</v>
      </c>
      <c r="C12" s="1">
        <v>31.503540999999998</v>
      </c>
      <c r="D12" s="1">
        <v>17.615919999999999</v>
      </c>
      <c r="E12" s="1">
        <v>2.6504509999999999</v>
      </c>
      <c r="F12" s="1">
        <v>11.230468</v>
      </c>
      <c r="G12" s="1">
        <v>13.249616</v>
      </c>
      <c r="I12">
        <v>9</v>
      </c>
      <c r="J12" s="1">
        <v>23.880797999999999</v>
      </c>
      <c r="K12" s="1">
        <v>21.305282999999999</v>
      </c>
      <c r="L12" s="1">
        <v>2.5700120000000002</v>
      </c>
      <c r="M12" s="1">
        <v>13.249722999999999</v>
      </c>
      <c r="O12">
        <v>9</v>
      </c>
      <c r="P12" s="1">
        <v>6.6614769999999996</v>
      </c>
      <c r="Q12" s="1">
        <v>4.4828950000000001</v>
      </c>
      <c r="R12" s="1">
        <v>2.174817</v>
      </c>
      <c r="S12" s="1">
        <v>6.499784</v>
      </c>
      <c r="U12">
        <v>9</v>
      </c>
      <c r="V12" s="1">
        <v>6.6584529999999997</v>
      </c>
      <c r="W12" s="1">
        <v>3.865723</v>
      </c>
      <c r="X12" s="1">
        <v>2.347858</v>
      </c>
      <c r="Y12" s="1">
        <v>0.557508</v>
      </c>
      <c r="Z12" s="1">
        <v>6.4997699999999998</v>
      </c>
      <c r="AA12" s="1">
        <v>3.2233309999999999</v>
      </c>
    </row>
    <row r="13" spans="2:27" x14ac:dyDescent="0.3">
      <c r="B13">
        <v>10</v>
      </c>
      <c r="C13" s="1">
        <v>31.331747</v>
      </c>
      <c r="D13" s="1">
        <v>17.509689999999999</v>
      </c>
      <c r="E13" s="1">
        <v>2.692323</v>
      </c>
      <c r="F13" s="1">
        <v>11.122889000000001</v>
      </c>
      <c r="G13" s="1">
        <v>13.249511999999999</v>
      </c>
      <c r="I13">
        <v>10</v>
      </c>
      <c r="J13" s="1">
        <v>23.901489000000002</v>
      </c>
      <c r="K13" s="1">
        <v>21.355435</v>
      </c>
      <c r="L13" s="1">
        <v>2.5405700000000002</v>
      </c>
      <c r="M13" s="1">
        <v>13.249243</v>
      </c>
      <c r="O13">
        <v>10</v>
      </c>
      <c r="P13" s="1">
        <v>6.6608530000000004</v>
      </c>
      <c r="Q13" s="1">
        <v>4.3089110000000002</v>
      </c>
      <c r="R13" s="1">
        <v>2.34816</v>
      </c>
      <c r="S13" s="1">
        <v>6.4998360000000002</v>
      </c>
      <c r="U13">
        <v>10</v>
      </c>
      <c r="V13" s="1">
        <v>6.6615589999999996</v>
      </c>
      <c r="W13" s="1">
        <v>4.0578200000000004</v>
      </c>
      <c r="X13" s="1">
        <v>2.2645409999999999</v>
      </c>
      <c r="Y13" s="1">
        <v>0.56464300000000001</v>
      </c>
      <c r="Z13" s="1">
        <v>6.4997720000000001</v>
      </c>
      <c r="AA13" s="1">
        <v>3.2810980000000001</v>
      </c>
    </row>
    <row r="14" spans="2:27" x14ac:dyDescent="0.3">
      <c r="B14">
        <v>11</v>
      </c>
      <c r="C14" s="1">
        <v>31.39969</v>
      </c>
      <c r="D14" s="1">
        <v>17.382885000000002</v>
      </c>
      <c r="E14" s="1">
        <v>2.8456929999999998</v>
      </c>
      <c r="F14" s="1">
        <v>11.164401</v>
      </c>
      <c r="G14" s="1">
        <v>13.249828000000001</v>
      </c>
      <c r="I14">
        <v>11</v>
      </c>
      <c r="J14" s="1">
        <v>23.913126999999999</v>
      </c>
      <c r="K14" s="1">
        <v>21.142123999999999</v>
      </c>
      <c r="L14" s="1">
        <v>2.7656149999999999</v>
      </c>
      <c r="M14" s="1">
        <v>13.24897</v>
      </c>
      <c r="O14">
        <v>11</v>
      </c>
      <c r="P14" s="1">
        <v>6.6601239999999997</v>
      </c>
      <c r="Q14" s="1">
        <v>4.4444699999999999</v>
      </c>
      <c r="R14" s="1">
        <v>2.2118419999999999</v>
      </c>
      <c r="S14" s="1">
        <v>6.4998560000000003</v>
      </c>
      <c r="U14">
        <v>11</v>
      </c>
      <c r="V14" s="1">
        <v>6.6644170000000003</v>
      </c>
      <c r="W14" s="1">
        <v>3.9059149999999998</v>
      </c>
      <c r="X14" s="1">
        <v>2.3491710000000001</v>
      </c>
      <c r="Y14" s="1">
        <v>0.54752699999999999</v>
      </c>
      <c r="Z14" s="1">
        <v>6.4997629999999997</v>
      </c>
      <c r="AA14" s="1">
        <v>3.2056119999999999</v>
      </c>
    </row>
    <row r="15" spans="2:27" x14ac:dyDescent="0.3">
      <c r="B15">
        <v>12</v>
      </c>
      <c r="C15" s="1">
        <v>31.150628999999999</v>
      </c>
      <c r="D15" s="1">
        <v>17.429863000000001</v>
      </c>
      <c r="E15" s="1">
        <v>3.2606310000000001</v>
      </c>
      <c r="F15" s="1">
        <v>10.452693</v>
      </c>
      <c r="G15" s="1">
        <v>13.248886000000001</v>
      </c>
      <c r="I15">
        <v>12</v>
      </c>
      <c r="J15" s="1">
        <v>23.876899999999999</v>
      </c>
      <c r="K15" s="1">
        <v>21.222058000000001</v>
      </c>
      <c r="L15" s="1">
        <v>2.6496499999999998</v>
      </c>
      <c r="M15" s="1">
        <v>13.249708</v>
      </c>
      <c r="O15">
        <v>12</v>
      </c>
      <c r="P15" s="1">
        <v>6.662363</v>
      </c>
      <c r="Q15" s="1">
        <v>4.4101819999999998</v>
      </c>
      <c r="R15" s="1">
        <v>2.2482199999999999</v>
      </c>
      <c r="S15" s="1">
        <v>6.4997800000000003</v>
      </c>
      <c r="U15">
        <v>12</v>
      </c>
      <c r="V15" s="1">
        <v>6.6543390000000002</v>
      </c>
      <c r="W15" s="1">
        <v>3.939457</v>
      </c>
      <c r="X15" s="1">
        <v>2.3073760000000001</v>
      </c>
      <c r="Y15" s="1">
        <v>0.56427799999999995</v>
      </c>
      <c r="Z15" s="1">
        <v>6.4997980000000002</v>
      </c>
      <c r="AA15" s="1">
        <v>3.18703</v>
      </c>
    </row>
    <row r="16" spans="2:27" x14ac:dyDescent="0.3">
      <c r="B16">
        <v>13</v>
      </c>
      <c r="C16" s="1">
        <v>31.302211</v>
      </c>
      <c r="D16" s="1">
        <v>17.647493000000001</v>
      </c>
      <c r="E16" s="1">
        <v>3.2461159999999998</v>
      </c>
      <c r="F16" s="1">
        <v>10.40133</v>
      </c>
      <c r="G16" s="1">
        <v>13.248856999999999</v>
      </c>
      <c r="I16">
        <v>13</v>
      </c>
      <c r="J16" s="1">
        <v>23.912223999999998</v>
      </c>
      <c r="K16" s="1">
        <v>21.181132999999999</v>
      </c>
      <c r="L16" s="1">
        <v>2.7259220000000002</v>
      </c>
      <c r="M16" s="1">
        <v>13.249555000000001</v>
      </c>
      <c r="O16">
        <v>13</v>
      </c>
      <c r="P16" s="1">
        <v>6.6640560000000004</v>
      </c>
      <c r="Q16" s="1">
        <v>4.3667819999999997</v>
      </c>
      <c r="R16" s="1">
        <v>2.2933469999999998</v>
      </c>
      <c r="S16" s="1">
        <v>6.4998500000000003</v>
      </c>
      <c r="U16">
        <v>13</v>
      </c>
      <c r="V16" s="1">
        <v>6.6602329999999998</v>
      </c>
      <c r="W16" s="1">
        <v>3.9355609999999999</v>
      </c>
      <c r="X16" s="1">
        <v>2.321021</v>
      </c>
      <c r="Y16" s="1">
        <v>0.55249499999999996</v>
      </c>
      <c r="Z16" s="1">
        <v>6.4998250000000004</v>
      </c>
      <c r="AA16" s="1">
        <v>3.208993</v>
      </c>
    </row>
    <row r="17" spans="2:27" x14ac:dyDescent="0.3">
      <c r="B17">
        <v>14</v>
      </c>
      <c r="C17" s="1">
        <v>31.445640000000001</v>
      </c>
      <c r="D17" s="1">
        <v>17.488598</v>
      </c>
      <c r="E17" s="1">
        <v>2.6744560000000002</v>
      </c>
      <c r="F17" s="1">
        <v>11.276156</v>
      </c>
      <c r="G17" s="1">
        <v>13.249568999999999</v>
      </c>
      <c r="I17">
        <v>14</v>
      </c>
      <c r="J17" s="1">
        <v>23.899830000000001</v>
      </c>
      <c r="K17" s="1">
        <v>21.162306999999998</v>
      </c>
      <c r="L17" s="1">
        <v>2.7323</v>
      </c>
      <c r="M17" s="1">
        <v>13.249167</v>
      </c>
      <c r="O17">
        <v>14</v>
      </c>
      <c r="P17" s="1">
        <v>6.6669559999999999</v>
      </c>
      <c r="Q17" s="1">
        <v>4.3816410000000001</v>
      </c>
      <c r="R17" s="1">
        <v>2.2815430000000001</v>
      </c>
      <c r="S17" s="1">
        <v>6.4997480000000003</v>
      </c>
      <c r="U17">
        <v>14</v>
      </c>
      <c r="V17" s="1">
        <v>6.6605530000000002</v>
      </c>
      <c r="W17" s="1">
        <v>3.9359220000000001</v>
      </c>
      <c r="X17" s="1">
        <v>2.3213180000000002</v>
      </c>
      <c r="Y17" s="1">
        <v>0.55378700000000003</v>
      </c>
      <c r="Z17" s="1">
        <v>6.499816</v>
      </c>
      <c r="AA17" s="1">
        <v>3.2107999999999999</v>
      </c>
    </row>
    <row r="18" spans="2:27" x14ac:dyDescent="0.3">
      <c r="B18">
        <v>15</v>
      </c>
      <c r="C18" s="1">
        <v>31.444375999999998</v>
      </c>
      <c r="D18" s="1">
        <v>17.400006999999999</v>
      </c>
      <c r="E18" s="1">
        <v>2.7436829999999999</v>
      </c>
      <c r="F18" s="1">
        <v>11.293894</v>
      </c>
      <c r="G18" s="1">
        <v>13.249654</v>
      </c>
      <c r="I18">
        <v>15</v>
      </c>
      <c r="J18" s="1">
        <v>23.901646</v>
      </c>
      <c r="K18" s="1">
        <v>21.261956000000001</v>
      </c>
      <c r="L18" s="1">
        <v>2.6345730000000001</v>
      </c>
      <c r="M18" s="1">
        <v>13.249653</v>
      </c>
      <c r="O18">
        <v>15</v>
      </c>
      <c r="P18" s="1">
        <v>6.666925</v>
      </c>
      <c r="Q18" s="1">
        <v>4.341412</v>
      </c>
      <c r="R18" s="1">
        <v>2.3217279999999998</v>
      </c>
      <c r="S18" s="1">
        <v>6.4997480000000003</v>
      </c>
      <c r="U18">
        <v>15</v>
      </c>
      <c r="V18" s="1">
        <v>6.6584180000000002</v>
      </c>
      <c r="W18" s="1">
        <v>3.8691070000000001</v>
      </c>
      <c r="X18" s="1">
        <v>2.3667039999999999</v>
      </c>
      <c r="Y18" s="1">
        <v>0.54403599999999996</v>
      </c>
      <c r="Z18" s="1">
        <v>6.4997780000000001</v>
      </c>
      <c r="AA18" s="1">
        <v>3.2371919999999998</v>
      </c>
    </row>
    <row r="19" spans="2:27" x14ac:dyDescent="0.3">
      <c r="B19" t="s">
        <v>27</v>
      </c>
      <c r="C19" s="6">
        <f>+AVERAGE(C4:C18)</f>
        <v>31.335913466666668</v>
      </c>
      <c r="D19" s="6">
        <f t="shared" ref="D19:G19" si="0">+AVERAGE(D4:D18)</f>
        <v>17.51080446666667</v>
      </c>
      <c r="E19" s="6">
        <f t="shared" si="0"/>
        <v>2.7643590666666666</v>
      </c>
      <c r="F19" s="6">
        <f t="shared" si="0"/>
        <v>11.053977066666667</v>
      </c>
      <c r="G19" s="6">
        <f t="shared" si="0"/>
        <v>13.249442</v>
      </c>
      <c r="I19" t="s">
        <v>27</v>
      </c>
      <c r="J19" s="6">
        <f>+AVERAGE(J4:J18)</f>
        <v>23.89622533333333</v>
      </c>
      <c r="K19" s="6">
        <f t="shared" ref="K19:M19" si="1">+AVERAGE(K4:K18)</f>
        <v>21.236114799999999</v>
      </c>
      <c r="L19" s="6">
        <f t="shared" si="1"/>
        <v>2.6547619999999998</v>
      </c>
      <c r="M19" s="6">
        <f t="shared" si="1"/>
        <v>13.249423</v>
      </c>
      <c r="O19" t="s">
        <v>27</v>
      </c>
      <c r="P19" s="6">
        <f>+AVERAGE(P4:P18)</f>
        <v>6.6628330000000009</v>
      </c>
      <c r="Q19" s="6">
        <f t="shared" ref="Q19:S19" si="2">+AVERAGE(Q4:Q18)</f>
        <v>4.4018451333333335</v>
      </c>
      <c r="R19" s="6">
        <f t="shared" si="2"/>
        <v>2.2571441333333335</v>
      </c>
      <c r="S19" s="6">
        <f t="shared" si="2"/>
        <v>6.4998051999999982</v>
      </c>
      <c r="U19" t="s">
        <v>27</v>
      </c>
      <c r="V19" s="6">
        <f>+AVERAGE(V4:V18)</f>
        <v>6.6589131333333329</v>
      </c>
      <c r="W19" s="6">
        <f t="shared" ref="W19:Z19" si="3">+AVERAGE(W4:W18)</f>
        <v>3.9346517999999997</v>
      </c>
      <c r="X19" s="6">
        <f t="shared" si="3"/>
        <v>2.3275526666666666</v>
      </c>
      <c r="Y19" s="6">
        <f t="shared" si="3"/>
        <v>0.5532378</v>
      </c>
      <c r="Z19" s="6">
        <f t="shared" si="3"/>
        <v>6.4997940666666674</v>
      </c>
      <c r="AA19" s="6">
        <f>+AVERAGE(AA4:AA18)</f>
        <v>3.2119482000000001</v>
      </c>
    </row>
    <row r="20" spans="2:27" x14ac:dyDescent="0.3">
      <c r="B20" t="s">
        <v>28</v>
      </c>
      <c r="C20">
        <f>+VAR(C4:C18)</f>
        <v>2.3243971746838201E-2</v>
      </c>
      <c r="D20">
        <f t="shared" ref="D20:G20" si="4">+VAR(D4:D18)</f>
        <v>7.1351387309809677E-3</v>
      </c>
      <c r="E20">
        <f t="shared" si="4"/>
        <v>4.4446530166352374E-2</v>
      </c>
      <c r="F20">
        <f t="shared" si="4"/>
        <v>7.6041730222780962E-2</v>
      </c>
      <c r="G20">
        <f t="shared" si="4"/>
        <v>1.1391942857137509E-7</v>
      </c>
      <c r="I20" t="s">
        <v>28</v>
      </c>
      <c r="J20">
        <f>+VAR(J4:J18)</f>
        <v>1.1489627738095465E-4</v>
      </c>
      <c r="K20">
        <f t="shared" ref="K20:M20" si="5">+VAR(K4:K18)</f>
        <v>3.6262205907429115E-3</v>
      </c>
      <c r="L20">
        <f t="shared" si="5"/>
        <v>4.2454199579999964E-3</v>
      </c>
      <c r="M20">
        <f t="shared" si="5"/>
        <v>1.1461528571423844E-7</v>
      </c>
      <c r="O20" t="s">
        <v>28</v>
      </c>
      <c r="P20">
        <f>+VAR(P4:P18)</f>
        <v>5.1466379999999659E-6</v>
      </c>
      <c r="Q20">
        <f t="shared" ref="Q20:S20" si="6">+VAR(Q4:Q18)</f>
        <v>3.5296266399809451E-3</v>
      </c>
      <c r="R20">
        <f t="shared" si="6"/>
        <v>3.5358235479809514E-3</v>
      </c>
      <c r="S20">
        <f t="shared" si="6"/>
        <v>2.0207428571448911E-9</v>
      </c>
      <c r="U20" t="s">
        <v>28</v>
      </c>
      <c r="V20">
        <f>+VAR(V4:V18)</f>
        <v>1.0947518838095536E-5</v>
      </c>
      <c r="W20">
        <f t="shared" ref="W20:Z20" si="7">+VAR(W4:W18)</f>
        <v>2.5141270546000074E-3</v>
      </c>
      <c r="X20">
        <f t="shared" si="7"/>
        <v>7.9426585966666592E-4</v>
      </c>
      <c r="Y20">
        <f t="shared" si="7"/>
        <v>5.817396788571442E-5</v>
      </c>
      <c r="Z20">
        <f t="shared" si="7"/>
        <v>1.4013523809649527E-9</v>
      </c>
      <c r="AA20">
        <f>+VAR(AA4:AA18)</f>
        <v>5.9873046374285858E-4</v>
      </c>
    </row>
    <row r="21" spans="2:27" x14ac:dyDescent="0.3">
      <c r="B21" t="s">
        <v>29</v>
      </c>
      <c r="C21">
        <f>+STDEV(C4:C18)</f>
        <v>0.1524597381174394</v>
      </c>
      <c r="D21">
        <f t="shared" ref="D21:G21" si="8">+STDEV(D4:D18)</f>
        <v>8.4469750390189793E-2</v>
      </c>
      <c r="E21">
        <f t="shared" si="8"/>
        <v>0.2108234573437035</v>
      </c>
      <c r="F21">
        <f t="shared" si="8"/>
        <v>0.27575665036909075</v>
      </c>
      <c r="G21">
        <f t="shared" si="8"/>
        <v>3.3751952324476744E-4</v>
      </c>
      <c r="I21" t="s">
        <v>29</v>
      </c>
      <c r="J21">
        <f>+STDEV(J4:J18)</f>
        <v>1.0718968111761255E-2</v>
      </c>
      <c r="K21">
        <f t="shared" ref="K21:M21" si="9">+STDEV(K4:K18)</f>
        <v>6.0218108495226845E-2</v>
      </c>
      <c r="L21">
        <f t="shared" si="9"/>
        <v>6.5156887264509467E-2</v>
      </c>
      <c r="M21">
        <f t="shared" si="9"/>
        <v>3.385487936978043E-4</v>
      </c>
      <c r="O21" t="s">
        <v>29</v>
      </c>
      <c r="P21">
        <f>+STDEV(P4:P18)</f>
        <v>2.2686202855480169E-3</v>
      </c>
      <c r="Q21">
        <f t="shared" ref="Q21:S21" si="10">+STDEV(Q4:Q18)</f>
        <v>5.9410660995994187E-2</v>
      </c>
      <c r="R21">
        <f t="shared" si="10"/>
        <v>5.9462791289855807E-2</v>
      </c>
      <c r="S21">
        <f t="shared" si="10"/>
        <v>4.4952673526108447E-5</v>
      </c>
      <c r="U21" t="s">
        <v>29</v>
      </c>
      <c r="V21">
        <f>+STDEV(V4:V18)</f>
        <v>3.3087034980631819E-3</v>
      </c>
      <c r="W21">
        <f t="shared" ref="W21:Z21" si="11">+STDEV(W4:W18)</f>
        <v>5.0141071534222398E-2</v>
      </c>
      <c r="X21">
        <f t="shared" si="11"/>
        <v>2.8182722715640266E-2</v>
      </c>
      <c r="Y21">
        <f t="shared" si="11"/>
        <v>7.6271861053546098E-3</v>
      </c>
      <c r="Z21">
        <f t="shared" si="11"/>
        <v>3.7434641456342986E-5</v>
      </c>
      <c r="AA21">
        <f>+STDEV(AA4:AA18)</f>
        <v>2.4468969405000665E-2</v>
      </c>
    </row>
    <row r="22" spans="2:27" x14ac:dyDescent="0.3">
      <c r="B22" t="s">
        <v>38</v>
      </c>
      <c r="C22">
        <v>15</v>
      </c>
      <c r="D22">
        <v>15</v>
      </c>
      <c r="E22">
        <v>15</v>
      </c>
      <c r="F22">
        <v>15</v>
      </c>
      <c r="G22">
        <v>15</v>
      </c>
      <c r="I22" t="s">
        <v>38</v>
      </c>
      <c r="J22">
        <v>15</v>
      </c>
      <c r="K22">
        <v>15</v>
      </c>
      <c r="L22">
        <v>15</v>
      </c>
      <c r="M22">
        <v>15</v>
      </c>
      <c r="O22" t="s">
        <v>38</v>
      </c>
      <c r="P22">
        <v>15</v>
      </c>
      <c r="Q22">
        <v>15</v>
      </c>
      <c r="R22">
        <v>15</v>
      </c>
      <c r="S22">
        <v>15</v>
      </c>
      <c r="U22" t="s">
        <v>38</v>
      </c>
      <c r="V22">
        <v>15</v>
      </c>
      <c r="W22">
        <v>15</v>
      </c>
      <c r="X22">
        <v>15</v>
      </c>
      <c r="Y22">
        <v>15</v>
      </c>
      <c r="Z22">
        <v>15</v>
      </c>
      <c r="AA22">
        <v>15</v>
      </c>
    </row>
    <row r="23" spans="2:27" x14ac:dyDescent="0.3">
      <c r="B23" t="s">
        <v>37</v>
      </c>
      <c r="C23">
        <f>+_xlfn.T.INV.2T(0.05,C22-1)</f>
        <v>2.1447866879178044</v>
      </c>
      <c r="D23">
        <f t="shared" ref="D23:G23" si="12">+_xlfn.T.INV.2T(0.05,D22-1)</f>
        <v>2.1447866879178044</v>
      </c>
      <c r="E23">
        <f t="shared" si="12"/>
        <v>2.1447866879178044</v>
      </c>
      <c r="F23">
        <f t="shared" si="12"/>
        <v>2.1447866879178044</v>
      </c>
      <c r="G23">
        <f t="shared" si="12"/>
        <v>2.1447866879178044</v>
      </c>
      <c r="I23" t="s">
        <v>37</v>
      </c>
      <c r="J23">
        <f>+_xlfn.T.INV.2T(0.05,J22-1)</f>
        <v>2.1447866879178044</v>
      </c>
      <c r="K23">
        <f t="shared" ref="K23" si="13">+_xlfn.T.INV.2T(0.05,K22-1)</f>
        <v>2.1447866879178044</v>
      </c>
      <c r="L23">
        <f t="shared" ref="L23" si="14">+_xlfn.T.INV.2T(0.05,L22-1)</f>
        <v>2.1447866879178044</v>
      </c>
      <c r="M23">
        <f t="shared" ref="M23" si="15">+_xlfn.T.INV.2T(0.05,M22-1)</f>
        <v>2.1447866879178044</v>
      </c>
      <c r="O23" t="s">
        <v>37</v>
      </c>
      <c r="P23">
        <f>+_xlfn.T.INV.2T(0.05,P22-1)</f>
        <v>2.1447866879178044</v>
      </c>
      <c r="Q23">
        <f t="shared" ref="Q23" si="16">+_xlfn.T.INV.2T(0.05,Q22-1)</f>
        <v>2.1447866879178044</v>
      </c>
      <c r="R23">
        <f t="shared" ref="R23" si="17">+_xlfn.T.INV.2T(0.05,R22-1)</f>
        <v>2.1447866879178044</v>
      </c>
      <c r="S23">
        <f t="shared" ref="S23" si="18">+_xlfn.T.INV.2T(0.05,S22-1)</f>
        <v>2.1447866879178044</v>
      </c>
      <c r="U23" t="s">
        <v>37</v>
      </c>
      <c r="V23">
        <f>+_xlfn.T.INV.2T(0.05,V22-1)</f>
        <v>2.1447866879178044</v>
      </c>
      <c r="W23">
        <f t="shared" ref="W23" si="19">+_xlfn.T.INV.2T(0.05,W22-1)</f>
        <v>2.1447866879178044</v>
      </c>
      <c r="X23">
        <f t="shared" ref="X23" si="20">+_xlfn.T.INV.2T(0.05,X22-1)</f>
        <v>2.1447866879178044</v>
      </c>
      <c r="Y23">
        <f t="shared" ref="Y23:AA23" si="21">+_xlfn.T.INV.2T(0.05,Y22-1)</f>
        <v>2.1447866879178044</v>
      </c>
      <c r="Z23">
        <f t="shared" ref="Z23" si="22">+_xlfn.T.INV.2T(0.05,Z22-1)</f>
        <v>2.1447866879178044</v>
      </c>
      <c r="AA23">
        <f t="shared" si="21"/>
        <v>2.1447866879178044</v>
      </c>
    </row>
    <row r="24" spans="2:27" x14ac:dyDescent="0.3">
      <c r="B24" t="s">
        <v>31</v>
      </c>
      <c r="C24">
        <f>+C19+C23*C21/SQRT(C22)</f>
        <v>31.420342855467918</v>
      </c>
      <c r="D24">
        <f t="shared" ref="D24:G24" si="23">+D19+D23*D21/SQRT(D22)</f>
        <v>17.557582255253347</v>
      </c>
      <c r="E24">
        <f t="shared" si="23"/>
        <v>2.8811092058724981</v>
      </c>
      <c r="F24">
        <f t="shared" si="23"/>
        <v>11.206686009604827</v>
      </c>
      <c r="G24">
        <f t="shared" si="23"/>
        <v>13.24962891208189</v>
      </c>
      <c r="I24" t="s">
        <v>31</v>
      </c>
      <c r="J24">
        <f>+J19+J23*J21/SQRT(J22)</f>
        <v>23.902161300018246</v>
      </c>
      <c r="K24">
        <f t="shared" ref="K24" si="24">+K19+K23*K21/SQRT(K22)</f>
        <v>21.269462476952608</v>
      </c>
      <c r="L24">
        <f t="shared" ref="L24" si="25">+L19+L23*L21/SQRT(L22)</f>
        <v>2.6908446814729081</v>
      </c>
      <c r="M24">
        <f t="shared" ref="M24" si="26">+M19+M23*M21/SQRT(M22)</f>
        <v>13.249610482072869</v>
      </c>
      <c r="O24" t="s">
        <v>31</v>
      </c>
      <c r="P24">
        <f>+P19+P23*P21/SQRT(P22)</f>
        <v>6.6640893200389568</v>
      </c>
      <c r="Q24">
        <f t="shared" ref="Q24" si="27">+Q19+Q23*Q21/SQRT(Q22)</f>
        <v>4.434745660765083</v>
      </c>
      <c r="R24">
        <f t="shared" ref="R24" si="28">+R19+R23*R21/SQRT(R22)</f>
        <v>2.2900735295595798</v>
      </c>
      <c r="S24">
        <f t="shared" ref="S24" si="29">+S19+S23*S21/SQRT(S22)</f>
        <v>6.4998300939608411</v>
      </c>
      <c r="U24" t="s">
        <v>31</v>
      </c>
      <c r="V24">
        <f>+V19+V23*V21/SQRT(V22)</f>
        <v>6.6607454322570714</v>
      </c>
      <c r="W24">
        <f t="shared" ref="W24" si="30">+W19+W23*W21/SQRT(W22)</f>
        <v>3.9624189998899357</v>
      </c>
      <c r="X24">
        <f t="shared" ref="X24" si="31">+X19+X23*X21/SQRT(X22)</f>
        <v>2.3431597382976292</v>
      </c>
      <c r="Y24">
        <f t="shared" ref="Y24:AA24" si="32">+Y19+Y23*Y21/SQRT(Y22)</f>
        <v>0.55746159487922542</v>
      </c>
      <c r="Z24">
        <f t="shared" ref="Z24" si="33">+Z19+Z23*Z21/SQRT(Z22)</f>
        <v>6.4998147972801208</v>
      </c>
      <c r="AA24">
        <f t="shared" si="32"/>
        <v>3.2254986635976048</v>
      </c>
    </row>
    <row r="25" spans="2:27" x14ac:dyDescent="0.3">
      <c r="B25" t="s">
        <v>30</v>
      </c>
      <c r="C25">
        <f>+C19-C23*C21/SQRT(C22)</f>
        <v>31.251484077865417</v>
      </c>
      <c r="D25">
        <f t="shared" ref="D25:G25" si="34">+D19-D23*D21/SQRT(D22)</f>
        <v>17.464026678079993</v>
      </c>
      <c r="E25">
        <f t="shared" si="34"/>
        <v>2.6476089274608352</v>
      </c>
      <c r="F25">
        <f t="shared" si="34"/>
        <v>10.901268123728507</v>
      </c>
      <c r="G25">
        <f t="shared" si="34"/>
        <v>13.24925508791811</v>
      </c>
      <c r="I25" t="s">
        <v>30</v>
      </c>
      <c r="J25">
        <f>+J19-J23*J21/SQRT(J22)</f>
        <v>23.890289366648414</v>
      </c>
      <c r="K25">
        <f t="shared" ref="K25:M25" si="35">+K19-K23*K21/SQRT(K22)</f>
        <v>21.202767123047391</v>
      </c>
      <c r="L25">
        <f t="shared" si="35"/>
        <v>2.6186793185270916</v>
      </c>
      <c r="M25">
        <f t="shared" si="35"/>
        <v>13.249235517927131</v>
      </c>
      <c r="O25" t="s">
        <v>30</v>
      </c>
      <c r="P25">
        <f>+P19-P23*P21/SQRT(P22)</f>
        <v>6.661576679961045</v>
      </c>
      <c r="Q25">
        <f t="shared" ref="Q25:S25" si="36">+Q19-Q23*Q21/SQRT(Q22)</f>
        <v>4.368944605901584</v>
      </c>
      <c r="R25">
        <f t="shared" si="36"/>
        <v>2.2242147371070873</v>
      </c>
      <c r="S25">
        <f t="shared" si="36"/>
        <v>6.4997803060391552</v>
      </c>
      <c r="U25" t="s">
        <v>30</v>
      </c>
      <c r="V25">
        <f>+V19-V23*V21/SQRT(V22)</f>
        <v>6.6570808344095944</v>
      </c>
      <c r="W25">
        <f t="shared" ref="W25:Z25" si="37">+W19-W23*W21/SQRT(W22)</f>
        <v>3.9068846001100637</v>
      </c>
      <c r="X25">
        <f t="shared" si="37"/>
        <v>2.311945595035704</v>
      </c>
      <c r="Y25">
        <f t="shared" si="37"/>
        <v>0.54901400512077458</v>
      </c>
      <c r="Z25">
        <f t="shared" si="37"/>
        <v>6.4997733360532139</v>
      </c>
      <c r="AA25">
        <f t="shared" ref="AA25" si="38">+AA19-AA23*AA21/SQRT(AA22)</f>
        <v>3.1983977364023954</v>
      </c>
    </row>
    <row r="27" spans="2:27" x14ac:dyDescent="0.3">
      <c r="B27" t="s">
        <v>22</v>
      </c>
      <c r="K27" s="1"/>
      <c r="L27" s="1"/>
      <c r="M27" s="1"/>
      <c r="N27" s="1"/>
      <c r="O27" s="1"/>
      <c r="P27" s="1"/>
      <c r="Q27" s="1"/>
      <c r="R27" s="6"/>
    </row>
    <row r="28" spans="2:27" x14ac:dyDescent="0.3">
      <c r="B28" t="s">
        <v>44</v>
      </c>
      <c r="C28" t="s">
        <v>2</v>
      </c>
      <c r="D28" t="s">
        <v>42</v>
      </c>
      <c r="E28" t="s">
        <v>41</v>
      </c>
      <c r="F28" t="s">
        <v>40</v>
      </c>
      <c r="G28" s="1" t="s">
        <v>43</v>
      </c>
      <c r="H28" t="s">
        <v>30</v>
      </c>
      <c r="I28" t="s">
        <v>31</v>
      </c>
    </row>
    <row r="29" spans="2:27" x14ac:dyDescent="0.3">
      <c r="B29" t="s">
        <v>21</v>
      </c>
      <c r="C29">
        <v>15</v>
      </c>
      <c r="D29" s="4">
        <v>31.335913466666668</v>
      </c>
      <c r="E29" s="3">
        <v>0.1524597381174394</v>
      </c>
      <c r="F29" t="str">
        <f>+_xlfn.CONCAT(TEXT(H29,"0,000"),", ",TEXT(I29,"0,000"))</f>
        <v>31,251, 31,420</v>
      </c>
      <c r="G29" s="4">
        <f>1000/D29</f>
        <v>31.912265811677777</v>
      </c>
      <c r="H29" s="4">
        <v>31.251484077865417</v>
      </c>
      <c r="I29" s="4">
        <v>31.420342855467901</v>
      </c>
    </row>
    <row r="30" spans="2:27" x14ac:dyDescent="0.3">
      <c r="B30" t="s">
        <v>23</v>
      </c>
      <c r="C30">
        <v>15</v>
      </c>
      <c r="D30" s="4">
        <v>17.51080446666667</v>
      </c>
      <c r="E30" s="3">
        <v>8.4469750390189793E-2</v>
      </c>
      <c r="F30" t="str">
        <f t="shared" ref="F30:F33" si="39">+_xlfn.CONCAT(TEXT(H30,"0,000"),", ",TEXT(I30,"0,000"))</f>
        <v>17,464, 17,558</v>
      </c>
      <c r="G30" s="4" t="s">
        <v>39</v>
      </c>
      <c r="H30" s="4">
        <v>17.464026678079993</v>
      </c>
      <c r="I30" s="4">
        <v>17.557582255253347</v>
      </c>
    </row>
    <row r="31" spans="2:27" x14ac:dyDescent="0.3">
      <c r="B31" t="s">
        <v>24</v>
      </c>
      <c r="C31">
        <v>15</v>
      </c>
      <c r="D31" s="4">
        <v>2.7643590666666666</v>
      </c>
      <c r="E31" s="3">
        <v>0.2108234573437035</v>
      </c>
      <c r="F31" t="str">
        <f t="shared" si="39"/>
        <v>2,648, 2,881</v>
      </c>
      <c r="G31" s="4" t="s">
        <v>39</v>
      </c>
      <c r="H31" s="4">
        <v>2.6476089274608352</v>
      </c>
      <c r="I31" s="4">
        <v>2.8811092058724981</v>
      </c>
    </row>
    <row r="32" spans="2:27" x14ac:dyDescent="0.3">
      <c r="B32" t="s">
        <v>25</v>
      </c>
      <c r="C32">
        <v>15</v>
      </c>
      <c r="D32" s="4">
        <v>11.053977066666667</v>
      </c>
      <c r="E32" s="3">
        <v>0.27575665036909075</v>
      </c>
      <c r="F32" t="str">
        <f t="shared" si="39"/>
        <v>10,901, 11,207</v>
      </c>
      <c r="G32" s="4" t="s">
        <v>39</v>
      </c>
      <c r="H32" s="4">
        <v>10.901268123728507</v>
      </c>
      <c r="I32" s="4">
        <v>11.206686009604827</v>
      </c>
    </row>
    <row r="33" spans="2:9" x14ac:dyDescent="0.3">
      <c r="B33" t="s">
        <v>26</v>
      </c>
      <c r="C33">
        <v>15</v>
      </c>
      <c r="D33" s="4">
        <v>13.249442</v>
      </c>
      <c r="E33" s="3">
        <v>3.3751952324476744E-4</v>
      </c>
      <c r="F33" t="str">
        <f t="shared" si="39"/>
        <v>13,249, 13,250</v>
      </c>
      <c r="G33" s="4">
        <f>1000/D33</f>
        <v>75.474876602350491</v>
      </c>
      <c r="H33" s="4">
        <v>13.24925508791811</v>
      </c>
      <c r="I33" s="4">
        <v>13.24962891208189</v>
      </c>
    </row>
    <row r="35" spans="2:9" x14ac:dyDescent="0.3">
      <c r="B35" t="s">
        <v>32</v>
      </c>
    </row>
    <row r="36" spans="2:9" x14ac:dyDescent="0.3">
      <c r="B36" t="s">
        <v>44</v>
      </c>
      <c r="C36" t="s">
        <v>2</v>
      </c>
      <c r="D36" t="s">
        <v>42</v>
      </c>
      <c r="E36" t="s">
        <v>41</v>
      </c>
      <c r="F36" t="s">
        <v>40</v>
      </c>
      <c r="G36" s="1" t="s">
        <v>43</v>
      </c>
      <c r="H36" t="s">
        <v>30</v>
      </c>
      <c r="I36" t="s">
        <v>31</v>
      </c>
    </row>
    <row r="37" spans="2:9" x14ac:dyDescent="0.3">
      <c r="B37" t="s">
        <v>21</v>
      </c>
      <c r="C37">
        <v>15</v>
      </c>
      <c r="D37" s="4">
        <v>23.89622533333333</v>
      </c>
      <c r="E37" s="3">
        <v>1.0718968111761255E-2</v>
      </c>
      <c r="F37" t="str">
        <f>+_xlfn.CONCAT(TEXT(H37,"0,000"),", ",TEXT(I37,"0,000"))</f>
        <v>23,890, 23,902</v>
      </c>
      <c r="G37" s="4">
        <f>1000/D37</f>
        <v>41.847613422237011</v>
      </c>
      <c r="H37">
        <v>23.890289366648414</v>
      </c>
      <c r="I37">
        <v>23.902161300018246</v>
      </c>
    </row>
    <row r="38" spans="2:9" x14ac:dyDescent="0.3">
      <c r="B38" t="s">
        <v>23</v>
      </c>
      <c r="C38">
        <v>15</v>
      </c>
      <c r="D38" s="4">
        <v>21.236114799999999</v>
      </c>
      <c r="E38" s="3">
        <v>6.0218108495226845E-2</v>
      </c>
      <c r="F38" t="str">
        <f t="shared" ref="F38:F40" si="40">+_xlfn.CONCAT(TEXT(H38,"0,000"),", ",TEXT(I38,"0,000"))</f>
        <v>21,203, 21,269</v>
      </c>
      <c r="G38" s="4" t="s">
        <v>39</v>
      </c>
      <c r="H38">
        <v>21.202767123047391</v>
      </c>
      <c r="I38">
        <v>21.269462476952608</v>
      </c>
    </row>
    <row r="39" spans="2:9" x14ac:dyDescent="0.3">
      <c r="B39" t="s">
        <v>24</v>
      </c>
      <c r="C39">
        <v>15</v>
      </c>
      <c r="D39" s="4">
        <v>2.6547619999999998</v>
      </c>
      <c r="E39" s="3">
        <v>6.5156887264509467E-2</v>
      </c>
      <c r="F39" t="str">
        <f t="shared" si="40"/>
        <v>2,619, 2,691</v>
      </c>
      <c r="G39" s="4" t="s">
        <v>39</v>
      </c>
      <c r="H39">
        <v>2.6186793185270916</v>
      </c>
      <c r="I39">
        <v>2.6908446814729081</v>
      </c>
    </row>
    <row r="40" spans="2:9" x14ac:dyDescent="0.3">
      <c r="B40" t="s">
        <v>26</v>
      </c>
      <c r="C40">
        <v>15</v>
      </c>
      <c r="D40" s="4">
        <v>13.249423</v>
      </c>
      <c r="E40" s="3">
        <v>3.385487936978043E-4</v>
      </c>
      <c r="F40" t="str">
        <f t="shared" si="40"/>
        <v>13,249, 13,250</v>
      </c>
      <c r="G40" s="4">
        <f>1000/D40</f>
        <v>75.474984835188664</v>
      </c>
      <c r="H40">
        <v>13.249235517927131</v>
      </c>
      <c r="I40">
        <v>13.249610482072869</v>
      </c>
    </row>
    <row r="41" spans="2:9" x14ac:dyDescent="0.3">
      <c r="G41" s="4"/>
    </row>
    <row r="43" spans="2:9" x14ac:dyDescent="0.3">
      <c r="B43" t="s">
        <v>33</v>
      </c>
    </row>
    <row r="44" spans="2:9" x14ac:dyDescent="0.3">
      <c r="B44" t="s">
        <v>44</v>
      </c>
      <c r="C44" t="s">
        <v>2</v>
      </c>
      <c r="D44" t="s">
        <v>42</v>
      </c>
      <c r="E44" t="s">
        <v>41</v>
      </c>
      <c r="F44" t="s">
        <v>40</v>
      </c>
      <c r="G44" s="1" t="s">
        <v>43</v>
      </c>
      <c r="H44" t="s">
        <v>30</v>
      </c>
      <c r="I44" t="s">
        <v>31</v>
      </c>
    </row>
    <row r="45" spans="2:9" x14ac:dyDescent="0.3">
      <c r="B45" t="s">
        <v>21</v>
      </c>
      <c r="C45">
        <v>15</v>
      </c>
      <c r="D45" s="4">
        <v>6.6628330000000009</v>
      </c>
      <c r="E45" s="2">
        <v>2.26862028554802E-3</v>
      </c>
      <c r="F45" t="str">
        <f>+_xlfn.CONCAT(TEXT(H45,"0,000"),", ",TEXT(I45,"0,000"))</f>
        <v>6,662, 6,664</v>
      </c>
      <c r="G45" s="4">
        <f>1000/D45</f>
        <v>150.0863071309156</v>
      </c>
      <c r="H45">
        <v>6.661576679961045</v>
      </c>
      <c r="I45">
        <v>6.6640893200389568</v>
      </c>
    </row>
    <row r="46" spans="2:9" x14ac:dyDescent="0.3">
      <c r="B46" t="s">
        <v>23</v>
      </c>
      <c r="C46">
        <v>15</v>
      </c>
      <c r="D46" s="4">
        <v>4.4018451333333335</v>
      </c>
      <c r="E46" s="2">
        <v>5.9410660995994187E-2</v>
      </c>
      <c r="F46" t="str">
        <f t="shared" ref="F46:F48" si="41">+_xlfn.CONCAT(TEXT(H46,"0,000"),", ",TEXT(I46,"0,000"))</f>
        <v>4,369, 4,435</v>
      </c>
      <c r="G46" s="4" t="s">
        <v>39</v>
      </c>
      <c r="H46">
        <v>4.368944605901584</v>
      </c>
      <c r="I46">
        <v>4.434745660765083</v>
      </c>
    </row>
    <row r="47" spans="2:9" x14ac:dyDescent="0.3">
      <c r="B47" t="s">
        <v>24</v>
      </c>
      <c r="C47">
        <v>15</v>
      </c>
      <c r="D47" s="4">
        <v>2.2571441333333335</v>
      </c>
      <c r="E47" s="2">
        <v>5.9462791289855807E-2</v>
      </c>
      <c r="F47" t="str">
        <f t="shared" si="41"/>
        <v>2,224, 2,290</v>
      </c>
      <c r="G47" s="4" t="s">
        <v>39</v>
      </c>
      <c r="H47">
        <v>2.2242147371070873</v>
      </c>
      <c r="I47">
        <v>2.2900735295595798</v>
      </c>
    </row>
    <row r="48" spans="2:9" x14ac:dyDescent="0.3">
      <c r="B48" t="s">
        <v>26</v>
      </c>
      <c r="C48">
        <v>15</v>
      </c>
      <c r="D48" s="4">
        <v>6.4998051999999982</v>
      </c>
      <c r="E48" s="2">
        <v>4.4952673526108447E-5</v>
      </c>
      <c r="F48" t="str">
        <f t="shared" si="41"/>
        <v>6,500, 6,500</v>
      </c>
      <c r="G48" s="4">
        <f>1000/D48</f>
        <v>153.85076463522327</v>
      </c>
      <c r="H48">
        <v>6.4997803060391552</v>
      </c>
      <c r="I48">
        <v>6.4998300939608411</v>
      </c>
    </row>
    <row r="49" spans="2:9" x14ac:dyDescent="0.3">
      <c r="D49" s="4"/>
    </row>
    <row r="50" spans="2:9" x14ac:dyDescent="0.3">
      <c r="B50" t="s">
        <v>34</v>
      </c>
      <c r="D50" s="4"/>
    </row>
    <row r="51" spans="2:9" x14ac:dyDescent="0.3">
      <c r="B51" t="s">
        <v>44</v>
      </c>
      <c r="C51" t="s">
        <v>2</v>
      </c>
      <c r="D51" t="s">
        <v>42</v>
      </c>
      <c r="E51" t="s">
        <v>41</v>
      </c>
      <c r="F51" t="s">
        <v>40</v>
      </c>
      <c r="G51" s="1" t="s">
        <v>43</v>
      </c>
      <c r="H51" t="s">
        <v>30</v>
      </c>
      <c r="I51" t="s">
        <v>31</v>
      </c>
    </row>
    <row r="52" spans="2:9" x14ac:dyDescent="0.3">
      <c r="B52" t="s">
        <v>21</v>
      </c>
      <c r="C52">
        <v>15</v>
      </c>
      <c r="D52" s="4">
        <v>6.6589131333333329</v>
      </c>
      <c r="E52" s="2">
        <v>3.3087034980631819E-3</v>
      </c>
      <c r="F52" t="str">
        <f>+_xlfn.CONCAT(TEXT(H52,"0,000"),", ",TEXT(I52,"0,000"))</f>
        <v>6,657, 6,661</v>
      </c>
      <c r="G52" s="4">
        <f>1000/D52</f>
        <v>150.17465763206584</v>
      </c>
      <c r="H52">
        <v>6.6570808344095944</v>
      </c>
      <c r="I52">
        <v>6.6607454322570714</v>
      </c>
    </row>
    <row r="53" spans="2:9" x14ac:dyDescent="0.3">
      <c r="B53" t="s">
        <v>23</v>
      </c>
      <c r="C53">
        <v>15</v>
      </c>
      <c r="D53" s="4">
        <v>3.9346517999999997</v>
      </c>
      <c r="E53" s="2">
        <v>5.0141071534222398E-2</v>
      </c>
      <c r="F53" t="str">
        <f t="shared" ref="F53:F57" si="42">+_xlfn.CONCAT(TEXT(H53,"0,000"),", ",TEXT(I53,"0,000"))</f>
        <v>3,907, 3,962</v>
      </c>
      <c r="G53" s="4" t="s">
        <v>39</v>
      </c>
      <c r="H53">
        <v>3.9068846001100637</v>
      </c>
      <c r="I53">
        <v>3.9624189998899357</v>
      </c>
    </row>
    <row r="54" spans="2:9" x14ac:dyDescent="0.3">
      <c r="B54" t="s">
        <v>24</v>
      </c>
      <c r="C54">
        <v>15</v>
      </c>
      <c r="D54" s="4">
        <v>2.3275526666666666</v>
      </c>
      <c r="E54" s="2">
        <v>2.8182722715640266E-2</v>
      </c>
      <c r="F54" t="str">
        <f t="shared" si="42"/>
        <v>2,312, 2,343</v>
      </c>
      <c r="G54" s="4" t="s">
        <v>39</v>
      </c>
      <c r="H54">
        <v>2.311945595035704</v>
      </c>
      <c r="I54">
        <v>2.3431597382976292</v>
      </c>
    </row>
    <row r="55" spans="2:9" x14ac:dyDescent="0.3">
      <c r="B55" t="s">
        <v>35</v>
      </c>
      <c r="C55">
        <v>15</v>
      </c>
      <c r="D55" s="4">
        <v>0.5532378</v>
      </c>
      <c r="E55" s="2">
        <v>7.6271861053546098E-3</v>
      </c>
      <c r="F55" t="str">
        <f t="shared" si="42"/>
        <v>0,549, 0,557</v>
      </c>
      <c r="G55" s="4" t="s">
        <v>39</v>
      </c>
      <c r="H55">
        <v>0.54901400512077458</v>
      </c>
      <c r="I55">
        <v>0.55746159487922542</v>
      </c>
    </row>
    <row r="56" spans="2:9" x14ac:dyDescent="0.3">
      <c r="B56" t="s">
        <v>26</v>
      </c>
      <c r="C56">
        <v>15</v>
      </c>
      <c r="D56" s="4">
        <v>6.4997940666666674</v>
      </c>
      <c r="E56" s="2">
        <v>3.7434641456342986E-5</v>
      </c>
      <c r="F56" t="str">
        <f t="shared" si="42"/>
        <v>6,500, 6,500</v>
      </c>
      <c r="G56" s="4">
        <f t="shared" ref="G56" si="43">1000/D56</f>
        <v>153.85102816231787</v>
      </c>
      <c r="H56">
        <v>6.4997733360532139</v>
      </c>
      <c r="I56">
        <v>6.4998147972801208</v>
      </c>
    </row>
    <row r="57" spans="2:9" x14ac:dyDescent="0.3">
      <c r="B57" t="s">
        <v>36</v>
      </c>
      <c r="C57">
        <v>15</v>
      </c>
      <c r="D57" s="4">
        <v>3.2119482000000001</v>
      </c>
      <c r="E57" s="2">
        <v>2.4468969405000665E-2</v>
      </c>
      <c r="F57" t="str">
        <f t="shared" si="42"/>
        <v>3,198, 3,225</v>
      </c>
      <c r="G57" s="4" t="s">
        <v>39</v>
      </c>
      <c r="H57">
        <v>3.1983977364023954</v>
      </c>
      <c r="I57">
        <v>3.2254986635976048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275D-CD5C-4B1D-AC52-B84614E5D4A5}">
  <dimension ref="B2:S23"/>
  <sheetViews>
    <sheetView tabSelected="1" workbookViewId="0">
      <selection activeCell="K12" sqref="K12"/>
    </sheetView>
  </sheetViews>
  <sheetFormatPr defaultRowHeight="14.4" x14ac:dyDescent="0.3"/>
  <cols>
    <col min="9" max="11" width="10.109375" bestFit="1" customWidth="1"/>
    <col min="13" max="15" width="10.109375" bestFit="1" customWidth="1"/>
    <col min="17" max="19" width="10.109375" bestFit="1" customWidth="1"/>
  </cols>
  <sheetData>
    <row r="2" spans="2:6" x14ac:dyDescent="0.3">
      <c r="B2">
        <v>43.5</v>
      </c>
      <c r="C2">
        <v>254.5</v>
      </c>
      <c r="E2">
        <v>132.5</v>
      </c>
      <c r="F2">
        <v>131.5</v>
      </c>
    </row>
    <row r="3" spans="2:6" x14ac:dyDescent="0.3">
      <c r="B3">
        <v>43.5</v>
      </c>
      <c r="C3">
        <v>255.5</v>
      </c>
      <c r="E3">
        <v>120.5</v>
      </c>
      <c r="F3">
        <v>118.5</v>
      </c>
    </row>
    <row r="4" spans="2:6" x14ac:dyDescent="0.3">
      <c r="B4">
        <v>43.5</v>
      </c>
      <c r="C4">
        <v>254.5</v>
      </c>
      <c r="E4">
        <v>131.5</v>
      </c>
      <c r="F4">
        <v>130.5</v>
      </c>
    </row>
    <row r="5" spans="2:6" x14ac:dyDescent="0.3">
      <c r="B5">
        <v>43.5</v>
      </c>
      <c r="C5">
        <v>254.5</v>
      </c>
      <c r="E5">
        <v>123.5</v>
      </c>
      <c r="F5">
        <v>122.5</v>
      </c>
    </row>
    <row r="6" spans="2:6" x14ac:dyDescent="0.3">
      <c r="B6">
        <v>43.5</v>
      </c>
      <c r="C6">
        <v>254.5</v>
      </c>
      <c r="E6">
        <v>133.5</v>
      </c>
      <c r="F6">
        <v>133.5</v>
      </c>
    </row>
    <row r="7" spans="2:6" x14ac:dyDescent="0.3">
      <c r="B7">
        <v>43.5</v>
      </c>
      <c r="C7">
        <v>254.5</v>
      </c>
      <c r="E7">
        <v>117.5</v>
      </c>
      <c r="F7">
        <v>116.5</v>
      </c>
    </row>
    <row r="8" spans="2:6" x14ac:dyDescent="0.3">
      <c r="B8">
        <v>43.5</v>
      </c>
      <c r="C8">
        <v>254.5</v>
      </c>
      <c r="E8">
        <v>129.5</v>
      </c>
      <c r="F8">
        <v>128.5</v>
      </c>
    </row>
    <row r="9" spans="2:6" x14ac:dyDescent="0.3">
      <c r="B9">
        <v>43.5</v>
      </c>
      <c r="C9">
        <v>254.5</v>
      </c>
      <c r="E9">
        <v>122.5</v>
      </c>
      <c r="F9">
        <v>122.5</v>
      </c>
    </row>
    <row r="10" spans="2:6" x14ac:dyDescent="0.3">
      <c r="B10">
        <v>43.5</v>
      </c>
      <c r="C10">
        <v>254.5</v>
      </c>
      <c r="E10">
        <v>115.5</v>
      </c>
      <c r="F10">
        <v>116.5</v>
      </c>
    </row>
    <row r="11" spans="2:6" x14ac:dyDescent="0.3">
      <c r="B11">
        <v>43.5</v>
      </c>
      <c r="C11">
        <v>254.5</v>
      </c>
      <c r="E11">
        <v>127.5</v>
      </c>
      <c r="F11">
        <v>125.5</v>
      </c>
    </row>
    <row r="12" spans="2:6" x14ac:dyDescent="0.3">
      <c r="B12">
        <v>43.5</v>
      </c>
      <c r="C12">
        <v>254.5</v>
      </c>
      <c r="E12">
        <v>117.5</v>
      </c>
      <c r="F12">
        <v>116.5</v>
      </c>
    </row>
    <row r="13" spans="2:6" x14ac:dyDescent="0.3">
      <c r="B13">
        <v>43.5</v>
      </c>
      <c r="C13">
        <v>254.5</v>
      </c>
      <c r="E13">
        <v>115.5</v>
      </c>
      <c r="F13">
        <v>114.5</v>
      </c>
    </row>
    <row r="14" spans="2:6" x14ac:dyDescent="0.3">
      <c r="B14">
        <v>43.5</v>
      </c>
      <c r="C14">
        <v>254.5</v>
      </c>
      <c r="E14">
        <v>121.5</v>
      </c>
      <c r="F14">
        <v>121.5</v>
      </c>
    </row>
    <row r="15" spans="2:6" x14ac:dyDescent="0.3">
      <c r="B15">
        <v>43.5</v>
      </c>
      <c r="C15">
        <v>254.5</v>
      </c>
      <c r="E15">
        <v>128.5</v>
      </c>
      <c r="F15">
        <v>128.5</v>
      </c>
    </row>
    <row r="16" spans="2:6" x14ac:dyDescent="0.3">
      <c r="B16">
        <v>43.5</v>
      </c>
      <c r="C16">
        <v>254.5</v>
      </c>
      <c r="E16">
        <v>114.5</v>
      </c>
      <c r="F16">
        <v>113.5</v>
      </c>
    </row>
    <row r="17" spans="2:19" x14ac:dyDescent="0.3">
      <c r="B17">
        <f>+AVERAGE(B2:B16)</f>
        <v>43.5</v>
      </c>
      <c r="C17">
        <f t="shared" ref="C17:F17" si="0">+AVERAGE(C2:C16)</f>
        <v>254.56666666666666</v>
      </c>
      <c r="E17">
        <f t="shared" si="0"/>
        <v>123.43333333333334</v>
      </c>
      <c r="F17">
        <f t="shared" si="0"/>
        <v>122.7</v>
      </c>
    </row>
    <row r="19" spans="2:19" x14ac:dyDescent="0.3">
      <c r="B19" t="s">
        <v>45</v>
      </c>
      <c r="C19">
        <f>+C17-B17</f>
        <v>211.06666666666666</v>
      </c>
      <c r="E19">
        <f>+E17-F17</f>
        <v>0.73333333333333428</v>
      </c>
    </row>
    <row r="20" spans="2:19" x14ac:dyDescent="0.3">
      <c r="I20" s="2">
        <f>+ATAN((E19+1)/(C19-1))</f>
        <v>8.2511615221239534E-3</v>
      </c>
      <c r="J20" s="2">
        <f>+ATAN((E19+1)/(C19+0))</f>
        <v>8.2120706044875799E-3</v>
      </c>
      <c r="K20" s="2">
        <f>+ATAN((E19+1)/(C19+1))</f>
        <v>8.1733483284155157E-3</v>
      </c>
      <c r="M20" s="2">
        <f>+I20-$J$21</f>
        <v>4.7767598361105456E-3</v>
      </c>
      <c r="N20" s="2">
        <f t="shared" ref="N20:O20" si="1">+J20-$J$21</f>
        <v>4.7376689184741722E-3</v>
      </c>
      <c r="O20" s="2">
        <f t="shared" si="1"/>
        <v>4.6989466424021079E-3</v>
      </c>
      <c r="Q20" s="7">
        <f>+M20*180/PI()</f>
        <v>0.27368817835673709</v>
      </c>
      <c r="R20" s="7">
        <f t="shared" ref="R20:S20" si="2">+N20*180/PI()</f>
        <v>0.27144843375887934</v>
      </c>
      <c r="S20" s="7">
        <f t="shared" si="2"/>
        <v>0.26922981076680969</v>
      </c>
    </row>
    <row r="21" spans="2:19" x14ac:dyDescent="0.3">
      <c r="C21">
        <f>+ATAN(E19/C19)</f>
        <v>3.4744016860134078E-3</v>
      </c>
      <c r="D21">
        <f>+C21*180/PI()</f>
        <v>0.1990685529417057</v>
      </c>
      <c r="I21" s="2">
        <f>+ATAN((E19+0)/(C19-1))</f>
        <v>3.4909410712499673E-3</v>
      </c>
      <c r="J21" s="2">
        <f>+ATAN((E19+0)/(C19+0))</f>
        <v>3.4744016860134078E-3</v>
      </c>
      <c r="K21" s="2">
        <f>+ATAN((E19+0)/(C19+1))</f>
        <v>3.458018281787737E-3</v>
      </c>
      <c r="M21" s="2">
        <f t="shared" ref="M21:M22" si="3">+I21-$J$21</f>
        <v>1.6539385236559543E-5</v>
      </c>
      <c r="N21" s="2">
        <f t="shared" ref="N21:N22" si="4">+J21-$J$21</f>
        <v>0</v>
      </c>
      <c r="O21" s="2">
        <f t="shared" ref="O21:O22" si="5">+K21-$J$21</f>
        <v>-1.6383404225670754E-5</v>
      </c>
      <c r="Q21" s="7">
        <f t="shared" ref="Q21:Q22" si="6">+M21*180/PI()</f>
        <v>9.4763696979584451E-4</v>
      </c>
      <c r="R21" s="7">
        <f t="shared" ref="R21:R22" si="7">+N21*180/PI()</f>
        <v>0</v>
      </c>
      <c r="S21" s="7">
        <f t="shared" ref="S21:S22" si="8">+O21*180/PI()</f>
        <v>-9.3869991618773276E-4</v>
      </c>
    </row>
    <row r="22" spans="2:19" x14ac:dyDescent="0.3">
      <c r="C22">
        <f>+ATAN((E19+1)/C19)</f>
        <v>8.2120706044875799E-3</v>
      </c>
      <c r="D22">
        <f>+C22*180/PI()</f>
        <v>0.470516986700585</v>
      </c>
      <c r="E22">
        <f>+D22-D21</f>
        <v>0.27144843375887928</v>
      </c>
      <c r="I22" s="2">
        <f>+ATAN((E19-1)/(C19-1))</f>
        <v>-1.2694375916758773E-3</v>
      </c>
      <c r="J22" s="2">
        <f>+ATAN((E19-1)/(C19+0))</f>
        <v>-1.263423206469413E-3</v>
      </c>
      <c r="K22" s="2">
        <f>+ATAN((E19-1)/(C19+1))</f>
        <v>-1.2574655428189171E-3</v>
      </c>
      <c r="M22" s="2">
        <f t="shared" si="3"/>
        <v>-4.7438392776892853E-3</v>
      </c>
      <c r="N22" s="2">
        <f t="shared" si="4"/>
        <v>-4.737824892482821E-3</v>
      </c>
      <c r="O22" s="2">
        <f t="shared" si="5"/>
        <v>-4.7318672288323253E-3</v>
      </c>
      <c r="Q22" s="7">
        <f t="shared" si="6"/>
        <v>-0.27180196929998501</v>
      </c>
      <c r="R22" s="7">
        <f t="shared" si="7"/>
        <v>-0.27145737041128865</v>
      </c>
      <c r="S22" s="7">
        <f t="shared" si="8"/>
        <v>-0.27111602142835678</v>
      </c>
    </row>
    <row r="23" spans="2:19" x14ac:dyDescent="0.3">
      <c r="C23">
        <f>+ATAN((E19-1)/C19)</f>
        <v>-1.263423206469413E-3</v>
      </c>
      <c r="D23">
        <f t="shared" ref="D23" si="9">+C23*180/PI()</f>
        <v>-7.2388817469582964E-2</v>
      </c>
      <c r="E23">
        <f>+D21-D23</f>
        <v>0.27145737041128865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FailureSpeeds</vt:lpstr>
      <vt:lpstr>Timing</vt:lpstr>
      <vt:lpstr>Calibration Pixel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Jakobsson</dc:creator>
  <cp:lastModifiedBy>Sigurður Jakobsson</cp:lastModifiedBy>
  <dcterms:created xsi:type="dcterms:W3CDTF">2024-01-26T10:41:19Z</dcterms:created>
  <dcterms:modified xsi:type="dcterms:W3CDTF">2024-01-29T00:07:17Z</dcterms:modified>
</cp:coreProperties>
</file>