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gven/research/DB/var_annotation_tracks/data-raw/cancer_predisposition/"/>
    </mc:Choice>
  </mc:AlternateContent>
  <xr:revisionPtr revIDLastSave="0" documentId="13_ncr:1_{6C1D4ACE-DF16-6243-B65D-8004EA2275EF}" xr6:coauthVersionLast="38" xr6:coauthVersionMax="38" xr10:uidLastSave="{00000000-0000-0000-0000-000000000000}"/>
  <bookViews>
    <workbookView xWindow="0" yWindow="1180" windowWidth="38400" windowHeight="21880" tabRatio="692" activeTab="7" xr2:uid="{00000000-000D-0000-FFFF-FFFF00000000}"/>
  </bookViews>
  <sheets>
    <sheet name="TableS1" sheetId="1" r:id="rId1"/>
    <sheet name="TableS2" sheetId="4" r:id="rId2"/>
    <sheet name="TableS3" sheetId="6" r:id="rId3"/>
    <sheet name="TableS7" sheetId="9" r:id="rId4"/>
    <sheet name="TableS8" sheetId="7" r:id="rId5"/>
    <sheet name="TableS9" sheetId="12" r:id="rId6"/>
    <sheet name="TableS10" sheetId="11" r:id="rId7"/>
    <sheet name="TableS11" sheetId="8" r:id="rId8"/>
  </sheets>
  <definedNames>
    <definedName name="_xlnm._FilterDatabase" localSheetId="0" hidden="1">TableS1!$A$1:$AZ$209</definedName>
    <definedName name="_xlnm._FilterDatabase" localSheetId="6" hidden="1">TableS10!$A$1:$S$94</definedName>
    <definedName name="_xlnm._FilterDatabase" localSheetId="4" hidden="1">TableS8!$A$2:$F$194</definedName>
  </definedNames>
  <calcPr calcId="179021"/>
</workbook>
</file>

<file path=xl/calcChain.xml><?xml version="1.0" encoding="utf-8"?>
<calcChain xmlns="http://schemas.openxmlformats.org/spreadsheetml/2006/main">
  <c r="J157" i="1" l="1"/>
  <c r="J156" i="1"/>
  <c r="J144" i="1"/>
  <c r="J155" i="1"/>
  <c r="J154" i="1"/>
  <c r="L152" i="1"/>
  <c r="J152" i="1"/>
  <c r="J138" i="1"/>
  <c r="J150" i="1"/>
  <c r="J142" i="1"/>
  <c r="J149" i="1"/>
  <c r="J148" i="1"/>
  <c r="L143" i="1"/>
  <c r="J145" i="1"/>
  <c r="J127" i="1"/>
  <c r="J143" i="1"/>
  <c r="J141" i="1"/>
  <c r="J139" i="1"/>
  <c r="L130" i="1"/>
  <c r="J130" i="1"/>
  <c r="J129" i="1"/>
  <c r="J126" i="1"/>
  <c r="L122" i="1"/>
  <c r="J122" i="1"/>
  <c r="L138" i="1"/>
  <c r="J137" i="1"/>
  <c r="L137" i="1"/>
  <c r="L136" i="1"/>
  <c r="J136" i="1"/>
  <c r="J135" i="1"/>
  <c r="L135" i="1"/>
  <c r="L134" i="1"/>
  <c r="J134" i="1"/>
  <c r="J133" i="1"/>
  <c r="L133" i="1"/>
  <c r="J132" i="1"/>
  <c r="L132" i="1"/>
  <c r="J131" i="1"/>
  <c r="L131" i="1"/>
  <c r="L141" i="1"/>
  <c r="G22" i="8" l="1"/>
  <c r="G21" i="8"/>
  <c r="G20" i="8"/>
  <c r="G19" i="8"/>
  <c r="G18" i="8"/>
  <c r="R186" i="1" l="1"/>
  <c r="Q186" i="1"/>
  <c r="R175" i="1"/>
  <c r="Q175" i="1"/>
  <c r="R131" i="1"/>
  <c r="Q131" i="1"/>
  <c r="S186" i="1" l="1"/>
  <c r="S175" i="1"/>
  <c r="R19" i="1"/>
  <c r="Q19" i="1"/>
  <c r="R12" i="1"/>
  <c r="Q12" i="1"/>
  <c r="R161" i="1"/>
  <c r="Q161" i="1"/>
  <c r="R74" i="1"/>
  <c r="Q74" i="1"/>
  <c r="R119" i="1"/>
  <c r="Q119" i="1"/>
  <c r="P192" i="1"/>
  <c r="S161" i="1" l="1"/>
  <c r="I15" i="8"/>
  <c r="H15" i="8"/>
  <c r="I13" i="8"/>
  <c r="H13" i="8"/>
  <c r="I10" i="8"/>
  <c r="H10" i="8"/>
  <c r="I3" i="8"/>
  <c r="G3" i="8"/>
  <c r="J17" i="9"/>
  <c r="H17" i="9"/>
  <c r="J16" i="9"/>
  <c r="H16" i="9"/>
  <c r="H15" i="9"/>
  <c r="K12" i="9"/>
  <c r="L12" i="9" s="1"/>
  <c r="J12" i="9"/>
  <c r="K11" i="9"/>
  <c r="L11" i="9" s="1"/>
  <c r="J11" i="9"/>
  <c r="K10" i="9"/>
  <c r="L10" i="9" s="1"/>
  <c r="J10" i="9"/>
  <c r="K9" i="9"/>
  <c r="L9" i="9" s="1"/>
  <c r="J9" i="9"/>
  <c r="K8" i="9"/>
  <c r="L8" i="9" s="1"/>
  <c r="J8" i="9"/>
  <c r="K7" i="9"/>
  <c r="L7" i="9" s="1"/>
  <c r="J7" i="9"/>
  <c r="K6" i="9"/>
  <c r="L6" i="9" s="1"/>
  <c r="J6" i="9"/>
  <c r="K5" i="9"/>
  <c r="L5" i="9" s="1"/>
  <c r="J5" i="9"/>
  <c r="K4" i="9"/>
  <c r="L4" i="9" s="1"/>
  <c r="J4" i="9"/>
  <c r="K3" i="9"/>
  <c r="J3" i="9"/>
  <c r="I6" i="8"/>
  <c r="G6" i="8"/>
  <c r="G5" i="8"/>
  <c r="H4" i="8"/>
  <c r="I4" i="8"/>
  <c r="H5" i="8"/>
  <c r="J12" i="8"/>
  <c r="J11" i="8"/>
  <c r="I12" i="8"/>
  <c r="I11" i="8"/>
  <c r="H11" i="8"/>
  <c r="H12" i="8"/>
  <c r="J14" i="8"/>
  <c r="S157" i="1"/>
  <c r="S156" i="1"/>
  <c r="S117" i="1"/>
  <c r="S155" i="1"/>
  <c r="S154" i="1"/>
  <c r="S116" i="1"/>
  <c r="S115" i="1"/>
  <c r="S114" i="1"/>
  <c r="S113" i="1"/>
  <c r="S10" i="1"/>
  <c r="S189" i="1"/>
  <c r="S61" i="1"/>
  <c r="S111" i="1"/>
  <c r="S9" i="1"/>
  <c r="S110" i="1"/>
  <c r="S58" i="1"/>
  <c r="S57" i="1"/>
  <c r="S108" i="1"/>
  <c r="S185" i="1"/>
  <c r="S151" i="1"/>
  <c r="S150" i="1"/>
  <c r="S149" i="1"/>
  <c r="S56" i="1"/>
  <c r="S55" i="1"/>
  <c r="S54" i="1"/>
  <c r="S52" i="1"/>
  <c r="S184" i="1"/>
  <c r="S148" i="1"/>
  <c r="S182" i="1"/>
  <c r="S51" i="1"/>
  <c r="S146" i="1"/>
  <c r="S50" i="1"/>
  <c r="S28" i="1"/>
  <c r="S27" i="1"/>
  <c r="S105" i="1"/>
  <c r="S8" i="1"/>
  <c r="S104" i="1"/>
  <c r="S102" i="1"/>
  <c r="S145" i="1"/>
  <c r="S144" i="1"/>
  <c r="S47" i="1"/>
  <c r="S101" i="1"/>
  <c r="S100" i="1"/>
  <c r="S99" i="1"/>
  <c r="S15" i="1"/>
  <c r="S178" i="1"/>
  <c r="S174" i="1"/>
  <c r="S173" i="1"/>
  <c r="S143" i="1"/>
  <c r="S45" i="1"/>
  <c r="S44" i="1"/>
  <c r="S25" i="1"/>
  <c r="S43" i="1"/>
  <c r="S42" i="1"/>
  <c r="S97" i="1"/>
  <c r="S172" i="1"/>
  <c r="S171" i="1"/>
  <c r="S170" i="1"/>
  <c r="S169" i="1"/>
  <c r="S142" i="1"/>
  <c r="S95" i="1"/>
  <c r="S94" i="1"/>
  <c r="S140" i="1"/>
  <c r="S168" i="1"/>
  <c r="S92" i="1"/>
  <c r="S139" i="1"/>
  <c r="S91" i="1"/>
  <c r="S89" i="1"/>
  <c r="S167" i="1"/>
  <c r="S88" i="1"/>
  <c r="S137" i="1"/>
  <c r="S133" i="1"/>
  <c r="S23" i="1"/>
  <c r="S130" i="1"/>
  <c r="S86" i="1"/>
  <c r="S85" i="1"/>
  <c r="S128" i="1"/>
  <c r="S127" i="1"/>
  <c r="S126" i="1"/>
  <c r="S36" i="1"/>
  <c r="S166" i="1"/>
  <c r="S165" i="1"/>
  <c r="S164" i="1"/>
  <c r="S125" i="1"/>
  <c r="S124" i="1"/>
  <c r="S83" i="1"/>
  <c r="S82" i="1"/>
  <c r="S81" i="1"/>
  <c r="S122" i="1"/>
  <c r="S163" i="1"/>
  <c r="S13" i="1"/>
  <c r="S22" i="1"/>
  <c r="S80" i="1"/>
  <c r="S6" i="1"/>
  <c r="S79" i="1"/>
  <c r="S120" i="1"/>
  <c r="S20" i="1"/>
  <c r="S77" i="1"/>
  <c r="S19" i="1"/>
  <c r="S18" i="1"/>
  <c r="S12" i="1"/>
  <c r="S74" i="1"/>
  <c r="S73" i="1"/>
  <c r="S119" i="1"/>
  <c r="S5" i="1"/>
  <c r="S4" i="1"/>
  <c r="L3" i="9"/>
  <c r="L13" i="9" l="1"/>
  <c r="K1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maxwellk</author>
  </authors>
  <commentList>
    <comment ref="E2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maxwellk:</t>
        </r>
        <r>
          <rPr>
            <sz val="9"/>
            <color indexed="81"/>
            <rFont val="Tahoma"/>
            <family val="2"/>
          </rPr>
          <t xml:space="preserve">
adjusted based on disease prevalences for HFE and SERPINA1
</t>
        </r>
      </text>
    </comment>
  </commentList>
</comments>
</file>

<file path=xl/sharedStrings.xml><?xml version="1.0" encoding="utf-8"?>
<sst xmlns="http://schemas.openxmlformats.org/spreadsheetml/2006/main" count="5166" uniqueCount="1999">
  <si>
    <t>Gene name</t>
  </si>
  <si>
    <t>Pathogenic missense variants</t>
  </si>
  <si>
    <t>Pathogenic truncating variants</t>
  </si>
  <si>
    <t>M/T ratio</t>
  </si>
  <si>
    <t>PVS1</t>
  </si>
  <si>
    <t>PP1</t>
  </si>
  <si>
    <t>BRCA1</t>
  </si>
  <si>
    <t>YES</t>
  </si>
  <si>
    <t>AD</t>
  </si>
  <si>
    <t>BRCA2</t>
  </si>
  <si>
    <t>AD/AR</t>
  </si>
  <si>
    <t>ABCB11</t>
  </si>
  <si>
    <t xml:space="preserve">AR </t>
  </si>
  <si>
    <t>ACTA2</t>
  </si>
  <si>
    <t>All Missense</t>
  </si>
  <si>
    <t>ACTC1</t>
  </si>
  <si>
    <t>AIP</t>
  </si>
  <si>
    <t>AKT1</t>
  </si>
  <si>
    <t>NO-GOF</t>
  </si>
  <si>
    <t>ALK</t>
  </si>
  <si>
    <t>APC</t>
  </si>
  <si>
    <t>APOB</t>
  </si>
  <si>
    <t>AR</t>
  </si>
  <si>
    <t>ATM</t>
  </si>
  <si>
    <t>ATR</t>
  </si>
  <si>
    <t>AXIN2</t>
  </si>
  <si>
    <t>All truncating</t>
  </si>
  <si>
    <t>BAP1</t>
  </si>
  <si>
    <t>BARD1</t>
  </si>
  <si>
    <t>BLM</t>
  </si>
  <si>
    <t>BMPR1A</t>
  </si>
  <si>
    <t>BRIP1</t>
  </si>
  <si>
    <t>BUB1B</t>
  </si>
  <si>
    <t>CACNA1S</t>
  </si>
  <si>
    <t>CBL</t>
  </si>
  <si>
    <t>CDC73</t>
  </si>
  <si>
    <t>CDH1</t>
  </si>
  <si>
    <t>CDK4</t>
  </si>
  <si>
    <t>CDKN1B</t>
  </si>
  <si>
    <t>CDKN1C</t>
  </si>
  <si>
    <t>CDKN2A</t>
  </si>
  <si>
    <t>CEBPA</t>
  </si>
  <si>
    <t>CEP57</t>
  </si>
  <si>
    <t>CHEK1</t>
  </si>
  <si>
    <t>n/a</t>
  </si>
  <si>
    <t>None</t>
  </si>
  <si>
    <t>CHEK2</t>
  </si>
  <si>
    <t>COL3A1</t>
  </si>
  <si>
    <t>COL7A1</t>
  </si>
  <si>
    <t>CTNNA1</t>
  </si>
  <si>
    <t>CYLD</t>
  </si>
  <si>
    <t>DDB2</t>
  </si>
  <si>
    <t>DICER1</t>
  </si>
  <si>
    <t>DIS3L2</t>
  </si>
  <si>
    <t>DKC1</t>
  </si>
  <si>
    <t>XLR</t>
  </si>
  <si>
    <t>DOCK8</t>
  </si>
  <si>
    <t>DSC2</t>
  </si>
  <si>
    <t>DSG2</t>
  </si>
  <si>
    <t>DSP</t>
  </si>
  <si>
    <t>EGFR</t>
  </si>
  <si>
    <t>ELANE</t>
  </si>
  <si>
    <t>EPCAM</t>
  </si>
  <si>
    <t>ERCC2</t>
  </si>
  <si>
    <t>ERCC3</t>
  </si>
  <si>
    <t>ERCC4</t>
  </si>
  <si>
    <t>ERCC5</t>
  </si>
  <si>
    <t>EXT1</t>
  </si>
  <si>
    <t>EXT2</t>
  </si>
  <si>
    <t>EZH2</t>
  </si>
  <si>
    <t>FAH</t>
  </si>
  <si>
    <t>FAM175A</t>
  </si>
  <si>
    <t>FANCA</t>
  </si>
  <si>
    <t>FANCB</t>
  </si>
  <si>
    <t>FANCC</t>
  </si>
  <si>
    <t>FANCD2</t>
  </si>
  <si>
    <t>FANCE</t>
  </si>
  <si>
    <t>FANCF</t>
  </si>
  <si>
    <t>FANCG</t>
  </si>
  <si>
    <t>FANCI</t>
  </si>
  <si>
    <t>FANCL</t>
  </si>
  <si>
    <t>FANCM</t>
  </si>
  <si>
    <t>FAS</t>
  </si>
  <si>
    <t>FBN1</t>
  </si>
  <si>
    <t>FH</t>
  </si>
  <si>
    <t>FLCN</t>
  </si>
  <si>
    <t>GALNT12</t>
  </si>
  <si>
    <t>GATA2</t>
  </si>
  <si>
    <t>GBA</t>
  </si>
  <si>
    <t>GEN1</t>
  </si>
  <si>
    <t>GJB2</t>
  </si>
  <si>
    <t>GLA</t>
  </si>
  <si>
    <t>GPC3</t>
  </si>
  <si>
    <t>GREM1</t>
  </si>
  <si>
    <t>HFE</t>
  </si>
  <si>
    <t>HMBS</t>
  </si>
  <si>
    <t>HNF1A</t>
  </si>
  <si>
    <t>HOXB13</t>
  </si>
  <si>
    <t>HRAS</t>
  </si>
  <si>
    <t>ITK</t>
  </si>
  <si>
    <t>KCNH2</t>
  </si>
  <si>
    <t>KCNQ1</t>
  </si>
  <si>
    <t>KIT</t>
  </si>
  <si>
    <t>LDLR</t>
  </si>
  <si>
    <t>LMNA</t>
  </si>
  <si>
    <t>MAX</t>
  </si>
  <si>
    <t>MEN1</t>
  </si>
  <si>
    <t>MET</t>
  </si>
  <si>
    <t>MITF</t>
  </si>
  <si>
    <t>MLH1</t>
  </si>
  <si>
    <t>MRE11A</t>
  </si>
  <si>
    <t>MSH2</t>
  </si>
  <si>
    <t>MSH6</t>
  </si>
  <si>
    <t>MTAP</t>
  </si>
  <si>
    <t>MUTYH</t>
  </si>
  <si>
    <t>MYBPC3</t>
  </si>
  <si>
    <t>MYH11</t>
  </si>
  <si>
    <t>MYH7</t>
  </si>
  <si>
    <t>MYL2</t>
  </si>
  <si>
    <t>MYL3</t>
  </si>
  <si>
    <t>MYLK</t>
  </si>
  <si>
    <t>NBN</t>
  </si>
  <si>
    <t>NF1</t>
  </si>
  <si>
    <t>NF2</t>
  </si>
  <si>
    <t>NSD1</t>
  </si>
  <si>
    <t>PALB2</t>
  </si>
  <si>
    <t>PCSK9</t>
  </si>
  <si>
    <t>PDGFRA</t>
  </si>
  <si>
    <t>PHOX2B</t>
  </si>
  <si>
    <t>PIK3CA</t>
  </si>
  <si>
    <t>PKP2</t>
  </si>
  <si>
    <t>PMS1</t>
  </si>
  <si>
    <t>PMS2</t>
  </si>
  <si>
    <t>POLD1</t>
  </si>
  <si>
    <t>POLE</t>
  </si>
  <si>
    <t>POLH</t>
  </si>
  <si>
    <t>PPM1D</t>
  </si>
  <si>
    <t>Mosaic</t>
  </si>
  <si>
    <t>PRF1</t>
  </si>
  <si>
    <t>PRKAG2</t>
  </si>
  <si>
    <t>PRKAR1A</t>
  </si>
  <si>
    <t>PRSS1</t>
  </si>
  <si>
    <t>PTCH1</t>
  </si>
  <si>
    <t>PTEN</t>
  </si>
  <si>
    <t>PTPN11</t>
  </si>
  <si>
    <t>RAD50</t>
  </si>
  <si>
    <t>RAD51</t>
  </si>
  <si>
    <t>RAD51C</t>
  </si>
  <si>
    <t>RAD51D</t>
  </si>
  <si>
    <t>RB1</t>
  </si>
  <si>
    <t>RECQL4</t>
  </si>
  <si>
    <t>RET</t>
  </si>
  <si>
    <t>RHBDF2</t>
  </si>
  <si>
    <t>RMRP</t>
  </si>
  <si>
    <t>RUNX1</t>
  </si>
  <si>
    <t>RYR1</t>
  </si>
  <si>
    <t>RYR2</t>
  </si>
  <si>
    <t>SBDS</t>
  </si>
  <si>
    <t>SCN5A</t>
  </si>
  <si>
    <t>SDHA</t>
  </si>
  <si>
    <t>SDHAF2</t>
  </si>
  <si>
    <t>SDHB</t>
  </si>
  <si>
    <t>SDHC</t>
  </si>
  <si>
    <t>SDHD</t>
  </si>
  <si>
    <t>SERPINA1</t>
  </si>
  <si>
    <t>SH2D1A</t>
  </si>
  <si>
    <t>SLC25A13</t>
  </si>
  <si>
    <t>SLX4</t>
  </si>
  <si>
    <t>SMAD3</t>
  </si>
  <si>
    <t>SMAD4</t>
  </si>
  <si>
    <t>SMARCA4</t>
  </si>
  <si>
    <t>SMARCB1</t>
  </si>
  <si>
    <t>SMARCE1</t>
  </si>
  <si>
    <t>SOS1</t>
  </si>
  <si>
    <t>STAT3</t>
  </si>
  <si>
    <t>STK11</t>
  </si>
  <si>
    <t>SUFU</t>
  </si>
  <si>
    <t>TERT</t>
  </si>
  <si>
    <t>TGFBR1</t>
  </si>
  <si>
    <t>TGFBR2</t>
  </si>
  <si>
    <t>TMEM127</t>
  </si>
  <si>
    <t>TMEM43</t>
  </si>
  <si>
    <t>TNNI3</t>
  </si>
  <si>
    <t>TNNT2</t>
  </si>
  <si>
    <t>TP53</t>
  </si>
  <si>
    <t>TP53BP1</t>
  </si>
  <si>
    <t>TPM1</t>
  </si>
  <si>
    <t>TRIM37</t>
  </si>
  <si>
    <t>TSC1</t>
  </si>
  <si>
    <t>TSC2</t>
  </si>
  <si>
    <t>UROD</t>
  </si>
  <si>
    <t>VHL</t>
  </si>
  <si>
    <t>WAS</t>
  </si>
  <si>
    <t>WRN</t>
  </si>
  <si>
    <t>WT1</t>
  </si>
  <si>
    <t>XPA</t>
  </si>
  <si>
    <t>XPC</t>
  </si>
  <si>
    <t>XRCC2</t>
  </si>
  <si>
    <t>ACMG Reportable</t>
  </si>
  <si>
    <t>Yes</t>
  </si>
  <si>
    <t>Multiple endocrine neoplasia</t>
  </si>
  <si>
    <t>PPAP (polymerase proofreading associated polyposis)</t>
  </si>
  <si>
    <t>Disease Association-AD</t>
  </si>
  <si>
    <t>Disease Association-AR</t>
  </si>
  <si>
    <t>No</t>
  </si>
  <si>
    <t>Type</t>
  </si>
  <si>
    <t>X</t>
  </si>
  <si>
    <t>Gene</t>
  </si>
  <si>
    <t>Code</t>
  </si>
  <si>
    <t>BA1</t>
  </si>
  <si>
    <t>Variant</t>
  </si>
  <si>
    <t>BP1</t>
  </si>
  <si>
    <t>Missense variant in a gene for which primarily truncating variants are known to cause disease</t>
  </si>
  <si>
    <t>BP2</t>
  </si>
  <si>
    <t>Observed in trans with a pathogenic variant for a fully penetrant dominant gene/disorder; or observed in cis with a pathogenic variant in any inheritance pattern.</t>
  </si>
  <si>
    <t>BP3</t>
  </si>
  <si>
    <t>In-frame deletions/insertions in a repetitive region without a known function</t>
  </si>
  <si>
    <t>BP4</t>
  </si>
  <si>
    <t>Multiple lines of computational evidence suggest no impact on gene or gene product (conservation, evolutionary, splicing impact, etc)</t>
  </si>
  <si>
    <t>BP5</t>
  </si>
  <si>
    <t>Variant found in a case with an alternate molecular basis for disease</t>
  </si>
  <si>
    <t>BP6</t>
  </si>
  <si>
    <t>Reputable source reports variant as benign but without evidence to independently evaluate</t>
  </si>
  <si>
    <t>BS1</t>
  </si>
  <si>
    <t xml:space="preserve">Allele frequency is greater than expected for disorder </t>
  </si>
  <si>
    <t>BS2</t>
  </si>
  <si>
    <t>Observed in a healthy adult individual for a recessive (homozygous), dominant (heterozygous), or X-linked (hemizygous) disorder with full penetrance expected at an early age</t>
  </si>
  <si>
    <t>BS3</t>
  </si>
  <si>
    <t>Well-established in-vitro or in vivo functional studies shows no deleterious effect on protein function or splicing</t>
  </si>
  <si>
    <t>BS4</t>
  </si>
  <si>
    <t>PM1</t>
  </si>
  <si>
    <t>Located in a mutational hot spot and/or critical and well-established functional domain (e.g. active site of an enzyme)</t>
  </si>
  <si>
    <t>PM2</t>
  </si>
  <si>
    <t>PM3</t>
  </si>
  <si>
    <t>For recessive disorders, detected in trans with a pathogenic variant</t>
  </si>
  <si>
    <t>PM4</t>
  </si>
  <si>
    <t>In-frame deletions/insertions in a non-repeat region or stop-loss variants</t>
  </si>
  <si>
    <t>PM5</t>
  </si>
  <si>
    <t>Novel missense change at an amino acid residue where a different missense change determined to be pathogenic has been seen before</t>
  </si>
  <si>
    <t>PM6</t>
  </si>
  <si>
    <t>Assumed de novo, but without confirmation of paternity and maternity</t>
  </si>
  <si>
    <t xml:space="preserve">Co-segregation with disease in multiple affected family members in a gene definitively known to cause the disease </t>
  </si>
  <si>
    <t>PP2</t>
  </si>
  <si>
    <t>Missense variant in a gene that has a low rate of benign missense variation and where missense variants are a common mechanism of disease</t>
  </si>
  <si>
    <t>PP3</t>
  </si>
  <si>
    <t>Multiple lines of computational evidence support a deleterious effect on the gene or gene product (conservation, evolutionary, splicing impact, etc)</t>
  </si>
  <si>
    <t>PP4</t>
  </si>
  <si>
    <t xml:space="preserve">Patient’s phenotype or family history is highly specific for a disease with a single genetic etiology </t>
  </si>
  <si>
    <t>PP5</t>
  </si>
  <si>
    <t>Reputable source reports variant as pathogenic but without evidence to independently evaluate</t>
  </si>
  <si>
    <t>PS1</t>
  </si>
  <si>
    <t>Same amino acid change as a previously established pathogenic variant regardless of nucleotide change</t>
  </si>
  <si>
    <t>PS2</t>
  </si>
  <si>
    <t>De novo (both maternity and paternity confirmed) in a patient with the disease and no family history</t>
  </si>
  <si>
    <t>PS3</t>
  </si>
  <si>
    <t>Well-established in vitro or in vivo functional studies supportive of a deleterious effect on the gene or gene product</t>
  </si>
  <si>
    <t>PS4</t>
  </si>
  <si>
    <t xml:space="preserve">The prevalence of the variant in affected individuals is significantly increased compared to the prevalence in controls </t>
  </si>
  <si>
    <t>Not used</t>
  </si>
  <si>
    <t>Lack of segregation in affected members of a family</t>
  </si>
  <si>
    <t>Call</t>
  </si>
  <si>
    <t>PVS1PS1PM0PP0</t>
  </si>
  <si>
    <t>D</t>
  </si>
  <si>
    <t>PVS1PS1PM0PP1</t>
  </si>
  <si>
    <t>PVS1PS1PM0PP2</t>
  </si>
  <si>
    <t>PVS1PS1PM0PP3</t>
  </si>
  <si>
    <t>PVS1PS1PM0PP4</t>
  </si>
  <si>
    <t>PVS1PS1PM0PP5</t>
  </si>
  <si>
    <t>PVS1PS1PM1PP0</t>
  </si>
  <si>
    <t>PVS1PS1PM1PP1</t>
  </si>
  <si>
    <t>PVS1PS1PM1PP2</t>
  </si>
  <si>
    <t>PVS1PS1PM1PP3</t>
  </si>
  <si>
    <t>PVS1PS1PM1PP4</t>
  </si>
  <si>
    <t>PVS1PS1PM1PP5</t>
  </si>
  <si>
    <t>PVS1PS1PM2PP0</t>
  </si>
  <si>
    <t>PVS1PS1PM2PP1</t>
  </si>
  <si>
    <t>PVS1PS1PM2PP2</t>
  </si>
  <si>
    <t>PVS1PS1PM2PP3</t>
  </si>
  <si>
    <t>PVS1PS1PM2PP4</t>
  </si>
  <si>
    <t>PVS1PS1PM2PP5</t>
  </si>
  <si>
    <t>PVS1PS1PM3PP0</t>
  </si>
  <si>
    <t>PVS1PS1PM3PP1</t>
  </si>
  <si>
    <t>PVS1PS1PM3PP2</t>
  </si>
  <si>
    <t>PVS1PS1PM3PP3</t>
  </si>
  <si>
    <t>PVS1PS1PM3PP4</t>
  </si>
  <si>
    <t>PVS1PS1PM3PP5</t>
  </si>
  <si>
    <t>PVS1PS1PM4PP0</t>
  </si>
  <si>
    <t>PVS1PS1PM4PP1</t>
  </si>
  <si>
    <t>PVS1PS1PM4PP2</t>
  </si>
  <si>
    <t>PVS1PS1PM4PP3</t>
  </si>
  <si>
    <t>PVS1PS1PM4PP4</t>
  </si>
  <si>
    <t>PVS1PS1PM4PP5</t>
  </si>
  <si>
    <t>PVS1PS1PM5PP0</t>
  </si>
  <si>
    <t>PVS1PS1PM5PP1</t>
  </si>
  <si>
    <t>PVS1PS1PM5PP2</t>
  </si>
  <si>
    <t>PVS1PS1PM5PP3</t>
  </si>
  <si>
    <t>PVS1PS1PM5PP4</t>
  </si>
  <si>
    <t>PVS1PS1PM5PP5</t>
  </si>
  <si>
    <t>PVS1PS1PM6PP0</t>
  </si>
  <si>
    <t>PVS1PS1PM6PP1</t>
  </si>
  <si>
    <t>PVS1PS1PM6PP2</t>
  </si>
  <si>
    <t>PVS1PS1PM6PP3</t>
  </si>
  <si>
    <t>PVS1PS1PM6PP4</t>
  </si>
  <si>
    <t>PVS1PS1PM6PP5</t>
  </si>
  <si>
    <t>PVS1PS2PM0PP0</t>
  </si>
  <si>
    <t>PVS1PS2PM0PP1</t>
  </si>
  <si>
    <t>PVS1PS2PM0PP2</t>
  </si>
  <si>
    <t>PVS1PS2PM0PP3</t>
  </si>
  <si>
    <t>PVS1PS2PM0PP4</t>
  </si>
  <si>
    <t>PVS1PS2PM0PP5</t>
  </si>
  <si>
    <t>PVS1PS2PM1PP0</t>
  </si>
  <si>
    <t>PVS1PS2PM1PP1</t>
  </si>
  <si>
    <t>PVS1PS2PM1PP2</t>
  </si>
  <si>
    <t>PVS1PS2PM1PP3</t>
  </si>
  <si>
    <t>PVS1PS2PM1PP4</t>
  </si>
  <si>
    <t>PVS1PS2PM1PP5</t>
  </si>
  <si>
    <t>PVS1PS2PM2PP0</t>
  </si>
  <si>
    <t>PVS1PS2PM2PP1</t>
  </si>
  <si>
    <t>PVS1PS2PM2PP2</t>
  </si>
  <si>
    <t>PVS1PS2PM2PP3</t>
  </si>
  <si>
    <t>PVS1PS2PM2PP4</t>
  </si>
  <si>
    <t>PVS1PS2PM2PP5</t>
  </si>
  <si>
    <t>PVS1PS2PM3PP0</t>
  </si>
  <si>
    <t>PVS1PS2PM3PP1</t>
  </si>
  <si>
    <t>PVS1PS2PM3PP2</t>
  </si>
  <si>
    <t>PVS1PS2PM3PP3</t>
  </si>
  <si>
    <t>PVS1PS2PM3PP4</t>
  </si>
  <si>
    <t>PVS1PS2PM3PP5</t>
  </si>
  <si>
    <t>PVS1PS2PM4PP0</t>
  </si>
  <si>
    <t>PVS1PS2PM4PP1</t>
  </si>
  <si>
    <t>PVS1PS2PM4PP2</t>
  </si>
  <si>
    <t>PVS1PS2PM4PP3</t>
  </si>
  <si>
    <t>PVS1PS2PM4PP4</t>
  </si>
  <si>
    <t>PVS1PS2PM4PP5</t>
  </si>
  <si>
    <t>PVS1PS2PM5PP0</t>
  </si>
  <si>
    <t>PVS1PS2PM5PP1</t>
  </si>
  <si>
    <t>PVS1PS2PM5PP2</t>
  </si>
  <si>
    <t>PVS1PS2PM5PP3</t>
  </si>
  <si>
    <t>PVS1PS2PM5PP4</t>
  </si>
  <si>
    <t>PVS1PS2PM5PP5</t>
  </si>
  <si>
    <t>PVS1PS2PM6PP0</t>
  </si>
  <si>
    <t>PVS1PS2PM6PP1</t>
  </si>
  <si>
    <t>PVS1PS2PM6PP2</t>
  </si>
  <si>
    <t>PVS1PS2PM6PP3</t>
  </si>
  <si>
    <t>PVS1PS2PM6PP4</t>
  </si>
  <si>
    <t>PVS1PS2PM6PP5</t>
  </si>
  <si>
    <t>PVS1PS0PM1PP1</t>
  </si>
  <si>
    <t>PVS1PS0PM1PP2</t>
  </si>
  <si>
    <t>PVS1PS0PM1PP3</t>
  </si>
  <si>
    <t>PVS1PS0PM1PP4</t>
  </si>
  <si>
    <t>PVS1PS0PM1PP5</t>
  </si>
  <si>
    <t>PVS1PS0PM2PP1</t>
  </si>
  <si>
    <t>PVS1PS0PM2PP2</t>
  </si>
  <si>
    <t>PVS1PS0PM2PP3</t>
  </si>
  <si>
    <t>PVS1PS0PM2PP4</t>
  </si>
  <si>
    <t>PVS1PS0PM2PP5</t>
  </si>
  <si>
    <t>PVS1PS0PM3PP1</t>
  </si>
  <si>
    <t>PVS1PS0PM3PP2</t>
  </si>
  <si>
    <t>PVS1PS0PM3PP3</t>
  </si>
  <si>
    <t>PVS1PS0PM3PP4</t>
  </si>
  <si>
    <t>PVS1PS0PM3PP5</t>
  </si>
  <si>
    <t>PVS1PS0PM4PP1</t>
  </si>
  <si>
    <t>PVS1PS0PM4PP2</t>
  </si>
  <si>
    <t>PVS1PS0PM4PP3</t>
  </si>
  <si>
    <t>PVS1PS0PM4PP4</t>
  </si>
  <si>
    <t>PVS1PS0PM4PP5</t>
  </si>
  <si>
    <t>PVS1PS0PM5PP1</t>
  </si>
  <si>
    <t>PVS1PS0PM5PP2</t>
  </si>
  <si>
    <t>PVS1PS0PM5PP3</t>
  </si>
  <si>
    <t>PVS1PS0PM5PP4</t>
  </si>
  <si>
    <t>PVS1PS0PM5PP5</t>
  </si>
  <si>
    <t>PVS1PS0PM6PP1</t>
  </si>
  <si>
    <t>PVS1PS0PM6PP2</t>
  </si>
  <si>
    <t>PVS1PS0PM6PP3</t>
  </si>
  <si>
    <t>PVS1PS0PM6PP4</t>
  </si>
  <si>
    <t>PVS1PS0PM6PP5</t>
  </si>
  <si>
    <t>PVS1PS0PM0PP2</t>
  </si>
  <si>
    <t>PVS1PS0PM0PP3</t>
  </si>
  <si>
    <t>PVS1PS0PM0PP4</t>
  </si>
  <si>
    <t>PVS1PS0PM0PP5</t>
  </si>
  <si>
    <t>PVS0PS2PM0PP0</t>
  </si>
  <si>
    <t>PVS0PS2PM0PP1</t>
  </si>
  <si>
    <t>PVS0PS2PM0PP2</t>
  </si>
  <si>
    <t>PVS0PS2PM0PP3</t>
  </si>
  <si>
    <t>PVS0PS2PM0PP4</t>
  </si>
  <si>
    <t>PVS0PS2PM0PP5</t>
  </si>
  <si>
    <t>PVS0PS2PM1PP0</t>
  </si>
  <si>
    <t>PVS0PS2PM1PP1</t>
  </si>
  <si>
    <t>PVS0PS2PM1PP2</t>
  </si>
  <si>
    <t>PVS0PS2PM1PP3</t>
  </si>
  <si>
    <t>PVS0PS2PM1PP4</t>
  </si>
  <si>
    <t>PVS0PS2PM1PP5</t>
  </si>
  <si>
    <t>PVS0PS2PM2PP0</t>
  </si>
  <si>
    <t>PVS0PS2PM2PP1</t>
  </si>
  <si>
    <t>PVS0PS2PM2PP2</t>
  </si>
  <si>
    <t>PVS0PS2PM2PP3</t>
  </si>
  <si>
    <t>PVS0PS2PM2PP4</t>
  </si>
  <si>
    <t>PVS0PS2PM2PP5</t>
  </si>
  <si>
    <t>PVS0PS2PM3PP0</t>
  </si>
  <si>
    <t>PVS0PS2PM3PP1</t>
  </si>
  <si>
    <t>PVS0PS2PM3PP2</t>
  </si>
  <si>
    <t>PVS0PS2PM3PP3</t>
  </si>
  <si>
    <t>PVS0PS2PM3PP4</t>
  </si>
  <si>
    <t>PVS0PS2PM3PP5</t>
  </si>
  <si>
    <t>PVS0PS2PM4PP0</t>
  </si>
  <si>
    <t>PVS0PS2PM4PP1</t>
  </si>
  <si>
    <t>PVS0PS2PM4PP2</t>
  </si>
  <si>
    <t>PVS0PS2PM4PP3</t>
  </si>
  <si>
    <t>PVS0PS2PM4PP4</t>
  </si>
  <si>
    <t>PVS0PS2PM4PP5</t>
  </si>
  <si>
    <t>PVS0PS2PM5PP0</t>
  </si>
  <si>
    <t>PVS0PS2PM5PP1</t>
  </si>
  <si>
    <t>PVS0PS2PM5PP2</t>
  </si>
  <si>
    <t>PVS0PS2PM5PP3</t>
  </si>
  <si>
    <t>PVS0PS2PM5PP4</t>
  </si>
  <si>
    <t>PVS0PS2PM5PP5</t>
  </si>
  <si>
    <t>PVS0PS2PM6PP0</t>
  </si>
  <si>
    <t>PVS0PS2PM6PP1</t>
  </si>
  <si>
    <t>PVS0PS2PM6PP2</t>
  </si>
  <si>
    <t>PVS0PS2PM6PP3</t>
  </si>
  <si>
    <t>PVS0PS2PM6PP4</t>
  </si>
  <si>
    <t>PVS0PS2PM6PP5</t>
  </si>
  <si>
    <t>PVS0PS1PM3PP0</t>
  </si>
  <si>
    <t>PVS0PS1PM3PP1</t>
  </si>
  <si>
    <t>PVS0PS1PM3PP2</t>
  </si>
  <si>
    <t>PVS0PS1PM3PP3</t>
  </si>
  <si>
    <t>PVS0PS1PM3PP4</t>
  </si>
  <si>
    <t>PVS0PS1PM3PP5</t>
  </si>
  <si>
    <t>PVS0PS1PM4PP0</t>
  </si>
  <si>
    <t>PVS0PS1PM4PP1</t>
  </si>
  <si>
    <t>PVS0PS1PM4PP2</t>
  </si>
  <si>
    <t>PVS0PS1PM4PP3</t>
  </si>
  <si>
    <t>PVS0PS1PM4PP4</t>
  </si>
  <si>
    <t>PVS0PS1PM4PP5</t>
  </si>
  <si>
    <t>PVS0PS1PM5PP0</t>
  </si>
  <si>
    <t>PVS0PS1PM5PP1</t>
  </si>
  <si>
    <t>PVS0PS1PM5PP2</t>
  </si>
  <si>
    <t>PVS0PS1PM5PP3</t>
  </si>
  <si>
    <t>PVS0PS1PM5PP4</t>
  </si>
  <si>
    <t>PVS0PS1PM5PP5</t>
  </si>
  <si>
    <t>PVS0PS1PM6PP0</t>
  </si>
  <si>
    <t>PVS0PS1PM6PP1</t>
  </si>
  <si>
    <t>PVS0PS1PM6PP2</t>
  </si>
  <si>
    <t>PVS0PS1PM6PP3</t>
  </si>
  <si>
    <t>PVS0PS1PM6PP4</t>
  </si>
  <si>
    <t>PVS0PS1PM6PP5</t>
  </si>
  <si>
    <t>PVS0PS1PM2PP2</t>
  </si>
  <si>
    <t>PVS0PS1PM2PP3</t>
  </si>
  <si>
    <t>PVS0PS1PM2PP4</t>
  </si>
  <si>
    <t>PVS0PS1PM2PP5</t>
  </si>
  <si>
    <t>PVS0PS1PM1PP4</t>
  </si>
  <si>
    <t>PVS0PS1PM1PP5</t>
  </si>
  <si>
    <t>PVS0PS1PM1PP0</t>
  </si>
  <si>
    <t>LD</t>
  </si>
  <si>
    <t>PVS0PS1PM1PP1</t>
  </si>
  <si>
    <t>PVS0PS1PM1PP2</t>
  </si>
  <si>
    <t>PVS0PS1PM1PP3</t>
  </si>
  <si>
    <t>PVS0PS1PM2PP0</t>
  </si>
  <si>
    <t>PVS0PS1PM2PP1</t>
  </si>
  <si>
    <t>PVS0PS1PM0PP2</t>
  </si>
  <si>
    <t>PVS0PS1PM0PP3</t>
  </si>
  <si>
    <t>PVS0PS1PM0PP4</t>
  </si>
  <si>
    <t>PVS0PS1PM0PP5</t>
  </si>
  <si>
    <t>PVS0PS0PM3PP0</t>
  </si>
  <si>
    <t>PVS0PS0PM3PP1</t>
  </si>
  <si>
    <t>PVS0PS0PM3PP2</t>
  </si>
  <si>
    <t>PVS0PS0PM3PP3</t>
  </si>
  <si>
    <t>PVS0PS0PM3PP4</t>
  </si>
  <si>
    <t>PVS0PS0PM3PP5</t>
  </si>
  <si>
    <t>PVS0PS0PM4PP0</t>
  </si>
  <si>
    <t>PVS0PS0PM4PP1</t>
  </si>
  <si>
    <t>PVS0PS0PM4PP2</t>
  </si>
  <si>
    <t>PVS0PS0PM4PP3</t>
  </si>
  <si>
    <t>PVS0PS0PM4PP4</t>
  </si>
  <si>
    <t>PVS0PS0PM4PP5</t>
  </si>
  <si>
    <t>PVS0PS0PM5PP0</t>
  </si>
  <si>
    <t>PVS0PS0PM5PP1</t>
  </si>
  <si>
    <t>PVS0PS0PM5PP2</t>
  </si>
  <si>
    <t>PVS0PS0PM5PP3</t>
  </si>
  <si>
    <t>PVS0PS0PM5PP4</t>
  </si>
  <si>
    <t>PVS0PS0PM5PP5</t>
  </si>
  <si>
    <t>PVS0PS0PM6PP0</t>
  </si>
  <si>
    <t>PVS0PS0PM6PP1</t>
  </si>
  <si>
    <t>PVS0PS0PM6PP2</t>
  </si>
  <si>
    <t>PVS0PS0PM6PP3</t>
  </si>
  <si>
    <t>PVS0PS0PM6PP4</t>
  </si>
  <si>
    <t>PVS0PS0PM6PP5</t>
  </si>
  <si>
    <t>PVS0PS0PM2PP2</t>
  </si>
  <si>
    <t>PVS0PS0PM2PP3</t>
  </si>
  <si>
    <t>PVS0PS0PM2PP4</t>
  </si>
  <si>
    <t>PVS0PS0PM2PP5</t>
  </si>
  <si>
    <t>PVS0PS0PM1PP4</t>
  </si>
  <si>
    <t>PVS0PS0PM1PP5</t>
  </si>
  <si>
    <t>PVS0PS0PM0PP0</t>
  </si>
  <si>
    <t>no call</t>
  </si>
  <si>
    <t>PVS0PS0PM0PP1</t>
  </si>
  <si>
    <t>PVS0PS0PM0PP2</t>
  </si>
  <si>
    <t>PVS0PS0PM0PP3</t>
  </si>
  <si>
    <t>PVS0PS0PM0PP4</t>
  </si>
  <si>
    <t>PVS0PS0PM0PP5</t>
  </si>
  <si>
    <t>PVS0PS0PM1PP0</t>
  </si>
  <si>
    <t>PVS0PS0PM1PP1</t>
  </si>
  <si>
    <t>PVS0PS0PM1PP2</t>
  </si>
  <si>
    <t>PVS0PS0PM1PP3</t>
  </si>
  <si>
    <t>PVS0PS0PM2PP0</t>
  </si>
  <si>
    <t>PVS0PS0PM2PP1</t>
  </si>
  <si>
    <t>PVS0PS1PM0PP0</t>
  </si>
  <si>
    <t>PVS0PS1PM0PP1</t>
  </si>
  <si>
    <t>PVS1PS0PM0PP0</t>
  </si>
  <si>
    <t>PVS1PS0PM0PP1</t>
  </si>
  <si>
    <t>PVS1PS0PM1PP0</t>
  </si>
  <si>
    <t>PVS1PS0PM2PP0</t>
  </si>
  <si>
    <t>PVS1PS0PM3PP0</t>
  </si>
  <si>
    <t>PVS1PS0PM4PP0</t>
  </si>
  <si>
    <t>PVS1PS0PM5PP0</t>
  </si>
  <si>
    <t>PVS1PS0PM6PP0</t>
  </si>
  <si>
    <t>BA0BS0BP0</t>
  </si>
  <si>
    <t>BA0BS0BP1</t>
  </si>
  <si>
    <t>BA0BS1BP0</t>
  </si>
  <si>
    <t>BA0BS1BP1</t>
  </si>
  <si>
    <t>LB</t>
  </si>
  <si>
    <t>BA0BS1BP2</t>
  </si>
  <si>
    <t>BA0BS1BP3</t>
  </si>
  <si>
    <t>BA0BS1BP4</t>
  </si>
  <si>
    <t>BA0BS1BP5</t>
  </si>
  <si>
    <t>BA0BS1BP6</t>
  </si>
  <si>
    <t>BA0BS0BP2</t>
  </si>
  <si>
    <t>BA0BS0BP3</t>
  </si>
  <si>
    <t>BA0BS0BP4</t>
  </si>
  <si>
    <t>BA0BS0BP5</t>
  </si>
  <si>
    <t>BA0BS0BP6</t>
  </si>
  <si>
    <t>BA1BS0BP0</t>
  </si>
  <si>
    <t>B</t>
  </si>
  <si>
    <t>BA1BS0BP1</t>
  </si>
  <si>
    <t>BA1BS0BP2</t>
  </si>
  <si>
    <t>BA1BS0BP3</t>
  </si>
  <si>
    <t>BA1BS0BP4</t>
  </si>
  <si>
    <t>BA1BS0BP5</t>
  </si>
  <si>
    <t>BA1BS0BP6</t>
  </si>
  <si>
    <t>BA1BS1BP0</t>
  </si>
  <si>
    <t>BA1BS1BP1</t>
  </si>
  <si>
    <t>BA1BS1BP2</t>
  </si>
  <si>
    <t>BA1BS1BP3</t>
  </si>
  <si>
    <t>BA1BS1BP4</t>
  </si>
  <si>
    <t>BA1BS1BP5</t>
  </si>
  <si>
    <t>BA1BS1BP6</t>
  </si>
  <si>
    <t>BA1BS2BP0</t>
  </si>
  <si>
    <t>BA1BS2BP1</t>
  </si>
  <si>
    <t>BA1BS2BP2</t>
  </si>
  <si>
    <t>BA1BS2BP3</t>
  </si>
  <si>
    <t>BA1BS2BP4</t>
  </si>
  <si>
    <t>BA1BS2BP5</t>
  </si>
  <si>
    <t>BA1BS2BP6</t>
  </si>
  <si>
    <t>BA1BS3BP0</t>
  </si>
  <si>
    <t>BA1BS3BP1</t>
  </si>
  <si>
    <t>BA1BS3BP2</t>
  </si>
  <si>
    <t>BA1BS3BP3</t>
  </si>
  <si>
    <t>BA1BS3BP4</t>
  </si>
  <si>
    <t>BA1BS3BP5</t>
  </si>
  <si>
    <t>BA1BS3BP6</t>
  </si>
  <si>
    <t>BA0BS2BP0</t>
  </si>
  <si>
    <t>BA0BS2BP1</t>
  </si>
  <si>
    <t>BA0BS2BP2</t>
  </si>
  <si>
    <t>BA0BS2BP3</t>
  </si>
  <si>
    <t>BA0BS2BP4</t>
  </si>
  <si>
    <t>BA0BS2BP5</t>
  </si>
  <si>
    <t>BA0BS2BP6</t>
  </si>
  <si>
    <t>BA0BS3BP0</t>
  </si>
  <si>
    <t>BA0BS3BP1</t>
  </si>
  <si>
    <t>BA0BS3BP2</t>
  </si>
  <si>
    <t>BA0BS3BP3</t>
  </si>
  <si>
    <t>BA0BS3BP4</t>
  </si>
  <si>
    <t>BA0BS3BP5</t>
  </si>
  <si>
    <t>BA0BS3BP6</t>
  </si>
  <si>
    <t>Long description as per ACMG Richards et al Table 3</t>
  </si>
  <si>
    <t>Nonsense, frameshift, canonical ±1 or 2 splice sites, initiation codon, single or multiexon
deletion) in a gene where LOF is a known mechanism of disease</t>
  </si>
  <si>
    <t>Manual evaluation of all variants identified in single patient</t>
  </si>
  <si>
    <t>Allele frequency is above 5%  in Exome Sequencing Project, 1000 Genomes Project, or Exome Aggregation Consortium</t>
  </si>
  <si>
    <t>Missense pathogenic=1 if GOF mechanism OR All missense in database with n&gt;=5 variants to analyze OR M/T ratio&gt;1.0 with n&gt;=5 variants to analyze, otherwise Missense pathogenic=0</t>
  </si>
  <si>
    <t>Melanoma-astrocytoma syndrome, OMIM 155755</t>
  </si>
  <si>
    <t>Tuberous Sclerosis, OMIM 191100</t>
  </si>
  <si>
    <t>Tuberous Sclerosis, OMIM 613254</t>
  </si>
  <si>
    <t>Familial breast ovarian cancer, OMIM 604370</t>
  </si>
  <si>
    <t>Familial breast ovarian cancer, OMIM 612555</t>
  </si>
  <si>
    <t>Li Fraumeni Syndrome, OMIM 151623</t>
  </si>
  <si>
    <t>Hereditary diffuse gastric cancer, OMIM 137215</t>
  </si>
  <si>
    <t>Peutz-Jeghers Syndrome, OMIM 175200</t>
  </si>
  <si>
    <t>Cowden syndrome, OMIM 158350</t>
  </si>
  <si>
    <t>Constitutional mismatch repair syndrome, OMIM 276300</t>
  </si>
  <si>
    <t xml:space="preserve">Familial adenomatous polyposis (Garner syndrome), OMIM 175100 </t>
  </si>
  <si>
    <t>Juvenile polyposis syndrome, OMIM 174900</t>
  </si>
  <si>
    <t>Von Hippel Lindau Syndrome, OMIM 193300</t>
  </si>
  <si>
    <t>Birt-Hogg-Dube syndrome, OMIM 135150</t>
  </si>
  <si>
    <t>Renal cancer carcinoma, papillary, OMIM 605074</t>
  </si>
  <si>
    <t>Hereditary leiomyomatosis and renal cell cancer, OMIM 150800</t>
  </si>
  <si>
    <t>Multiple endocrine neoplasia type IIA/B, OMIM 171400/162300</t>
  </si>
  <si>
    <t xml:space="preserve">Carney complex, OMIM 160980 </t>
  </si>
  <si>
    <t>Multiple endocrine neoplasia type I, OMIM 131100</t>
  </si>
  <si>
    <t>Familial GIST, OMIM 606764</t>
  </si>
  <si>
    <t>Rhabdoid predisposition syndrome, OMIM 613325</t>
  </si>
  <si>
    <t>Rhabdoid predisposition syndrome, OMIM 609322</t>
  </si>
  <si>
    <t>Hereditary Paraganglioma-Pheochromocytoma Syndrome, OMIM 605373</t>
  </si>
  <si>
    <t>Hereditary Paraganglioma-Pheochromocytoma Syndrome, OMIM 601650</t>
  </si>
  <si>
    <t>Hereditary Paraganglioma-Pheochromocytoma Syndrome, OMIM 171300</t>
  </si>
  <si>
    <t>Hereditary Paraganglioma-Pheochromocytoma Syndrome, OMIM 614165</t>
  </si>
  <si>
    <t>Retinoblastoma, OMIM 180200</t>
  </si>
  <si>
    <t>Fanconi anemia L, OMIM 614083</t>
  </si>
  <si>
    <t>Fanconi anemia D2, OMIM 227646</t>
  </si>
  <si>
    <t>Fanconi anemia E, OMIM 600901</t>
  </si>
  <si>
    <t>Fanconi anemia G, OMIM 614082</t>
  </si>
  <si>
    <t>Fanconi anemia C, OMIM 227645</t>
  </si>
  <si>
    <t>Fanconi anemia F, OMIM 603467</t>
  </si>
  <si>
    <t>Fanconi anemia D1, OMIM  605724</t>
  </si>
  <si>
    <t>Fanconi anemia M, OMIM 614087</t>
  </si>
  <si>
    <t>Fanconi anemia I, OMIM 609053</t>
  </si>
  <si>
    <t>Fanconi anemia P, OMIM 613951</t>
  </si>
  <si>
    <t>Fanconi anemia N, OMIM 610832</t>
  </si>
  <si>
    <t>Fanconi anemia A, OMIM 227650</t>
  </si>
  <si>
    <t>Fanconi anemia O, OMIM 613390</t>
  </si>
  <si>
    <t>Fanconi anemia J, OMIM 609054</t>
  </si>
  <si>
    <t>Fanconi anemia B, OMIM 300514</t>
  </si>
  <si>
    <t xml:space="preserve">Ataxia Telangiectasia, OMIM 208900  </t>
  </si>
  <si>
    <t>Breast cancer susceptibility, OMIM 114480</t>
  </si>
  <si>
    <t xml:space="preserve">Ataxia-Telangiectasia Like disorder, OMIM 604391 </t>
  </si>
  <si>
    <t xml:space="preserve">Nijmegen breakage syndrome, OMIM 251260 </t>
  </si>
  <si>
    <t>Breast cancer susceptibility?</t>
  </si>
  <si>
    <t xml:space="preserve">Nijmegen breakage syndrome-like disorder, OMIM 613078 </t>
  </si>
  <si>
    <t>Bloom syndrome, OMIM 210900</t>
  </si>
  <si>
    <t>Lynch syndrome, OMIM 613244</t>
  </si>
  <si>
    <t>Colorectal cancer susceptibility, OMIM 608812</t>
  </si>
  <si>
    <t>Polyposis syndrome hereditary mixed, OMIM 601228</t>
  </si>
  <si>
    <t>Colorectal cancer susceptibility, OMIM 612591</t>
  </si>
  <si>
    <t>Colorectal cancer susceptibility, OMIM 615083</t>
  </si>
  <si>
    <t>Neurofibromatosis, OMIM 162200</t>
  </si>
  <si>
    <t>Neurofibromatosis, OMIM 101000</t>
  </si>
  <si>
    <t>Xeroderma pigmentosum A, OMIM 278700</t>
  </si>
  <si>
    <t>Xeroderma pigmentosum D, OMIM 278730</t>
  </si>
  <si>
    <t>Xeroderma pigmentosum G, OMIM 278780</t>
  </si>
  <si>
    <t>Xeroderma pigmentosum C, OMIM 278720</t>
  </si>
  <si>
    <t>Xeroderma pigmentosum B, OMIM 610651</t>
  </si>
  <si>
    <t>Xeroderma Pigmentosum E, OMIM 278740</t>
  </si>
  <si>
    <t>Xeroderma pigmentosa Variant type, OMIM 278750</t>
  </si>
  <si>
    <t>Autoimmune lymphoproliferative syndrome, OMIM 601859</t>
  </si>
  <si>
    <t>Tumor predisposition syndrome, OMIM 614327</t>
  </si>
  <si>
    <t>Multiple endocrine neoplasiatype IV, OMIM 610755</t>
  </si>
  <si>
    <t>Beckwith-Wiedemann syndrome, OMIM 130650</t>
  </si>
  <si>
    <t>Brooke-Spiegler syndrome, OMIM 605041</t>
  </si>
  <si>
    <t>lymphoproliferative syndrome</t>
  </si>
  <si>
    <t>benign skin appendage tumors</t>
  </si>
  <si>
    <t>exomphalos, macroglossia, and gigantism</t>
  </si>
  <si>
    <t>embryonal malignancies</t>
  </si>
  <si>
    <t>CALS, Lisch nodules,  fibromatous tumors of skin</t>
  </si>
  <si>
    <t>diffuse gastric, lobular breast</t>
  </si>
  <si>
    <t>Hamartomatous polyps, melanocytic macules</t>
  </si>
  <si>
    <t>Hamartomatous polyps, mucocutaneous lesions, macrocephaly</t>
  </si>
  <si>
    <t>basal cell carcinoma, medulloblastoma</t>
  </si>
  <si>
    <t>odontogenic cysts, palmar/plantar pits, ectopic calcifications</t>
  </si>
  <si>
    <t>melanoma, astrocytoma</t>
  </si>
  <si>
    <t>colon, uterine, ovarian, biliary, pancreatic, urinary tract</t>
  </si>
  <si>
    <t>colon</t>
  </si>
  <si>
    <t>RCC, pheochromocytoma, pancreatic tumors</t>
  </si>
  <si>
    <t>RCC</t>
  </si>
  <si>
    <t>cutaneous piloleiomyomata, uterine fibroids</t>
  </si>
  <si>
    <t>pancreatic, pituitary</t>
  </si>
  <si>
    <t>medullary thyroid, pheochromocytoma</t>
  </si>
  <si>
    <t>MEN1-related tumors</t>
  </si>
  <si>
    <t>cardiac, endocrine, cutaneous, and neural myxomatous tumors</t>
  </si>
  <si>
    <t>GIST</t>
  </si>
  <si>
    <t>paraganglioma, pheochromocytoma</t>
  </si>
  <si>
    <t>breast</t>
  </si>
  <si>
    <t>breast?</t>
  </si>
  <si>
    <t>polyposis</t>
  </si>
  <si>
    <t>skin cancer</t>
  </si>
  <si>
    <t>Exostoses, multiple, OMIM 133700</t>
  </si>
  <si>
    <t>Exostoses, multiple, OMIM 133701</t>
  </si>
  <si>
    <t xml:space="preserve">Costello syndrome, OMIM 218040 </t>
  </si>
  <si>
    <t>Cutaneous telangiectasia and cancer syndrome, OMIM 614564</t>
  </si>
  <si>
    <t>Diaphyseal medullary stenosis, OMIM 112250</t>
  </si>
  <si>
    <t>Tumor and dysplasia syndrome, OMIM 601200</t>
  </si>
  <si>
    <t>Dyskeratosis congenita autosomal dominant 2, OMIM 613989</t>
  </si>
  <si>
    <t>Dyskeratosis congenita autosomal recessive 4, OMIM 613989</t>
  </si>
  <si>
    <t>Dyskeratosis congenita X-linked, OMIM 30500</t>
  </si>
  <si>
    <t>Emberger syndrome, OMIM 614038</t>
  </si>
  <si>
    <t>Epidermolysis bullosa autosomal dominant, OMIM 131750</t>
  </si>
  <si>
    <t>Epidermolysis bullosa autosomal recessive, OMIM 226600</t>
  </si>
  <si>
    <t>Tylosis with esophageal cancer, OMIM 148500</t>
  </si>
  <si>
    <t>hyperkeratosis on palms/soles</t>
  </si>
  <si>
    <t>Melanoma susceptibility, OMIM 614456</t>
  </si>
  <si>
    <t>Melanoma susceptibility, OMIM 609048</t>
  </si>
  <si>
    <t>melanoma</t>
  </si>
  <si>
    <t>Hyper-immunoglobulin E syndrome, OMIM 147060</t>
  </si>
  <si>
    <t>?unknown</t>
  </si>
  <si>
    <t>Hyperparathyroidism-jaw tumor syndrome, OMIM 145001</t>
  </si>
  <si>
    <t>Keratosis-icthyosis-deafness syndrome, OMIM 148210</t>
  </si>
  <si>
    <t>Autosomal recessive deafness, OMIM 220290</t>
  </si>
  <si>
    <t>Lung cancer susceptibility, OMIM 211980</t>
  </si>
  <si>
    <t>lung adenocarcinoma</t>
  </si>
  <si>
    <t>basal cell carcinoma, medulloblastoma, meningioma</t>
  </si>
  <si>
    <t>Basal Cell Nevus Syndrome, OMIM 109401</t>
  </si>
  <si>
    <t>Basal Cell Nevus Syndrome, OMIM 109400</t>
  </si>
  <si>
    <t>Mengingioma susceptibility, OMIM 607174</t>
  </si>
  <si>
    <t>meningioma</t>
  </si>
  <si>
    <t>Myeloid hematological malignancy susceptibility, OMIM 601626</t>
  </si>
  <si>
    <t>Neuroblastoma susceptibility, OMIM 613014</t>
  </si>
  <si>
    <t>neuroblastoma</t>
  </si>
  <si>
    <t>Neuroblastoma susceptibility</t>
  </si>
  <si>
    <t>Noonan syndrome-like disorder, OMIM 613563</t>
  </si>
  <si>
    <t>Noonan syndrome, OMIM 163950</t>
  </si>
  <si>
    <t>Noonan syndrome, OMIM 610733</t>
  </si>
  <si>
    <t>Oligodentia-colorectal cancer syndrome, OMIM 608615</t>
  </si>
  <si>
    <t>Ovarian cancer susceptibility, OMIM 613399</t>
  </si>
  <si>
    <t>ovary, breast?</t>
  </si>
  <si>
    <t>Ovarian cancer susceptibility, OMIM 614291</t>
  </si>
  <si>
    <t>pancreatic</t>
  </si>
  <si>
    <t>Hereditary pancreatitis, OMIM 167800</t>
  </si>
  <si>
    <t>pancreatitis</t>
  </si>
  <si>
    <t>pituitary adenoma</t>
  </si>
  <si>
    <t>endocrinopathies</t>
  </si>
  <si>
    <t>Porphyria acute intermittent, OMIM 176000</t>
  </si>
  <si>
    <t>hepatocellular carcinoma</t>
  </si>
  <si>
    <t>Porphyria cutanea tarda, OMIM 176100</t>
  </si>
  <si>
    <t>Prostate cancer susceptibility, OMIM 610997</t>
  </si>
  <si>
    <t>prostate</t>
  </si>
  <si>
    <t>diabetes</t>
  </si>
  <si>
    <t>Maturity onset diabetes of the young, OMIM 600496</t>
  </si>
  <si>
    <t>neutropenia</t>
  </si>
  <si>
    <t>Severe congenital neutropenia, OMIM 202700</t>
  </si>
  <si>
    <t>Weaver syndrome, OMIM 277590</t>
  </si>
  <si>
    <t>Wilms tumor, OMIM 194070</t>
  </si>
  <si>
    <t>Wilms tumors</t>
  </si>
  <si>
    <t>retinoblastoma</t>
  </si>
  <si>
    <t>Alpha1 antitrypsin defiency, OMIM 613490</t>
  </si>
  <si>
    <t>Cartilage-hair hypoplasia syndrome, OMIM 250250</t>
  </si>
  <si>
    <t>Citrullinaemia, OMIM 215700</t>
  </si>
  <si>
    <t>Gauchers type 1, OMIM 230800</t>
  </si>
  <si>
    <t>HyperIgE syndrome, OMIM 243700</t>
  </si>
  <si>
    <t>Hemophagocytic lymphohistiocytosis, OMIM 603553</t>
  </si>
  <si>
    <t>Lymphoproliferative syndrome X-linked, OMIM 308240</t>
  </si>
  <si>
    <t>Lymphoproliferative syndrome, OMIM 613011</t>
  </si>
  <si>
    <t>Mosaic variegated aneuploidy syndrome, OMIM 257300</t>
  </si>
  <si>
    <t>Mosaic variegated aneuploidy syndrome, OMIM 614114</t>
  </si>
  <si>
    <t xml:space="preserve">Mulibrey nanism, OMIM 253250 </t>
  </si>
  <si>
    <t>Perlman syndrome, OMIM 267000</t>
  </si>
  <si>
    <t>Progressive familial intrahepatic cholestasis, OMIM 601847</t>
  </si>
  <si>
    <t>Rothmund-Thomson syndrome, OMIM 268400</t>
  </si>
  <si>
    <t>Shwachman-Diamond syndrome, OMIM 260400</t>
  </si>
  <si>
    <t>Simpson-Golabi-Behmel syndrome, OMIM 312870</t>
  </si>
  <si>
    <t>Tyrosinemia, OMIM 276700</t>
  </si>
  <si>
    <t>Werner syndrome, OMIM 277700</t>
  </si>
  <si>
    <t>Wiskott-Aldrich syndrome, OMIM 301000</t>
  </si>
  <si>
    <t>Multiple self-healing squamous epithelioma, OMIM 132800</t>
  </si>
  <si>
    <t>skin cancers</t>
  </si>
  <si>
    <t>Familial aortic aneurysm, OMIM 611788</t>
  </si>
  <si>
    <t>Cardiomyopathy, dilated/hypertrophic, OMIM 613424/612098</t>
  </si>
  <si>
    <t>Ehlers-Danlos synrome, OMIM 130000</t>
  </si>
  <si>
    <t>Arrhythmogenic right ventricular dysplasia, OMIM 610476</t>
  </si>
  <si>
    <t>Arrhythmogenic right ventricular dysplasia, OMIM 610193</t>
  </si>
  <si>
    <t>Cardiomyopathy, dilated, OMIM 615821</t>
  </si>
  <si>
    <t>woolly hair, palmoplantar keratoderma, tooth agenesis</t>
  </si>
  <si>
    <t>skin hyperextensibility, articular hypermobility, tissue fragility</t>
  </si>
  <si>
    <t>Marfan syndrome, OMIM 154700</t>
  </si>
  <si>
    <t>skeletal, ocular and cardiac defects</t>
  </si>
  <si>
    <t>Fabry disease, OMIM 301500</t>
  </si>
  <si>
    <t>AD/XLR</t>
  </si>
  <si>
    <t>variable</t>
  </si>
  <si>
    <t>Hypertrophic or dilated cardiomyopathy, OMIM 301500</t>
  </si>
  <si>
    <t>Long QT syndrome, OMIM 192500</t>
  </si>
  <si>
    <t>Long QT syndrome, OMIM 613688</t>
  </si>
  <si>
    <t>Familial hypercholesterolemia, OMIM 143890</t>
  </si>
  <si>
    <t>Homozygous familial hypercholesterolemia</t>
  </si>
  <si>
    <t>Muscular dystrophy, OMIM 613205</t>
  </si>
  <si>
    <t>muscular dystrophy</t>
  </si>
  <si>
    <t>Familial aortic aneurysm, OMIM 132900</t>
  </si>
  <si>
    <t>patent ductus arteriosus</t>
  </si>
  <si>
    <t>Cardiomyopathy, hypertrophic, OMIM 192600</t>
  </si>
  <si>
    <t>Cardiomyopathy, hypertrophic, OMIM 608758</t>
  </si>
  <si>
    <t>Cardiomyopathy, hypertrophic, OMIM 613690</t>
  </si>
  <si>
    <t>Cardiomyopathy, hypertrophic, OMIM 115195</t>
  </si>
  <si>
    <t>Cardiomyopathy, hypertrophic, OMIM 115196</t>
  </si>
  <si>
    <t>Familial hypercholesterolemia, OMIM 603776</t>
  </si>
  <si>
    <t>Cardiomyopathy, hypertrophic</t>
  </si>
  <si>
    <t>Familial aortic aneurysm, OMIM 613780</t>
  </si>
  <si>
    <t>Cardiomyopathy, hypertrophic, OMIM 600858; Wolff-Parkinson White syndrome, OMIM 194200</t>
  </si>
  <si>
    <t>Malignant hyperthermia, OMIM 145600</t>
  </si>
  <si>
    <t>Catecholaminergic polymorphic ventricular tachycardia, OMIM 604772</t>
  </si>
  <si>
    <t>Loeys-Dietz syndrome, type 3, OMIM 613795</t>
  </si>
  <si>
    <t>Loeys-Dietz syndrome, type 2, OMIM 610168</t>
  </si>
  <si>
    <t>Arrhythmogenic right ventricular dysplasia, OMIM 604400</t>
  </si>
  <si>
    <t>rhabdoid tumors</t>
  </si>
  <si>
    <t>lymphoid malignancies</t>
  </si>
  <si>
    <t>oropharyngeal cancer</t>
  </si>
  <si>
    <t>juvenile myelomonocytic leukemia</t>
  </si>
  <si>
    <t>pleuropulmonary blastoma, others</t>
  </si>
  <si>
    <t>chondrosarcoma</t>
  </si>
  <si>
    <t>myelodysplasia</t>
  </si>
  <si>
    <t>rhabdomyosarcoma</t>
  </si>
  <si>
    <t>osteosarcoma, malignant fibrous histiocytoma</t>
  </si>
  <si>
    <t>meningiomas, acoustic neuromas</t>
  </si>
  <si>
    <t>esophageal cancer</t>
  </si>
  <si>
    <t>Non-malignant pathognomic syndromic features?</t>
  </si>
  <si>
    <t>telangiectasias</t>
  </si>
  <si>
    <t>tooth agenesis</t>
  </si>
  <si>
    <t>multiple developmental anomalies</t>
  </si>
  <si>
    <t>hyperparathyroidism</t>
  </si>
  <si>
    <t>multiple dermatological findings</t>
  </si>
  <si>
    <t>cystic nephroma</t>
  </si>
  <si>
    <t>multiple exostoses</t>
  </si>
  <si>
    <t>overgrowth, developmental delay</t>
  </si>
  <si>
    <t>hepatosplenomegaly, autoimmune cytopenias</t>
  </si>
  <si>
    <t>lymphedema</t>
  </si>
  <si>
    <t>congenital deafness</t>
  </si>
  <si>
    <t>porphyria</t>
  </si>
  <si>
    <t>congenital anomalies</t>
  </si>
  <si>
    <t>bone dysplasias</t>
  </si>
  <si>
    <t>less periphral findings vs NF1</t>
  </si>
  <si>
    <t>central hypoventilation syndrome</t>
  </si>
  <si>
    <t>short stature, facial dysmorphism, heart defects</t>
  </si>
  <si>
    <t>eczema, dental abnormalities, hyperextensability of joints, bone fractures</t>
  </si>
  <si>
    <t>bone marrow failure, pulmonary/liver fibrosis</t>
  </si>
  <si>
    <t>pitted scars</t>
  </si>
  <si>
    <t>multiple syndromes (WAGR, Densy-Drash, Frasier, Meacham, Nephrotic)</t>
  </si>
  <si>
    <t>sarcoma, ACC, brain, breast</t>
  </si>
  <si>
    <t>colon, pancreas, ovarian sex cord stromal, breast</t>
  </si>
  <si>
    <t>malignant peripheral nerve sheath tumors, brain, breast</t>
  </si>
  <si>
    <t>thyroid, endometrial, breast</t>
  </si>
  <si>
    <t>ovary, breast</t>
  </si>
  <si>
    <t>ovary, pancreatic, prostate, breast</t>
  </si>
  <si>
    <t>pancreatic, breast</t>
  </si>
  <si>
    <t>Unknown</t>
  </si>
  <si>
    <t>uveal melanoma, melanoma, mesothelioma, lung cancer, meningioma, renal cell carcinoma, ?breast</t>
  </si>
  <si>
    <t>LOF known mech of disease (for PVS1)</t>
  </si>
  <si>
    <t>Mode of inheritance (for PM3/BP2)</t>
  </si>
  <si>
    <t xml:space="preserve">Missense pathogenic (1=yes, 0=no, X=unable) for PP2/BP1 </t>
  </si>
  <si>
    <t>Genes with proposed risk of breast cancer</t>
  </si>
  <si>
    <t>Autosomal recessive cancer syndrome genes</t>
  </si>
  <si>
    <t>Major Malignant tumors associated with heterozgyous mutations</t>
  </si>
  <si>
    <t>polyposis, desmoid tumors</t>
  </si>
  <si>
    <t>hamartomatous polyps</t>
  </si>
  <si>
    <t>hair follicle hamartomas, spontaneous pneumothorax</t>
  </si>
  <si>
    <t>parathyroid adenomas</t>
  </si>
  <si>
    <t>pigmented skin lesions</t>
  </si>
  <si>
    <t>hamartomas in multiple organ systems</t>
  </si>
  <si>
    <t>hemangioblastomas</t>
  </si>
  <si>
    <t>skin blistering</t>
  </si>
  <si>
    <t>Reported in Rahman 2014 CPGs?</t>
  </si>
  <si>
    <t>no</t>
  </si>
  <si>
    <t xml:space="preserve">Method of determination </t>
  </si>
  <si>
    <t>Rule</t>
  </si>
  <si>
    <t>Criteria</t>
  </si>
  <si>
    <t xml:space="preserve">If A, B, C = true, PVS1=1
If any A, B, C = false, PVS1=0
</t>
  </si>
  <si>
    <t xml:space="preserve">If A=true, PM4=1, BP3=0
If A=false, PM4=0, BP3=1
</t>
  </si>
  <si>
    <t>A=Variant is not in repeat region</t>
  </si>
  <si>
    <t>A=Nonsense, frameshift or splicing (-2/-1/+1/+2) variant, B=LOF mechanism of disease for the gene, C=Variant not in last exon</t>
  </si>
  <si>
    <t>1. Variant annotation</t>
  </si>
  <si>
    <t>A=Variant found in functionally relevant domain</t>
  </si>
  <si>
    <t>If A=true, PM1=1</t>
  </si>
  <si>
    <t>A=Same amino acid change but different nucleotide change as known pathogenic mutation</t>
  </si>
  <si>
    <t>If A=true, PS1=1</t>
  </si>
  <si>
    <t>A=Same amino acid position but different amino acid change as known pathogenic mutation</t>
  </si>
  <si>
    <t>If A=true, PM5=1</t>
  </si>
  <si>
    <t>A=Variant call in Clinvar</t>
  </si>
  <si>
    <t>A=Population frequency max</t>
  </si>
  <si>
    <t>A=dataset frequency max</t>
  </si>
  <si>
    <t>LSDBs with a 5-class variant call, curated disease associations or prior probability score</t>
  </si>
  <si>
    <t>http://chromium.lovd.nl/LOVD2/SDH/home.php?select_db=FH</t>
  </si>
  <si>
    <t>http://davinci.crg.es/deafness/</t>
  </si>
  <si>
    <t>http://insight-group.org/variants/database/</t>
  </si>
  <si>
    <t>http://medgen.ua.ac.be/LOVDv.2.0/home.php?select_db=EXT1</t>
  </si>
  <si>
    <t>http://telomerase.asu.edu/diseases.html#dkc1</t>
  </si>
  <si>
    <t>http://telomerase.asu.edu/diseases.html#tert</t>
  </si>
  <si>
    <t>http://triad.fsm.it/cardmoc/</t>
  </si>
  <si>
    <t>http://www.arup.utah.edu/database/MEN2/MEN2_display.php</t>
  </si>
  <si>
    <t>http://www.arup.utah.edu/database/SMAD4/SMAD4_display.php</t>
  </si>
  <si>
    <t>http://www.arvcdatabase.info/</t>
  </si>
  <si>
    <t>http://www.arvcdatabase.info/Default.aspx</t>
  </si>
  <si>
    <t>http://www.col7.info/</t>
  </si>
  <si>
    <t>http://www.pathology.washington.edu/research/werner/database/</t>
  </si>
  <si>
    <t>http://www.umd.be/APC/</t>
  </si>
  <si>
    <t>https://aip.fipapatients.org/index.php/login</t>
  </si>
  <si>
    <t>Reference</t>
  </si>
  <si>
    <t>Result</t>
  </si>
  <si>
    <t>p.Asn591Ser/c.1772A&gt;G</t>
  </si>
  <si>
    <t>Ho (2010) Pharmacogenet Genomics 20: 45 PubMed: 20010382; Lam (2007) Am J Physiol Cell Physiol 293: C1709 PubMed: 17855769</t>
  </si>
  <si>
    <t>decreased bile transport activity</t>
  </si>
  <si>
    <t>p.Ala299Val/c.896C&gt;T</t>
  </si>
  <si>
    <t>Igreja (2010) Hum Mutat 31: 950 PubMed: 20506337</t>
  </si>
  <si>
    <t>functional/WT activity</t>
  </si>
  <si>
    <t>p.Arg304Gln/c.911G&gt;A</t>
  </si>
  <si>
    <t>p.Glu1317Gln/c.3949G&gt;C</t>
  </si>
  <si>
    <t>p.Ile1307Lys/c.3920T&gt;A</t>
  </si>
  <si>
    <t>Benn (2005) J Biol Chem 280: 21052 PubMed: 15797858</t>
  </si>
  <si>
    <t>Ilmonen (1995) Arterioscler Thromb Vasc Biol 15: 1287 PubMed: 7670940</t>
  </si>
  <si>
    <t>Pullinger (1996) Hum Genet 98: 678 PubMed: 8931699</t>
  </si>
  <si>
    <t>p.Arg3047*/c.9139C&gt;T</t>
  </si>
  <si>
    <t>Barone (2009) Hum Mutat 30: 1222 PubMed: 19431188</t>
  </si>
  <si>
    <t>p.Asp1853Val/c.5558A&gt;T</t>
  </si>
  <si>
    <t>Navrkalova (2013) Haematologica 98: 1124 PubMed: 23585524</t>
  </si>
  <si>
    <t>p.Leu1420Phe/c.4258C&gt;T</t>
  </si>
  <si>
    <t>p.Leu1465Pro/c.4394T&gt;C</t>
  </si>
  <si>
    <t>p.Phe858Leu/c.2572T&gt;C</t>
  </si>
  <si>
    <t>p.Pro1054Arg/c.3161C&gt;G</t>
  </si>
  <si>
    <t>p.Ser49Cys/c.146C&gt;G</t>
  </si>
  <si>
    <t>c.181T&gt;G_p.Cys61Gly</t>
  </si>
  <si>
    <t>Bouwman (2013) Cancer Discov 3: 1142 PubMed: 23867111</t>
  </si>
  <si>
    <t>c.2477C&gt;A_p.Thr826Lys</t>
  </si>
  <si>
    <t>c.4535G&gt;T_p.Ser1512Ile</t>
  </si>
  <si>
    <t>Caligo (2009) Hum Mutat 30: 123 PubMed: 18680205</t>
  </si>
  <si>
    <t>c.4600G&gt;A_p.Val1534Met</t>
  </si>
  <si>
    <t>c.4956G&gt;A_p.Met1652Ile</t>
  </si>
  <si>
    <t>functional</t>
  </si>
  <si>
    <t>c.5005G&gt;T_p.Ala1669Ser</t>
  </si>
  <si>
    <t>Vallon-Christersson (2001) Hum Mol Genet 10: 353 PubMed: 11157798</t>
  </si>
  <si>
    <t>c.5062_5064delGTT_p.Val1688del</t>
  </si>
  <si>
    <t>c.736T&gt;G_p.Leu246Val</t>
  </si>
  <si>
    <t>c.3515C&gt;T_p.Ser1172Leu</t>
  </si>
  <si>
    <t>Becker (2012) Breast Cancer Res Treat 135: 167 PubMed: 22729890</t>
  </si>
  <si>
    <t>c.7469T&gt;C_p.Ile2490Thr</t>
  </si>
  <si>
    <t>Biswas (2011) Blood 118: 2430 PubMed: 21719596</t>
  </si>
  <si>
    <t>c.8350C&gt;T_p.Arg2784Trp</t>
  </si>
  <si>
    <t>Guidugli (2013) Cancer Res 73: 265 PubMed: 23108138</t>
  </si>
  <si>
    <t>Homology-directed DNA break repair assay: &gt;99% probability of pathogenicity</t>
  </si>
  <si>
    <t>c.8567A&gt;C_p.Glu2856Ala</t>
  </si>
  <si>
    <t>Homology-directed DNA break repair assay: &gt;99% probability of neutrality</t>
  </si>
  <si>
    <t>c.8851G&gt;A_p.Ala2951Thr</t>
  </si>
  <si>
    <t>c.9038C&gt;T_p.Thr3013Ile</t>
  </si>
  <si>
    <t>c.978C&gt;A_p.Ser326Arg</t>
  </si>
  <si>
    <t>p.Thr1354Ser/c.4060A&gt;T</t>
  </si>
  <si>
    <t>Pirone (2010) Am J Physiol Cell Physiol 299: C1345 PubMed: 20861472</t>
  </si>
  <si>
    <t>p.Ala298Thr/c.892G&gt;A</t>
  </si>
  <si>
    <t>Mateus (2009) Exp Cell Res 315: 1393 PubMed: 19268661</t>
  </si>
  <si>
    <t>p.Arg180Cys/c.538C&gt;T</t>
  </si>
  <si>
    <t>Roeb (2012) Hum Mol Genet 21: 2738 PubMed: 22419737</t>
  </si>
  <si>
    <t>p.Gly167Arg/c.499G&gt;A</t>
  </si>
  <si>
    <t>p.Ile157Thr/c.470T&gt;C</t>
  </si>
  <si>
    <t>p.Ile160Met/c.480A&gt;G</t>
  </si>
  <si>
    <t>p.Ser428Phe/c.1283C&gt;T</t>
  </si>
  <si>
    <t>p.Val30Met/c.88G&gt;A</t>
  </si>
  <si>
    <t>Yang (2006) Circ Res 99: 646 PubMed: 16917092</t>
  </si>
  <si>
    <t>Unable to localize to cell membrane and to bind and coimmunoprecipitate JUP</t>
  </si>
  <si>
    <t>p.Arg341Trp/c.1021C&gt;T</t>
  </si>
  <si>
    <t>Bergeron (2001) J Biol Chem 276: 15225 PubMed: 11278491</t>
  </si>
  <si>
    <t>p.Asp195Val/c.584A&gt;T</t>
  </si>
  <si>
    <t>Lo ten Foe (1996) Hum Genet 98: 522 PubMed: 8882868</t>
  </si>
  <si>
    <t>Ali (2009) Hum Mutat 30: E761 PubMed: 19405097</t>
  </si>
  <si>
    <t>non-functional</t>
  </si>
  <si>
    <t>p.Glu194Lys/c.580G&gt;A</t>
  </si>
  <si>
    <t>Boggio (2013) Pediatrics 132: e1052 PubMed: 24043286</t>
  </si>
  <si>
    <t>p.Asp303Asn/c.907G&gt;A</t>
  </si>
  <si>
    <t>Guda (2009) Proc Natl Acad Sci U S A 106: 12921 PubMed: 19617566</t>
  </si>
  <si>
    <t>p.Asn409Ser/c.1226A&gt;G</t>
  </si>
  <si>
    <t>Bendikov-Bar (2012) Hum Mutat 33: 1398 PubMed: 22623374</t>
  </si>
  <si>
    <t>p.Glu365Lys/c.1093G&gt;A</t>
  </si>
  <si>
    <t>p.Leu483Pro/c.1448T&gt;C</t>
  </si>
  <si>
    <t>p.Thr408Met/c.1223C&gt;T</t>
  </si>
  <si>
    <t>Walker (2003) Clin Genet 63: 237 PubMed: 12694238</t>
  </si>
  <si>
    <t>p.Arg127His/c.380G&gt;A</t>
  </si>
  <si>
    <t>D'Andrea (2002) Biochem Biophys Res Commun 296: 685 PubMed: 12176036</t>
  </si>
  <si>
    <t>p.Glu114Gly/c.341A&gt;G</t>
  </si>
  <si>
    <t>Choung (2002) Laryngoscope 112: 1667 PubMed: 12352684</t>
  </si>
  <si>
    <t>p.Leu90Pro/c.269T&gt;C</t>
  </si>
  <si>
    <t>p.Met34Thr/c.101T&gt;C</t>
  </si>
  <si>
    <t>p.Val153Ile/c.457G&gt;A</t>
  </si>
  <si>
    <t>Me?e (2004) Hum Genet 115: 191 PubMed: 15241677</t>
  </si>
  <si>
    <t>Unable to form functional channels</t>
  </si>
  <si>
    <t>p.Val37Ile/c.109G&gt;A</t>
  </si>
  <si>
    <t>Bruzzone (2003) FEBS Lett 533: 79 PubMed: 12505163</t>
  </si>
  <si>
    <t>p.Glu277Lys/c.829G&gt;A</t>
  </si>
  <si>
    <t>Silva (2012) Br J Haematol 158: 399 PubMed: 22624560</t>
  </si>
  <si>
    <t>p.Glu86Val/c.257A&gt;T</t>
  </si>
  <si>
    <t>Floderus (2002) Clin Genet 62: 288 PubMed: 12372055</t>
  </si>
  <si>
    <t>p.Gly84Glu/c.251G&gt;A</t>
  </si>
  <si>
    <t>p.Arg1047Leu/c.3140G&gt;T</t>
  </si>
  <si>
    <t>Anson (2004) Am J Physiol Heart Circ Physiol 286: H2434 PubMed: 14975928</t>
  </si>
  <si>
    <t>p.Arg148Trp/c.442C&gt;T</t>
  </si>
  <si>
    <t>Mechakra (2014) Gene 536: 348 PubMed: 24334129</t>
  </si>
  <si>
    <t>p.Arg397Gln/c.1190G&gt;A</t>
  </si>
  <si>
    <t>Xiong (2015) J Am Heart Assoc 4: PubMed: 25616976</t>
  </si>
  <si>
    <t>p.Lys393Asn/c.1179G&gt;T</t>
  </si>
  <si>
    <t>Shamgar (2006) Circ Res 98: 1055 PubMed: 16556865</t>
  </si>
  <si>
    <t>p.Pro448Arg/c.1343C&gt;G</t>
  </si>
  <si>
    <t>Sharma (2004) J Mol Cell Cardiol 37: 79 PubMed: 15242738</t>
  </si>
  <si>
    <t>p.Arg988Cys/c.2962C&gt;T</t>
  </si>
  <si>
    <t>Ma (2003) Cancer Res 63: 6272 PubMed: 14559814, Tyner (2010) Cancer Res 70: 6233 PubMed: 20670955</t>
  </si>
  <si>
    <t>p.Thr1010Ile/c.3029C&gt;T</t>
  </si>
  <si>
    <t>Ma (2003) Cancer Res 63: 6272 PubMed: 14559814</t>
  </si>
  <si>
    <t>p.Glu318Lys/c.952G&gt;A</t>
  </si>
  <si>
    <t>Yokoyama (2011) Nature 480: 99 PubMed: 22080950</t>
  </si>
  <si>
    <t>p.Ala441Thr/c.1321G&gt;A</t>
  </si>
  <si>
    <t>Yeast MMR activity 76% WT</t>
  </si>
  <si>
    <t>p.Ile655Val/c.1963A&gt;G</t>
  </si>
  <si>
    <t>Takahashi (2007) Cancer Res 67: 4595 PubMed: 17510388</t>
  </si>
  <si>
    <t>Yeast MMR activity 71% WT</t>
  </si>
  <si>
    <t>p.Lys618Thr/c.1853A&gt;C</t>
  </si>
  <si>
    <t>Takahashi (2007) Cancer Res 67: 4595 PubMed: 17510387</t>
  </si>
  <si>
    <t>Yeast MMR activity 49% WT</t>
  </si>
  <si>
    <t>p.Val213Met/c.637G&gt;A</t>
  </si>
  <si>
    <t>Takahashi (2007) Cancer Res 67: 4595 PubMed: 17510385</t>
  </si>
  <si>
    <t>Yeast MMR activity 85% WT</t>
  </si>
  <si>
    <t>p.Gly322Asp/c.965G&gt;A</t>
  </si>
  <si>
    <t>Ollila (2008) Hum Mutat 29: 1355 PubMed: 18951462</t>
  </si>
  <si>
    <t>MMR proficient</t>
  </si>
  <si>
    <t>p.Leu396Val/c.1186C&gt;G</t>
  </si>
  <si>
    <t>Drost (2012) Hum Mutat 33: 488 PubMed: 22102614</t>
  </si>
  <si>
    <t>p.Val878Ala/c.2633T&gt;C</t>
  </si>
  <si>
    <t>Goto (2010) Hum Mutat 31: E1861 PubMed: 20848659</t>
  </si>
  <si>
    <t>103% glycosylase activity of wildtype</t>
  </si>
  <si>
    <t>p.Gly396Asp/c.1187G&gt;A</t>
  </si>
  <si>
    <t>15.2% glycosylase activity of wildtype</t>
  </si>
  <si>
    <t>66.9% glycosylase activity of wildtype</t>
  </si>
  <si>
    <t>p.Pro405Leu/c.1214C&gt;T</t>
  </si>
  <si>
    <t>extremely severely defective</t>
  </si>
  <si>
    <t>p.Tyr179Cys/c.536A&gt;G</t>
  </si>
  <si>
    <t xml:space="preserve"> 4.5% glycosylase activity of wildtype</t>
  </si>
  <si>
    <t>Kuang (2012) Circ Res 110: 1411 PubMed: 22511748</t>
  </si>
  <si>
    <t>p.Asn1327Lys/c.3981C&gt;A</t>
  </si>
  <si>
    <t>Wolny (2013) J Biol Chem 288: 31952 PubMed: 24047955</t>
  </si>
  <si>
    <t>reduced ability to incorporate into sarcomeres</t>
  </si>
  <si>
    <t>p.Ala13Thr/c.37G&gt;A</t>
  </si>
  <si>
    <t>Szczesna (2001) J Biol Chem 276: 7086 PubMed: 11102452</t>
  </si>
  <si>
    <t>p.Ala57Gly/c.170C&gt;G</t>
  </si>
  <si>
    <t>p.Arg215Trp/c.643C&gt;T</t>
  </si>
  <si>
    <t>p.Ile171Val/c.511A&gt;G</t>
  </si>
  <si>
    <t>Zhang (2012) Asian Pac J Cancer Prev 13: 5375 PubMed: 23317186</t>
  </si>
  <si>
    <t>Case control, NOT A/w BC</t>
  </si>
  <si>
    <t>p.Arg46Leu/c.137G&gt;T</t>
  </si>
  <si>
    <t>Tsai (2015) J Clin Endocrinol Metab 100: E345 PubMed: 25412415</t>
  </si>
  <si>
    <t>p.Glu498Lys/c.1492G&gt;A</t>
  </si>
  <si>
    <t>Benjannet (2012) J Biol Chem 287: 33745 PubMed: 22875854</t>
  </si>
  <si>
    <t>not secreted but didn't test LDL-C levels</t>
  </si>
  <si>
    <t>p.Asp26Asn/c.76G&gt;A</t>
  </si>
  <si>
    <t>Cerrone (2014) Circulation 129: 1092 PubMed: 24352520</t>
  </si>
  <si>
    <t>p.Thr511Ala/c.1531A&gt;G</t>
  </si>
  <si>
    <t>Drost (2013) Hum Mutat 34: 1477 PubMed: 24027009</t>
  </si>
  <si>
    <t>p.Thr597Ser/c.1789A&gt;T</t>
  </si>
  <si>
    <t>Yuan (2002) Hum Mutat 19: 108 PubMed: 11793469</t>
  </si>
  <si>
    <t>defective protein-protein interactions with MLH1</t>
  </si>
  <si>
    <t>p.Met595Val/c.1783A&gt;G</t>
  </si>
  <si>
    <t>Di Lucca (2009) Eur J Cancer 45: 3228 PubMed: 19477635</t>
  </si>
  <si>
    <t>p.Ala91Val/c.272C&gt;T</t>
  </si>
  <si>
    <t>An (2013) Protein Sci 22: 823 PubMed: 23592409</t>
  </si>
  <si>
    <t>p.Asn252Ser/c.755A&gt;G</t>
  </si>
  <si>
    <t>Voskoboinik (2005) Blood 105: 4700 PubMed: 15755897</t>
  </si>
  <si>
    <t>p.Gly100Ser/c.298G&gt;A</t>
  </si>
  <si>
    <t>Zhang (2013) J Cardiol 62: 241 PubMed: 23778007</t>
  </si>
  <si>
    <t>PRKAG2-mediated activity of AMPK was attenuated, resulting in glycogen metabolism dysregulation</t>
  </si>
  <si>
    <t>Ishida (2007) Biol Pharm Bull 30: 1374 PubMed: 17666788</t>
  </si>
  <si>
    <t>p.Ala126Thr/c.376G&gt;A</t>
  </si>
  <si>
    <t>Meindl (2010) Nat Genet 42: 410 PubMed: 20400964</t>
  </si>
  <si>
    <t>corrected the mitomycin C (MMC) hypersensitivity of Rad51c mutant DT40 cells</t>
  </si>
  <si>
    <t>p.Gly264Ser/c.790G&gt;A</t>
  </si>
  <si>
    <t>only partially restored the MMC sensitivity</t>
  </si>
  <si>
    <t>p.Thr287Ala/c.859A&gt;G</t>
  </si>
  <si>
    <t>p.Val169Ala/c.506T&gt;C</t>
  </si>
  <si>
    <t>Nadkarni (2009) Pharmacogenet Genomics 19: 153 PubMed: 19033885</t>
  </si>
  <si>
    <t>p.Arg982Cys/c.2944C&gt;T</t>
  </si>
  <si>
    <t>Pasini (1995) Nat Genet 10: 35 PubMed: 7647787</t>
  </si>
  <si>
    <t>p.Gly533Ser/c.1597G&gt;A</t>
  </si>
  <si>
    <t>Oliveira (2011) Thyroid 21: 975 PubMed: 21834681</t>
  </si>
  <si>
    <t>p.Leu56Met/c.166C&gt;A</t>
  </si>
  <si>
    <t>Kjaer (2010) Nat Struct Mol Biol 17: 726 PubMed: 20473317</t>
  </si>
  <si>
    <t>p.Tyr791Phe/c.2372A&gt;T</t>
  </si>
  <si>
    <t>Cosci (2011) Endocr Relat Cancer 18: 603 PubMed: 21810974; Hyndman (2013) Hum Mutat 34: 132 PubMed: 22837065</t>
  </si>
  <si>
    <t>p.Asn2342Ser/c.7025A&gt;G</t>
  </si>
  <si>
    <t>Zullo (2009) Hum Mutat 30: E575 PubMed: 19191333</t>
  </si>
  <si>
    <t>mild increase in acidification rate</t>
  </si>
  <si>
    <t>p.Asp4505His/c.13513G&gt;C</t>
  </si>
  <si>
    <t>Groom (2011) Anesthesiology 115: 938 PubMed: 21918424</t>
  </si>
  <si>
    <t>p.Gly1885Glu/c.5648G&gt;A</t>
  </si>
  <si>
    <t>Koop (2008) Biophys J 94: 4668 PubMed: 18326664</t>
  </si>
  <si>
    <t>c.258+2T&gt;C</t>
  </si>
  <si>
    <t>Orelio (2011) PLoS One 6: e20727 PubMed: 21695142</t>
  </si>
  <si>
    <t>p.Arg1193Gln/c.3578G&gt;A</t>
  </si>
  <si>
    <t>Wang (2004) J Med Genet 41: e66 PubMed: 15121794</t>
  </si>
  <si>
    <t>p.Arg965His/c.2894G&gt;A</t>
  </si>
  <si>
    <t>Hoshi (2014) Circ Cardiovasc Genet 7: 123 PubMed: 24573164</t>
  </si>
  <si>
    <t xml:space="preserve">produced a reduction in sodium current density on coexpression with WT </t>
  </si>
  <si>
    <t>p.Gly615Glu/c.1844G&gt;A</t>
  </si>
  <si>
    <t>robust currents, similar in magnitude to those observed with the WT SCN5A</t>
  </si>
  <si>
    <t>p.Phe1596Ile/c.4786T&gt;A</t>
  </si>
  <si>
    <t>Olesen (2011) Cardiovasc Res 89: 786 PubMed: 21051419</t>
  </si>
  <si>
    <t>No changes in activation/inactivation parameters or in peak current density</t>
  </si>
  <si>
    <t>p.Pro2006Ala/c.6016C&gt;G</t>
  </si>
  <si>
    <t>Wang (2007) Circulation 115: 368 PubMed: 17210841</t>
  </si>
  <si>
    <t>increased persistent current only under conditions of internal acidosis</t>
  </si>
  <si>
    <t>p.Ser1787Asn/c.5360G&gt;A</t>
  </si>
  <si>
    <t>Hu (2015) PLoS One 10: e0124921 PubMed: 25923670</t>
  </si>
  <si>
    <t>biophysical phenotype for S1787N depends on both the SCN5A splice variant and on the intracellular pH</t>
  </si>
  <si>
    <t>p.Thr1304Met/c.3911C&gt;T</t>
  </si>
  <si>
    <t>Beyder (2014) Gastroenterology 146: 1659 PubMed: 24613995; Wang (2007) Circulation 115: 368 PubMed: 17210841</t>
  </si>
  <si>
    <t>p.Val1951Leu/c.5851G&gt;T</t>
  </si>
  <si>
    <t>Tan (2005) Heart Rhythm 2: 741 PubMed: 15992732</t>
  </si>
  <si>
    <t>p.Ala3Gly/c.8C&gt;G</t>
  </si>
  <si>
    <t>Ni (2008) Am J Hum Genet 83: 261 PubMed: 18678321</t>
  </si>
  <si>
    <t>p.Ser163Pro/c.487T&gt;C</t>
  </si>
  <si>
    <t>p.Met164Leu/c.490A&gt;T</t>
  </si>
  <si>
    <t>Panizza (2013) Hum Mol Genet 22: 804 PubMed: 23175444</t>
  </si>
  <si>
    <t>p.Gly12Ser/c.34G&gt;A</t>
  </si>
  <si>
    <t>p.Glu288Val/c.863A&gt;T</t>
  </si>
  <si>
    <t>Curiel (1989) J Biol Chem 264: 10477 PubMed: 2567291</t>
  </si>
  <si>
    <t>p.Glu366Lys/c.1096G&gt;A</t>
  </si>
  <si>
    <t>Lomas (1992) Nature 357:605 PubMed: 1608473</t>
  </si>
  <si>
    <t>p.Glu387Lys/c.1159G&gt;A</t>
  </si>
  <si>
    <t>Brennan (1986) Biochim Biophys Acta 873: 13 PubMed: 3527273</t>
  </si>
  <si>
    <t>p.Arg1550Trp/c.4648C&gt;T</t>
  </si>
  <si>
    <t>Shah (2013) PLoS One 8: e66961 PubMed: 23840564</t>
  </si>
  <si>
    <t>p.Pro655Leu/c.1964C&gt;T</t>
  </si>
  <si>
    <t>Smith (2013) Proc Natl Acad Sci U S A 110: 4574 PubMed: 23487764</t>
  </si>
  <si>
    <t>reduced ERK activation</t>
  </si>
  <si>
    <t>p.Ala1062Thr/c.3184G&gt;A</t>
  </si>
  <si>
    <t>Zaug (2013) Nucleic Acids Res 41: 8969 PubMed: 23901009</t>
  </si>
  <si>
    <t>WT telomerase activity</t>
  </si>
  <si>
    <t>p.His412Tyr/c.1234C&gt;T</t>
  </si>
  <si>
    <t>Yamaguchi (2005) N Engl J Med 352: 1413 PubMed: 15814878, Alder (2008) Proc Natl Acad Sci U S A 105: 13051 PubMed: 18753630,Du (2008) Blood 111: 1128 PubMed: 18042801; Zaug (2013) Nucleic Acids Res 41: 8969 PubMed: 23901009</t>
  </si>
  <si>
    <t>15-50% telomerase activity in vitro in Yamaguchi, Alder and Du; WT telomerase activity in Zaug</t>
  </si>
  <si>
    <t>p.X441Asp/c.1323*&gt;-AGG</t>
  </si>
  <si>
    <t>p.Arg175His/c.524G&gt;A</t>
  </si>
  <si>
    <t>Monti (2011) Mol Cancer Res 9: 271 PubMed: 21343334, Monti (2007) Clin Cancer Res 13: 3789 PubMed: 17606709, Scian (2004) Cancer Res 64: 7447 PubMed: 15492269</t>
  </si>
  <si>
    <t>mutliple show severe deficiency, dominant negative</t>
  </si>
  <si>
    <t>p.Arg248Gln/c.743G&gt;A</t>
  </si>
  <si>
    <t>Monti (2011) Mol Cancer Res 9: 271 PubMed: 21343334, Monti (2007) Clin Cancer Res 13: 3789 PubMed: 17606709</t>
  </si>
  <si>
    <t>p.Arg290His/c.869G&gt;A</t>
  </si>
  <si>
    <t>partial deficiency</t>
  </si>
  <si>
    <t>p.Cys176Ser/c.526T&gt;A</t>
  </si>
  <si>
    <t>from IARC website, yeast assay</t>
  </si>
  <si>
    <t>p.Gly334Arg/c.1000G&gt;C</t>
  </si>
  <si>
    <t>p.Lys587Arg/c.1760A&gt;G</t>
  </si>
  <si>
    <t>Hoogeveen-Westerveld (2011) Hum Mutat 32: 424 PubMed: 21309039</t>
  </si>
  <si>
    <t>p.Ser487Cys/c.1460C&gt;G</t>
  </si>
  <si>
    <t>p.Arg1795Cys/c.5383C&gt;T</t>
  </si>
  <si>
    <t>p.Arg367Gln/c.1100G&gt;A</t>
  </si>
  <si>
    <t>Hodges (2001) Hum Mol Genet 10: 2899 PubMed: 11741833; Hoogeveen-Westerveld (2011) Hum Mutat 32: 424 PubMed: 21309039</t>
  </si>
  <si>
    <t>p.Glu131Lys/c.391G&gt;A (E133K0</t>
  </si>
  <si>
    <t>Rajmohan (2009) FEMS Yeast Res 9: 1226 PubMed: 19817875</t>
  </si>
  <si>
    <t>p.Pro334His/c.1001C&gt;A</t>
  </si>
  <si>
    <t>Bernardes de Jesus (2008) Mol Cell Biol 28: 7225 PubMed: 18809580</t>
  </si>
  <si>
    <t>A=functional assay results</t>
  </si>
  <si>
    <t xml:space="preserve">If A=defective function, PS3=1, BS3=0
If A=wildtype or partial function, PS3=0, BS3=1
</t>
  </si>
  <si>
    <t>A=segregation</t>
  </si>
  <si>
    <t xml:space="preserve">If A=full segregation, PP1=1, BS4=0
If A=partial or no segregation, PP1=0, BS4=1
</t>
  </si>
  <si>
    <t>1. Only for cancer susceptibility genes, not used for incidental genes; 2. Manual segregation analysis if multiple family members available</t>
  </si>
  <si>
    <t>1. Determined number of known pathogenic missense and truncating variants in Clinvar (see Supplementary Table 3)</t>
  </si>
  <si>
    <t>A=case control results</t>
  </si>
  <si>
    <t>PM6=0, PS2=0 for all variants</t>
  </si>
  <si>
    <t>A=variant context</t>
  </si>
  <si>
    <t>If A=Trans to pathogenic variant, PM3=1</t>
  </si>
  <si>
    <t>Used only for AR conditions and if variants found on same read in IGV</t>
  </si>
  <si>
    <t>Familial Hypobetalipoproteinemia , OMIM 615558 (truncating variants)</t>
  </si>
  <si>
    <t>Familial hypercholesterolemia, OMIM 144010 (missense variants)</t>
  </si>
  <si>
    <t>S4 Voltage Sensor (exons 4,11,21,30)</t>
  </si>
  <si>
    <t xml:space="preserve">All Missense </t>
  </si>
  <si>
    <t>Helical (2479-2667), OB (2670-2799 and 3052-3190), Tower (2831-2872)</t>
  </si>
  <si>
    <t xml:space="preserve">FAT (2097-2488); Kinase (2714-2961)and </t>
  </si>
  <si>
    <t>BRCT (1658-1723; 1757-1842)</t>
  </si>
  <si>
    <t>BRCT (573-640)</t>
  </si>
  <si>
    <t>Helicase (23-405)</t>
  </si>
  <si>
    <t>Helicase (671-838, 908-984)</t>
  </si>
  <si>
    <t>tyrosine kinase (1117-1382)</t>
  </si>
  <si>
    <t>FAT (1773-2092), FATC (2613-2644), kinase (2323-2567)</t>
  </si>
  <si>
    <t>RING and linker (357-419)</t>
  </si>
  <si>
    <t xml:space="preserve">2820–3202 and 3243–3498 LDLR binding domain; esp R3500Q </t>
  </si>
  <si>
    <t>Arg-24</t>
  </si>
  <si>
    <t>C-terminal helical domain (BRCA1 interaction, 596-721)</t>
  </si>
  <si>
    <t>R550Q, R727C, R814H, L844F, Q921H, I909T, R931W, L1012P</t>
  </si>
  <si>
    <t>Kinase (9-256)</t>
  </si>
  <si>
    <t>FHA (113-175);  Kinase (220-486)</t>
  </si>
  <si>
    <t>[Gly-X-Y]343 triplets of the triple helical domain</t>
  </si>
  <si>
    <t>Exons 73-75</t>
  </si>
  <si>
    <t>Catalytic box (591-894)</t>
  </si>
  <si>
    <t>exon 3, 4, 10, 12, esp Ala-353</t>
  </si>
  <si>
    <t>SET (612-727)</t>
  </si>
  <si>
    <t>P261L (60% in US, 99% AJ)</t>
  </si>
  <si>
    <t>Throughout</t>
  </si>
  <si>
    <t>Exon 1, 14</t>
  </si>
  <si>
    <t>CD95 intracellular (exons 8-9)</t>
  </si>
  <si>
    <t>Creation or destruction of Cysteine; any change in EGF-like domain consensus (D/N)X(D/N)(E/Q)Xm(D/N)Xn(Y/F)</t>
  </si>
  <si>
    <t>None (no missense identified)</t>
  </si>
  <si>
    <t>Throughout (i.e I91T, R112H, F113L, A143P, N215S, M296I, R301Q, G328R)</t>
  </si>
  <si>
    <t>Duplication</t>
  </si>
  <si>
    <t>Throughout (common C282Y, H63D)</t>
  </si>
  <si>
    <t>Mutation</t>
  </si>
  <si>
    <t>Dataset carrier frequency</t>
  </si>
  <si>
    <t>p.His63Asp/c.187C&gt;G</t>
  </si>
  <si>
    <t>p.Cys282Tyr/c.845G&gt;A</t>
  </si>
  <si>
    <t>Published carrier frequency (EA)</t>
  </si>
  <si>
    <t>p.X12X/c.35*&gt;-G</t>
  </si>
  <si>
    <t>PMID: 10713883</t>
  </si>
  <si>
    <t>EXAC Het frequency</t>
  </si>
  <si>
    <t>dimerization (1-31); DNA-binding (199-279)</t>
  </si>
  <si>
    <t>Hotspot: G84E</t>
  </si>
  <si>
    <t>?Kinase (363-615)</t>
  </si>
  <si>
    <t>Throughout (N588K short QT hotspot)</t>
  </si>
  <si>
    <t>Kinase (589-937); (juxtamembrane)</t>
  </si>
  <si>
    <t>Throughout (common S127R, F216L, D374Y</t>
  </si>
  <si>
    <t>ligand-binding (25-313; epidermal growth factor precursor-like (314-393, 663-712); (20% in exon 4)</t>
  </si>
  <si>
    <t>Codon 12</t>
  </si>
  <si>
    <t>tyrosine kinase (exons 16-19 - V1110I, H1112R, H1112Y, M1149T, V1206L, V1238I, D1246N, Y1248C, Y1248D, M1268T)</t>
  </si>
  <si>
    <t>Throughout (common: R582W)</t>
  </si>
  <si>
    <t>Kinase (205-495)</t>
  </si>
  <si>
    <t>Kinase (244-544)</t>
  </si>
  <si>
    <t>C-terminal coiled coil (1935-1972)</t>
  </si>
  <si>
    <t>Exons 2 and 6</t>
  </si>
  <si>
    <t>Juxtamembrane (Exon 12); kinase (Exon 14 ie H687Y, exon 18 ie D842V, 593-954)</t>
  </si>
  <si>
    <t>In-frame triplet duplicaitons exon 3 Ala stretch (12bp-39bp)</t>
  </si>
  <si>
    <t>Kinase (712-979); hotspot T790M</t>
  </si>
  <si>
    <t>Helical (517-694); Kinase (797-1068), hotspot (E542, E545, Q546, D549, H1047)</t>
  </si>
  <si>
    <t>Hotspot N29I, R122H, otherwise throughout</t>
  </si>
  <si>
    <t>Phosphatase (14-185)</t>
  </si>
  <si>
    <t>Throughout (T42A, D61G, Y62D, Y63C, A72S, A72G, T73I, E76D, N79R, D106A, Y279C, N308D, T468M, M504V)</t>
  </si>
  <si>
    <t>Phosphoesterase (13-396), DNA binding (294-461, 654-708)</t>
  </si>
  <si>
    <t>BRCT (111-206, 227-334)</t>
  </si>
  <si>
    <t>ATPase (3-166, 1314-1297), Zinc hook (635-734)</t>
  </si>
  <si>
    <t>Exonuclease (304-517); CRC S478N</t>
  </si>
  <si>
    <t>Exonuclease (268–471); CRC  L424V</t>
  </si>
  <si>
    <t>Mutational hot spots: 35 to 614 (N-terminal region), 2117 to 2458 (central region), and 3916 to 4973 (C-terminal region)</t>
  </si>
  <si>
    <t>http://www.ncbi.nlm.nih.gov/books/NBK1146/table/mhs.T.ryr1_allelic_variants_discussed_in/?report=objectonly</t>
  </si>
  <si>
    <t>Runt domain (50–178)</t>
  </si>
  <si>
    <t>Kinase (234-525)</t>
  </si>
  <si>
    <t>Kinase (49-309)</t>
  </si>
  <si>
    <t>DNA binding domain (102-292, hotspots 175, 248, 273 and 282); tetramerization (325-355)</t>
  </si>
  <si>
    <t>exons 1, 2, and 7</t>
  </si>
  <si>
    <t>Throughout, kinase (724-1016)</t>
  </si>
  <si>
    <t>Unknown; Note: kinase inactive</t>
  </si>
  <si>
    <t>Hotspot E17K</t>
  </si>
  <si>
    <t>Throughout - (H90Y,  R97C,  E99K,  P164A,Y166C, A232V, A295S, M305L, A331P, R312H,  E361G, M123V)</t>
  </si>
  <si>
    <t>Rare/unlikely</t>
  </si>
  <si>
    <t>FKBP12.6 binding domain, calcium binding domain, transmembrane (4282-4302,4504-4524,4580-4600,4730-4750,4769-4789,4820-4829,4850-4870)</t>
  </si>
  <si>
    <t>Helicase (4889-662, 683-850)</t>
  </si>
  <si>
    <t>Promoter domain</t>
  </si>
  <si>
    <t>Unknown, except R585W, R589W</t>
  </si>
  <si>
    <t>Unknown; note: succinate dehydrogenase (57-159)</t>
  </si>
  <si>
    <t>Unknwon, but succinate dehydrogenase (30-169)</t>
  </si>
  <si>
    <t>Throughout exons 1-7, but succinate dehydrogenase (29-280)</t>
  </si>
  <si>
    <t>Unknown, except G78R</t>
  </si>
  <si>
    <t>ATPase/helicase (766-931, 1084-1246)</t>
  </si>
  <si>
    <t>Throughout, hotspot R361C</t>
  </si>
  <si>
    <t>destabilizing mutations; PH (444-548), helical linker, DH-REM domain interaction</t>
  </si>
  <si>
    <t>DNA binding (406-514), SH2 (580-670) inc (hotspot: R382, R423, V463, V637)</t>
  </si>
  <si>
    <t>Throughout, reverse transcriptase (605-935)</t>
  </si>
  <si>
    <t>C-terminus (GAP domain 1531-1758, ER/calmodulin binding)</t>
  </si>
  <si>
    <t>Throughout, but (hotspot Y98H, codon 167, L188V</t>
  </si>
  <si>
    <t xml:space="preserve"> exon 8 or 9</t>
  </si>
  <si>
    <t>PMID:12426287</t>
  </si>
  <si>
    <t>nd</t>
  </si>
  <si>
    <t>Hotspots E366K (aka E342K)), E288V (aka E264V) in 95% of cases</t>
  </si>
  <si>
    <t>Unknown  (?helicase 86-254, 437-612)</t>
  </si>
  <si>
    <t>Unknown (? 1-126 Holliday junction resolution, 79-136 RAD51B/RAD51D/XRCC3 interaction; 366-370 NLS)</t>
  </si>
  <si>
    <t>Exons 1-4 esp but throughout</t>
  </si>
  <si>
    <t>Rare (?helicase 58-724,749-899)</t>
  </si>
  <si>
    <t>Throughout, hotspot N409S, D448H, L483P, R535H</t>
  </si>
  <si>
    <t>Alpha1 antitrypsin defiency</t>
  </si>
  <si>
    <t>Gauchers type 1</t>
  </si>
  <si>
    <t>Shwachman-Diamond syndrome</t>
  </si>
  <si>
    <t>MYH associated Polyposis</t>
  </si>
  <si>
    <t>Autosomal recessive deafness</t>
  </si>
  <si>
    <t>Hemochromatosis</t>
  </si>
  <si>
    <t>PMID: 18197057 (AJ)</t>
  </si>
  <si>
    <t>~1-2% (together)</t>
  </si>
  <si>
    <t>GeneReviews</t>
  </si>
  <si>
    <t>Hot spot or critical/well-established functional domain for PM1</t>
  </si>
  <si>
    <t>p.Val444Ala/c.1331T&gt;C</t>
  </si>
  <si>
    <t>Condel</t>
  </si>
  <si>
    <t>p.Gln228Lys/c.682C&gt;A</t>
  </si>
  <si>
    <t>p.Gln307Arg/c.920A&gt;G</t>
  </si>
  <si>
    <t>p.Asp126Glu/c.378T&gt;A</t>
  </si>
  <si>
    <t>p.Pro868Leu/c.2603C&gt;T</t>
  </si>
  <si>
    <t>p.Pro871Leu/c.2612C&gt;T</t>
  </si>
  <si>
    <t>p.Gln356Arg/c.1067A&gt;G</t>
  </si>
  <si>
    <t>p.Asn372His/c.1114A&gt;C</t>
  </si>
  <si>
    <t>CGRBI0145</t>
  </si>
  <si>
    <t>p.Arg2791Trp/c.8371C&gt;T</t>
  </si>
  <si>
    <t>p.Asp312Asn/c.934G&gt;A</t>
  </si>
  <si>
    <t>p.Arg1236Cys/c.3706C&gt;T</t>
  </si>
  <si>
    <t>p.Thr297Ile/c.890C&gt;T</t>
  </si>
  <si>
    <t>p.Ser139Asn/c.416G&gt;A</t>
  </si>
  <si>
    <t>p.Val27Ile/c.79G&gt;A</t>
  </si>
  <si>
    <t>p.Lys897Thr/c.2690A&gt;C</t>
  </si>
  <si>
    <t>p.Met541Leu/c.1621A&gt;C</t>
  </si>
  <si>
    <t>p.Ile219Val/c.655A&gt;G</t>
  </si>
  <si>
    <t>p.Gln338His/c.1014G&gt;C</t>
  </si>
  <si>
    <t>p.Pro147Ser/c.439C&gt;T</t>
  </si>
  <si>
    <t>p.Glu185Gln/c.553G&gt;C</t>
  </si>
  <si>
    <t>p.Val474Ile/c.1420G&gt;A</t>
  </si>
  <si>
    <t>p.Gly670Glu/c.2009G&gt;A</t>
  </si>
  <si>
    <t>p.Arg20Gln/c.59G&gt;A</t>
  </si>
  <si>
    <t>p.Gly691Ser/c.2071G&gt;A</t>
  </si>
  <si>
    <t>p.Arg125His/c.374G&gt;A</t>
  </si>
  <si>
    <t>p.Pro72Arg/c.215C&gt;G</t>
  </si>
  <si>
    <t>p.Gly1035Ser/c.3103G&gt;A</t>
  </si>
  <si>
    <t>p.His732Tyr/c.2194C&gt;T</t>
  </si>
  <si>
    <t>p.Pro91Leu/c.272C&gt;T</t>
  </si>
  <si>
    <t>p.Ala357Val/c.1070C&gt;T</t>
  </si>
  <si>
    <t>p.Ala1141Val/c.3422C&gt;T</t>
  </si>
  <si>
    <t>p.Val114Ile/c.340G&gt;A</t>
  </si>
  <si>
    <t>p.Arg369*/c.1105C&gt;T</t>
  </si>
  <si>
    <t>p.Leu1074Phe/c.3222G&gt;T</t>
  </si>
  <si>
    <t>p.Cys1367Arg/c.4099T&gt;C</t>
  </si>
  <si>
    <t>p.Gln939Lys/c.2815C&gt;A</t>
  </si>
  <si>
    <t>p.Ala499Val/c.1496C&gt;T</t>
  </si>
  <si>
    <t>p.Arg492His/c.1475G&gt;A</t>
  </si>
  <si>
    <t>CADD</t>
  </si>
  <si>
    <t>RadialSVM</t>
  </si>
  <si>
    <t>LRT</t>
  </si>
  <si>
    <t>SIFT</t>
  </si>
  <si>
    <t>FATHMM</t>
  </si>
  <si>
    <t>PhyloP</t>
  </si>
  <si>
    <t>GERP++</t>
  </si>
  <si>
    <t>SiPhy</t>
  </si>
  <si>
    <t>Caller</t>
  </si>
  <si>
    <t># of B variants</t>
  </si>
  <si>
    <t># of D variants</t>
  </si>
  <si>
    <t>Min</t>
  </si>
  <si>
    <t>Max</t>
  </si>
  <si>
    <t>% of variants with a call that are B</t>
  </si>
  <si>
    <t>% of variants with a call that are D</t>
  </si>
  <si>
    <t>unclear</t>
  </si>
  <si>
    <t>MutationAssessor</t>
  </si>
  <si>
    <t>MutationTaster</t>
  </si>
  <si>
    <t>Multi</t>
  </si>
  <si>
    <t>Single</t>
  </si>
  <si>
    <t># of variants with no call</t>
  </si>
  <si>
    <t>% of Missense variants with a call</t>
  </si>
  <si>
    <t>CAROL</t>
  </si>
  <si>
    <t>Prediction provided?</t>
  </si>
  <si>
    <t>Polyphen2 HDIV</t>
  </si>
  <si>
    <t>0.05 (Lower=D)</t>
  </si>
  <si>
    <t>(-)1.5 (Lower=D)</t>
  </si>
  <si>
    <t>Derived Cutoff for 25% of variants "D"</t>
  </si>
  <si>
    <t>Genes with a well-established high relative risk of breast cancer</t>
  </si>
  <si>
    <t>Genes with a well-established moderate relative risk of breast cancer</t>
  </si>
  <si>
    <t>Autosomal domiant inherited genes associated with other cancers</t>
  </si>
  <si>
    <t>Autosomal dominant inherited genes associated with syndromes</t>
  </si>
  <si>
    <t>Miscellaneous cancer genes</t>
  </si>
  <si>
    <t>as above</t>
  </si>
  <si>
    <t>Disease</t>
  </si>
  <si>
    <t>Manual evaluation of all variants identified in single patien</t>
  </si>
  <si>
    <t xml:space="preserve">If A=alternative P/LP variant in same gene in patient, BP2=1
</t>
  </si>
  <si>
    <t>Proband other cancer</t>
  </si>
  <si>
    <t>CGR0009*, CGR0010</t>
  </si>
  <si>
    <t>BreastNOS-40</t>
  </si>
  <si>
    <t>CGR0171</t>
  </si>
  <si>
    <t>ER+Her2+ IDC-61</t>
  </si>
  <si>
    <t>Ovary-53</t>
  </si>
  <si>
    <t>ER+Her2- IDC-26</t>
  </si>
  <si>
    <t>Ovary-54</t>
  </si>
  <si>
    <t>CGR0079</t>
  </si>
  <si>
    <t>BreastNOS-44</t>
  </si>
  <si>
    <t>GynNOS</t>
  </si>
  <si>
    <t>2918*,3518</t>
  </si>
  <si>
    <t>DCIS-49</t>
  </si>
  <si>
    <t>Sarcoma, Ovary-Unk</t>
  </si>
  <si>
    <t>FCP672</t>
  </si>
  <si>
    <t>ER+Her2- IDC-65</t>
  </si>
  <si>
    <t>20114_32</t>
  </si>
  <si>
    <t>BreastNOS-52</t>
  </si>
  <si>
    <t>ER+Her2- IDC-35</t>
  </si>
  <si>
    <t>UCV82</t>
  </si>
  <si>
    <t>BreastNOS-45</t>
  </si>
  <si>
    <t>20131_266, 20131_275*, 20131_332</t>
  </si>
  <si>
    <t>BreastNOS-39</t>
  </si>
  <si>
    <t>BreastNOS-38</t>
  </si>
  <si>
    <t>4716*,4897</t>
  </si>
  <si>
    <t>ER-Her2+ IDC-32</t>
  </si>
  <si>
    <t>ER+Her2- IDC-40</t>
  </si>
  <si>
    <t>Giant cell tumor</t>
  </si>
  <si>
    <t>ER+Her2- IDC-29</t>
  </si>
  <si>
    <t>ER+Her2- IDC-44</t>
  </si>
  <si>
    <t>CGR0075*, CGR0076</t>
  </si>
  <si>
    <t>BreastNOS-51</t>
  </si>
  <si>
    <t>CGR0142</t>
  </si>
  <si>
    <t>BreastNOS-41</t>
  </si>
  <si>
    <t>Ovary-46</t>
  </si>
  <si>
    <t>CGR0149</t>
  </si>
  <si>
    <t>ER+Her2- ILC-51</t>
  </si>
  <si>
    <t>CGR0160</t>
  </si>
  <si>
    <t>ER+Her2- ILC-76</t>
  </si>
  <si>
    <t>Ovary-74</t>
  </si>
  <si>
    <t>FCP1071, FCP1074, FCP1102*</t>
  </si>
  <si>
    <t>ER+Her2- IDC-34</t>
  </si>
  <si>
    <t>CGR0125</t>
  </si>
  <si>
    <t>ER+Her2- IDC-66</t>
  </si>
  <si>
    <t>Ovary-63</t>
  </si>
  <si>
    <t>ER+Her2- IDC-57</t>
  </si>
  <si>
    <t>ER-Her2unk IDC-47</t>
  </si>
  <si>
    <t>EOBC, HRF</t>
  </si>
  <si>
    <t>BrOv</t>
  </si>
  <si>
    <t>EOBC</t>
  </si>
  <si>
    <t>BrOv, HRF</t>
  </si>
  <si>
    <t>HRF</t>
  </si>
  <si>
    <t>FHx: Ovary</t>
  </si>
  <si>
    <t>FHx: Pancreatic</t>
  </si>
  <si>
    <t>FHx: Prostate</t>
  </si>
  <si>
    <t>FHx: Melanoma</t>
  </si>
  <si>
    <t>FHx: Colon</t>
  </si>
  <si>
    <t>FHx: Stomah</t>
  </si>
  <si>
    <t>gallbladder, bladder</t>
  </si>
  <si>
    <t>lung</t>
  </si>
  <si>
    <t>none</t>
  </si>
  <si>
    <t xml:space="preserve">C/S/N/N: </t>
  </si>
  <si>
    <t>P</t>
  </si>
  <si>
    <t>C/S/N/N</t>
  </si>
  <si>
    <t>No (1/0)</t>
  </si>
  <si>
    <t>Yes (2/1)</t>
  </si>
  <si>
    <t>No (0/1)</t>
  </si>
  <si>
    <t>Yes (1/2)</t>
  </si>
  <si>
    <t>Yes (0/4)</t>
  </si>
  <si>
    <t>Yes (0/2)</t>
  </si>
  <si>
    <t>Yes (0/6)</t>
  </si>
  <si>
    <t>Yes (0/7)</t>
  </si>
  <si>
    <t>Yes (0/3)</t>
  </si>
  <si>
    <t>Yes (1/1)</t>
  </si>
  <si>
    <t>Yes (2/3)</t>
  </si>
  <si>
    <t>Yes (4/3)</t>
  </si>
  <si>
    <t>yes (1/2)</t>
  </si>
  <si>
    <t>Lungx2</t>
  </si>
  <si>
    <t>ER- Her2Unk IDC-46</t>
  </si>
  <si>
    <t>cervical,lungx3</t>
  </si>
  <si>
    <t>X2</t>
  </si>
  <si>
    <t>Pat</t>
  </si>
  <si>
    <t>FaMatHx</t>
  </si>
  <si>
    <t>Mat</t>
  </si>
  <si>
    <t xml:space="preserve">lung </t>
  </si>
  <si>
    <t>uterine</t>
  </si>
  <si>
    <t>cervical</t>
  </si>
  <si>
    <t>esophageal</t>
  </si>
  <si>
    <t>kidney x2</t>
  </si>
  <si>
    <t>Yes x1</t>
  </si>
  <si>
    <t>X3</t>
  </si>
  <si>
    <t>BrOv, EOBC, HRF</t>
  </si>
  <si>
    <t>liver</t>
  </si>
  <si>
    <t>throat x2</t>
  </si>
  <si>
    <t>HNSCC</t>
  </si>
  <si>
    <t>kidney</t>
  </si>
  <si>
    <t>esophageal, biliary</t>
  </si>
  <si>
    <t>bladder</t>
  </si>
  <si>
    <t>HNSCC, liver</t>
  </si>
  <si>
    <t>FHx: Heme</t>
  </si>
  <si>
    <t>FHx: Brain</t>
  </si>
  <si>
    <t>LP/P Variant</t>
  </si>
  <si>
    <t>ACMG Call</t>
  </si>
  <si>
    <t>LSDB Call</t>
  </si>
  <si>
    <t>Clinvar Call</t>
  </si>
  <si>
    <t>VUS</t>
  </si>
  <si>
    <t>LP</t>
  </si>
  <si>
    <t>Epidermolysis bullosa</t>
  </si>
  <si>
    <t>Werner's syndrome</t>
  </si>
  <si>
    <t>LP/P</t>
  </si>
  <si>
    <t xml:space="preserve">p.Glu131Lys/c.391G&gt;A </t>
  </si>
  <si>
    <t>Wisckott-Aldrich syndrome</t>
  </si>
  <si>
    <t>Fanconi anemia</t>
  </si>
  <si>
    <t xml:space="preserve">EVS6500 EA Het frequency </t>
  </si>
  <si>
    <t>PMID:22258520</t>
  </si>
  <si>
    <t>0.10-0.13%</t>
  </si>
  <si>
    <t>Total</t>
  </si>
  <si>
    <t>p.Pro289X/c.865*&gt;+C (c.872dupC)</t>
  </si>
  <si>
    <r>
      <t>CDH1</t>
    </r>
    <r>
      <rPr>
        <sz val="11"/>
        <color theme="1"/>
        <rFont val="Arial"/>
        <family val="2"/>
      </rPr>
      <t xml:space="preserve"> c.1565+1G&gt;A</t>
    </r>
  </si>
  <si>
    <r>
      <t>ATM</t>
    </r>
    <r>
      <rPr>
        <sz val="11"/>
        <color theme="1"/>
        <rFont val="Arial"/>
        <family val="2"/>
      </rPr>
      <t xml:space="preserve"> c.2521delG</t>
    </r>
  </si>
  <si>
    <r>
      <t>ATM</t>
    </r>
    <r>
      <rPr>
        <sz val="11"/>
        <color theme="1"/>
        <rFont val="Arial"/>
        <family val="2"/>
      </rPr>
      <t xml:space="preserve"> c.5290delC</t>
    </r>
  </si>
  <si>
    <r>
      <t>ATM</t>
    </r>
    <r>
      <rPr>
        <sz val="11"/>
        <color theme="1"/>
        <rFont val="Arial"/>
        <family val="2"/>
      </rPr>
      <t xml:space="preserve"> p.Thr2333X, c.6997*&gt;+A</t>
    </r>
  </si>
  <si>
    <r>
      <t>ATM</t>
    </r>
    <r>
      <rPr>
        <sz val="11"/>
        <color theme="1"/>
        <rFont val="Arial"/>
        <family val="2"/>
      </rPr>
      <t xml:space="preserve"> p.Trp2769Arg, c.8305T&gt;C</t>
    </r>
  </si>
  <si>
    <r>
      <t>ATM</t>
    </r>
    <r>
      <rPr>
        <sz val="11"/>
        <color theme="1"/>
        <rFont val="Arial"/>
        <family val="2"/>
      </rPr>
      <t xml:space="preserve"> p.Arg3047X, c.9139C&gt;T</t>
    </r>
  </si>
  <si>
    <r>
      <t>CHEK2</t>
    </r>
    <r>
      <rPr>
        <sz val="11"/>
        <color theme="1"/>
        <rFont val="Arial"/>
        <family val="2"/>
      </rPr>
      <t xml:space="preserve"> c.444+1G&gt;A</t>
    </r>
  </si>
  <si>
    <r>
      <t>CHEK2</t>
    </r>
    <r>
      <rPr>
        <sz val="11"/>
        <color theme="1"/>
        <rFont val="Arial"/>
        <family val="2"/>
      </rPr>
      <t xml:space="preserve"> p.Gly167Arg, c.499G&gt;A</t>
    </r>
  </si>
  <si>
    <r>
      <t>CHEK2</t>
    </r>
    <r>
      <rPr>
        <sz val="11"/>
        <color theme="1"/>
        <rFont val="Arial"/>
        <family val="2"/>
      </rPr>
      <t xml:space="preserve"> c.1100delC</t>
    </r>
  </si>
  <si>
    <r>
      <t>BARD1</t>
    </r>
    <r>
      <rPr>
        <sz val="11"/>
        <color theme="1"/>
        <rFont val="Arial"/>
        <family val="2"/>
      </rPr>
      <t xml:space="preserve"> p.Gln564X, c.1690C&gt;T</t>
    </r>
  </si>
  <si>
    <r>
      <t>RAD50</t>
    </r>
    <r>
      <rPr>
        <sz val="11"/>
        <color theme="1"/>
        <rFont val="Arial"/>
        <family val="2"/>
      </rPr>
      <t xml:space="preserve"> p.Lys722X, c.2166*&gt;+T</t>
    </r>
  </si>
  <si>
    <r>
      <t>RAD51D</t>
    </r>
    <r>
      <rPr>
        <sz val="11"/>
        <color theme="1"/>
        <rFont val="Arial"/>
        <family val="2"/>
      </rPr>
      <t xml:space="preserve"> p.Arg206X, c.616C&gt;T</t>
    </r>
  </si>
  <si>
    <r>
      <t>BLM</t>
    </r>
    <r>
      <rPr>
        <sz val="11"/>
        <color theme="1"/>
        <rFont val="Arial"/>
        <family val="2"/>
      </rPr>
      <t xml:space="preserve"> p.Gln548*, c.1642C&gt;T</t>
    </r>
  </si>
  <si>
    <r>
      <t>CDKN2A</t>
    </r>
    <r>
      <rPr>
        <sz val="11"/>
        <color theme="1"/>
        <rFont val="Arial"/>
        <family val="2"/>
      </rPr>
      <t xml:space="preserve"> p.Arg139X, c.415C&gt;T</t>
    </r>
  </si>
  <si>
    <r>
      <t>MSH6</t>
    </r>
    <r>
      <rPr>
        <sz val="11"/>
        <color theme="1"/>
        <rFont val="Arial"/>
        <family val="2"/>
      </rPr>
      <t xml:space="preserve"> p.Arg732X, c.2194C&gt;T</t>
    </r>
  </si>
  <si>
    <r>
      <t>ATR</t>
    </r>
    <r>
      <rPr>
        <sz val="11"/>
        <color theme="1"/>
        <rFont val="Arial"/>
        <family val="2"/>
      </rPr>
      <t xml:space="preserve"> p.X1985Pro, c.5955del15</t>
    </r>
  </si>
  <si>
    <t xml:space="preserve"> Hotspot Y179 (8oxoG binding) and G382D, FeS (232-314), NUDIX inc G396 (367-498)</t>
  </si>
  <si>
    <t>Unknown (?1-83 bind SSDNA) Walker motifs (B:219-223)</t>
  </si>
  <si>
    <t>853-1186 WD40; (??1-579 DNA binding and BRCA1, RAD51 binding)</t>
  </si>
  <si>
    <t>1. Variant annotation, 2. Manual review with UCSC genome browser RepeatMasker track</t>
  </si>
  <si>
    <r>
      <t xml:space="preserve">CHEK2 </t>
    </r>
    <r>
      <rPr>
        <sz val="11"/>
        <color theme="1"/>
        <rFont val="Arial"/>
        <family val="2"/>
      </rPr>
      <t>p.Ile157Thr, c.470T&gt;</t>
    </r>
    <r>
      <rPr>
        <i/>
        <sz val="11"/>
        <color theme="1"/>
        <rFont val="Arial"/>
        <family val="2"/>
      </rPr>
      <t>C</t>
    </r>
  </si>
  <si>
    <r>
      <t>CHEK2</t>
    </r>
    <r>
      <rPr>
        <sz val="11"/>
        <color theme="1"/>
        <rFont val="Arial"/>
        <family val="2"/>
      </rPr>
      <t xml:space="preserve"> p.Ser428Phe, c.1283C&gt;T</t>
    </r>
  </si>
  <si>
    <t>ER+Her2- IDC-76</t>
  </si>
  <si>
    <t>Ovary-76</t>
  </si>
  <si>
    <t>Lymphoma</t>
  </si>
  <si>
    <t>Lymphoma, Leukemiax2</t>
  </si>
  <si>
    <t>ER+Her2- IDC-42</t>
  </si>
  <si>
    <t>Yes (2/2)</t>
  </si>
  <si>
    <t>ER+Her2Unk IDC-36</t>
  </si>
  <si>
    <t xml:space="preserve">1) Variant annotation (for A), 2) Determine per gene per Rahman et al 2014 and OMIM (for B, see Supplementary Table 3 per gene), 3)  Manual evaluation for presence of variant in last exon (for C) </t>
  </si>
  <si>
    <t>A=missense variant, B=missense variants are commonly mutant in gene</t>
  </si>
  <si>
    <t xml:space="preserve">If A,B=true, PP2=1, BP1=0
If A=true, B=false, PP2=0, BP1=1
If A=false or B= insufficent data to determine, PP2=0, BP1=0
</t>
  </si>
  <si>
    <t>1. Manual review of Clinvar and HGMD variants</t>
  </si>
  <si>
    <t>If A=OR&gt;2.0 with &gt;1000 cases and &gt;1000 controls, PS4=1</t>
  </si>
  <si>
    <t xml:space="preserve">1. Variant annotation
</t>
  </si>
  <si>
    <t xml:space="preserve">If A&gt;50% and B&gt;50%, PP3=1, BP4=0
If A&lt;50% and B&lt;50%, PP3=0, BP4=1
If A&gt;50% and B&lt;50% or A&lt;50% and B&gt;50%, PP3=0, BP4=0
</t>
  </si>
  <si>
    <t>If A=alternative P/LP variant in different high risk breast cancer gene in patient, BP5=1</t>
  </si>
  <si>
    <t>Absent from controls (or at extremely low frequency if recessive) in Exome Sequencing Project, 1000 Genomes Project, or Exome Aggregation Consortium</t>
  </si>
  <si>
    <t>X (missense for FH, truncating for hypobeta)</t>
  </si>
  <si>
    <t>All missense</t>
  </si>
  <si>
    <t>Variants evaluated (n) for PP2/BP1 determination</t>
  </si>
  <si>
    <t>http://hci-exlovd.hci.utah.edu/home.php</t>
  </si>
  <si>
    <t>Provided Cutoff</t>
  </si>
  <si>
    <t>AVERAGE</t>
  </si>
  <si>
    <t>Table S1: Characteristics of assayed genes</t>
  </si>
  <si>
    <t>Table S2: ACMG Attributes for variant classification and method of determination</t>
  </si>
  <si>
    <t>Table S3: ACMG Scoring Rules for Variant Classification</t>
  </si>
  <si>
    <t>Table S9: Numbers of variants per gene and average number of attributes for calls</t>
  </si>
  <si>
    <t>Table S10: Personal and family history details of patients with LP-P mutations in AD cancer genes</t>
  </si>
  <si>
    <t>Xeroderma pigmentosum F OMIM 278760; Fanconi anemia Q, OMIM 615272 (aka FANCQ)</t>
  </si>
  <si>
    <t>Gene OMIM</t>
  </si>
  <si>
    <t>http://www.ncbi.nlm.nih.gov/books/NBK1440/</t>
  </si>
  <si>
    <t>Waheed (1997) PNAS 94(23):12384-9 PubMed:9356458; Tomatsu (2003) PNAS 100(26):15788-93 PubMed:14673107</t>
  </si>
  <si>
    <t>Associates with B2M, normal subcellular trafficking; mild increase hepatic iron content in knockin mice</t>
  </si>
  <si>
    <t>Does not associate with B2M, improper subcellular trafficking; significant increase hepatic iron content in knockin mice</t>
  </si>
  <si>
    <t>PS3 Code</t>
  </si>
  <si>
    <t>BS3 Code</t>
  </si>
  <si>
    <t>Ellervik (2007) Hepatology 46(4):1071-80 Pubmed: 17828789</t>
  </si>
  <si>
    <t>Disease (AR)</t>
  </si>
  <si>
    <t>Other</t>
  </si>
  <si>
    <t>EXAC EA frequency</t>
  </si>
  <si>
    <t xml:space="preserve">EVS6500 EA frequency </t>
  </si>
  <si>
    <t>Dataset  frequency</t>
  </si>
  <si>
    <t>His63Asp/wildtype</t>
  </si>
  <si>
    <t>Cys282Tyr/wildtype</t>
  </si>
  <si>
    <t>His63Asp/Cys282Tyr</t>
  </si>
  <si>
    <t>Cys282Tyr/Cys282Tyr</t>
  </si>
  <si>
    <t>His63Asp/His63Asp</t>
  </si>
  <si>
    <t>ND</t>
  </si>
  <si>
    <t>Published  frequency (Europe/US)</t>
  </si>
  <si>
    <t>21.6% / 19.4%</t>
  </si>
  <si>
    <t>9.2% / 7.8%</t>
  </si>
  <si>
    <t>1.8% / 1.6%</t>
  </si>
  <si>
    <t>0.4% / 0.4%</t>
  </si>
  <si>
    <t>2% / 1.9%</t>
  </si>
  <si>
    <t>case control, OR&lt;2.0 for HCC</t>
  </si>
  <si>
    <t>case control, OR&gt;2.0 for HCC</t>
  </si>
  <si>
    <t>PMID: 11479183, 17828789</t>
  </si>
  <si>
    <t>76+/-17% binding to PDE&gt;A5 compared to WT</t>
  </si>
  <si>
    <t>WT binding to PDE&gt;A5</t>
  </si>
  <si>
    <t>WT inhibitory activity on beta-catenin/TCF4 complex</t>
  </si>
  <si>
    <t>Yamada (2003) Am J Path 163:2201 PubMed:14633595</t>
  </si>
  <si>
    <t>Extremely rare</t>
  </si>
  <si>
    <t>4.8% (AJ)</t>
  </si>
  <si>
    <t>0.12% (AJ)</t>
  </si>
  <si>
    <t>Calculated 2pq (HWE)</t>
  </si>
  <si>
    <t>GeneReviews Disease Prevalance</t>
  </si>
  <si>
    <t>GeneReviews Carrier Frequency</t>
  </si>
  <si>
    <t>no data</t>
  </si>
  <si>
    <t xml:space="preserve">p.Gln3432Glu/c.10294C&gt;G </t>
  </si>
  <si>
    <t>p.Arg3507Pro/c.10520G&gt;C  (R3480P)</t>
  </si>
  <si>
    <t>decreased binding LDL</t>
  </si>
  <si>
    <t>p.Asn1914Ser/c.5741A&gt;G  (N1887S)</t>
  </si>
  <si>
    <t>normal LDL binding (used as negative control in paper)</t>
  </si>
  <si>
    <t>no affect on LDLR binding affinity</t>
  </si>
  <si>
    <t>WT levels of ATM autophosphorylation, TP53 phosphorylation and p53 accumulation</t>
  </si>
  <si>
    <t>WT levels of ATM autophosphorylation, TP53 phosphorylation and p53 accumulation after IR</t>
  </si>
  <si>
    <t>Reduced but not absent kinase activity (autophosphorylation, p53/Smc1/Nbs1/Chk2 phosphorylation) after IR</t>
  </si>
  <si>
    <t>Absent kinase activity (autophosphorylation, p53/Smc1/Nbs1/Chk2 phosphorylation) after IR</t>
  </si>
  <si>
    <t>Mutant introducted into BRCA1 KO cell lines cannot complement increased cisplatin sensitivity</t>
  </si>
  <si>
    <t>Mutant introducted into BRCA1 KO cell lines can complement increased cisplatin sensitivity</t>
  </si>
  <si>
    <t>Functional HR activity in yeast assay</t>
  </si>
  <si>
    <t xml:space="preserve">Normal transcription coactivator ability </t>
  </si>
  <si>
    <t>DNA double strand break repair capacity to IR as wild-type (measured as chromosomal aberrations per mitosis)</t>
  </si>
  <si>
    <t>Normal viability in mouse ES cell rescue assay with conditional BRCA2 knockout</t>
  </si>
  <si>
    <t xml:space="preserve">produced significantly faster activation of L-type Ca(2+) currents and had increased sensitivity for caffeine-induced Ca(2+) </t>
  </si>
  <si>
    <t>Increased cell motility versus wildtype CDH1</t>
  </si>
  <si>
    <t>Falck (2001) Nature 410: 842 PubMed: 11298456, Wu (2001) JBC 276:2971  PubMed:  11053450, Roeb (2012) Hum Mol Genet 21: 2738 PubMed: 22419737, Cai (2009) Mol Cell 35:818 PubMed: 19782031</t>
  </si>
  <si>
    <t>Impaired phosphorylation of Cdc25A in one study but impaired in another; does not dimerize and autophorphorylate; cannot complement yeast rad53 mutant</t>
  </si>
  <si>
    <t>Intermediate ability to complement yeast rad53 mutant</t>
  </si>
  <si>
    <t>Unable to complement yeats rad53 mutant</t>
  </si>
  <si>
    <t>Roeb (2012) Hum Mol Genet 21: 2738 PubMed: 22419737; Shaag (2005) Hum Mol Genet 14:555–563: PubMed: 15649950</t>
  </si>
  <si>
    <t>FAH enzymatic activity same as WT in 2 cell lines</t>
  </si>
  <si>
    <t>functional/WT activity per abstract but journal not accessible to evaluate</t>
  </si>
  <si>
    <t>p.Thr372X/c.1114*&gt;+ATTA (aka c.1096_1099dupATTA)</t>
  </si>
  <si>
    <t>Ectopic expression of mutant did not correct FANCD2 
monoubiquitination, MMC sensitivity and chromosomal breakage in EUFA868 FANCL-/- cells</t>
  </si>
  <si>
    <t>p.X341Ser/c.1022*&gt;-TAT (aka c.1007_1009delTAT)</t>
  </si>
  <si>
    <t>Ectopic expression of mutant partially corrected MMC sensitivity and chromosomal breakage in EUFA868 FANCL-/- cells</t>
  </si>
  <si>
    <t>Fas expression was decreased and T cell apoptotic response in mutant</t>
  </si>
  <si>
    <t xml:space="preserve">Reduced enzyme activity (37%); combined transfer to peptide activity and UDP-GalNAc hydrolysis activity </t>
  </si>
  <si>
    <t>27-37% wildtype Gcase activity when heterozygous with K196Q</t>
  </si>
  <si>
    <t>50% Gcase activity when homozygous and a/w severe phentotype</t>
  </si>
  <si>
    <t>15-30% WT Gcase activivyt when homozygous</t>
  </si>
  <si>
    <t>loss of channel activity (11% of WT conductance); dominant negative effects on cell-cell coupling</t>
  </si>
  <si>
    <t>background leve of conductance, significantly reduced compared to WT in Xenopus oocytes</t>
  </si>
  <si>
    <t>D'Andrea (2002) Biochem Biophys Res Commun 296: 685 PubMed: 12176036; Bruzzone (2003) FEBS Lett 533: 79 PubMed: 12505163</t>
  </si>
  <si>
    <t>Bicego (2006) Hum Mol Genet 15: 2569 PubMed: 16849369; D'Andrea (2002) Biochem Biophys Res Commun 296: 685 PubMed: 12176036</t>
  </si>
  <si>
    <t>loss of channel activity (conductance, luciferase yellow), loss of couplng</t>
  </si>
  <si>
    <t xml:space="preserve"> D'Andrea (2002) Biochem Biophys Res Commun 296: 685 PubMed: 12176036</t>
  </si>
  <si>
    <t>loss of channel activity (conductance, luciferase yellow)</t>
  </si>
  <si>
    <t>WT channel activity (conductance, luciferase yellow)</t>
  </si>
  <si>
    <t>Splicing variant, similar to C282Y subcellular localization defect and decreased association with B2M</t>
  </si>
  <si>
    <t>erythrocyte PBGD activity similar in carrier and noncarrier family members, none had increased excretion of porphyrn precursors</t>
  </si>
  <si>
    <t>Bonner (2011) J Biol Chem 286: 25719 PubMed: 21628466; Ekholm (2013) J Intern Med 274: 263 PubMed: 23607861; Thomas (2002) Biol Chem 383: 1691 PubMed: 12530534</t>
  </si>
  <si>
    <t>inability to transcriptionally regulate known target genes, altered transactivation</t>
  </si>
  <si>
    <t>electrophysiologically indistinguishable from WT channels when expressed in HEK cells</t>
  </si>
  <si>
    <t>acts as dominant negative to reduce  potassium current with WT when expressed in Xenopus oocytes</t>
  </si>
  <si>
    <t>reduced tail current density of slowly activating delayed rectifier K(+) current in HEK cells</t>
  </si>
  <si>
    <t>WT level of K channel activitiy</t>
  </si>
  <si>
    <t>p.Arg176Gln/c.527G&gt;A (R171Q)</t>
  </si>
  <si>
    <t>Shimazu (2011) Cancer Sci 102: 2097 PubMed: 21819486</t>
  </si>
  <si>
    <t>similar protein stability to WT</t>
  </si>
  <si>
    <t>Alterations to cell proliferation, morphology, adhesion, motility and migration. Changes to c-MET RTK signaling; but in other study unable to induce cell transformation</t>
  </si>
  <si>
    <t>Alterations to cell proliferation, morphology, adhesion, motility and migration. Changes to c-MET RTK signaling;but in other study unable to induce cell transformation</t>
  </si>
  <si>
    <t>impaired sumoylation and differentially regulated several MITF targets; also OR for melanoma 2.33</t>
  </si>
  <si>
    <t>MMR proficient, slightly reduced mismatch binding</t>
  </si>
  <si>
    <t>p.Tyr179Cys/c.536A&gt;G (Y151C)</t>
  </si>
  <si>
    <t>p.Ile223Val/c.667A&gt;G (I195V)</t>
  </si>
  <si>
    <t>p.Arg309Cys/c.925C&gt;T (R281C)</t>
  </si>
  <si>
    <t>p.Gly396Asp/c.1187G&gt;A (G368D)</t>
  </si>
  <si>
    <t>p.Pro405Leu/c.1214C&gt;T (P377L)</t>
  </si>
  <si>
    <t>mouse study, defective in multiple assays of smooth muscle cell function</t>
  </si>
  <si>
    <t xml:space="preserve">3-fold lower K(Ca) than wild-type light chain and increased calcium affinity </t>
  </si>
  <si>
    <t>di Masi (2008) Biochem Biophys Res Commun 369: 835 PubMed: 18328813, Mendez (2012) IUBMB Life 64: 853 PubMed: 22941933; Dzikiewicz-Krawczyk (2012) Mutagenesis 27: 337 PubMed: 22131123</t>
  </si>
  <si>
    <t>Dzikiewicz-Krawczyk (2012) Mutagenesis 27: 337 PubMed: 22131123; Yamamoto (2014) Cancer Res 74: 3707 PubMed: 24830725</t>
  </si>
  <si>
    <t>Mutagenesis study showed no change in chromatid breaks or gammaH2AX foci after IR in heterozygous cell lines (but same true for c.657del); Cancer Research study showed impaired DSB repair with DR-GFP assay</t>
  </si>
  <si>
    <t>impairs gamma-H2AX binding and affects DNA repair; 657del5/R215W have severe NBS phenotype; Mutagenesis paper showed no change in chromatid breaks or gammaH2AX foci after IR in heterozygous cell lines (but same true for c.657del);</t>
  </si>
  <si>
    <t>Cameron (2006) Hum Mol Genet 15: 1551 PubMed: 16571601; Humphries (2009) Clin Chem 55(12):2153-61 PubMed: 19797716</t>
  </si>
  <si>
    <t>Used as control as behaves as WT in assays of sodium current</t>
  </si>
  <si>
    <t>normal MMR activity in vitro</t>
  </si>
  <si>
    <t>Less than 2-fold OR with melanoma risk in CC study 1075 melanoma patients and in 1091 ethnic-matched controls from France</t>
  </si>
  <si>
    <t>decreased level of perforin expression, partial loss of lytic capacity, protein not folded correctly, mild defect cytotoxic function, structurally stabilizes protein; ?hypomorph</t>
  </si>
  <si>
    <t>Normal expression and lytic function</t>
  </si>
  <si>
    <t>p.Arg150Gln/c.452G&gt;A</t>
  </si>
  <si>
    <t>Moderate decrease in ssDNA and dsDNA binding, although ATPase activity normal</t>
  </si>
  <si>
    <t>p.Glu233Gly/c.698A&gt;G</t>
  </si>
  <si>
    <t>able to complement RAD51D defective cell line, increased the cellular resistance to the DNA-damaging agents, decreased interaction with RAD51D, increased cellular proliferation</t>
  </si>
  <si>
    <t>normal amts RET secreted, functional ligand binding</t>
  </si>
  <si>
    <t xml:space="preserve"> increases RET and ERK phosphorylation and cell proliferation, increases cell viability, reductes apoptosis rate; able to induce metastatic dissemination</t>
  </si>
  <si>
    <t>no increased growth soft agar; induced intermediate number of focus formation units; normal phosphorylation of self, ERK, STAT3, no increase colony formation</t>
  </si>
  <si>
    <t>normal phosphorylation of RET, no increased transforming ability</t>
  </si>
  <si>
    <t>mild increase in acidification rate, increased caffeine sensitivity, gain of function</t>
  </si>
  <si>
    <t>increased cellular Ca(2+) oscillation activity compared with wild-type, enhanced Ca stores but unable to release</t>
  </si>
  <si>
    <t>No cytoplasmic localization (nuclear only)</t>
  </si>
  <si>
    <t>Destabilises inactivation gating , current does not deactivate, prolongs cardiac action potential</t>
  </si>
  <si>
    <t>Albert (2007) Circulation 117:16-23 PubMed:     18071069</t>
  </si>
  <si>
    <t xml:space="preserve">Electrophysiologic parameters not significantly different to wildtype;  significantly increased persistent sodium currents </t>
  </si>
  <si>
    <t>same sodium current density as wildtype</t>
  </si>
  <si>
    <t>WT ROS levels; 1.3x increase in P-MAPK</t>
  </si>
  <si>
    <t>increased ROS levels; 1.7x increase in P-MAPK</t>
  </si>
  <si>
    <t>Able to complement mutant SDH yeast, normal SDH activity</t>
  </si>
  <si>
    <t>Able to complement mutant SDH yeast, normal SDH activity, although increased nuclear PTEN and more oxidized PTEN after hydrogen peroxide treatment.</t>
  </si>
  <si>
    <t>Panizza (2013) Hum Mol Genet 22: 804 PubMed: 23175444; Yu (2015) Hum Mol Genet 24: 142 PubMed: 25149476; Ni (2008) Am J Hum Genet 83: 261 PubMed: 18678321</t>
  </si>
  <si>
    <t>Unable to be secreted in plasma, forms insoluble inclusions in ER</t>
  </si>
  <si>
    <t>normal antitrypsin activity</t>
  </si>
  <si>
    <t>does not lead to altered splicing as programs predict, slightly less secreted in plasma</t>
  </si>
  <si>
    <t>rescued MMT, cisplatin and olaparib sensitivity of mutant cell line same as WT</t>
  </si>
  <si>
    <t>Alder (2008) Proc Natl Acad Sci U S A 105: 13051 PubMed: 18753630; Zaug (2013) Nucleic Acids Res 41: 8969 PubMed: 23901009; Calado (2009) Proc Natl Acad Sci U S A 106:1187 PubMed :19147845</t>
  </si>
  <si>
    <t>Telomerase activity as wild-type in Alder and Zaug, 50% of WT in Calado</t>
  </si>
  <si>
    <t>wildtype T389 phophorylation of S6K</t>
  </si>
  <si>
    <t>interaction with hamartin as wild-type; wildtype T389 phophorylation of S6K</t>
  </si>
  <si>
    <t>affects expression of WAS, crtitical for WASP-WIP interaction, cannot complement growth of mutant</t>
  </si>
  <si>
    <t>reduced BER activity; prevents Ogg1 interaction</t>
  </si>
  <si>
    <t>Turco (2013) Nucleic Acids Res 41: 4093 PubMed: 23460202; Komine (2015) Hum Mutat 36: 704 PubMed: 25820570</t>
  </si>
  <si>
    <t>Shioji (2004) J Hum Genet 49: 109 PubMed: 14727156</t>
  </si>
  <si>
    <t>Mayne (2013) Lipids Health Dis 12: 70 PubMed: 23663650</t>
  </si>
  <si>
    <t>associated with lower serum PCSK9 levels but not significant</t>
  </si>
  <si>
    <t>Tsai (2015) J Clin Endocrinol Metab 100: E345 PubMed: 25412415; Hsu (2009) Clin Chem Lab Med 47: 154 PubMed: 19191720</t>
  </si>
  <si>
    <t>associated with higher and lower LDL cholesterol levels</t>
  </si>
  <si>
    <t>EPCAM:NM_002354:exon3:c.T344C:p.M115T</t>
  </si>
  <si>
    <t>signifcantly a/w BC risk but OR 1.4</t>
  </si>
  <si>
    <t>Byrne (2009) Hepatology 49: 553 PubMed: 19101985</t>
  </si>
  <si>
    <t>He (2013) Int J Cancer 133: 1765 PubMed: 23400628</t>
  </si>
  <si>
    <t>Wang (2007) Clin Cancer Res 13: 3753 PubMed: 17575242</t>
  </si>
  <si>
    <t>signifcantly a/w bladder cancer risk but OR 1.2</t>
  </si>
  <si>
    <t>significanlty a/w CRC but n&lt;1000, OR 1.75</t>
  </si>
  <si>
    <t>Berndt (2006) Cancer Epidemiol Biomarkers Prev 15: 2263 PubMed: 17119055</t>
  </si>
  <si>
    <t>Hinrichsen (2013) Clin Cancer Res 19: 2432 PubMed: 23403630, Kansikas (2011) Hum Mutat 32: 107 PubMed: 21120944; Kondo (2003) Cancer Res 63: 3302 PubMed: 12810663; Shimodaira (1998) Nat Genet 19: 384 PubMed: 9697702; Takahashi (2007) Cancer Res 67: 4595 PubMed: 17510385; ogelsang (2009) BMC Cancer 9: 382 PubMed: 19863800</t>
  </si>
  <si>
    <t>Repair activity &gt;70% of wild-type and expression levels &gt;70% of wild-type; 60.7% MMR activity and 25-75% expression; all other studies say behaves lke WT MMR actiivty</t>
  </si>
  <si>
    <t>Wang (2015) Eur J Hum Genet 23: 874 PubMed: 25271083</t>
  </si>
  <si>
    <t>Foster (2008) Br J Dermatol 159: 1160 PubMed: 18795925</t>
  </si>
  <si>
    <t>Marinovic-Terzic (2008) Proc Natl Acad Sci U S A 105: 13993 PubMed: 18768816</t>
  </si>
  <si>
    <t>Anson (2004) Am J Physiol Heart Circ Physiol 286: H2434 PubMed: 14975928 ; Bezzina (2003) Cardiovasc Res 59: 27 PubMed: 12829173; Gentile (2008) Proc Natl Acad Sci U S A 105: 14704 PubMed: 18791070; Jou (2013) Circ Res 112: 826 PubMed: 23303164; Laitinen (2000) Hum Mutat 15: 580 PubMed: 10862094; Linna (2006) Ann Noninvasive Electrocardiol 11: 57 PubMed: 16472284; Paavonen (2003) Cardiovasc Res 59: 603 PubMed: 14499861</t>
  </si>
  <si>
    <t>Bérubé (2013) Exp Gerontol 48: 533 PubMed: 23523974</t>
  </si>
  <si>
    <t>Castro (2008) BMC Cardiovasc Disord 8: 5 PubMed: 18312663</t>
  </si>
  <si>
    <t>Large metaanalysis, sig increased risk of cancer, OR&lt;2</t>
  </si>
  <si>
    <t>Lu (2009) BMC Cancer 9: 124 PubMed: 19393077;Wang (2010) Breast Cancer Res Treat 123: 557 PubMed: 20143155</t>
  </si>
  <si>
    <t>Hinz (2006) Mutat Res 602: 34 PubMed: 17010390</t>
  </si>
  <si>
    <t>Nozières (2014) Ann Endocrinol (Paris) 75: 133 PubMed: 24997771; Shimazu (2011) Cancer Sci 102: 2097 PubMed: 21819486</t>
  </si>
  <si>
    <t>Yarman (2015) Genet Test Mol Biomarkers 19: 394 PubMed: 25938168</t>
  </si>
  <si>
    <t>only 14 FIPA patients vs controls, sig increase</t>
  </si>
  <si>
    <t>Jacquemin (2012) Eur J Hum Genet 20: 305 PubMed: 22071889; Angèle (2003) Hum Mutat 21: 169 PubMed: 12552566</t>
  </si>
  <si>
    <t>Mendoza-Alcantar (2006) Diabet Med 23: 1295 PubMed: 17116178</t>
  </si>
  <si>
    <t>Wu (2005) Cancer Res 65: 417 PubMed: 15695382</t>
  </si>
  <si>
    <t>Homology-directed DNA break repair assay: &gt;99% probability of neutrality.</t>
  </si>
  <si>
    <t>Nukiwa (1988) Am J Hum Genet 43: 322 PubMed: 2901226</t>
  </si>
  <si>
    <t>Suijkerbuijk (2010) Cancer Res 70: 4891 PubMed: 20516114</t>
  </si>
  <si>
    <t>3,213 cases and 3,849 controls no association with cancer risk</t>
  </si>
  <si>
    <t>Liu (2014) PLoS One 9: e90931 PubMed: 24603722</t>
  </si>
  <si>
    <t>Mirzaei (2012) Proc Natl Acad Sci U S A 109: 19357 PubMed: 23129629</t>
  </si>
  <si>
    <t>MYH11:NM_002474:exon7:c.C739T:p.R247C</t>
  </si>
  <si>
    <t>knockin mice have mostly WT p53 functions</t>
  </si>
  <si>
    <t>Frank (2011) Mol Cell Biol 31: 1201 PubMed: 21245379; Reinbold (2008) Oncogene 27:2788 PubMed  17998932</t>
  </si>
  <si>
    <t>Hu (2010) Breast Cancer Res Treat 120: 705 PubMed: 19657731</t>
  </si>
  <si>
    <t>breast cancer metaanalysis, not associated</t>
  </si>
  <si>
    <t>Cochran (2015) Oncotarget 6: 25240 PubMed: 26246475</t>
  </si>
  <si>
    <t>Zhang (2013) Carcinogenesis 34: 2309 PubMed: 23749772</t>
  </si>
  <si>
    <t>Decreased BRCA1 expression</t>
  </si>
  <si>
    <t>Seker (2001) Cancer Res 61: 7430 PubMed: 11606376</t>
  </si>
  <si>
    <t>retains a wild-type DNA-glycosylase activity in vitro</t>
  </si>
  <si>
    <t>p.Gly1886Ser/c.5656G&gt;A</t>
  </si>
  <si>
    <t>significant increase in the cellular Ca(2+) oscillation activity</t>
  </si>
  <si>
    <t>p.Met115Thr/c.428344T&gt;C</t>
  </si>
  <si>
    <t>enhanced levels of mature BSEP</t>
  </si>
  <si>
    <t>signifcantly a/w cancer risk but OR 1.2</t>
  </si>
  <si>
    <t>increased inflammastion in asthma model</t>
  </si>
  <si>
    <t>M541L KIT-expressing cells displayed enhanced growth at low levels of SCF, and heightened sensitivity to the KIT inhibitor, imatinib mesylate</t>
  </si>
  <si>
    <t>defective in activating p73-dependent apoptosis in response to cisplatin</t>
  </si>
  <si>
    <t>lower current density, activated at more negative potentials, subtle differences compared with WT channels when stimulated with an action potential waveform; T897 channel displayed a shift of -7 mV in voltage dependence of activation and increased rates of current activation and deactivation;  creates a phosphorylation site that inhibits channel activity</t>
  </si>
  <si>
    <t xml:space="preserve">affects cholesterol efflux in vitro </t>
  </si>
  <si>
    <t>no affect on function</t>
  </si>
  <si>
    <t>WT  levels of mitomycin C resistance as well as restoration of monoubiquitination of Fancd2</t>
  </si>
  <si>
    <t>Cosci (2011) Endocr Relat Cancer 18: 603 PubMed: 21810974</t>
  </si>
  <si>
    <t>Same focus formation units as WT</t>
  </si>
  <si>
    <t>p.Thr541Ala/c.1621A&gt;G</t>
  </si>
  <si>
    <t>overexpression of the p.Ala541Thr variant did not inhibit cell growth; used as WT control</t>
  </si>
  <si>
    <t>decreased gammaH2AX foci after IR; other study in context of other ATM variants</t>
  </si>
  <si>
    <t xml:space="preserve"> HNF-1alpha transcription activation of the human insulin promoter was 40% lower than that of the wild-type protein in RINm5f beta cells, no difference was found in a hepatic cell line (HepG2).</t>
  </si>
  <si>
    <t>p.Ser574Gly/c.1720A&gt;G</t>
  </si>
  <si>
    <t>functional; used as WT control for gap junction assay and Cx26 hemichannel activity</t>
  </si>
  <si>
    <t>Choi (2011) Mol Med 17: 550 PubMed: 21298213; Palmada (2006) Neurobiol Dis 22: 112 PubMed: 16300957</t>
  </si>
  <si>
    <t>p.Val2466Ala.c.7397T&gt;C</t>
  </si>
  <si>
    <t>Normal localization, HR assay and centrosome assay</t>
  </si>
  <si>
    <t>Normal inhibition of neutrophil elastase</t>
  </si>
  <si>
    <t>p.Gln921His/c.28763G&gt;C</t>
  </si>
  <si>
    <t>indistinguishable from wild-type LAP-BUBR1, both in protein level and functionality (chromosome segregation)</t>
  </si>
  <si>
    <t>p.Arg150Gln/c.449G&gt;A</t>
  </si>
  <si>
    <t>normal ATPase activity and DNA binding</t>
  </si>
  <si>
    <t>p.Asp353Glu/c.1059C&gt;G</t>
  </si>
  <si>
    <t>intermediate sensitivity to HU</t>
  </si>
  <si>
    <t>same WT for p53 binding; LCL het or homozygous D312 similar apoptotic rate but homozygous N312 increased apopotosis to UV</t>
  </si>
  <si>
    <t>Mild increased radiosensitivity, no increase centrosome amplification</t>
  </si>
  <si>
    <t>Alanee (2012) NEJM 367:480 PubMed     22853031; Karlsson (2014) Eur Urol 65: 169 PubMed: 22841674</t>
  </si>
  <si>
    <t>case control in BC (OR 5.7  but only 877 pts); OR~3.5 prostate cancer in large studies</t>
  </si>
  <si>
    <t>PS4=0</t>
  </si>
  <si>
    <t>PS4=1</t>
  </si>
  <si>
    <t>case control in Japan, 1793 total, combined with an intronic variant, signficance given but no OR</t>
  </si>
  <si>
    <t>Similar inhibiton of S6K phosphorylation to WT</t>
  </si>
  <si>
    <t>Nellist (2009) EJHG 17:319 PubMed: 2986174</t>
  </si>
  <si>
    <t>http://chromium.lovd.nl/LOVD2/TSC/home.php?select_db=TSC1&amp;used_old_url</t>
  </si>
  <si>
    <t xml:space="preserve">Fleishman (2006) JBC 281: 28958 PubMed: 16864573 </t>
  </si>
  <si>
    <t>S139N mutant is not localized correctly</t>
  </si>
  <si>
    <t>http://www.ncbi.nlm.nih.gov/books/NBK1515/</t>
  </si>
  <si>
    <t>http://databases.lovd.nl/shared/genes/PALB2</t>
  </si>
  <si>
    <t>OR~1.5 for sporadic and familial cases but one meta-analysis OR~4 for ILC</t>
  </si>
  <si>
    <t>Desrichard (2011) BCRT 13:R119 Pubmed:22114986; Liu (2012) APJCP 13:1655 PubMed: 22799331; Han (2013) DCB 32:329 PubMed: 23713947</t>
  </si>
  <si>
    <t>Variants in gene associated with breast cancer</t>
  </si>
  <si>
    <t>A=single gene disorder</t>
  </si>
  <si>
    <t>1. Not used</t>
  </si>
  <si>
    <t>PP4=0 for all variants</t>
  </si>
  <si>
    <t>1. Annotated with Clinvar call 2. Manual review of criteria provided for call</t>
  </si>
  <si>
    <t xml:space="preserve">If A=LP/P and no criteria provided, PP5=1, BP6=0
If A=B/LB and no criteria provided, PP5=0, BP6=1
If A=VUS, inconsistent calls, criteria provided or by expert review PP5=0, BP6=0
</t>
  </si>
  <si>
    <t xml:space="preserve">If A&gt;5%, BA1=1, PM2=0, BS1=0
If A=0.5-5%, BA1=0, PM2=0,BS1=1
If A=0, PM2=1, BA1=0, BS1=0
Exception for HFE and SERPINA1 
If A&gt;25%, BA1=1, PM2=0, BS1=0
If A=10-25%, BA1=0, PM2=0, BS1=1
If A=0, PM2=1, BA1=0, BS1=0
</t>
  </si>
  <si>
    <t xml:space="preserve">If A&gt;5%, BS2=1
Exception for HFE and SERPINA1
If A&gt;25%, BS2=1
</t>
  </si>
  <si>
    <t>Lossie (2012) Cardiovasc Res 93: 390 PubMed: 22131351; Muthu (2011) FASEB 25:4394 PubMed:21885653; Kazmierczak (2013) AJPHCP 305:H575 Pubmed:23748425</t>
  </si>
  <si>
    <t>mildly reduced affinity for myosin lever arm, relative to WT; mouse model overexpressing A57G not as severe as truncation, but see increased stiffness and development of cardiac fibrosis and hypertrophyc</t>
  </si>
  <si>
    <t>Brugada Syndrome, OMIM 601144 (LOF); Long QT syndrome, OMIM 603830 (GOF)</t>
  </si>
  <si>
    <t>YES (BS) / NO-GOF (LQTS)</t>
  </si>
  <si>
    <t>RefSeq used for Variant Calls</t>
  </si>
  <si>
    <t>NM_005343</t>
  </si>
  <si>
    <t>Raw B</t>
  </si>
  <si>
    <t>Raw LB</t>
  </si>
  <si>
    <t>Raw LP</t>
  </si>
  <si>
    <t>Raw P</t>
  </si>
  <si>
    <t>Raw VUS</t>
  </si>
  <si>
    <t>Final B</t>
  </si>
  <si>
    <t>Final LB</t>
  </si>
  <si>
    <t>Final LP</t>
  </si>
  <si>
    <t>Final P</t>
  </si>
  <si>
    <t>Final VUS</t>
  </si>
  <si>
    <r>
      <t>ATM</t>
    </r>
    <r>
      <rPr>
        <sz val="11"/>
        <color theme="1"/>
        <rFont val="Arial"/>
        <family val="2"/>
      </rPr>
      <t xml:space="preserve"> p.Arg2719His, c.8156G&gt;A</t>
    </r>
  </si>
  <si>
    <t>20027_36, 20027_44*, 20027_312</t>
  </si>
  <si>
    <t>HRF, EOBC</t>
  </si>
  <si>
    <t>BreastNOS-36</t>
  </si>
  <si>
    <t>Yes (3/3)</t>
  </si>
  <si>
    <t>Yes (0/1)</t>
  </si>
  <si>
    <t>Yes (3/0)</t>
  </si>
  <si>
    <t>EOBC,</t>
  </si>
  <si>
    <t>HRF, BrOv</t>
  </si>
  <si>
    <t>BreastNOS-48</t>
  </si>
  <si>
    <t>Ovary-65</t>
  </si>
  <si>
    <t>x2</t>
  </si>
  <si>
    <t>bladder,</t>
  </si>
  <si>
    <t>Cardiomyopathy, hypertrophic, 4, OMIM 115197</t>
  </si>
  <si>
    <t>Cardiomyopathy, hypertrophic 8, OMIM 608751</t>
  </si>
  <si>
    <t>Arrhythmogenic right ventricular dysplasia 9, OMIM 609040</t>
  </si>
  <si>
    <t>Malignant hyperthermia 5, OMIM 601887</t>
  </si>
  <si>
    <t>Hemochromatosis type 1, OMIM 235200</t>
  </si>
  <si>
    <t>Pituitary adenoma, OMIM 219090</t>
  </si>
  <si>
    <t xml:space="preserve">Mismatch repair cancer syndrome, OMIM 276300 </t>
  </si>
  <si>
    <t>Familial adenomatous  Polyposis 2, OMIM 608456</t>
  </si>
  <si>
    <t>Hereditary Pheochromocytoma syndrome, OMIM 171300</t>
  </si>
  <si>
    <t>1. Annotated with Pfam domains, 2. Domain must match literature search of well-established functional domain (Table S1)</t>
  </si>
  <si>
    <t>1. Manual review of Clinvar and HGMD variants, 2. Literature search for additional references</t>
  </si>
  <si>
    <t xml:space="preserve">"Uniform Model": Calls from CADD, CAROL, Condel, RadialSVM, FATHMM, GERP++, LRT, MutationAssessor, MutationTaster, PhyloP, PolyPhen2 HDIV, SIFT, SiPhy
</t>
  </si>
  <si>
    <t xml:space="preserve">If  all Calls=D, PP3=1, BP4=0
If all Calls=B, PP3=0, BP4=1
If inconsistent, PP3=0, BP4=0
</t>
  </si>
  <si>
    <t xml:space="preserve">"Majority Rules Model": A= percentage of D in silico results from CADD, CAROL, Condel, RadialSVM
B = percentage of D in silico calls from FATHMM, GERP++, LRT, MutationAssessor, MutationTaster, PhyloP, PolyPhen2 HDIV, SIFT, SiPhy
</t>
  </si>
  <si>
    <t>Normal level of surface LDLR and LDL internalization in vitro but lower circulating PCSK9 in humans with variant; Did not code as affecting function because is protective allele</t>
  </si>
  <si>
    <t>case control meta-analysis, a/w lower LDL-C; NOTE: this is protective allele not pathogenic</t>
  </si>
  <si>
    <t>Avg # of look-up attributes per variant (1)</t>
  </si>
  <si>
    <t>1: A "look-up" attribute is defined as one that requires data to be obtained on a specific variant (not the gene) from a database source (PS1, PS3/BS3, PS4, PM1, PM5, PP2/BP1, PP5/BP6)</t>
  </si>
  <si>
    <t>Genotype</t>
  </si>
  <si>
    <t>WT inhibitory activity on beta-catenin/TCF4 complex; OR for CRC 1.5-2.0</t>
  </si>
  <si>
    <t>Yamada (2003) Am J Path 163:2201 PubMed:14633595; Laken (1997) Nat Gen 17:79 PubMed: 9288102</t>
  </si>
  <si>
    <t>Table S11: Carrier and genotype frequencies of common mutations</t>
  </si>
  <si>
    <t>Table S7: Determination of In silico caller cutoffs</t>
  </si>
  <si>
    <t>Table S8: References for functional assays</t>
  </si>
  <si>
    <t>NM_007294.3</t>
  </si>
  <si>
    <t>NM_000059.3</t>
  </si>
  <si>
    <t>NM_004360.4</t>
  </si>
  <si>
    <t>NM_024675.3</t>
  </si>
  <si>
    <t>NM_000314.6</t>
  </si>
  <si>
    <t>NM_000455.4</t>
  </si>
  <si>
    <t>NM_000546.5</t>
  </si>
  <si>
    <t>NM_000051.3</t>
  </si>
  <si>
    <t>NM_007194.3</t>
  </si>
  <si>
    <t>NM_002485.4</t>
  </si>
  <si>
    <t>NM_001042492.2</t>
  </si>
  <si>
    <t>NM_004656.3</t>
  </si>
  <si>
    <t>NM_000465.3</t>
  </si>
  <si>
    <t>NM_000057.3</t>
  </si>
  <si>
    <t>NM_032043.2</t>
  </si>
  <si>
    <t>NM_000075.3</t>
  </si>
  <si>
    <t>NM_058195.3</t>
  </si>
  <si>
    <t>NM_000136.2</t>
  </si>
  <si>
    <t>NM_020937.3</t>
  </si>
  <si>
    <t>NM_005591.3</t>
  </si>
  <si>
    <t>NM_003620.3</t>
  </si>
  <si>
    <t>NM_005732.3</t>
  </si>
  <si>
    <t>NM_058216.2</t>
  </si>
  <si>
    <t>NM_002878.3</t>
  </si>
  <si>
    <t>NM_005431.1</t>
  </si>
  <si>
    <t>NM_004304.4</t>
  </si>
  <si>
    <t>NM_004064.4</t>
  </si>
  <si>
    <t>NM_004364.4</t>
  </si>
  <si>
    <t>NM_005228.3</t>
  </si>
  <si>
    <t>NM_002354.2</t>
  </si>
  <si>
    <t>NM_024642.4</t>
  </si>
  <si>
    <t>NM_006361.5</t>
  </si>
  <si>
    <t>NM_000222.2</t>
  </si>
  <si>
    <t>NM_002382.4</t>
  </si>
  <si>
    <t>NM_001127500.1</t>
  </si>
  <si>
    <t>NM_198159.2</t>
  </si>
  <si>
    <t>NM_000249.3</t>
  </si>
  <si>
    <t>NM_000251.2</t>
  </si>
  <si>
    <t>NM_000179.2</t>
  </si>
  <si>
    <t>NM_006206.4</t>
  </si>
  <si>
    <t>NM_000535.5</t>
  </si>
  <si>
    <t>NM_001256849.1</t>
  </si>
  <si>
    <t>NM_006231.3</t>
  </si>
  <si>
    <t>NM_000321.2</t>
  </si>
  <si>
    <t>NM_001754.4</t>
  </si>
  <si>
    <t>NM_004168.3</t>
  </si>
  <si>
    <t>NM_017841.2</t>
  </si>
  <si>
    <t>NM_003000.2</t>
  </si>
  <si>
    <t>NM_003001.3</t>
  </si>
  <si>
    <t>NM_003002.3</t>
  </si>
  <si>
    <t>NM_001128849.1</t>
  </si>
  <si>
    <t>NM_003073.4</t>
  </si>
  <si>
    <t>NM_003079.4</t>
  </si>
  <si>
    <t>NM_016169.3</t>
  </si>
  <si>
    <t>NM_017849.3</t>
  </si>
  <si>
    <t>NM_005163.2</t>
  </si>
  <si>
    <t>NM_001274.5</t>
  </si>
  <si>
    <t>NM_001903.3</t>
  </si>
  <si>
    <t>NM_139076.2</t>
  </si>
  <si>
    <t>NM_182625.3</t>
  </si>
  <si>
    <t>NM_006218.2</t>
  </si>
  <si>
    <t>NM_000534.4</t>
  </si>
  <si>
    <t>NM_002875.4</t>
  </si>
  <si>
    <t>NM_005657.2</t>
  </si>
  <si>
    <t>NM_003977.3</t>
  </si>
  <si>
    <t>NM_000038.5</t>
  </si>
  <si>
    <t>NM_001184.3</t>
  </si>
  <si>
    <t>NM_004655.3</t>
  </si>
  <si>
    <t>NM_004329.2</t>
  </si>
  <si>
    <t>NM_005188.3</t>
  </si>
  <si>
    <t>NM_024529.4</t>
  </si>
  <si>
    <t>NM_000076.2</t>
  </si>
  <si>
    <t>NM_015247.2</t>
  </si>
  <si>
    <t>NM_000107.2</t>
  </si>
  <si>
    <t>NM_177438.2</t>
  </si>
  <si>
    <t>NM_001972.3</t>
  </si>
  <si>
    <t>NM_000127.2</t>
  </si>
  <si>
    <t>NM_000401.3</t>
  </si>
  <si>
    <t>NM_004456.4</t>
  </si>
  <si>
    <t>NM_000043.4</t>
  </si>
  <si>
    <t>NM_000143.3</t>
  </si>
  <si>
    <t>NM_144997.5</t>
  </si>
  <si>
    <t>NM_001145661.1</t>
  </si>
  <si>
    <t>NM_004004.5</t>
  </si>
  <si>
    <t>NM_013372.6</t>
  </si>
  <si>
    <t>NM_000190.3</t>
  </si>
  <si>
    <t>NM_000545.6</t>
  </si>
  <si>
    <t>NM_130799.2, NM_000244.3</t>
  </si>
  <si>
    <t>NM_002451.3</t>
  </si>
  <si>
    <t>NM_000268.3</t>
  </si>
  <si>
    <t>NM_022455.4</t>
  </si>
  <si>
    <t>NM_003924.3</t>
  </si>
  <si>
    <t>NM_002734.4</t>
  </si>
  <si>
    <t>NM_002769.4</t>
  </si>
  <si>
    <t>NM_000264.3</t>
  </si>
  <si>
    <t>NM_002834.3</t>
  </si>
  <si>
    <t>NM_020975.4</t>
  </si>
  <si>
    <t>NM_024599.5</t>
  </si>
  <si>
    <t>NM_005359.5</t>
  </si>
  <si>
    <t>NM_005633.3</t>
  </si>
  <si>
    <t>NM_139276.2</t>
  </si>
  <si>
    <t>NM_198253.2</t>
  </si>
  <si>
    <t>NM_004612.3</t>
  </si>
  <si>
    <t>NM_000368.4</t>
  </si>
  <si>
    <t>NM_000548.4</t>
  </si>
  <si>
    <t>NM_000374.4</t>
  </si>
  <si>
    <t>NM_000551.3</t>
  </si>
  <si>
    <t>NM_024426.4</t>
  </si>
  <si>
    <t>NM_003742.2</t>
  </si>
  <si>
    <t>NM_001211.5</t>
  </si>
  <si>
    <t>NM_014679.4</t>
  </si>
  <si>
    <t>NM_000094.3</t>
  </si>
  <si>
    <t>NM_152383.4</t>
  </si>
  <si>
    <t>NM_001363.4</t>
  </si>
  <si>
    <t>NM_203447.3</t>
  </si>
  <si>
    <t>NM_000400.3</t>
  </si>
  <si>
    <t>NM_000122.1</t>
  </si>
  <si>
    <t>NM_005236.2</t>
  </si>
  <si>
    <t>NM_000123.3</t>
  </si>
  <si>
    <t>NM_000137.2</t>
  </si>
  <si>
    <t>NM_000135.2</t>
  </si>
  <si>
    <t>NM_001018113.1</t>
  </si>
  <si>
    <t>NM_033084.4</t>
  </si>
  <si>
    <t>NM_021922.2</t>
  </si>
  <si>
    <t>NM_022725.3</t>
  </si>
  <si>
    <t>NM_004629.1</t>
  </si>
  <si>
    <t>NM_001113378.1</t>
  </si>
  <si>
    <t>NM_001114636.1</t>
  </si>
  <si>
    <t>NM_000157.3</t>
  </si>
  <si>
    <t>NM_001164617.1</t>
  </si>
  <si>
    <t>NM_000410.3</t>
  </si>
  <si>
    <t>NM_005546.3</t>
  </si>
  <si>
    <t>NM_001128425.1</t>
  </si>
  <si>
    <t>NM_006502.2</t>
  </si>
  <si>
    <t>NM_005041.4</t>
  </si>
  <si>
    <t>NM_004260.3</t>
  </si>
  <si>
    <t>NM_016038.2</t>
  </si>
  <si>
    <t>NM_001127701.1</t>
  </si>
  <si>
    <t>NM_002351.4</t>
  </si>
  <si>
    <t>NG_017041.1</t>
  </si>
  <si>
    <t>NM_001160210.1</t>
  </si>
  <si>
    <t>NM_032444.2</t>
  </si>
  <si>
    <t>NM_015294.3</t>
  </si>
  <si>
    <t>NM_000377.2</t>
  </si>
  <si>
    <t>NM_000553.4</t>
  </si>
  <si>
    <t>NM_000380.3</t>
  </si>
  <si>
    <t>NM_004628.4</t>
  </si>
  <si>
    <t>ACMG Incidental (Secondary) Findings genes not associated with cancer</t>
  </si>
  <si>
    <t>NM_001141945.1</t>
  </si>
  <si>
    <t>NM_005159.4</t>
  </si>
  <si>
    <t>NM_000384.2</t>
  </si>
  <si>
    <t>NM_000069.2</t>
  </si>
  <si>
    <t>NM_000090.3</t>
  </si>
  <si>
    <t>NM_024422.4</t>
  </si>
  <si>
    <t>NM_0019434</t>
  </si>
  <si>
    <t>NM_004415.3</t>
  </si>
  <si>
    <t>NM_000138.4</t>
  </si>
  <si>
    <t>NM_000169.2</t>
  </si>
  <si>
    <t>NM_000238.3</t>
  </si>
  <si>
    <t>NM_000218.2</t>
  </si>
  <si>
    <t>NM_000527.4</t>
  </si>
  <si>
    <t>NM_170707.3</t>
  </si>
  <si>
    <t>NM_000256.3</t>
  </si>
  <si>
    <t>NM_002474.2</t>
  </si>
  <si>
    <t>NM_000257.3</t>
  </si>
  <si>
    <t>NM_000432.3</t>
  </si>
  <si>
    <t>NM_000258.2</t>
  </si>
  <si>
    <t>NM_053025.3</t>
  </si>
  <si>
    <t>NM_174936.3</t>
  </si>
  <si>
    <t>NM_004572.3</t>
  </si>
  <si>
    <t>NM_016203.3</t>
  </si>
  <si>
    <t>NM_000540.2</t>
  </si>
  <si>
    <t>NM_001035.2</t>
  </si>
  <si>
    <t>NM_198056.2</t>
  </si>
  <si>
    <t>NM_005902.3</t>
  </si>
  <si>
    <t>NM_001024847.2</t>
  </si>
  <si>
    <t>NM_024334.2</t>
  </si>
  <si>
    <t>NM_000363.4</t>
  </si>
  <si>
    <t>NM_001001432.2</t>
  </si>
  <si>
    <t>NM_001018005.1</t>
  </si>
  <si>
    <r>
      <t>TP53</t>
    </r>
    <r>
      <rPr>
        <sz val="11"/>
        <color theme="1"/>
        <rFont val="Arial"/>
        <family val="2"/>
      </rPr>
      <t xml:space="preserve"> p.Arg175His, c.524G&gt;A</t>
    </r>
  </si>
  <si>
    <r>
      <t>TP53</t>
    </r>
    <r>
      <rPr>
        <sz val="11"/>
        <color theme="1"/>
        <rFont val="Arial"/>
        <family val="2"/>
      </rPr>
      <t xml:space="preserve"> p.Arg248Gln, c.743G&gt;A</t>
    </r>
  </si>
  <si>
    <r>
      <t>TP53</t>
    </r>
    <r>
      <rPr>
        <sz val="11"/>
        <color theme="1"/>
        <rFont val="Arial"/>
        <family val="2"/>
      </rPr>
      <t xml:space="preserve"> p.Cys176Ser, c.526T&gt;A, </t>
    </r>
    <r>
      <rPr>
        <i/>
        <sz val="11"/>
        <color theme="1"/>
        <rFont val="Arial"/>
        <family val="2"/>
      </rPr>
      <t>RAD51D</t>
    </r>
    <r>
      <rPr>
        <sz val="11"/>
        <color theme="1"/>
        <rFont val="Arial"/>
        <family val="2"/>
      </rPr>
      <t xml:space="preserve"> p.Pro129X, c.386insC</t>
    </r>
  </si>
  <si>
    <r>
      <t>TP53</t>
    </r>
    <r>
      <rPr>
        <sz val="11"/>
        <color theme="1"/>
        <rFont val="Arial"/>
        <family val="2"/>
      </rPr>
      <t xml:space="preserve"> p.Gly334Arg, c.1000G&gt;C</t>
    </r>
  </si>
  <si>
    <r>
      <t>PALB2</t>
    </r>
    <r>
      <rPr>
        <sz val="11"/>
        <color theme="1"/>
        <rFont val="Arial"/>
        <family val="2"/>
      </rPr>
      <t xml:space="preserve"> p.Leu337X, c.1010T&gt;G</t>
    </r>
  </si>
  <si>
    <r>
      <t>ATM</t>
    </r>
    <r>
      <rPr>
        <sz val="11"/>
        <color theme="1"/>
        <rFont val="Arial"/>
        <family val="2"/>
      </rPr>
      <t xml:space="preserve"> p.Trp57X, c.170G&gt;A</t>
    </r>
  </si>
  <si>
    <r>
      <t xml:space="preserve">FANCM </t>
    </r>
    <r>
      <rPr>
        <sz val="11"/>
        <color theme="1"/>
        <rFont val="Arial"/>
        <family val="2"/>
      </rPr>
      <t>p.Gln1701X, c.5101C&gt;T:</t>
    </r>
  </si>
  <si>
    <r>
      <t xml:space="preserve">MRE11A </t>
    </r>
    <r>
      <rPr>
        <sz val="11"/>
        <color theme="1"/>
        <rFont val="Arial"/>
        <family val="2"/>
      </rPr>
      <t>p.Arg367X, c.1099C&gt;T</t>
    </r>
  </si>
  <si>
    <t>Individual/ Family (Proband*)(a)</t>
  </si>
  <si>
    <t>Categories (b,c)</t>
  </si>
  <si>
    <t>Age &amp; Histology proband breast cancer(d)</t>
  </si>
  <si>
    <t>HRF criteria (#EOBC/non-EOBC)(b,e)</t>
  </si>
  <si>
    <t>Family history of other cancers (based on proband, known diagnoses only)d</t>
  </si>
  <si>
    <t>a: Proband defined as family member with breast cancer at youngest age</t>
  </si>
  <si>
    <r>
      <t xml:space="preserve">b: EOBC = bresat cancer under age 45, BrOv = primary breast and ovaian cancer in one individual, HRF = </t>
    </r>
    <r>
      <rPr>
        <u/>
        <sz val="11"/>
        <color theme="1"/>
        <rFont val="Arial"/>
        <family val="2"/>
      </rPr>
      <t>&gt;</t>
    </r>
    <r>
      <rPr>
        <sz val="11"/>
        <color theme="1"/>
        <rFont val="Arial"/>
        <family val="2"/>
      </rPr>
      <t>3 first to third degree relatives on same lineage with breast cancer under age 70</t>
    </r>
  </si>
  <si>
    <t>c: BrOv patients described in detail in Schrader et al, manuscript in preparation</t>
  </si>
  <si>
    <t>d: DCIS = ductal carcinoma in situ, IDC = invasive ductal carcinoma, NOS = undefined/unknown histology</t>
  </si>
  <si>
    <t>e: M = maternal lineage, P = paternal lineage, C/S/N/N = children, siblings, nieces and nephews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</si>
</sst>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6" formatCode="0.000%"/>
    <numFmt numFmtId="167" formatCode="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b/>
      <sz val="11"/>
      <color theme="0"/>
      <name val="Arial"/>
      <family val="2"/>
    </font>
    <font>
      <sz val="11"/>
      <color theme="1" tint="4.9989318521683403E-2"/>
      <name val="Arial"/>
      <family val="2"/>
    </font>
    <font>
      <sz val="11"/>
      <color theme="3" tint="-0.499984740745262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theme="1" tint="4.9989318521683403E-2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29" applyNumberFormat="0" applyFill="0" applyAlignment="0" applyProtection="0"/>
    <xf numFmtId="0" fontId="18" fillId="0" borderId="30" applyNumberFormat="0" applyFill="0" applyAlignment="0" applyProtection="0"/>
    <xf numFmtId="0" fontId="19" fillId="0" borderId="31" applyNumberFormat="0" applyFill="0" applyAlignment="0" applyProtection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32" applyNumberFormat="0" applyAlignment="0" applyProtection="0"/>
    <xf numFmtId="0" fontId="24" fillId="7" borderId="33" applyNumberFormat="0" applyAlignment="0" applyProtection="0"/>
    <xf numFmtId="0" fontId="25" fillId="7" borderId="32" applyNumberFormat="0" applyAlignment="0" applyProtection="0"/>
    <xf numFmtId="0" fontId="26" fillId="0" borderId="34" applyNumberFormat="0" applyFill="0" applyAlignment="0" applyProtection="0"/>
    <xf numFmtId="0" fontId="27" fillId="8" borderId="35" applyNumberFormat="0" applyAlignment="0" applyProtection="0"/>
    <xf numFmtId="0" fontId="28" fillId="0" borderId="0" applyNumberFormat="0" applyFill="0" applyBorder="0" applyAlignment="0" applyProtection="0"/>
    <xf numFmtId="0" fontId="1" fillId="9" borderId="36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37" applyNumberFormat="0" applyFill="0" applyAlignment="0" applyProtection="0"/>
    <xf numFmtId="0" fontId="3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33" borderId="0" applyNumberFormat="0" applyBorder="0" applyAlignment="0" applyProtection="0"/>
    <xf numFmtId="164" fontId="1" fillId="0" borderId="0" applyFont="0" applyFill="0" applyBorder="0" applyAlignment="0" applyProtection="0"/>
  </cellStyleXfs>
  <cellXfs count="218">
    <xf numFmtId="0" fontId="0" fillId="0" borderId="0" xfId="0"/>
    <xf numFmtId="0" fontId="4" fillId="0" borderId="0" xfId="0" applyFont="1" applyBorder="1"/>
    <xf numFmtId="0" fontId="5" fillId="0" borderId="0" xfId="0" applyFont="1" applyBorder="1" applyAlignment="1"/>
    <xf numFmtId="0" fontId="5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0" fontId="4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7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/>
    </xf>
    <xf numFmtId="0" fontId="4" fillId="0" borderId="0" xfId="0" applyFont="1" applyBorder="1" applyAlignment="1">
      <alignment vertical="top"/>
    </xf>
    <xf numFmtId="0" fontId="6" fillId="0" borderId="23" xfId="4" applyFont="1" applyFill="1" applyBorder="1" applyAlignment="1">
      <alignment vertical="top"/>
    </xf>
    <xf numFmtId="0" fontId="5" fillId="0" borderId="13" xfId="0" applyFont="1" applyFill="1" applyBorder="1" applyAlignment="1">
      <alignment vertical="top"/>
    </xf>
    <xf numFmtId="0" fontId="4" fillId="0" borderId="13" xfId="0" applyFont="1" applyFill="1" applyBorder="1" applyAlignment="1">
      <alignment vertical="top" wrapText="1"/>
    </xf>
    <xf numFmtId="0" fontId="4" fillId="0" borderId="13" xfId="0" applyFont="1" applyFill="1" applyBorder="1" applyAlignment="1">
      <alignment horizontal="center" vertical="top" wrapText="1"/>
    </xf>
    <xf numFmtId="0" fontId="5" fillId="0" borderId="22" xfId="0" applyFont="1" applyFill="1" applyBorder="1" applyAlignment="1">
      <alignment vertical="top" wrapText="1"/>
    </xf>
    <xf numFmtId="0" fontId="8" fillId="0" borderId="23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center" vertical="top"/>
    </xf>
    <xf numFmtId="0" fontId="6" fillId="0" borderId="23" xfId="4" applyFont="1" applyFill="1" applyBorder="1" applyAlignment="1">
      <alignment vertical="top" wrapText="1"/>
    </xf>
    <xf numFmtId="0" fontId="9" fillId="0" borderId="0" xfId="0" applyFont="1" applyFill="1" applyBorder="1" applyAlignment="1">
      <alignment horizontal="center" vertical="top" wrapText="1"/>
    </xf>
    <xf numFmtId="0" fontId="8" fillId="0" borderId="23" xfId="0" applyFont="1" applyFill="1" applyBorder="1" applyAlignment="1">
      <alignment horizontal="left" vertical="top" wrapText="1"/>
    </xf>
    <xf numFmtId="0" fontId="4" fillId="0" borderId="23" xfId="0" applyFont="1" applyFill="1" applyBorder="1" applyAlignment="1">
      <alignment vertical="top" wrapText="1"/>
    </xf>
    <xf numFmtId="0" fontId="4" fillId="0" borderId="23" xfId="0" applyFont="1" applyFill="1" applyBorder="1" applyAlignment="1">
      <alignment horizontal="left" vertical="top" wrapText="1"/>
    </xf>
    <xf numFmtId="0" fontId="10" fillId="0" borderId="23" xfId="3" applyFont="1" applyFill="1" applyBorder="1" applyAlignment="1">
      <alignment horizontal="left" vertical="top" wrapText="1"/>
    </xf>
    <xf numFmtId="0" fontId="10" fillId="0" borderId="0" xfId="3" applyFont="1" applyFill="1" applyBorder="1" applyAlignment="1">
      <alignment horizontal="left" vertical="top" wrapText="1"/>
    </xf>
    <xf numFmtId="0" fontId="11" fillId="0" borderId="23" xfId="3" applyFont="1" applyFill="1" applyBorder="1" applyAlignment="1">
      <alignment horizontal="left" vertical="top" wrapText="1"/>
    </xf>
    <xf numFmtId="0" fontId="11" fillId="0" borderId="0" xfId="3" applyFont="1" applyFill="1" applyBorder="1" applyAlignment="1">
      <alignment horizontal="left" vertical="top" wrapText="1"/>
    </xf>
    <xf numFmtId="0" fontId="4" fillId="0" borderId="24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9" fontId="4" fillId="0" borderId="0" xfId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center" wrapText="1"/>
    </xf>
    <xf numFmtId="2" fontId="14" fillId="0" borderId="0" xfId="0" applyNumberFormat="1" applyFont="1" applyFill="1" applyBorder="1" applyAlignment="1">
      <alignment horizontal="center"/>
    </xf>
    <xf numFmtId="9" fontId="4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wrapText="1"/>
    </xf>
    <xf numFmtId="165" fontId="4" fillId="0" borderId="0" xfId="1" applyNumberFormat="1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166" fontId="4" fillId="0" borderId="0" xfId="1" applyNumberFormat="1" applyFont="1" applyBorder="1"/>
    <xf numFmtId="167" fontId="4" fillId="0" borderId="0" xfId="0" applyNumberFormat="1" applyFont="1" applyFill="1" applyBorder="1" applyAlignment="1">
      <alignment horizontal="center"/>
    </xf>
    <xf numFmtId="167" fontId="5" fillId="0" borderId="0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2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textRotation="90" wrapText="1"/>
    </xf>
    <xf numFmtId="0" fontId="4" fillId="0" borderId="9" xfId="0" applyFont="1" applyBorder="1" applyAlignment="1">
      <alignment horizontal="right" vertical="center" wrapText="1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center" wrapText="1"/>
    </xf>
    <xf numFmtId="0" fontId="4" fillId="0" borderId="12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vertical="top" wrapText="1"/>
    </xf>
    <xf numFmtId="0" fontId="4" fillId="0" borderId="0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wrapText="1"/>
    </xf>
    <xf numFmtId="9" fontId="5" fillId="0" borderId="0" xfId="0" applyNumberFormat="1" applyFont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center" vertical="top" wrapText="1"/>
    </xf>
    <xf numFmtId="0" fontId="5" fillId="0" borderId="15" xfId="0" applyFont="1" applyFill="1" applyBorder="1" applyAlignment="1">
      <alignment horizontal="center" vertical="top" wrapText="1"/>
    </xf>
    <xf numFmtId="0" fontId="5" fillId="0" borderId="16" xfId="0" applyFont="1" applyFill="1" applyBorder="1" applyAlignment="1">
      <alignment horizontal="center" vertical="top" wrapText="1"/>
    </xf>
    <xf numFmtId="0" fontId="5" fillId="0" borderId="22" xfId="0" applyFont="1" applyFill="1" applyBorder="1" applyAlignment="1">
      <alignment horizontal="center" vertical="top" wrapText="1"/>
    </xf>
    <xf numFmtId="9" fontId="5" fillId="0" borderId="15" xfId="1" applyFont="1" applyFill="1" applyBorder="1" applyAlignment="1">
      <alignment horizontal="center" vertical="top" wrapText="1"/>
    </xf>
    <xf numFmtId="2" fontId="5" fillId="0" borderId="15" xfId="0" applyNumberFormat="1" applyFont="1" applyFill="1" applyBorder="1" applyAlignment="1">
      <alignment horizontal="center" vertical="top" wrapText="1"/>
    </xf>
    <xf numFmtId="0" fontId="5" fillId="0" borderId="17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top"/>
    </xf>
    <xf numFmtId="0" fontId="5" fillId="0" borderId="18" xfId="0" applyFont="1" applyFill="1" applyBorder="1" applyAlignment="1">
      <alignment horizontal="center" vertical="top"/>
    </xf>
    <xf numFmtId="0" fontId="5" fillId="0" borderId="23" xfId="0" applyFont="1" applyFill="1" applyBorder="1" applyAlignment="1">
      <alignment horizontal="center" vertical="top"/>
    </xf>
    <xf numFmtId="0" fontId="5" fillId="0" borderId="17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4" fillId="0" borderId="17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18" xfId="0" applyFont="1" applyFill="1" applyBorder="1" applyAlignment="1">
      <alignment vertical="top" wrapText="1"/>
    </xf>
    <xf numFmtId="0" fontId="4" fillId="0" borderId="23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9" fontId="4" fillId="0" borderId="1" xfId="1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>
      <alignment horizontal="center" vertical="top" wrapText="1"/>
    </xf>
    <xf numFmtId="0" fontId="4" fillId="0" borderId="18" xfId="0" applyFont="1" applyFill="1" applyBorder="1" applyAlignment="1">
      <alignment horizontal="center" vertical="top" wrapText="1"/>
    </xf>
    <xf numFmtId="0" fontId="4" fillId="0" borderId="25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9" xfId="0" applyFont="1" applyFill="1" applyBorder="1" applyAlignment="1">
      <alignment vertical="top" wrapText="1"/>
    </xf>
    <xf numFmtId="0" fontId="4" fillId="0" borderId="20" xfId="0" applyFont="1" applyFill="1" applyBorder="1" applyAlignment="1">
      <alignment vertical="top" wrapText="1"/>
    </xf>
    <xf numFmtId="0" fontId="4" fillId="0" borderId="21" xfId="0" applyFont="1" applyFill="1" applyBorder="1" applyAlignment="1">
      <alignment vertical="top" wrapText="1"/>
    </xf>
    <xf numFmtId="0" fontId="4" fillId="0" borderId="24" xfId="0" applyFont="1" applyFill="1" applyBorder="1" applyAlignment="1">
      <alignment horizontal="center" vertical="top" wrapText="1"/>
    </xf>
    <xf numFmtId="0" fontId="4" fillId="0" borderId="20" xfId="0" applyFont="1" applyFill="1" applyBorder="1" applyAlignment="1">
      <alignment horizontal="center" vertical="top" wrapText="1"/>
    </xf>
    <xf numFmtId="9" fontId="4" fillId="0" borderId="20" xfId="1" applyFont="1" applyFill="1" applyBorder="1" applyAlignment="1">
      <alignment horizontal="center" vertical="top" wrapText="1"/>
    </xf>
    <xf numFmtId="2" fontId="4" fillId="0" borderId="20" xfId="0" applyNumberFormat="1" applyFont="1" applyFill="1" applyBorder="1" applyAlignment="1">
      <alignment horizontal="center" vertical="top" wrapText="1"/>
    </xf>
    <xf numFmtId="0" fontId="4" fillId="0" borderId="21" xfId="0" applyFont="1" applyFill="1" applyBorder="1" applyAlignment="1">
      <alignment horizontal="center" vertical="top" wrapText="1"/>
    </xf>
    <xf numFmtId="0" fontId="4" fillId="0" borderId="7" xfId="0" applyFont="1" applyFill="1" applyBorder="1"/>
    <xf numFmtId="9" fontId="4" fillId="0" borderId="0" xfId="1" applyFont="1" applyFill="1" applyBorder="1" applyAlignment="1">
      <alignment horizontal="center" vertical="top" wrapText="1"/>
    </xf>
    <xf numFmtId="2" fontId="4" fillId="0" borderId="0" xfId="0" applyNumberFormat="1" applyFont="1" applyFill="1" applyBorder="1" applyAlignment="1">
      <alignment horizontal="center" vertical="top" wrapText="1"/>
    </xf>
    <xf numFmtId="0" fontId="4" fillId="0" borderId="9" xfId="0" applyFont="1" applyFill="1" applyBorder="1"/>
    <xf numFmtId="0" fontId="4" fillId="0" borderId="12" xfId="0" applyFont="1" applyFill="1" applyBorder="1"/>
    <xf numFmtId="0" fontId="3" fillId="0" borderId="23" xfId="4" applyFill="1" applyBorder="1" applyAlignment="1">
      <alignment vertical="top"/>
    </xf>
    <xf numFmtId="9" fontId="5" fillId="0" borderId="0" xfId="1" applyFont="1" applyFill="1" applyBorder="1" applyAlignment="1">
      <alignment horizontal="center"/>
    </xf>
    <xf numFmtId="0" fontId="3" fillId="0" borderId="23" xfId="4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10" fontId="4" fillId="0" borderId="0" xfId="1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 wrapText="1"/>
    </xf>
    <xf numFmtId="10" fontId="4" fillId="0" borderId="0" xfId="1" applyNumberFormat="1" applyFont="1" applyBorder="1" applyAlignment="1">
      <alignment horizontal="center" wrapText="1"/>
    </xf>
    <xf numFmtId="0" fontId="4" fillId="0" borderId="42" xfId="0" applyFont="1" applyFill="1" applyBorder="1" applyAlignment="1">
      <alignment vertical="top" wrapText="1"/>
    </xf>
    <xf numFmtId="0" fontId="4" fillId="0" borderId="43" xfId="0" applyFont="1" applyFill="1" applyBorder="1" applyAlignment="1">
      <alignment horizontal="center" vertical="top" wrapText="1"/>
    </xf>
    <xf numFmtId="0" fontId="4" fillId="0" borderId="44" xfId="0" applyFont="1" applyFill="1" applyBorder="1" applyAlignment="1">
      <alignment horizontal="center" vertical="top" wrapText="1"/>
    </xf>
    <xf numFmtId="0" fontId="5" fillId="0" borderId="0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64" fontId="4" fillId="0" borderId="1" xfId="46" applyFont="1" applyBorder="1" applyAlignment="1">
      <alignment horizontal="left" vertical="top" wrapText="1"/>
    </xf>
    <xf numFmtId="164" fontId="4" fillId="0" borderId="1" xfId="46" applyFont="1" applyFill="1" applyBorder="1" applyAlignment="1">
      <alignment horizontal="left" vertical="top" wrapText="1"/>
    </xf>
    <xf numFmtId="0" fontId="11" fillId="0" borderId="1" xfId="4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46" applyNumberFormat="1" applyFont="1" applyBorder="1" applyAlignment="1">
      <alignment horizontal="center" vertical="top" wrapText="1"/>
    </xf>
    <xf numFmtId="164" fontId="4" fillId="0" borderId="0" xfId="46" applyFont="1" applyBorder="1" applyAlignment="1">
      <alignment horizontal="left" vertical="top" wrapText="1"/>
    </xf>
    <xf numFmtId="0" fontId="3" fillId="0" borderId="23" xfId="4" applyFill="1" applyBorder="1" applyAlignment="1">
      <alignment vertical="top" wrapText="1"/>
    </xf>
    <xf numFmtId="0" fontId="4" fillId="0" borderId="4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11" fontId="4" fillId="0" borderId="1" xfId="0" applyNumberFormat="1" applyFont="1" applyFill="1" applyBorder="1" applyAlignment="1">
      <alignment vertical="top" wrapText="1"/>
    </xf>
    <xf numFmtId="0" fontId="5" fillId="0" borderId="45" xfId="0" applyFont="1" applyFill="1" applyBorder="1" applyAlignment="1">
      <alignment horizontal="center" vertical="top" wrapText="1"/>
    </xf>
    <xf numFmtId="0" fontId="5" fillId="0" borderId="46" xfId="0" applyFont="1" applyFill="1" applyBorder="1" applyAlignment="1">
      <alignment horizontal="center" vertical="top" wrapText="1"/>
    </xf>
    <xf numFmtId="0" fontId="5" fillId="0" borderId="42" xfId="0" applyFont="1" applyFill="1" applyBorder="1" applyAlignment="1">
      <alignment horizontal="center" vertical="top"/>
    </xf>
    <xf numFmtId="0" fontId="4" fillId="0" borderId="47" xfId="0" applyFont="1" applyFill="1" applyBorder="1" applyAlignment="1">
      <alignment vertical="top" wrapText="1"/>
    </xf>
    <xf numFmtId="0" fontId="5" fillId="0" borderId="43" xfId="0" applyFont="1" applyFill="1" applyBorder="1" applyAlignment="1">
      <alignment horizontal="center" vertical="top"/>
    </xf>
    <xf numFmtId="0" fontId="4" fillId="0" borderId="48" xfId="0" applyFont="1" applyFill="1" applyBorder="1" applyAlignment="1">
      <alignment horizontal="left" vertical="top"/>
    </xf>
    <xf numFmtId="0" fontId="4" fillId="0" borderId="43" xfId="0" applyFont="1" applyFill="1" applyBorder="1" applyAlignment="1">
      <alignment horizontal="left" vertical="top"/>
    </xf>
    <xf numFmtId="0" fontId="5" fillId="0" borderId="18" xfId="0" applyFont="1" applyFill="1" applyBorder="1" applyAlignment="1">
      <alignment horizontal="left" vertical="top"/>
    </xf>
    <xf numFmtId="0" fontId="5" fillId="0" borderId="18" xfId="0" applyFont="1" applyFill="1" applyBorder="1" applyAlignment="1">
      <alignment vertical="top"/>
    </xf>
    <xf numFmtId="11" fontId="4" fillId="0" borderId="17" xfId="0" applyNumberFormat="1" applyFont="1" applyFill="1" applyBorder="1" applyAlignment="1">
      <alignment vertical="top" wrapText="1"/>
    </xf>
    <xf numFmtId="11" fontId="4" fillId="0" borderId="18" xfId="0" applyNumberFormat="1" applyFont="1" applyFill="1" applyBorder="1" applyAlignment="1">
      <alignment vertical="top" wrapText="1"/>
    </xf>
    <xf numFmtId="11" fontId="4" fillId="0" borderId="17" xfId="0" applyNumberFormat="1" applyFont="1" applyFill="1" applyBorder="1" applyAlignment="1">
      <alignment horizontal="center" vertical="top" wrapText="1"/>
    </xf>
    <xf numFmtId="2" fontId="4" fillId="0" borderId="18" xfId="0" applyNumberFormat="1" applyFont="1" applyFill="1" applyBorder="1" applyAlignment="1">
      <alignment horizontal="center" vertical="top" wrapText="1"/>
    </xf>
    <xf numFmtId="0" fontId="5" fillId="0" borderId="0" xfId="0" applyFont="1" applyBorder="1" applyAlignment="1">
      <alignment vertical="top"/>
    </xf>
    <xf numFmtId="0" fontId="5" fillId="0" borderId="38" xfId="0" applyFont="1" applyFill="1" applyBorder="1" applyAlignment="1">
      <alignment horizontal="center" vertical="top" wrapText="1"/>
    </xf>
    <xf numFmtId="0" fontId="5" fillId="0" borderId="39" xfId="0" applyFont="1" applyFill="1" applyBorder="1" applyAlignment="1">
      <alignment horizontal="left" vertical="top"/>
    </xf>
    <xf numFmtId="0" fontId="4" fillId="0" borderId="39" xfId="0" applyFont="1" applyFill="1" applyBorder="1" applyAlignment="1">
      <alignment vertical="top" wrapText="1"/>
    </xf>
    <xf numFmtId="0" fontId="5" fillId="0" borderId="39" xfId="0" applyFont="1" applyFill="1" applyBorder="1" applyAlignment="1">
      <alignment vertical="top"/>
    </xf>
    <xf numFmtId="0" fontId="4" fillId="0" borderId="40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/>
    </xf>
    <xf numFmtId="0" fontId="4" fillId="0" borderId="0" xfId="0" applyNumberFormat="1" applyFont="1" applyAlignment="1">
      <alignment horizontal="center"/>
    </xf>
    <xf numFmtId="0" fontId="4" fillId="0" borderId="28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4" fillId="0" borderId="6" xfId="0" applyFont="1" applyBorder="1"/>
    <xf numFmtId="0" fontId="5" fillId="0" borderId="3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1" xfId="0" applyFont="1" applyBorder="1" applyAlignment="1">
      <alignment vertical="top" wrapText="1"/>
    </xf>
    <xf numFmtId="0" fontId="4" fillId="0" borderId="6" xfId="0" applyFont="1" applyBorder="1" applyAlignment="1">
      <alignment vertical="center" wrapText="1"/>
    </xf>
    <xf numFmtId="0" fontId="5" fillId="0" borderId="26" xfId="0" applyFont="1" applyBorder="1" applyAlignment="1">
      <alignment horizontal="center" textRotation="90" wrapText="1"/>
    </xf>
    <xf numFmtId="0" fontId="4" fillId="0" borderId="25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28" xfId="0" applyFont="1" applyBorder="1" applyAlignment="1">
      <alignment horizontal="center" wrapText="1"/>
    </xf>
    <xf numFmtId="0" fontId="4" fillId="0" borderId="7" xfId="0" applyFont="1" applyFill="1" applyBorder="1" applyAlignment="1">
      <alignment vertical="top" wrapText="1"/>
    </xf>
    <xf numFmtId="0" fontId="4" fillId="0" borderId="12" xfId="0" applyFont="1" applyFill="1" applyBorder="1" applyAlignment="1">
      <alignment vertical="top" wrapText="1"/>
    </xf>
    <xf numFmtId="0" fontId="4" fillId="0" borderId="6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14" fillId="0" borderId="6" xfId="0" applyFont="1" applyFill="1" applyBorder="1" applyAlignment="1">
      <alignment horizontal="left" vertical="top" wrapText="1"/>
    </xf>
    <xf numFmtId="0" fontId="14" fillId="0" borderId="10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4" fillId="0" borderId="2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top"/>
    </xf>
    <xf numFmtId="0" fontId="4" fillId="0" borderId="7" xfId="0" applyFont="1" applyFill="1" applyBorder="1" applyAlignment="1">
      <alignment vertical="top" wrapText="1"/>
    </xf>
    <xf numFmtId="0" fontId="4" fillId="0" borderId="12" xfId="0" applyFont="1" applyFill="1" applyBorder="1" applyAlignment="1">
      <alignment vertical="top" wrapText="1"/>
    </xf>
    <xf numFmtId="0" fontId="4" fillId="0" borderId="6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14" fillId="0" borderId="6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7" xfId="0" applyFont="1" applyFill="1" applyBorder="1" applyAlignment="1">
      <alignment vertical="top" wrapText="1"/>
    </xf>
    <xf numFmtId="0" fontId="14" fillId="0" borderId="12" xfId="0" applyFont="1" applyFill="1" applyBorder="1" applyAlignment="1">
      <alignment vertical="top" wrapText="1"/>
    </xf>
    <xf numFmtId="0" fontId="4" fillId="0" borderId="9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top" wrapText="1"/>
    </xf>
    <xf numFmtId="20" fontId="4" fillId="0" borderId="0" xfId="0" applyNumberFormat="1" applyFont="1" applyFill="1" applyBorder="1" applyAlignment="1">
      <alignment horizontal="left" vertical="top" wrapText="1"/>
    </xf>
    <xf numFmtId="0" fontId="4" fillId="0" borderId="2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vertical="center" wrapText="1"/>
    </xf>
    <xf numFmtId="0" fontId="14" fillId="0" borderId="25" xfId="0" applyFont="1" applyBorder="1" applyAlignment="1">
      <alignment vertical="center" wrapText="1"/>
    </xf>
    <xf numFmtId="0" fontId="14" fillId="0" borderId="27" xfId="0" applyFont="1" applyBorder="1" applyAlignment="1">
      <alignment vertical="center" wrapText="1"/>
    </xf>
    <xf numFmtId="0" fontId="4" fillId="0" borderId="28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14" fillId="0" borderId="28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</cellXfs>
  <cellStyles count="47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46" builtinId="3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4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3 2" xfId="2" xr:uid="{00000000-0005-0000-0000-000027000000}"/>
    <cellStyle name="Normal 3 2 2" xfId="3" xr:uid="{00000000-0005-0000-0000-000028000000}"/>
    <cellStyle name="Note" xfId="19" builtinId="10" customBuiltin="1"/>
    <cellStyle name="Output" xfId="14" builtinId="21" customBuiltin="1"/>
    <cellStyle name="Percent" xfId="1" builtinId="5"/>
    <cellStyle name="Title" xfId="5" builtinId="15" customBuiltin="1"/>
    <cellStyle name="Total" xfId="21" builtinId="25" customBuiltin="1"/>
    <cellStyle name="Warning Text" xfId="18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dgen.ua.ac.be/LOVDv.2.0/home.php?select_db=EXT1" TargetMode="External"/><Relationship Id="rId13" Type="http://schemas.openxmlformats.org/officeDocument/2006/relationships/hyperlink" Target="http://triad.fsm.it/cardmoc/" TargetMode="External"/><Relationship Id="rId18" Type="http://schemas.openxmlformats.org/officeDocument/2006/relationships/hyperlink" Target="http://www.arvcdatabase.info/Default.aspx" TargetMode="External"/><Relationship Id="rId26" Type="http://schemas.openxmlformats.org/officeDocument/2006/relationships/hyperlink" Target="http://hci-exlovd.hci.utah.edu/home.php" TargetMode="External"/><Relationship Id="rId3" Type="http://schemas.openxmlformats.org/officeDocument/2006/relationships/hyperlink" Target="http://insight-group.org/variants/database/" TargetMode="External"/><Relationship Id="rId21" Type="http://schemas.openxmlformats.org/officeDocument/2006/relationships/hyperlink" Target="http://www.pathology.washington.edu/research/werner/database/" TargetMode="External"/><Relationship Id="rId7" Type="http://schemas.openxmlformats.org/officeDocument/2006/relationships/hyperlink" Target="http://medgen.ua.ac.be/LOVDv.2.0/home.php?select_db=EXT1" TargetMode="External"/><Relationship Id="rId12" Type="http://schemas.openxmlformats.org/officeDocument/2006/relationships/hyperlink" Target="http://triad.fsm.it/cardmoc/" TargetMode="External"/><Relationship Id="rId17" Type="http://schemas.openxmlformats.org/officeDocument/2006/relationships/hyperlink" Target="http://www.arvcdatabase.info/" TargetMode="External"/><Relationship Id="rId25" Type="http://schemas.openxmlformats.org/officeDocument/2006/relationships/hyperlink" Target="http://hci-exlovd.hci.utah.edu/home.php" TargetMode="External"/><Relationship Id="rId2" Type="http://schemas.openxmlformats.org/officeDocument/2006/relationships/hyperlink" Target="http://davinci.crg.es/deafness/" TargetMode="External"/><Relationship Id="rId16" Type="http://schemas.openxmlformats.org/officeDocument/2006/relationships/hyperlink" Target="http://www.arup.utah.edu/database/SMAD4/SMAD4_display.php" TargetMode="External"/><Relationship Id="rId20" Type="http://schemas.openxmlformats.org/officeDocument/2006/relationships/hyperlink" Target="http://www.col7.info/" TargetMode="External"/><Relationship Id="rId29" Type="http://schemas.openxmlformats.org/officeDocument/2006/relationships/hyperlink" Target="http://chromium.lovd.nl/LOVD2/TSC/home.php?select_db=TSC1&amp;used_old_url" TargetMode="External"/><Relationship Id="rId1" Type="http://schemas.openxmlformats.org/officeDocument/2006/relationships/hyperlink" Target="http://chromium.lovd.nl/LOVD2/SDH/home.php?select_db=FH" TargetMode="External"/><Relationship Id="rId6" Type="http://schemas.openxmlformats.org/officeDocument/2006/relationships/hyperlink" Target="http://insight-group.org/variants/database/" TargetMode="External"/><Relationship Id="rId11" Type="http://schemas.openxmlformats.org/officeDocument/2006/relationships/hyperlink" Target="http://triad.fsm.it/cardmoc/" TargetMode="External"/><Relationship Id="rId24" Type="http://schemas.openxmlformats.org/officeDocument/2006/relationships/hyperlink" Target="http://www.arvcdatabase.info/Default.aspx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insight-group.org/variants/database/" TargetMode="External"/><Relationship Id="rId15" Type="http://schemas.openxmlformats.org/officeDocument/2006/relationships/hyperlink" Target="http://www.arup.utah.edu/database/MEN2/MEN2_display.php" TargetMode="External"/><Relationship Id="rId23" Type="http://schemas.openxmlformats.org/officeDocument/2006/relationships/hyperlink" Target="http://www.ncbi.nlm.nih.gov/books/NBK1146/table/mhs.T.ryr1_allelic_variants_discussed_in/?report=objectonly" TargetMode="External"/><Relationship Id="rId28" Type="http://schemas.openxmlformats.org/officeDocument/2006/relationships/hyperlink" Target="http://www.ncbi.nlm.nih.gov/books/NBK1440/" TargetMode="External"/><Relationship Id="rId10" Type="http://schemas.openxmlformats.org/officeDocument/2006/relationships/hyperlink" Target="http://telomerase.asu.edu/diseases.html" TargetMode="External"/><Relationship Id="rId19" Type="http://schemas.openxmlformats.org/officeDocument/2006/relationships/hyperlink" Target="http://www.arvcdatabase.info/Default.aspx" TargetMode="External"/><Relationship Id="rId31" Type="http://schemas.openxmlformats.org/officeDocument/2006/relationships/hyperlink" Target="http://databases.lovd.nl/shared/genes/PALB2" TargetMode="External"/><Relationship Id="rId4" Type="http://schemas.openxmlformats.org/officeDocument/2006/relationships/hyperlink" Target="http://insight-group.org/variants/database/" TargetMode="External"/><Relationship Id="rId9" Type="http://schemas.openxmlformats.org/officeDocument/2006/relationships/hyperlink" Target="http://telomerase.asu.edu/diseases.html" TargetMode="External"/><Relationship Id="rId14" Type="http://schemas.openxmlformats.org/officeDocument/2006/relationships/hyperlink" Target="http://triad.fsm.it/cardmoc/" TargetMode="External"/><Relationship Id="rId22" Type="http://schemas.openxmlformats.org/officeDocument/2006/relationships/hyperlink" Target="http://www.umd.be/APC/" TargetMode="External"/><Relationship Id="rId27" Type="http://schemas.openxmlformats.org/officeDocument/2006/relationships/hyperlink" Target="https://aip.fipapatients.org/index.php/login" TargetMode="External"/><Relationship Id="rId30" Type="http://schemas.openxmlformats.org/officeDocument/2006/relationships/hyperlink" Target="http://www.ncbi.nlm.nih.gov/books/NBK151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09"/>
  <sheetViews>
    <sheetView zoomScaleNormal="100" workbookViewId="0">
      <pane xSplit="1" ySplit="2" topLeftCell="B45" activePane="bottomRight" state="frozen"/>
      <selection activeCell="C12" sqref="C12"/>
      <selection pane="topRight" activeCell="C12" sqref="C12"/>
      <selection pane="bottomLeft" activeCell="C12" sqref="C12"/>
      <selection pane="bottomRight" activeCell="V4" sqref="V4"/>
    </sheetView>
  </sheetViews>
  <sheetFormatPr baseColWidth="10" defaultColWidth="9.1640625" defaultRowHeight="15" x14ac:dyDescent="0.2"/>
  <cols>
    <col min="1" max="1" width="18.6640625" style="5" customWidth="1"/>
    <col min="2" max="2" width="17.83203125" style="5" customWidth="1"/>
    <col min="3" max="3" width="8.33203125" style="5" customWidth="1"/>
    <col min="4" max="4" width="28.33203125" style="5" customWidth="1"/>
    <col min="5" max="5" width="26.33203125" style="5" customWidth="1"/>
    <col min="6" max="6" width="28.6640625" style="5" customWidth="1"/>
    <col min="7" max="7" width="28.83203125" style="5" customWidth="1"/>
    <col min="8" max="8" width="11.33203125" style="5" customWidth="1"/>
    <col min="9" max="9" width="9.83203125" style="5" customWidth="1"/>
    <col min="10" max="10" width="16.1640625" style="5" customWidth="1"/>
    <col min="11" max="11" width="13.33203125" style="5" customWidth="1"/>
    <col min="12" max="12" width="14.83203125" style="5" customWidth="1"/>
    <col min="13" max="13" width="11.83203125" style="39" customWidth="1"/>
    <col min="14" max="14" width="14.5" style="39" customWidth="1"/>
    <col min="15" max="15" width="18.83203125" style="39" customWidth="1"/>
    <col min="16" max="16" width="18" style="5" customWidth="1"/>
    <col min="17" max="18" width="15" style="5" customWidth="1"/>
    <col min="19" max="19" width="14.5" style="5" customWidth="1"/>
    <col min="20" max="20" width="19.6640625" style="39" customWidth="1"/>
    <col min="21" max="21" width="27.5" style="39" customWidth="1"/>
    <col min="22" max="22" width="70.33203125" style="5" customWidth="1"/>
    <col min="23" max="23" width="24.1640625" style="5" customWidth="1"/>
    <col min="24" max="25" width="9.1640625" style="5"/>
    <col min="26" max="52" width="8.83203125" customWidth="1"/>
    <col min="53" max="16384" width="9.1640625" style="5"/>
  </cols>
  <sheetData>
    <row r="1" spans="1:23" ht="16" thickBot="1" x14ac:dyDescent="0.25">
      <c r="A1" s="23" t="s">
        <v>1498</v>
      </c>
      <c r="B1" s="23"/>
      <c r="C1" s="23"/>
      <c r="D1" s="24"/>
      <c r="E1" s="24"/>
      <c r="F1" s="24"/>
      <c r="G1" s="24"/>
      <c r="H1" s="24"/>
      <c r="I1" s="24"/>
      <c r="J1" s="23"/>
      <c r="K1" s="23"/>
      <c r="L1" s="23"/>
      <c r="M1" s="25"/>
      <c r="N1" s="25"/>
      <c r="O1" s="25"/>
      <c r="P1" s="24"/>
      <c r="Q1" s="24"/>
      <c r="R1" s="24"/>
      <c r="S1" s="24"/>
      <c r="T1" s="25"/>
      <c r="U1" s="25"/>
      <c r="V1" s="24"/>
    </row>
    <row r="2" spans="1:23" ht="60" x14ac:dyDescent="0.2">
      <c r="A2" s="88" t="s">
        <v>0</v>
      </c>
      <c r="B2" s="162" t="s">
        <v>1752</v>
      </c>
      <c r="C2" s="162" t="s">
        <v>1504</v>
      </c>
      <c r="D2" s="89" t="s">
        <v>202</v>
      </c>
      <c r="E2" s="89" t="s">
        <v>835</v>
      </c>
      <c r="F2" s="89" t="s">
        <v>799</v>
      </c>
      <c r="G2" s="89" t="s">
        <v>203</v>
      </c>
      <c r="H2" s="89" t="s">
        <v>844</v>
      </c>
      <c r="I2" s="148" t="s">
        <v>198</v>
      </c>
      <c r="J2" s="88" t="s">
        <v>1540</v>
      </c>
      <c r="K2" s="89" t="s">
        <v>1539</v>
      </c>
      <c r="L2" s="90" t="s">
        <v>1541</v>
      </c>
      <c r="M2" s="149" t="s">
        <v>830</v>
      </c>
      <c r="N2" s="91" t="s">
        <v>831</v>
      </c>
      <c r="O2" s="91" t="s">
        <v>1740</v>
      </c>
      <c r="P2" s="89" t="s">
        <v>1494</v>
      </c>
      <c r="Q2" s="92" t="s">
        <v>1</v>
      </c>
      <c r="R2" s="92" t="s">
        <v>2</v>
      </c>
      <c r="S2" s="93" t="s">
        <v>3</v>
      </c>
      <c r="T2" s="90" t="s">
        <v>832</v>
      </c>
      <c r="U2" s="91" t="s">
        <v>1258</v>
      </c>
      <c r="V2" s="26" t="s">
        <v>863</v>
      </c>
    </row>
    <row r="3" spans="1:23" s="10" customFormat="1" ht="14" x14ac:dyDescent="0.2">
      <c r="A3" s="94" t="s">
        <v>1327</v>
      </c>
      <c r="B3" s="163"/>
      <c r="C3" s="163"/>
      <c r="D3" s="95"/>
      <c r="E3" s="95"/>
      <c r="F3" s="95"/>
      <c r="G3" s="95"/>
      <c r="H3" s="95"/>
      <c r="I3" s="150"/>
      <c r="J3" s="153"/>
      <c r="K3" s="145"/>
      <c r="L3" s="154"/>
      <c r="M3" s="152"/>
      <c r="N3" s="97"/>
      <c r="O3" s="97"/>
      <c r="P3" s="99"/>
      <c r="Q3" s="99"/>
      <c r="R3" s="99"/>
      <c r="S3" s="99"/>
      <c r="T3" s="96"/>
      <c r="U3" s="97"/>
      <c r="V3" s="27"/>
      <c r="W3" s="28"/>
    </row>
    <row r="4" spans="1:23" ht="30" x14ac:dyDescent="0.2">
      <c r="A4" s="100" t="s">
        <v>6</v>
      </c>
      <c r="B4" s="101" t="s">
        <v>1801</v>
      </c>
      <c r="C4" s="164">
        <v>113705</v>
      </c>
      <c r="D4" s="101" t="s">
        <v>582</v>
      </c>
      <c r="E4" s="101" t="s">
        <v>825</v>
      </c>
      <c r="F4" s="101" t="s">
        <v>204</v>
      </c>
      <c r="G4" s="101" t="s">
        <v>45</v>
      </c>
      <c r="H4" s="101" t="s">
        <v>199</v>
      </c>
      <c r="I4" s="130" t="s">
        <v>199</v>
      </c>
      <c r="J4" s="100" t="s">
        <v>44</v>
      </c>
      <c r="K4" s="101" t="s">
        <v>44</v>
      </c>
      <c r="L4" s="102" t="s">
        <v>44</v>
      </c>
      <c r="M4" s="131" t="s">
        <v>7</v>
      </c>
      <c r="N4" s="103" t="s">
        <v>8</v>
      </c>
      <c r="O4" s="103">
        <v>1</v>
      </c>
      <c r="P4" s="104">
        <v>895</v>
      </c>
      <c r="Q4" s="105">
        <v>2.1229050279329607E-2</v>
      </c>
      <c r="R4" s="105">
        <v>0.97877094972067036</v>
      </c>
      <c r="S4" s="106">
        <f>Q4/R4</f>
        <v>2.1689497716894976E-2</v>
      </c>
      <c r="T4" s="107">
        <v>0</v>
      </c>
      <c r="U4" s="103" t="s">
        <v>1152</v>
      </c>
      <c r="V4" s="29" t="s">
        <v>1495</v>
      </c>
      <c r="W4" s="30"/>
    </row>
    <row r="5" spans="1:23" ht="45" x14ac:dyDescent="0.2">
      <c r="A5" s="100" t="s">
        <v>9</v>
      </c>
      <c r="B5" s="167" t="s">
        <v>1802</v>
      </c>
      <c r="C5" s="5">
        <v>600185</v>
      </c>
      <c r="D5" s="101" t="s">
        <v>583</v>
      </c>
      <c r="E5" s="101" t="s">
        <v>826</v>
      </c>
      <c r="F5" s="101" t="s">
        <v>204</v>
      </c>
      <c r="G5" s="101" t="s">
        <v>612</v>
      </c>
      <c r="H5" s="101" t="s">
        <v>199</v>
      </c>
      <c r="I5" s="130" t="s">
        <v>199</v>
      </c>
      <c r="J5" s="100" t="s">
        <v>44</v>
      </c>
      <c r="K5" s="101" t="s">
        <v>44</v>
      </c>
      <c r="L5" s="102" t="s">
        <v>44</v>
      </c>
      <c r="M5" s="131" t="s">
        <v>7</v>
      </c>
      <c r="N5" s="103" t="s">
        <v>10</v>
      </c>
      <c r="O5" s="103">
        <v>1</v>
      </c>
      <c r="P5" s="104">
        <v>720</v>
      </c>
      <c r="Q5" s="105">
        <v>1.1111111111111112E-2</v>
      </c>
      <c r="R5" s="105">
        <v>0.98888888888888893</v>
      </c>
      <c r="S5" s="106">
        <f>Q5/R5</f>
        <v>1.1235955056179775E-2</v>
      </c>
      <c r="T5" s="107">
        <v>0</v>
      </c>
      <c r="U5" s="103" t="s">
        <v>1150</v>
      </c>
      <c r="V5" s="29" t="s">
        <v>1495</v>
      </c>
      <c r="W5" s="30"/>
    </row>
    <row r="6" spans="1:23" ht="30" x14ac:dyDescent="0.2">
      <c r="A6" s="100" t="s">
        <v>36</v>
      </c>
      <c r="B6" s="101" t="s">
        <v>1803</v>
      </c>
      <c r="C6" s="164">
        <v>192090</v>
      </c>
      <c r="D6" s="101" t="s">
        <v>585</v>
      </c>
      <c r="E6" s="101" t="s">
        <v>652</v>
      </c>
      <c r="F6" s="101" t="s">
        <v>204</v>
      </c>
      <c r="G6" s="101" t="s">
        <v>45</v>
      </c>
      <c r="H6" s="101" t="s">
        <v>199</v>
      </c>
      <c r="I6" s="130" t="s">
        <v>204</v>
      </c>
      <c r="J6" s="100" t="s">
        <v>44</v>
      </c>
      <c r="K6" s="101" t="s">
        <v>44</v>
      </c>
      <c r="L6" s="102" t="s">
        <v>44</v>
      </c>
      <c r="M6" s="131" t="s">
        <v>7</v>
      </c>
      <c r="N6" s="103" t="s">
        <v>8</v>
      </c>
      <c r="O6" s="103">
        <v>1</v>
      </c>
      <c r="P6" s="104">
        <v>12</v>
      </c>
      <c r="Q6" s="105">
        <v>0.25</v>
      </c>
      <c r="R6" s="105">
        <v>0.75</v>
      </c>
      <c r="S6" s="106">
        <f>Q6/R6</f>
        <v>0.33333333333333331</v>
      </c>
      <c r="T6" s="107">
        <v>0</v>
      </c>
      <c r="U6" s="103" t="s">
        <v>1171</v>
      </c>
      <c r="V6" s="31" t="s">
        <v>45</v>
      </c>
      <c r="W6" s="30"/>
    </row>
    <row r="7" spans="1:23" ht="45" x14ac:dyDescent="0.2">
      <c r="A7" s="100" t="s">
        <v>125</v>
      </c>
      <c r="B7" s="167" t="s">
        <v>1804</v>
      </c>
      <c r="C7" s="164">
        <v>610355</v>
      </c>
      <c r="D7" s="101" t="s">
        <v>622</v>
      </c>
      <c r="E7" s="101" t="s">
        <v>827</v>
      </c>
      <c r="F7" s="101" t="s">
        <v>204</v>
      </c>
      <c r="G7" s="101" t="s">
        <v>616</v>
      </c>
      <c r="H7" s="101" t="s">
        <v>199</v>
      </c>
      <c r="I7" s="130" t="s">
        <v>204</v>
      </c>
      <c r="J7" s="100" t="s">
        <v>44</v>
      </c>
      <c r="K7" s="101" t="s">
        <v>44</v>
      </c>
      <c r="L7" s="102" t="s">
        <v>44</v>
      </c>
      <c r="M7" s="131" t="s">
        <v>7</v>
      </c>
      <c r="N7" s="103" t="s">
        <v>10</v>
      </c>
      <c r="O7" s="103">
        <v>1</v>
      </c>
      <c r="P7" s="104">
        <v>68</v>
      </c>
      <c r="Q7" s="105">
        <v>0</v>
      </c>
      <c r="R7" s="105">
        <v>1</v>
      </c>
      <c r="S7" s="106" t="s">
        <v>26</v>
      </c>
      <c r="T7" s="107">
        <v>0</v>
      </c>
      <c r="U7" s="103" t="s">
        <v>1472</v>
      </c>
      <c r="V7" s="144" t="s">
        <v>1737</v>
      </c>
    </row>
    <row r="8" spans="1:23" ht="45" x14ac:dyDescent="0.2">
      <c r="A8" s="100" t="s">
        <v>143</v>
      </c>
      <c r="B8" s="101" t="s">
        <v>1805</v>
      </c>
      <c r="C8" s="164">
        <v>601728</v>
      </c>
      <c r="D8" s="101" t="s">
        <v>587</v>
      </c>
      <c r="E8" s="101" t="s">
        <v>824</v>
      </c>
      <c r="F8" s="101" t="s">
        <v>654</v>
      </c>
      <c r="G8" s="101" t="s">
        <v>45</v>
      </c>
      <c r="H8" s="101" t="s">
        <v>199</v>
      </c>
      <c r="I8" s="130" t="s">
        <v>199</v>
      </c>
      <c r="J8" s="100" t="s">
        <v>44</v>
      </c>
      <c r="K8" s="101" t="s">
        <v>44</v>
      </c>
      <c r="L8" s="102" t="s">
        <v>44</v>
      </c>
      <c r="M8" s="131" t="s">
        <v>7</v>
      </c>
      <c r="N8" s="103" t="s">
        <v>8</v>
      </c>
      <c r="O8" s="103">
        <v>1</v>
      </c>
      <c r="P8" s="104">
        <v>47</v>
      </c>
      <c r="Q8" s="105">
        <v>0.57446808510638303</v>
      </c>
      <c r="R8" s="105">
        <v>0.42553191489361702</v>
      </c>
      <c r="S8" s="106">
        <f>Q8/R8</f>
        <v>1.35</v>
      </c>
      <c r="T8" s="107">
        <v>1</v>
      </c>
      <c r="U8" s="103" t="s">
        <v>1206</v>
      </c>
      <c r="V8" s="31" t="s">
        <v>45</v>
      </c>
      <c r="W8" s="30"/>
    </row>
    <row r="9" spans="1:23" ht="30" x14ac:dyDescent="0.2">
      <c r="A9" s="100" t="s">
        <v>175</v>
      </c>
      <c r="B9" s="167" t="s">
        <v>1806</v>
      </c>
      <c r="C9" s="164">
        <v>602216</v>
      </c>
      <c r="D9" s="101" t="s">
        <v>586</v>
      </c>
      <c r="E9" s="101" t="s">
        <v>822</v>
      </c>
      <c r="F9" s="101" t="s">
        <v>653</v>
      </c>
      <c r="G9" s="101" t="s">
        <v>45</v>
      </c>
      <c r="H9" s="101" t="s">
        <v>199</v>
      </c>
      <c r="I9" s="130" t="s">
        <v>199</v>
      </c>
      <c r="J9" s="100" t="s">
        <v>44</v>
      </c>
      <c r="K9" s="101" t="s">
        <v>44</v>
      </c>
      <c r="L9" s="102" t="s">
        <v>44</v>
      </c>
      <c r="M9" s="131" t="s">
        <v>7</v>
      </c>
      <c r="N9" s="103" t="s">
        <v>8</v>
      </c>
      <c r="O9" s="103">
        <v>1</v>
      </c>
      <c r="P9" s="104">
        <v>15</v>
      </c>
      <c r="Q9" s="105">
        <v>0.13333333333333333</v>
      </c>
      <c r="R9" s="105">
        <v>0.8666666666666667</v>
      </c>
      <c r="S9" s="106">
        <f>Q9/R9</f>
        <v>0.15384615384615383</v>
      </c>
      <c r="T9" s="107">
        <v>0</v>
      </c>
      <c r="U9" s="103" t="s">
        <v>1217</v>
      </c>
      <c r="V9" s="31" t="s">
        <v>45</v>
      </c>
      <c r="W9" s="30"/>
    </row>
    <row r="10" spans="1:23" ht="45" x14ac:dyDescent="0.2">
      <c r="A10" s="100" t="s">
        <v>184</v>
      </c>
      <c r="B10" s="101" t="s">
        <v>1807</v>
      </c>
      <c r="C10" s="164">
        <v>191170</v>
      </c>
      <c r="D10" s="101" t="s">
        <v>584</v>
      </c>
      <c r="E10" s="101" t="s">
        <v>821</v>
      </c>
      <c r="F10" s="101" t="s">
        <v>204</v>
      </c>
      <c r="G10" s="101" t="s">
        <v>45</v>
      </c>
      <c r="H10" s="101" t="s">
        <v>199</v>
      </c>
      <c r="I10" s="130" t="s">
        <v>199</v>
      </c>
      <c r="J10" s="100" t="s">
        <v>44</v>
      </c>
      <c r="K10" s="101" t="s">
        <v>44</v>
      </c>
      <c r="L10" s="102" t="s">
        <v>44</v>
      </c>
      <c r="M10" s="131" t="s">
        <v>7</v>
      </c>
      <c r="N10" s="103" t="s">
        <v>8</v>
      </c>
      <c r="O10" s="103">
        <v>1</v>
      </c>
      <c r="P10" s="104">
        <v>62</v>
      </c>
      <c r="Q10" s="105">
        <v>0.77419354838709675</v>
      </c>
      <c r="R10" s="105">
        <v>0.22580645161290322</v>
      </c>
      <c r="S10" s="106">
        <f>Q10/R10</f>
        <v>3.4285714285714284</v>
      </c>
      <c r="T10" s="107">
        <v>1</v>
      </c>
      <c r="U10" s="103" t="s">
        <v>1218</v>
      </c>
      <c r="V10" s="31" t="s">
        <v>45</v>
      </c>
      <c r="W10" s="30"/>
    </row>
    <row r="11" spans="1:23" x14ac:dyDescent="0.2">
      <c r="A11" s="94" t="s">
        <v>1328</v>
      </c>
      <c r="B11" s="163"/>
      <c r="C11" s="163"/>
      <c r="D11" s="101"/>
      <c r="E11" s="101"/>
      <c r="F11" s="101"/>
      <c r="G11" s="101"/>
      <c r="H11" s="101"/>
      <c r="I11" s="130"/>
      <c r="J11" s="100"/>
      <c r="K11" s="146"/>
      <c r="L11" s="155"/>
      <c r="M11" s="131"/>
      <c r="N11" s="103"/>
      <c r="O11" s="103"/>
      <c r="P11" s="104"/>
      <c r="Q11" s="105"/>
      <c r="R11" s="105"/>
      <c r="S11" s="106"/>
      <c r="T11" s="107"/>
      <c r="U11" s="103"/>
      <c r="V11" s="22"/>
      <c r="W11" s="30"/>
    </row>
    <row r="12" spans="1:23" ht="30" x14ac:dyDescent="0.2">
      <c r="A12" s="100" t="s">
        <v>23</v>
      </c>
      <c r="B12" s="167" t="s">
        <v>1808</v>
      </c>
      <c r="C12" s="164">
        <v>607585</v>
      </c>
      <c r="D12" s="101" t="s">
        <v>622</v>
      </c>
      <c r="E12" s="101" t="s">
        <v>669</v>
      </c>
      <c r="F12" s="101" t="s">
        <v>204</v>
      </c>
      <c r="G12" s="101" t="s">
        <v>621</v>
      </c>
      <c r="H12" s="101" t="s">
        <v>199</v>
      </c>
      <c r="I12" s="130" t="s">
        <v>204</v>
      </c>
      <c r="J12" s="100" t="s">
        <v>44</v>
      </c>
      <c r="K12" s="101" t="s">
        <v>44</v>
      </c>
      <c r="L12" s="102" t="s">
        <v>44</v>
      </c>
      <c r="M12" s="131" t="s">
        <v>7</v>
      </c>
      <c r="N12" s="103" t="s">
        <v>10</v>
      </c>
      <c r="O12" s="103">
        <v>1</v>
      </c>
      <c r="P12" s="104">
        <v>68</v>
      </c>
      <c r="Q12" s="105">
        <f>7/68</f>
        <v>0.10294117647058823</v>
      </c>
      <c r="R12" s="105">
        <f>61/68</f>
        <v>0.8970588235294118</v>
      </c>
      <c r="S12" s="106">
        <f>Q12/R12</f>
        <v>0.11475409836065573</v>
      </c>
      <c r="T12" s="107">
        <v>0</v>
      </c>
      <c r="U12" s="103" t="s">
        <v>1151</v>
      </c>
      <c r="V12" s="31" t="s">
        <v>45</v>
      </c>
      <c r="W12" s="30"/>
    </row>
    <row r="13" spans="1:23" ht="30" x14ac:dyDescent="0.2">
      <c r="A13" s="100" t="s">
        <v>46</v>
      </c>
      <c r="B13" s="101" t="s">
        <v>1809</v>
      </c>
      <c r="C13" s="164">
        <v>604373</v>
      </c>
      <c r="D13" s="101" t="s">
        <v>622</v>
      </c>
      <c r="E13" s="101" t="s">
        <v>669</v>
      </c>
      <c r="F13" s="101" t="s">
        <v>204</v>
      </c>
      <c r="G13" s="101" t="s">
        <v>45</v>
      </c>
      <c r="H13" s="101" t="s">
        <v>199</v>
      </c>
      <c r="I13" s="130" t="s">
        <v>204</v>
      </c>
      <c r="J13" s="100" t="s">
        <v>44</v>
      </c>
      <c r="K13" s="101" t="s">
        <v>44</v>
      </c>
      <c r="L13" s="102" t="s">
        <v>44</v>
      </c>
      <c r="M13" s="131" t="s">
        <v>7</v>
      </c>
      <c r="N13" s="103" t="s">
        <v>8</v>
      </c>
      <c r="O13" s="103">
        <v>1</v>
      </c>
      <c r="P13" s="104">
        <v>21</v>
      </c>
      <c r="Q13" s="105">
        <v>0.2857142857142857</v>
      </c>
      <c r="R13" s="105">
        <v>0.7142857142857143</v>
      </c>
      <c r="S13" s="106">
        <f>Q13/R13</f>
        <v>0.39999999999999997</v>
      </c>
      <c r="T13" s="107">
        <v>0</v>
      </c>
      <c r="U13" s="103" t="s">
        <v>1164</v>
      </c>
      <c r="V13" s="33" t="s">
        <v>45</v>
      </c>
      <c r="W13" s="87"/>
    </row>
    <row r="14" spans="1:23" ht="30" x14ac:dyDescent="0.2">
      <c r="A14" s="100" t="s">
        <v>121</v>
      </c>
      <c r="B14" s="101" t="s">
        <v>1810</v>
      </c>
      <c r="C14" s="164">
        <v>602667</v>
      </c>
      <c r="D14" s="101" t="s">
        <v>625</v>
      </c>
      <c r="E14" s="101" t="s">
        <v>669</v>
      </c>
      <c r="F14" s="101" t="s">
        <v>204</v>
      </c>
      <c r="G14" s="101" t="s">
        <v>624</v>
      </c>
      <c r="H14" s="101" t="s">
        <v>199</v>
      </c>
      <c r="I14" s="130" t="s">
        <v>204</v>
      </c>
      <c r="J14" s="100" t="s">
        <v>44</v>
      </c>
      <c r="K14" s="101" t="s">
        <v>44</v>
      </c>
      <c r="L14" s="102" t="s">
        <v>44</v>
      </c>
      <c r="M14" s="131" t="s">
        <v>7</v>
      </c>
      <c r="N14" s="103" t="s">
        <v>10</v>
      </c>
      <c r="O14" s="103">
        <v>1</v>
      </c>
      <c r="P14" s="104">
        <v>14</v>
      </c>
      <c r="Q14" s="105">
        <v>0</v>
      </c>
      <c r="R14" s="105">
        <v>1</v>
      </c>
      <c r="S14" s="106" t="s">
        <v>26</v>
      </c>
      <c r="T14" s="107">
        <v>0</v>
      </c>
      <c r="U14" s="103" t="s">
        <v>1209</v>
      </c>
      <c r="V14" s="31" t="s">
        <v>45</v>
      </c>
      <c r="W14" s="30"/>
    </row>
    <row r="15" spans="1:23" ht="30" x14ac:dyDescent="0.2">
      <c r="A15" s="100" t="s">
        <v>122</v>
      </c>
      <c r="B15" s="101" t="s">
        <v>1811</v>
      </c>
      <c r="C15" s="164">
        <v>613113</v>
      </c>
      <c r="D15" s="101" t="s">
        <v>633</v>
      </c>
      <c r="E15" s="101" t="s">
        <v>823</v>
      </c>
      <c r="F15" s="101" t="s">
        <v>651</v>
      </c>
      <c r="G15" s="101" t="s">
        <v>45</v>
      </c>
      <c r="H15" s="101" t="s">
        <v>199</v>
      </c>
      <c r="I15" s="130" t="s">
        <v>199</v>
      </c>
      <c r="J15" s="100" t="s">
        <v>44</v>
      </c>
      <c r="K15" s="101" t="s">
        <v>44</v>
      </c>
      <c r="L15" s="102" t="s">
        <v>44</v>
      </c>
      <c r="M15" s="131" t="s">
        <v>7</v>
      </c>
      <c r="N15" s="103" t="s">
        <v>8</v>
      </c>
      <c r="O15" s="103">
        <v>1</v>
      </c>
      <c r="P15" s="104">
        <v>38</v>
      </c>
      <c r="Q15" s="105">
        <v>0.42105263157894735</v>
      </c>
      <c r="R15" s="105">
        <v>0.57894736842105265</v>
      </c>
      <c r="S15" s="106">
        <f>Q15/R15</f>
        <v>0.72727272727272718</v>
      </c>
      <c r="T15" s="107">
        <v>0</v>
      </c>
      <c r="U15" s="103" t="s">
        <v>1171</v>
      </c>
      <c r="V15" s="33" t="s">
        <v>45</v>
      </c>
      <c r="W15" s="30"/>
    </row>
    <row r="16" spans="1:23" x14ac:dyDescent="0.2">
      <c r="A16" s="98" t="s">
        <v>833</v>
      </c>
      <c r="B16" s="165"/>
      <c r="C16" s="165"/>
      <c r="D16" s="101"/>
      <c r="E16" s="101"/>
      <c r="F16" s="101"/>
      <c r="G16" s="101"/>
      <c r="H16" s="101"/>
      <c r="I16" s="130"/>
      <c r="J16" s="100" t="s">
        <v>44</v>
      </c>
      <c r="K16" s="99"/>
      <c r="L16" s="156"/>
      <c r="M16" s="131"/>
      <c r="N16" s="103"/>
      <c r="O16" s="103"/>
      <c r="P16" s="104"/>
      <c r="Q16" s="105"/>
      <c r="R16" s="105"/>
      <c r="S16" s="106"/>
      <c r="T16" s="107"/>
      <c r="U16" s="103"/>
      <c r="V16" s="31"/>
      <c r="W16" s="30"/>
    </row>
    <row r="17" spans="1:23" ht="30" x14ac:dyDescent="0.2">
      <c r="A17" s="100" t="s">
        <v>28</v>
      </c>
      <c r="B17" s="167" t="s">
        <v>1813</v>
      </c>
      <c r="C17" s="164">
        <v>601593</v>
      </c>
      <c r="D17" s="101" t="s">
        <v>622</v>
      </c>
      <c r="E17" s="101" t="s">
        <v>669</v>
      </c>
      <c r="F17" s="101" t="s">
        <v>204</v>
      </c>
      <c r="G17" s="101" t="s">
        <v>45</v>
      </c>
      <c r="H17" s="101" t="s">
        <v>204</v>
      </c>
      <c r="I17" s="130" t="s">
        <v>204</v>
      </c>
      <c r="J17" s="100" t="s">
        <v>44</v>
      </c>
      <c r="K17" s="101" t="s">
        <v>44</v>
      </c>
      <c r="L17" s="102" t="s">
        <v>44</v>
      </c>
      <c r="M17" s="131" t="s">
        <v>7</v>
      </c>
      <c r="N17" s="103" t="s">
        <v>8</v>
      </c>
      <c r="O17" s="103">
        <v>1</v>
      </c>
      <c r="P17" s="104">
        <v>26</v>
      </c>
      <c r="Q17" s="105">
        <v>0</v>
      </c>
      <c r="R17" s="105">
        <v>1</v>
      </c>
      <c r="S17" s="106" t="s">
        <v>26</v>
      </c>
      <c r="T17" s="107">
        <v>0</v>
      </c>
      <c r="U17" s="103" t="s">
        <v>1153</v>
      </c>
      <c r="V17" s="31" t="s">
        <v>45</v>
      </c>
      <c r="W17" s="30"/>
    </row>
    <row r="18" spans="1:23" ht="60" x14ac:dyDescent="0.2">
      <c r="A18" s="100" t="s">
        <v>27</v>
      </c>
      <c r="B18" s="101" t="s">
        <v>1812</v>
      </c>
      <c r="C18" s="164">
        <v>603089</v>
      </c>
      <c r="D18" s="101" t="s">
        <v>643</v>
      </c>
      <c r="E18" s="101" t="s">
        <v>829</v>
      </c>
      <c r="F18" s="101" t="s">
        <v>204</v>
      </c>
      <c r="G18" s="101" t="s">
        <v>45</v>
      </c>
      <c r="H18" s="101" t="s">
        <v>199</v>
      </c>
      <c r="I18" s="130" t="s">
        <v>204</v>
      </c>
      <c r="J18" s="100" t="s">
        <v>44</v>
      </c>
      <c r="K18" s="101" t="s">
        <v>44</v>
      </c>
      <c r="L18" s="102" t="s">
        <v>44</v>
      </c>
      <c r="M18" s="131" t="s">
        <v>7</v>
      </c>
      <c r="N18" s="103" t="s">
        <v>8</v>
      </c>
      <c r="O18" s="103">
        <v>1</v>
      </c>
      <c r="P18" s="104">
        <v>4</v>
      </c>
      <c r="Q18" s="105">
        <v>0.25</v>
      </c>
      <c r="R18" s="105">
        <v>0.75</v>
      </c>
      <c r="S18" s="106">
        <f>Q18/R18</f>
        <v>0.33333333333333331</v>
      </c>
      <c r="T18" s="107" t="s">
        <v>206</v>
      </c>
      <c r="U18" s="103" t="s">
        <v>1161</v>
      </c>
      <c r="V18" s="31" t="s">
        <v>45</v>
      </c>
      <c r="W18" s="30"/>
    </row>
    <row r="19" spans="1:23" x14ac:dyDescent="0.2">
      <c r="A19" s="100" t="s">
        <v>29</v>
      </c>
      <c r="B19" s="101" t="s">
        <v>1814</v>
      </c>
      <c r="C19" s="164">
        <v>210900</v>
      </c>
      <c r="D19" s="101" t="s">
        <v>625</v>
      </c>
      <c r="E19" s="101" t="s">
        <v>670</v>
      </c>
      <c r="F19" s="101" t="s">
        <v>204</v>
      </c>
      <c r="G19" s="101" t="s">
        <v>627</v>
      </c>
      <c r="H19" s="101" t="s">
        <v>199</v>
      </c>
      <c r="I19" s="130" t="s">
        <v>204</v>
      </c>
      <c r="J19" s="100" t="s">
        <v>44</v>
      </c>
      <c r="K19" s="101" t="s">
        <v>44</v>
      </c>
      <c r="L19" s="102" t="s">
        <v>44</v>
      </c>
      <c r="M19" s="131" t="s">
        <v>7</v>
      </c>
      <c r="N19" s="103" t="s">
        <v>10</v>
      </c>
      <c r="O19" s="103">
        <v>1</v>
      </c>
      <c r="P19" s="104">
        <v>8</v>
      </c>
      <c r="Q19" s="105">
        <f>1/8</f>
        <v>0.125</v>
      </c>
      <c r="R19" s="105">
        <f>7/8</f>
        <v>0.875</v>
      </c>
      <c r="S19" s="106">
        <f>Q19/R19</f>
        <v>0.14285714285714285</v>
      </c>
      <c r="T19" s="107" t="s">
        <v>206</v>
      </c>
      <c r="U19" s="103" t="s">
        <v>1155</v>
      </c>
      <c r="V19" s="31" t="s">
        <v>45</v>
      </c>
      <c r="W19" s="30"/>
    </row>
    <row r="20" spans="1:23" ht="30" x14ac:dyDescent="0.2">
      <c r="A20" s="100" t="s">
        <v>31</v>
      </c>
      <c r="B20" s="167" t="s">
        <v>1815</v>
      </c>
      <c r="C20" s="164">
        <v>605882</v>
      </c>
      <c r="D20" s="101" t="s">
        <v>622</v>
      </c>
      <c r="E20" s="101" t="s">
        <v>669</v>
      </c>
      <c r="F20" s="101" t="s">
        <v>204</v>
      </c>
      <c r="G20" s="101" t="s">
        <v>619</v>
      </c>
      <c r="H20" s="101" t="s">
        <v>199</v>
      </c>
      <c r="I20" s="130" t="s">
        <v>204</v>
      </c>
      <c r="J20" s="100" t="s">
        <v>44</v>
      </c>
      <c r="K20" s="101" t="s">
        <v>44</v>
      </c>
      <c r="L20" s="102" t="s">
        <v>44</v>
      </c>
      <c r="M20" s="131" t="s">
        <v>7</v>
      </c>
      <c r="N20" s="103" t="s">
        <v>10</v>
      </c>
      <c r="O20" s="103">
        <v>1</v>
      </c>
      <c r="P20" s="104">
        <v>23</v>
      </c>
      <c r="Q20" s="105">
        <v>4.3478260869565216E-2</v>
      </c>
      <c r="R20" s="105">
        <v>0.95652173913043481</v>
      </c>
      <c r="S20" s="106">
        <f>Q20/R20</f>
        <v>4.5454545454545449E-2</v>
      </c>
      <c r="T20" s="107">
        <v>0</v>
      </c>
      <c r="U20" s="103" t="s">
        <v>1154</v>
      </c>
      <c r="V20" s="31" t="s">
        <v>45</v>
      </c>
      <c r="W20" s="30"/>
    </row>
    <row r="21" spans="1:23" ht="30" x14ac:dyDescent="0.2">
      <c r="A21" s="100" t="s">
        <v>37</v>
      </c>
      <c r="B21" s="164" t="s">
        <v>1816</v>
      </c>
      <c r="C21" s="164">
        <v>123829</v>
      </c>
      <c r="D21" s="101" t="s">
        <v>688</v>
      </c>
      <c r="E21" s="101" t="s">
        <v>689</v>
      </c>
      <c r="F21" s="101" t="s">
        <v>204</v>
      </c>
      <c r="G21" s="101" t="s">
        <v>45</v>
      </c>
      <c r="H21" s="101" t="s">
        <v>199</v>
      </c>
      <c r="I21" s="130" t="s">
        <v>204</v>
      </c>
      <c r="J21" s="100" t="s">
        <v>44</v>
      </c>
      <c r="K21" s="101" t="s">
        <v>44</v>
      </c>
      <c r="L21" s="102" t="s">
        <v>44</v>
      </c>
      <c r="M21" s="131" t="s">
        <v>18</v>
      </c>
      <c r="N21" s="103" t="s">
        <v>8</v>
      </c>
      <c r="O21" s="103">
        <v>1</v>
      </c>
      <c r="P21" s="104">
        <v>0</v>
      </c>
      <c r="Q21" s="105">
        <v>0</v>
      </c>
      <c r="R21" s="105">
        <v>0</v>
      </c>
      <c r="S21" s="106" t="s">
        <v>45</v>
      </c>
      <c r="T21" s="107">
        <v>1</v>
      </c>
      <c r="U21" s="103" t="s">
        <v>1160</v>
      </c>
      <c r="V21" s="31" t="s">
        <v>45</v>
      </c>
      <c r="W21" s="30"/>
    </row>
    <row r="22" spans="1:23" ht="30" x14ac:dyDescent="0.2">
      <c r="A22" s="100" t="s">
        <v>40</v>
      </c>
      <c r="B22" s="167" t="s">
        <v>1817</v>
      </c>
      <c r="C22" s="164">
        <v>600160</v>
      </c>
      <c r="D22" s="101" t="s">
        <v>579</v>
      </c>
      <c r="E22" s="101" t="s">
        <v>657</v>
      </c>
      <c r="F22" s="101" t="s">
        <v>204</v>
      </c>
      <c r="G22" s="101" t="s">
        <v>45</v>
      </c>
      <c r="H22" s="101" t="s">
        <v>199</v>
      </c>
      <c r="I22" s="130" t="s">
        <v>204</v>
      </c>
      <c r="J22" s="100" t="s">
        <v>44</v>
      </c>
      <c r="K22" s="101" t="s">
        <v>44</v>
      </c>
      <c r="L22" s="102" t="s">
        <v>44</v>
      </c>
      <c r="M22" s="131" t="s">
        <v>7</v>
      </c>
      <c r="N22" s="103" t="s">
        <v>8</v>
      </c>
      <c r="O22" s="103">
        <v>1</v>
      </c>
      <c r="P22" s="104">
        <v>3</v>
      </c>
      <c r="Q22" s="105">
        <v>0.33333333333333331</v>
      </c>
      <c r="R22" s="105">
        <v>0.66666666666666663</v>
      </c>
      <c r="S22" s="106">
        <f>Q22/R22</f>
        <v>0.5</v>
      </c>
      <c r="T22" s="107" t="s">
        <v>206</v>
      </c>
      <c r="U22" s="103" t="s">
        <v>1171</v>
      </c>
      <c r="V22" s="31" t="s">
        <v>45</v>
      </c>
      <c r="W22" s="30"/>
    </row>
    <row r="23" spans="1:23" x14ac:dyDescent="0.2">
      <c r="A23" s="100" t="s">
        <v>74</v>
      </c>
      <c r="B23" s="101" t="s">
        <v>1818</v>
      </c>
      <c r="C23" s="164">
        <v>613899</v>
      </c>
      <c r="D23" s="101" t="s">
        <v>625</v>
      </c>
      <c r="E23" s="101" t="s">
        <v>670</v>
      </c>
      <c r="F23" s="101" t="s">
        <v>204</v>
      </c>
      <c r="G23" s="101" t="s">
        <v>610</v>
      </c>
      <c r="H23" s="101" t="s">
        <v>199</v>
      </c>
      <c r="I23" s="130" t="s">
        <v>204</v>
      </c>
      <c r="J23" s="100" t="s">
        <v>44</v>
      </c>
      <c r="K23" s="101" t="s">
        <v>44</v>
      </c>
      <c r="L23" s="102" t="s">
        <v>44</v>
      </c>
      <c r="M23" s="131" t="s">
        <v>7</v>
      </c>
      <c r="N23" s="103" t="s">
        <v>10</v>
      </c>
      <c r="O23" s="103">
        <v>1</v>
      </c>
      <c r="P23" s="104">
        <v>7</v>
      </c>
      <c r="Q23" s="105">
        <v>0.2857142857142857</v>
      </c>
      <c r="R23" s="105">
        <v>0.7142857142857143</v>
      </c>
      <c r="S23" s="106">
        <f>Q23/R23</f>
        <v>0.39999999999999997</v>
      </c>
      <c r="T23" s="107" t="s">
        <v>206</v>
      </c>
      <c r="U23" s="103" t="s">
        <v>1172</v>
      </c>
      <c r="V23" s="31" t="s">
        <v>45</v>
      </c>
      <c r="W23" s="30"/>
    </row>
    <row r="24" spans="1:23" ht="30" x14ac:dyDescent="0.2">
      <c r="A24" s="100" t="s">
        <v>81</v>
      </c>
      <c r="B24" s="101" t="s">
        <v>1819</v>
      </c>
      <c r="C24" s="164">
        <v>609644</v>
      </c>
      <c r="D24" s="101" t="s">
        <v>625</v>
      </c>
      <c r="E24" s="101" t="s">
        <v>670</v>
      </c>
      <c r="F24" s="101" t="s">
        <v>204</v>
      </c>
      <c r="G24" s="101" t="s">
        <v>613</v>
      </c>
      <c r="H24" s="101" t="s">
        <v>204</v>
      </c>
      <c r="I24" s="130" t="s">
        <v>204</v>
      </c>
      <c r="J24" s="100" t="s">
        <v>44</v>
      </c>
      <c r="K24" s="101" t="s">
        <v>44</v>
      </c>
      <c r="L24" s="102" t="s">
        <v>44</v>
      </c>
      <c r="M24" s="131" t="s">
        <v>7</v>
      </c>
      <c r="N24" s="103" t="s">
        <v>10</v>
      </c>
      <c r="O24" s="103">
        <v>1</v>
      </c>
      <c r="P24" s="104">
        <v>1</v>
      </c>
      <c r="Q24" s="105">
        <v>0</v>
      </c>
      <c r="R24" s="105">
        <v>1</v>
      </c>
      <c r="S24" s="106" t="s">
        <v>26</v>
      </c>
      <c r="T24" s="107" t="s">
        <v>206</v>
      </c>
      <c r="U24" s="103" t="s">
        <v>1244</v>
      </c>
      <c r="V24" s="31" t="s">
        <v>45</v>
      </c>
      <c r="W24" s="30"/>
    </row>
    <row r="25" spans="1:23" ht="45" x14ac:dyDescent="0.2">
      <c r="A25" s="100" t="s">
        <v>110</v>
      </c>
      <c r="B25" s="167" t="s">
        <v>1820</v>
      </c>
      <c r="C25" s="164">
        <v>600814</v>
      </c>
      <c r="D25" s="101" t="s">
        <v>625</v>
      </c>
      <c r="E25" s="101" t="s">
        <v>670</v>
      </c>
      <c r="F25" s="101" t="s">
        <v>204</v>
      </c>
      <c r="G25" s="101" t="s">
        <v>623</v>
      </c>
      <c r="H25" s="101" t="s">
        <v>204</v>
      </c>
      <c r="I25" s="130" t="s">
        <v>204</v>
      </c>
      <c r="J25" s="100" t="s">
        <v>44</v>
      </c>
      <c r="K25" s="101" t="s">
        <v>44</v>
      </c>
      <c r="L25" s="102" t="s">
        <v>44</v>
      </c>
      <c r="M25" s="131" t="s">
        <v>7</v>
      </c>
      <c r="N25" s="103" t="s">
        <v>10</v>
      </c>
      <c r="O25" s="103">
        <v>1</v>
      </c>
      <c r="P25" s="104">
        <v>10</v>
      </c>
      <c r="Q25" s="105">
        <v>0.2</v>
      </c>
      <c r="R25" s="105">
        <v>0.8</v>
      </c>
      <c r="S25" s="106">
        <f>Q25/R25</f>
        <v>0.25</v>
      </c>
      <c r="T25" s="107">
        <v>0</v>
      </c>
      <c r="U25" s="103" t="s">
        <v>1208</v>
      </c>
      <c r="V25" s="31" t="s">
        <v>45</v>
      </c>
      <c r="W25" s="30"/>
    </row>
    <row r="26" spans="1:23" ht="30" x14ac:dyDescent="0.2">
      <c r="A26" s="100" t="s">
        <v>136</v>
      </c>
      <c r="B26" s="164" t="s">
        <v>1821</v>
      </c>
      <c r="C26" s="164">
        <v>605100</v>
      </c>
      <c r="D26" s="101" t="s">
        <v>622</v>
      </c>
      <c r="E26" s="101" t="s">
        <v>669</v>
      </c>
      <c r="F26" s="101" t="s">
        <v>204</v>
      </c>
      <c r="G26" s="101" t="s">
        <v>45</v>
      </c>
      <c r="H26" s="101" t="s">
        <v>204</v>
      </c>
      <c r="I26" s="130" t="s">
        <v>204</v>
      </c>
      <c r="J26" s="100" t="s">
        <v>44</v>
      </c>
      <c r="K26" s="101" t="s">
        <v>44</v>
      </c>
      <c r="L26" s="102" t="s">
        <v>44</v>
      </c>
      <c r="M26" s="131" t="s">
        <v>7</v>
      </c>
      <c r="N26" s="103" t="s">
        <v>137</v>
      </c>
      <c r="O26" s="103">
        <v>1</v>
      </c>
      <c r="P26" s="104">
        <v>28</v>
      </c>
      <c r="Q26" s="105">
        <v>0</v>
      </c>
      <c r="R26" s="105">
        <v>1</v>
      </c>
      <c r="S26" s="106" t="s">
        <v>26</v>
      </c>
      <c r="T26" s="107">
        <v>0</v>
      </c>
      <c r="U26" s="103" t="s">
        <v>828</v>
      </c>
      <c r="V26" s="31" t="s">
        <v>45</v>
      </c>
      <c r="W26" s="30"/>
    </row>
    <row r="27" spans="1:23" ht="30" x14ac:dyDescent="0.2">
      <c r="A27" s="100" t="s">
        <v>145</v>
      </c>
      <c r="B27" s="167" t="s">
        <v>1822</v>
      </c>
      <c r="C27" s="164">
        <v>604040</v>
      </c>
      <c r="D27" s="101" t="s">
        <v>625</v>
      </c>
      <c r="E27" s="101" t="s">
        <v>670</v>
      </c>
      <c r="F27" s="101" t="s">
        <v>204</v>
      </c>
      <c r="G27" s="101" t="s">
        <v>626</v>
      </c>
      <c r="H27" s="101" t="s">
        <v>204</v>
      </c>
      <c r="I27" s="130" t="s">
        <v>204</v>
      </c>
      <c r="J27" s="100" t="s">
        <v>44</v>
      </c>
      <c r="K27" s="101" t="s">
        <v>44</v>
      </c>
      <c r="L27" s="102" t="s">
        <v>44</v>
      </c>
      <c r="M27" s="131" t="s">
        <v>7</v>
      </c>
      <c r="N27" s="103" t="s">
        <v>10</v>
      </c>
      <c r="O27" s="103">
        <v>1</v>
      </c>
      <c r="P27" s="104">
        <v>23</v>
      </c>
      <c r="Q27" s="105">
        <v>4.3478260869565216E-2</v>
      </c>
      <c r="R27" s="105">
        <v>0.95652173913043481</v>
      </c>
      <c r="S27" s="106">
        <f>Q27/R27</f>
        <v>4.5454545454545449E-2</v>
      </c>
      <c r="T27" s="107">
        <v>0</v>
      </c>
      <c r="U27" s="103" t="s">
        <v>1210</v>
      </c>
      <c r="V27" s="31" t="s">
        <v>45</v>
      </c>
      <c r="W27" s="30"/>
    </row>
    <row r="28" spans="1:23" ht="60" x14ac:dyDescent="0.2">
      <c r="A28" s="100" t="s">
        <v>147</v>
      </c>
      <c r="B28" s="167" t="s">
        <v>1823</v>
      </c>
      <c r="C28" s="164">
        <v>602774</v>
      </c>
      <c r="D28" s="101" t="s">
        <v>710</v>
      </c>
      <c r="E28" s="101" t="s">
        <v>711</v>
      </c>
      <c r="F28" s="101" t="s">
        <v>204</v>
      </c>
      <c r="G28" s="101" t="s">
        <v>618</v>
      </c>
      <c r="H28" s="101" t="s">
        <v>199</v>
      </c>
      <c r="I28" s="130" t="s">
        <v>204</v>
      </c>
      <c r="J28" s="100" t="s">
        <v>44</v>
      </c>
      <c r="K28" s="101" t="s">
        <v>44</v>
      </c>
      <c r="L28" s="102" t="s">
        <v>44</v>
      </c>
      <c r="M28" s="131" t="s">
        <v>7</v>
      </c>
      <c r="N28" s="103" t="s">
        <v>10</v>
      </c>
      <c r="O28" s="103">
        <v>1</v>
      </c>
      <c r="P28" s="104">
        <v>11</v>
      </c>
      <c r="Q28" s="105">
        <v>0.18181818181818182</v>
      </c>
      <c r="R28" s="105">
        <v>0.81818181818181823</v>
      </c>
      <c r="S28" s="106">
        <f>Q28/R28</f>
        <v>0.22222222222222221</v>
      </c>
      <c r="T28" s="107">
        <v>0</v>
      </c>
      <c r="U28" s="103" t="s">
        <v>1245</v>
      </c>
      <c r="V28" s="33" t="s">
        <v>45</v>
      </c>
      <c r="W28" s="87"/>
    </row>
    <row r="29" spans="1:23" ht="30" x14ac:dyDescent="0.2">
      <c r="A29" s="100" t="s">
        <v>148</v>
      </c>
      <c r="B29" s="167" t="s">
        <v>1824</v>
      </c>
      <c r="C29" s="164">
        <v>602954</v>
      </c>
      <c r="D29" s="101" t="s">
        <v>712</v>
      </c>
      <c r="E29" s="101" t="s">
        <v>711</v>
      </c>
      <c r="F29" s="101" t="s">
        <v>204</v>
      </c>
      <c r="G29" s="101" t="s">
        <v>45</v>
      </c>
      <c r="H29" s="101" t="s">
        <v>199</v>
      </c>
      <c r="I29" s="130" t="s">
        <v>204</v>
      </c>
      <c r="J29" s="100" t="s">
        <v>44</v>
      </c>
      <c r="K29" s="101" t="s">
        <v>44</v>
      </c>
      <c r="L29" s="102" t="s">
        <v>44</v>
      </c>
      <c r="M29" s="131" t="s">
        <v>7</v>
      </c>
      <c r="N29" s="103" t="s">
        <v>8</v>
      </c>
      <c r="O29" s="103">
        <v>1</v>
      </c>
      <c r="P29" s="104">
        <v>0</v>
      </c>
      <c r="Q29" s="105" t="s">
        <v>45</v>
      </c>
      <c r="R29" s="105" t="s">
        <v>45</v>
      </c>
      <c r="S29" s="106" t="s">
        <v>44</v>
      </c>
      <c r="T29" s="107" t="s">
        <v>206</v>
      </c>
      <c r="U29" s="103" t="s">
        <v>1471</v>
      </c>
      <c r="V29" s="33" t="s">
        <v>45</v>
      </c>
      <c r="W29" s="87"/>
    </row>
    <row r="30" spans="1:23" x14ac:dyDescent="0.2">
      <c r="A30" s="100" t="s">
        <v>197</v>
      </c>
      <c r="B30" s="167" t="s">
        <v>1825</v>
      </c>
      <c r="C30" s="164">
        <v>600375</v>
      </c>
      <c r="D30" s="101" t="s">
        <v>625</v>
      </c>
      <c r="E30" s="101" t="s">
        <v>670</v>
      </c>
      <c r="F30" s="101" t="s">
        <v>204</v>
      </c>
      <c r="G30" s="101" t="s">
        <v>45</v>
      </c>
      <c r="H30" s="101" t="s">
        <v>204</v>
      </c>
      <c r="I30" s="130" t="s">
        <v>204</v>
      </c>
      <c r="J30" s="100" t="s">
        <v>44</v>
      </c>
      <c r="K30" s="101" t="s">
        <v>44</v>
      </c>
      <c r="L30" s="102" t="s">
        <v>44</v>
      </c>
      <c r="M30" s="131" t="s">
        <v>7</v>
      </c>
      <c r="N30" s="103" t="s">
        <v>8</v>
      </c>
      <c r="O30" s="103">
        <v>1</v>
      </c>
      <c r="P30" s="104">
        <v>1</v>
      </c>
      <c r="Q30" s="105">
        <v>0</v>
      </c>
      <c r="R30" s="105">
        <v>1</v>
      </c>
      <c r="S30" s="106" t="s">
        <v>26</v>
      </c>
      <c r="T30" s="107" t="s">
        <v>206</v>
      </c>
      <c r="U30" s="103" t="s">
        <v>828</v>
      </c>
      <c r="V30" s="32" t="s">
        <v>45</v>
      </c>
    </row>
    <row r="31" spans="1:23" x14ac:dyDescent="0.2">
      <c r="A31" s="98" t="s">
        <v>1329</v>
      </c>
      <c r="B31" s="165"/>
      <c r="C31" s="165"/>
      <c r="D31" s="101"/>
      <c r="E31" s="101"/>
      <c r="F31" s="101"/>
      <c r="G31" s="101"/>
      <c r="H31" s="101"/>
      <c r="I31" s="130"/>
      <c r="J31" s="98"/>
      <c r="K31" s="99"/>
      <c r="L31" s="156"/>
      <c r="M31" s="131"/>
      <c r="N31" s="103"/>
      <c r="O31" s="103"/>
      <c r="P31" s="104"/>
      <c r="Q31" s="105"/>
      <c r="R31" s="105"/>
      <c r="S31" s="106"/>
      <c r="T31" s="107"/>
      <c r="U31" s="103"/>
      <c r="V31" s="32"/>
    </row>
    <row r="32" spans="1:23" ht="30" x14ac:dyDescent="0.2">
      <c r="A32" s="100" t="s">
        <v>19</v>
      </c>
      <c r="B32" s="167" t="s">
        <v>1826</v>
      </c>
      <c r="C32" s="164">
        <v>105590</v>
      </c>
      <c r="D32" s="101" t="s">
        <v>703</v>
      </c>
      <c r="E32" s="101" t="s">
        <v>704</v>
      </c>
      <c r="F32" s="101" t="s">
        <v>204</v>
      </c>
      <c r="G32" s="101" t="s">
        <v>45</v>
      </c>
      <c r="H32" s="101" t="s">
        <v>199</v>
      </c>
      <c r="I32" s="130" t="s">
        <v>204</v>
      </c>
      <c r="J32" s="100" t="s">
        <v>44</v>
      </c>
      <c r="K32" s="101" t="s">
        <v>44</v>
      </c>
      <c r="L32" s="102" t="s">
        <v>44</v>
      </c>
      <c r="M32" s="131" t="s">
        <v>18</v>
      </c>
      <c r="N32" s="103" t="s">
        <v>8</v>
      </c>
      <c r="O32" s="103">
        <v>0</v>
      </c>
      <c r="P32" s="104">
        <v>3</v>
      </c>
      <c r="Q32" s="105">
        <v>1</v>
      </c>
      <c r="R32" s="105">
        <v>0</v>
      </c>
      <c r="S32" s="106" t="s">
        <v>14</v>
      </c>
      <c r="T32" s="107">
        <v>1</v>
      </c>
      <c r="U32" s="103" t="s">
        <v>1156</v>
      </c>
      <c r="V32" s="31" t="s">
        <v>45</v>
      </c>
      <c r="W32" s="30"/>
    </row>
    <row r="33" spans="1:23" ht="30" x14ac:dyDescent="0.2">
      <c r="A33" s="100" t="s">
        <v>38</v>
      </c>
      <c r="B33" s="167" t="s">
        <v>1827</v>
      </c>
      <c r="C33" s="164">
        <v>60078</v>
      </c>
      <c r="D33" s="101" t="s">
        <v>644</v>
      </c>
      <c r="E33" s="101" t="s">
        <v>665</v>
      </c>
      <c r="F33" s="101" t="s">
        <v>204</v>
      </c>
      <c r="G33" s="101" t="s">
        <v>200</v>
      </c>
      <c r="H33" s="101" t="s">
        <v>199</v>
      </c>
      <c r="I33" s="130" t="s">
        <v>204</v>
      </c>
      <c r="J33" s="100" t="s">
        <v>44</v>
      </c>
      <c r="K33" s="101" t="s">
        <v>44</v>
      </c>
      <c r="L33" s="102" t="s">
        <v>44</v>
      </c>
      <c r="M33" s="131" t="s">
        <v>7</v>
      </c>
      <c r="N33" s="103" t="s">
        <v>10</v>
      </c>
      <c r="O33" s="103">
        <v>0</v>
      </c>
      <c r="P33" s="104">
        <v>1</v>
      </c>
      <c r="Q33" s="105">
        <v>0</v>
      </c>
      <c r="R33" s="105">
        <v>1</v>
      </c>
      <c r="S33" s="106" t="s">
        <v>26</v>
      </c>
      <c r="T33" s="107" t="s">
        <v>206</v>
      </c>
      <c r="U33" s="103" t="s">
        <v>45</v>
      </c>
      <c r="V33" s="31" t="s">
        <v>45</v>
      </c>
      <c r="W33" s="30"/>
    </row>
    <row r="34" spans="1:23" ht="45" x14ac:dyDescent="0.2">
      <c r="A34" s="100" t="s">
        <v>41</v>
      </c>
      <c r="B34" s="101" t="s">
        <v>1828</v>
      </c>
      <c r="C34" s="164">
        <v>116897</v>
      </c>
      <c r="D34" s="101" t="s">
        <v>702</v>
      </c>
      <c r="E34" s="101" t="s">
        <v>789</v>
      </c>
      <c r="F34" s="101" t="s">
        <v>204</v>
      </c>
      <c r="G34" s="101" t="s">
        <v>45</v>
      </c>
      <c r="H34" s="101" t="s">
        <v>199</v>
      </c>
      <c r="I34" s="130" t="s">
        <v>204</v>
      </c>
      <c r="J34" s="100" t="s">
        <v>44</v>
      </c>
      <c r="K34" s="101" t="s">
        <v>44</v>
      </c>
      <c r="L34" s="102" t="s">
        <v>44</v>
      </c>
      <c r="M34" s="131" t="s">
        <v>7</v>
      </c>
      <c r="N34" s="103" t="s">
        <v>8</v>
      </c>
      <c r="O34" s="103">
        <v>0</v>
      </c>
      <c r="P34" s="104">
        <v>1</v>
      </c>
      <c r="Q34" s="105">
        <v>0</v>
      </c>
      <c r="R34" s="105">
        <v>1</v>
      </c>
      <c r="S34" s="106" t="s">
        <v>26</v>
      </c>
      <c r="T34" s="107" t="s">
        <v>206</v>
      </c>
      <c r="U34" s="103" t="s">
        <v>1175</v>
      </c>
      <c r="V34" s="31" t="s">
        <v>45</v>
      </c>
      <c r="W34" s="30"/>
    </row>
    <row r="35" spans="1:23" ht="30" x14ac:dyDescent="0.2">
      <c r="A35" s="100" t="s">
        <v>60</v>
      </c>
      <c r="B35" s="167" t="s">
        <v>1829</v>
      </c>
      <c r="C35" s="164">
        <v>131550</v>
      </c>
      <c r="D35" s="101" t="s">
        <v>695</v>
      </c>
      <c r="E35" s="101" t="s">
        <v>696</v>
      </c>
      <c r="F35" s="101" t="s">
        <v>204</v>
      </c>
      <c r="G35" s="101" t="s">
        <v>45</v>
      </c>
      <c r="H35" s="101" t="s">
        <v>199</v>
      </c>
      <c r="I35" s="130" t="s">
        <v>204</v>
      </c>
      <c r="J35" s="100" t="s">
        <v>44</v>
      </c>
      <c r="K35" s="101" t="s">
        <v>44</v>
      </c>
      <c r="L35" s="102" t="s">
        <v>44</v>
      </c>
      <c r="M35" s="131" t="s">
        <v>18</v>
      </c>
      <c r="N35" s="103" t="s">
        <v>8</v>
      </c>
      <c r="O35" s="103">
        <v>0</v>
      </c>
      <c r="P35" s="104">
        <v>3</v>
      </c>
      <c r="Q35" s="105">
        <v>1</v>
      </c>
      <c r="R35" s="105">
        <v>0</v>
      </c>
      <c r="S35" s="106" t="s">
        <v>14</v>
      </c>
      <c r="T35" s="107">
        <v>1</v>
      </c>
      <c r="U35" s="103" t="s">
        <v>1203</v>
      </c>
      <c r="V35" s="31" t="s">
        <v>45</v>
      </c>
      <c r="W35" s="30"/>
    </row>
    <row r="36" spans="1:23" ht="30" x14ac:dyDescent="0.2">
      <c r="A36" s="100" t="s">
        <v>62</v>
      </c>
      <c r="B36" s="167" t="s">
        <v>1830</v>
      </c>
      <c r="C36" s="164">
        <v>185535</v>
      </c>
      <c r="D36" s="101" t="s">
        <v>628</v>
      </c>
      <c r="E36" s="101" t="s">
        <v>658</v>
      </c>
      <c r="F36" s="101" t="s">
        <v>204</v>
      </c>
      <c r="G36" s="101" t="s">
        <v>45</v>
      </c>
      <c r="H36" s="101" t="s">
        <v>204</v>
      </c>
      <c r="I36" s="130" t="s">
        <v>204</v>
      </c>
      <c r="J36" s="100" t="s">
        <v>44</v>
      </c>
      <c r="K36" s="101" t="s">
        <v>44</v>
      </c>
      <c r="L36" s="102" t="s">
        <v>44</v>
      </c>
      <c r="M36" s="131" t="s">
        <v>7</v>
      </c>
      <c r="N36" s="103" t="s">
        <v>8</v>
      </c>
      <c r="O36" s="103">
        <v>0</v>
      </c>
      <c r="P36" s="104">
        <v>2</v>
      </c>
      <c r="Q36" s="105">
        <v>0.5</v>
      </c>
      <c r="R36" s="105">
        <v>0.5</v>
      </c>
      <c r="S36" s="106">
        <f>Q36/R36</f>
        <v>1</v>
      </c>
      <c r="T36" s="107" t="s">
        <v>206</v>
      </c>
      <c r="U36" s="103" t="s">
        <v>45</v>
      </c>
      <c r="V36" s="31" t="s">
        <v>45</v>
      </c>
      <c r="W36" s="30"/>
    </row>
    <row r="37" spans="1:23" ht="30" x14ac:dyDescent="0.2">
      <c r="A37" s="100" t="s">
        <v>86</v>
      </c>
      <c r="B37" s="167" t="s">
        <v>1831</v>
      </c>
      <c r="C37" s="164">
        <v>610290</v>
      </c>
      <c r="D37" s="101" t="s">
        <v>629</v>
      </c>
      <c r="E37" s="101" t="s">
        <v>659</v>
      </c>
      <c r="F37" s="101" t="s">
        <v>204</v>
      </c>
      <c r="G37" s="101" t="s">
        <v>45</v>
      </c>
      <c r="H37" s="101" t="s">
        <v>204</v>
      </c>
      <c r="I37" s="130" t="s">
        <v>204</v>
      </c>
      <c r="J37" s="100" t="s">
        <v>44</v>
      </c>
      <c r="K37" s="101" t="s">
        <v>44</v>
      </c>
      <c r="L37" s="102" t="s">
        <v>44</v>
      </c>
      <c r="M37" s="131" t="s">
        <v>7</v>
      </c>
      <c r="N37" s="103" t="s">
        <v>8</v>
      </c>
      <c r="O37" s="103">
        <v>0</v>
      </c>
      <c r="P37" s="104">
        <v>8</v>
      </c>
      <c r="Q37" s="105">
        <v>0.875</v>
      </c>
      <c r="R37" s="105">
        <v>0.125</v>
      </c>
      <c r="S37" s="106">
        <v>7</v>
      </c>
      <c r="T37" s="107" t="s">
        <v>206</v>
      </c>
      <c r="U37" s="103" t="s">
        <v>828</v>
      </c>
      <c r="V37" s="31" t="s">
        <v>45</v>
      </c>
      <c r="W37" s="30"/>
    </row>
    <row r="38" spans="1:23" ht="30" x14ac:dyDescent="0.2">
      <c r="A38" s="100" t="s">
        <v>97</v>
      </c>
      <c r="B38" s="167" t="s">
        <v>1832</v>
      </c>
      <c r="C38" s="164">
        <v>604607</v>
      </c>
      <c r="D38" s="101" t="s">
        <v>721</v>
      </c>
      <c r="E38" s="101" t="s">
        <v>722</v>
      </c>
      <c r="F38" s="101" t="s">
        <v>204</v>
      </c>
      <c r="G38" s="101" t="s">
        <v>45</v>
      </c>
      <c r="H38" s="101" t="s">
        <v>204</v>
      </c>
      <c r="I38" s="130" t="s">
        <v>204</v>
      </c>
      <c r="J38" s="100" t="s">
        <v>44</v>
      </c>
      <c r="K38" s="101" t="s">
        <v>44</v>
      </c>
      <c r="L38" s="102" t="s">
        <v>44</v>
      </c>
      <c r="M38" s="131" t="s">
        <v>44</v>
      </c>
      <c r="N38" s="103" t="s">
        <v>8</v>
      </c>
      <c r="O38" s="103">
        <v>0</v>
      </c>
      <c r="P38" s="104">
        <v>1</v>
      </c>
      <c r="Q38" s="105">
        <v>1</v>
      </c>
      <c r="R38" s="105">
        <v>0</v>
      </c>
      <c r="S38" s="106" t="s">
        <v>14</v>
      </c>
      <c r="T38" s="107" t="s">
        <v>206</v>
      </c>
      <c r="U38" s="103" t="s">
        <v>1188</v>
      </c>
      <c r="V38" s="34" t="s">
        <v>45</v>
      </c>
      <c r="W38" s="35"/>
    </row>
    <row r="39" spans="1:23" ht="30" x14ac:dyDescent="0.2">
      <c r="A39" s="100" t="s">
        <v>102</v>
      </c>
      <c r="B39" s="101" t="s">
        <v>1833</v>
      </c>
      <c r="C39" s="164">
        <v>164920</v>
      </c>
      <c r="D39" s="101" t="s">
        <v>598</v>
      </c>
      <c r="E39" s="101" t="s">
        <v>667</v>
      </c>
      <c r="F39" s="101" t="s">
        <v>204</v>
      </c>
      <c r="G39" s="101" t="s">
        <v>45</v>
      </c>
      <c r="H39" s="101" t="s">
        <v>199</v>
      </c>
      <c r="I39" s="130" t="s">
        <v>204</v>
      </c>
      <c r="J39" s="100" t="s">
        <v>44</v>
      </c>
      <c r="K39" s="101" t="s">
        <v>44</v>
      </c>
      <c r="L39" s="102" t="s">
        <v>44</v>
      </c>
      <c r="M39" s="131" t="s">
        <v>18</v>
      </c>
      <c r="N39" s="103" t="s">
        <v>8</v>
      </c>
      <c r="O39" s="103">
        <v>0</v>
      </c>
      <c r="P39" s="104">
        <v>12</v>
      </c>
      <c r="Q39" s="105">
        <v>1</v>
      </c>
      <c r="R39" s="105">
        <v>0</v>
      </c>
      <c r="S39" s="106" t="s">
        <v>14</v>
      </c>
      <c r="T39" s="107">
        <v>1</v>
      </c>
      <c r="U39" s="103" t="s">
        <v>1191</v>
      </c>
      <c r="V39" s="32" t="s">
        <v>45</v>
      </c>
    </row>
    <row r="40" spans="1:23" ht="30" x14ac:dyDescent="0.2">
      <c r="A40" s="100" t="s">
        <v>105</v>
      </c>
      <c r="B40" s="164" t="s">
        <v>1834</v>
      </c>
      <c r="C40" s="164">
        <v>154950</v>
      </c>
      <c r="D40" s="101" t="s">
        <v>1785</v>
      </c>
      <c r="E40" s="101" t="s">
        <v>668</v>
      </c>
      <c r="F40" s="101" t="s">
        <v>204</v>
      </c>
      <c r="G40" s="101" t="s">
        <v>45</v>
      </c>
      <c r="H40" s="101" t="s">
        <v>199</v>
      </c>
      <c r="I40" s="130" t="s">
        <v>204</v>
      </c>
      <c r="J40" s="100" t="s">
        <v>44</v>
      </c>
      <c r="K40" s="101" t="s">
        <v>44</v>
      </c>
      <c r="L40" s="102" t="s">
        <v>44</v>
      </c>
      <c r="M40" s="131" t="s">
        <v>7</v>
      </c>
      <c r="N40" s="103" t="s">
        <v>8</v>
      </c>
      <c r="O40" s="103">
        <v>0</v>
      </c>
      <c r="P40" s="104">
        <v>2</v>
      </c>
      <c r="Q40" s="105">
        <v>0</v>
      </c>
      <c r="R40" s="105">
        <v>1</v>
      </c>
      <c r="S40" s="106" t="s">
        <v>26</v>
      </c>
      <c r="T40" s="107" t="s">
        <v>206</v>
      </c>
      <c r="U40" s="103" t="s">
        <v>828</v>
      </c>
      <c r="V40" s="32" t="s">
        <v>45</v>
      </c>
    </row>
    <row r="41" spans="1:23" ht="75" x14ac:dyDescent="0.2">
      <c r="A41" s="100" t="s">
        <v>107</v>
      </c>
      <c r="B41" s="101" t="s">
        <v>1835</v>
      </c>
      <c r="C41" s="164">
        <v>164860</v>
      </c>
      <c r="D41" s="101" t="s">
        <v>593</v>
      </c>
      <c r="E41" s="101" t="s">
        <v>661</v>
      </c>
      <c r="F41" s="101" t="s">
        <v>204</v>
      </c>
      <c r="G41" s="101" t="s">
        <v>45</v>
      </c>
      <c r="H41" s="101" t="s">
        <v>199</v>
      </c>
      <c r="I41" s="130" t="s">
        <v>204</v>
      </c>
      <c r="J41" s="100" t="s">
        <v>44</v>
      </c>
      <c r="K41" s="101" t="s">
        <v>44</v>
      </c>
      <c r="L41" s="102" t="s">
        <v>44</v>
      </c>
      <c r="M41" s="131" t="s">
        <v>18</v>
      </c>
      <c r="N41" s="103" t="s">
        <v>8</v>
      </c>
      <c r="O41" s="103">
        <v>0</v>
      </c>
      <c r="P41" s="104">
        <v>6</v>
      </c>
      <c r="Q41" s="105">
        <v>1</v>
      </c>
      <c r="R41" s="105">
        <v>0</v>
      </c>
      <c r="S41" s="106" t="s">
        <v>14</v>
      </c>
      <c r="T41" s="107">
        <v>1</v>
      </c>
      <c r="U41" s="103" t="s">
        <v>1195</v>
      </c>
      <c r="V41" s="31" t="s">
        <v>45</v>
      </c>
      <c r="W41" s="30"/>
    </row>
    <row r="42" spans="1:23" ht="30" x14ac:dyDescent="0.2">
      <c r="A42" s="100" t="s">
        <v>108</v>
      </c>
      <c r="B42" s="101" t="s">
        <v>1836</v>
      </c>
      <c r="C42" s="164">
        <v>156845</v>
      </c>
      <c r="D42" s="101" t="s">
        <v>687</v>
      </c>
      <c r="E42" s="101" t="s">
        <v>689</v>
      </c>
      <c r="F42" s="101" t="s">
        <v>204</v>
      </c>
      <c r="G42" s="101" t="s">
        <v>45</v>
      </c>
      <c r="H42" s="101" t="s">
        <v>204</v>
      </c>
      <c r="I42" s="130" t="s">
        <v>204</v>
      </c>
      <c r="J42" s="100" t="s">
        <v>44</v>
      </c>
      <c r="K42" s="101" t="s">
        <v>44</v>
      </c>
      <c r="L42" s="102" t="s">
        <v>44</v>
      </c>
      <c r="M42" s="131" t="s">
        <v>18</v>
      </c>
      <c r="N42" s="103" t="s">
        <v>8</v>
      </c>
      <c r="O42" s="103">
        <v>0</v>
      </c>
      <c r="P42" s="104">
        <v>5</v>
      </c>
      <c r="Q42" s="105">
        <v>0.8</v>
      </c>
      <c r="R42" s="105">
        <v>0.2</v>
      </c>
      <c r="S42" s="106">
        <f>Q42/R42</f>
        <v>4</v>
      </c>
      <c r="T42" s="107">
        <v>1</v>
      </c>
      <c r="U42" s="103" t="s">
        <v>828</v>
      </c>
      <c r="V42" s="31" t="s">
        <v>45</v>
      </c>
      <c r="W42" s="30"/>
    </row>
    <row r="43" spans="1:23" ht="30" x14ac:dyDescent="0.2">
      <c r="A43" s="100" t="s">
        <v>109</v>
      </c>
      <c r="B43" s="101" t="s">
        <v>1837</v>
      </c>
      <c r="C43" s="164">
        <v>120436</v>
      </c>
      <c r="D43" s="101" t="s">
        <v>1783</v>
      </c>
      <c r="E43" s="101" t="s">
        <v>658</v>
      </c>
      <c r="F43" s="101" t="s">
        <v>204</v>
      </c>
      <c r="G43" s="101" t="s">
        <v>588</v>
      </c>
      <c r="H43" s="101" t="s">
        <v>199</v>
      </c>
      <c r="I43" s="130" t="s">
        <v>199</v>
      </c>
      <c r="J43" s="100" t="s">
        <v>44</v>
      </c>
      <c r="K43" s="101" t="s">
        <v>44</v>
      </c>
      <c r="L43" s="102" t="s">
        <v>44</v>
      </c>
      <c r="M43" s="131" t="s">
        <v>7</v>
      </c>
      <c r="N43" s="103" t="s">
        <v>10</v>
      </c>
      <c r="O43" s="103">
        <v>0</v>
      </c>
      <c r="P43" s="104">
        <v>482</v>
      </c>
      <c r="Q43" s="105">
        <v>0.17012448132780084</v>
      </c>
      <c r="R43" s="105">
        <v>0.82987551867219922</v>
      </c>
      <c r="S43" s="106">
        <f>Q43/R43</f>
        <v>0.20499999999999999</v>
      </c>
      <c r="T43" s="107">
        <v>0</v>
      </c>
      <c r="U43" s="103" t="s">
        <v>1171</v>
      </c>
      <c r="V43" s="123" t="s">
        <v>866</v>
      </c>
    </row>
    <row r="44" spans="1:23" ht="30" x14ac:dyDescent="0.2">
      <c r="A44" s="100" t="s">
        <v>111</v>
      </c>
      <c r="B44" s="167" t="s">
        <v>1838</v>
      </c>
      <c r="C44" s="164">
        <v>609309</v>
      </c>
      <c r="D44" s="101" t="s">
        <v>1783</v>
      </c>
      <c r="E44" s="101" t="s">
        <v>658</v>
      </c>
      <c r="F44" s="101" t="s">
        <v>204</v>
      </c>
      <c r="G44" s="101" t="s">
        <v>588</v>
      </c>
      <c r="H44" s="101" t="s">
        <v>199</v>
      </c>
      <c r="I44" s="130" t="s">
        <v>199</v>
      </c>
      <c r="J44" s="100" t="s">
        <v>44</v>
      </c>
      <c r="K44" s="101" t="s">
        <v>44</v>
      </c>
      <c r="L44" s="102" t="s">
        <v>44</v>
      </c>
      <c r="M44" s="131" t="s">
        <v>7</v>
      </c>
      <c r="N44" s="103" t="s">
        <v>10</v>
      </c>
      <c r="O44" s="103">
        <v>0</v>
      </c>
      <c r="P44" s="104">
        <v>406</v>
      </c>
      <c r="Q44" s="105">
        <v>0.11083743842364532</v>
      </c>
      <c r="R44" s="105">
        <v>0.88916256157635465</v>
      </c>
      <c r="S44" s="106">
        <f>Q44/R44</f>
        <v>0.12465373961218837</v>
      </c>
      <c r="T44" s="107">
        <v>0</v>
      </c>
      <c r="U44" s="103" t="s">
        <v>1171</v>
      </c>
      <c r="V44" s="22" t="s">
        <v>866</v>
      </c>
    </row>
    <row r="45" spans="1:23" ht="30" x14ac:dyDescent="0.2">
      <c r="A45" s="100" t="s">
        <v>112</v>
      </c>
      <c r="B45" s="167" t="s">
        <v>1839</v>
      </c>
      <c r="C45" s="164">
        <v>600678</v>
      </c>
      <c r="D45" s="101" t="s">
        <v>1783</v>
      </c>
      <c r="E45" s="101" t="s">
        <v>658</v>
      </c>
      <c r="F45" s="101" t="s">
        <v>204</v>
      </c>
      <c r="G45" s="101" t="s">
        <v>588</v>
      </c>
      <c r="H45" s="101" t="s">
        <v>199</v>
      </c>
      <c r="I45" s="130" t="s">
        <v>199</v>
      </c>
      <c r="J45" s="100" t="s">
        <v>44</v>
      </c>
      <c r="K45" s="101" t="s">
        <v>44</v>
      </c>
      <c r="L45" s="102" t="s">
        <v>44</v>
      </c>
      <c r="M45" s="131" t="s">
        <v>7</v>
      </c>
      <c r="N45" s="103" t="s">
        <v>10</v>
      </c>
      <c r="O45" s="103">
        <v>0</v>
      </c>
      <c r="P45" s="104">
        <v>191</v>
      </c>
      <c r="Q45" s="105">
        <v>3.1413612565445025E-2</v>
      </c>
      <c r="R45" s="105">
        <v>0.96858638743455494</v>
      </c>
      <c r="S45" s="106">
        <f>Q45/R45</f>
        <v>3.2432432432432434E-2</v>
      </c>
      <c r="T45" s="107">
        <v>0</v>
      </c>
      <c r="U45" s="103" t="s">
        <v>828</v>
      </c>
      <c r="V45" s="22" t="s">
        <v>866</v>
      </c>
    </row>
    <row r="46" spans="1:23" ht="45" x14ac:dyDescent="0.2">
      <c r="A46" s="100" t="s">
        <v>127</v>
      </c>
      <c r="B46" s="167" t="s">
        <v>1840</v>
      </c>
      <c r="C46" s="164">
        <v>173490</v>
      </c>
      <c r="D46" s="101" t="s">
        <v>598</v>
      </c>
      <c r="E46" s="101" t="s">
        <v>667</v>
      </c>
      <c r="F46" s="101" t="s">
        <v>204</v>
      </c>
      <c r="G46" s="101" t="s">
        <v>45</v>
      </c>
      <c r="H46" s="101" t="s">
        <v>199</v>
      </c>
      <c r="I46" s="130" t="s">
        <v>204</v>
      </c>
      <c r="J46" s="100" t="s">
        <v>44</v>
      </c>
      <c r="K46" s="101" t="s">
        <v>44</v>
      </c>
      <c r="L46" s="102" t="s">
        <v>44</v>
      </c>
      <c r="M46" s="131" t="s">
        <v>18</v>
      </c>
      <c r="N46" s="103" t="s">
        <v>8</v>
      </c>
      <c r="O46" s="103">
        <v>0</v>
      </c>
      <c r="P46" s="104">
        <v>3</v>
      </c>
      <c r="Q46" s="105">
        <v>1</v>
      </c>
      <c r="R46" s="105">
        <v>0</v>
      </c>
      <c r="S46" s="106" t="s">
        <v>14</v>
      </c>
      <c r="T46" s="107">
        <v>1</v>
      </c>
      <c r="U46" s="103" t="s">
        <v>1201</v>
      </c>
      <c r="V46" s="33" t="s">
        <v>45</v>
      </c>
      <c r="W46" s="87"/>
    </row>
    <row r="47" spans="1:23" ht="30" x14ac:dyDescent="0.2">
      <c r="A47" s="100" t="s">
        <v>132</v>
      </c>
      <c r="B47" s="167" t="s">
        <v>1841</v>
      </c>
      <c r="C47" s="164">
        <v>600259</v>
      </c>
      <c r="D47" s="101" t="s">
        <v>1783</v>
      </c>
      <c r="E47" s="101" t="s">
        <v>658</v>
      </c>
      <c r="F47" s="101" t="s">
        <v>204</v>
      </c>
      <c r="G47" s="101" t="s">
        <v>588</v>
      </c>
      <c r="H47" s="101" t="s">
        <v>199</v>
      </c>
      <c r="I47" s="130" t="s">
        <v>199</v>
      </c>
      <c r="J47" s="100" t="s">
        <v>44</v>
      </c>
      <c r="K47" s="101" t="s">
        <v>44</v>
      </c>
      <c r="L47" s="102" t="s">
        <v>44</v>
      </c>
      <c r="M47" s="131" t="s">
        <v>7</v>
      </c>
      <c r="N47" s="103" t="s">
        <v>10</v>
      </c>
      <c r="O47" s="103">
        <v>0</v>
      </c>
      <c r="P47" s="104">
        <v>69</v>
      </c>
      <c r="Q47" s="105">
        <v>4.3478260869565216E-2</v>
      </c>
      <c r="R47" s="105">
        <v>0.95652173913043481</v>
      </c>
      <c r="S47" s="106">
        <f>Q47/R47</f>
        <v>4.5454545454545449E-2</v>
      </c>
      <c r="T47" s="107">
        <v>0</v>
      </c>
      <c r="U47" s="103" t="s">
        <v>828</v>
      </c>
      <c r="V47" s="22" t="s">
        <v>866</v>
      </c>
      <c r="W47" s="30"/>
    </row>
    <row r="48" spans="1:23" ht="30" x14ac:dyDescent="0.2">
      <c r="A48" s="100" t="s">
        <v>133</v>
      </c>
      <c r="B48" s="101" t="s">
        <v>1842</v>
      </c>
      <c r="C48" s="164">
        <v>174761</v>
      </c>
      <c r="D48" s="101" t="s">
        <v>631</v>
      </c>
      <c r="E48" s="101" t="s">
        <v>659</v>
      </c>
      <c r="F48" s="101" t="s">
        <v>204</v>
      </c>
      <c r="G48" s="101" t="s">
        <v>45</v>
      </c>
      <c r="H48" s="101" t="s">
        <v>199</v>
      </c>
      <c r="I48" s="130" t="s">
        <v>204</v>
      </c>
      <c r="J48" s="100" t="s">
        <v>44</v>
      </c>
      <c r="K48" s="101" t="s">
        <v>44</v>
      </c>
      <c r="L48" s="102" t="s">
        <v>44</v>
      </c>
      <c r="M48" s="131" t="s">
        <v>7</v>
      </c>
      <c r="N48" s="103" t="s">
        <v>8</v>
      </c>
      <c r="O48" s="103">
        <v>0</v>
      </c>
      <c r="P48" s="104">
        <v>1</v>
      </c>
      <c r="Q48" s="105">
        <v>0</v>
      </c>
      <c r="R48" s="105">
        <v>1</v>
      </c>
      <c r="S48" s="106" t="s">
        <v>26</v>
      </c>
      <c r="T48" s="107" t="s">
        <v>206</v>
      </c>
      <c r="U48" s="103" t="s">
        <v>1211</v>
      </c>
      <c r="V48" s="34" t="s">
        <v>45</v>
      </c>
      <c r="W48" s="35"/>
    </row>
    <row r="49" spans="1:23" ht="30" x14ac:dyDescent="0.2">
      <c r="A49" s="100" t="s">
        <v>134</v>
      </c>
      <c r="B49" s="167" t="s">
        <v>1843</v>
      </c>
      <c r="C49" s="164">
        <v>174762</v>
      </c>
      <c r="D49" s="101" t="s">
        <v>632</v>
      </c>
      <c r="E49" s="101" t="s">
        <v>659</v>
      </c>
      <c r="F49" s="101" t="s">
        <v>204</v>
      </c>
      <c r="G49" s="101" t="s">
        <v>201</v>
      </c>
      <c r="H49" s="101" t="s">
        <v>199</v>
      </c>
      <c r="I49" s="130" t="s">
        <v>204</v>
      </c>
      <c r="J49" s="100" t="s">
        <v>44</v>
      </c>
      <c r="K49" s="101" t="s">
        <v>44</v>
      </c>
      <c r="L49" s="102" t="s">
        <v>44</v>
      </c>
      <c r="M49" s="131" t="s">
        <v>7</v>
      </c>
      <c r="N49" s="103" t="s">
        <v>10</v>
      </c>
      <c r="O49" s="103">
        <v>0</v>
      </c>
      <c r="P49" s="104">
        <v>0</v>
      </c>
      <c r="Q49" s="105" t="s">
        <v>45</v>
      </c>
      <c r="R49" s="105" t="s">
        <v>45</v>
      </c>
      <c r="S49" s="106" t="s">
        <v>44</v>
      </c>
      <c r="T49" s="107" t="s">
        <v>206</v>
      </c>
      <c r="U49" s="103" t="s">
        <v>1212</v>
      </c>
      <c r="V49" s="33" t="s">
        <v>45</v>
      </c>
      <c r="W49" s="87"/>
    </row>
    <row r="50" spans="1:23" x14ac:dyDescent="0.2">
      <c r="A50" s="100" t="s">
        <v>149</v>
      </c>
      <c r="B50" s="167" t="s">
        <v>1844</v>
      </c>
      <c r="C50" s="164">
        <v>614041</v>
      </c>
      <c r="D50" s="101" t="s">
        <v>605</v>
      </c>
      <c r="E50" s="101" t="s">
        <v>730</v>
      </c>
      <c r="F50" s="101" t="s">
        <v>204</v>
      </c>
      <c r="G50" s="101" t="s">
        <v>45</v>
      </c>
      <c r="H50" s="101" t="s">
        <v>199</v>
      </c>
      <c r="I50" s="130" t="s">
        <v>199</v>
      </c>
      <c r="J50" s="100" t="s">
        <v>44</v>
      </c>
      <c r="K50" s="101" t="s">
        <v>44</v>
      </c>
      <c r="L50" s="102" t="s">
        <v>44</v>
      </c>
      <c r="M50" s="131" t="s">
        <v>7</v>
      </c>
      <c r="N50" s="103" t="s">
        <v>8</v>
      </c>
      <c r="O50" s="103">
        <v>0</v>
      </c>
      <c r="P50" s="104">
        <v>12</v>
      </c>
      <c r="Q50" s="105">
        <v>0.25</v>
      </c>
      <c r="R50" s="105">
        <v>0.75</v>
      </c>
      <c r="S50" s="106">
        <f>Q50/R50</f>
        <v>0.33333333333333331</v>
      </c>
      <c r="T50" s="107">
        <v>0</v>
      </c>
      <c r="U50" s="103" t="s">
        <v>1171</v>
      </c>
      <c r="V50" s="31" t="s">
        <v>45</v>
      </c>
      <c r="W50" s="30"/>
    </row>
    <row r="51" spans="1:23" ht="45" x14ac:dyDescent="0.2">
      <c r="A51" s="100" t="s">
        <v>154</v>
      </c>
      <c r="B51" s="101" t="s">
        <v>1845</v>
      </c>
      <c r="C51" s="164">
        <v>151385</v>
      </c>
      <c r="D51" s="101" t="s">
        <v>702</v>
      </c>
      <c r="E51" s="101" t="s">
        <v>789</v>
      </c>
      <c r="F51" s="101" t="s">
        <v>204</v>
      </c>
      <c r="G51" s="101" t="s">
        <v>45</v>
      </c>
      <c r="H51" s="101" t="s">
        <v>199</v>
      </c>
      <c r="I51" s="130" t="s">
        <v>204</v>
      </c>
      <c r="J51" s="100" t="s">
        <v>44</v>
      </c>
      <c r="K51" s="101" t="s">
        <v>44</v>
      </c>
      <c r="L51" s="102" t="s">
        <v>44</v>
      </c>
      <c r="M51" s="131" t="s">
        <v>7</v>
      </c>
      <c r="N51" s="103" t="s">
        <v>8</v>
      </c>
      <c r="O51" s="103">
        <v>0</v>
      </c>
      <c r="P51" s="104">
        <v>7</v>
      </c>
      <c r="Q51" s="105">
        <v>0.5714285714285714</v>
      </c>
      <c r="R51" s="105">
        <v>0.42857142857142855</v>
      </c>
      <c r="S51" s="106">
        <f>Q51/R51</f>
        <v>1.3333333333333333</v>
      </c>
      <c r="T51" s="107" t="s">
        <v>206</v>
      </c>
      <c r="U51" s="103" t="s">
        <v>1215</v>
      </c>
      <c r="V51" s="31" t="s">
        <v>45</v>
      </c>
      <c r="W51" s="30"/>
    </row>
    <row r="52" spans="1:23" ht="45" x14ac:dyDescent="0.2">
      <c r="A52" s="100" t="s">
        <v>159</v>
      </c>
      <c r="B52" s="101" t="s">
        <v>1846</v>
      </c>
      <c r="C52" s="164">
        <v>600857</v>
      </c>
      <c r="D52" s="101" t="s">
        <v>604</v>
      </c>
      <c r="E52" s="101" t="s">
        <v>668</v>
      </c>
      <c r="F52" s="101" t="s">
        <v>204</v>
      </c>
      <c r="G52" s="101" t="s">
        <v>45</v>
      </c>
      <c r="H52" s="101" t="s">
        <v>199</v>
      </c>
      <c r="I52" s="130" t="s">
        <v>204</v>
      </c>
      <c r="J52" s="100" t="s">
        <v>44</v>
      </c>
      <c r="K52" s="101" t="s">
        <v>44</v>
      </c>
      <c r="L52" s="102" t="s">
        <v>44</v>
      </c>
      <c r="M52" s="131" t="s">
        <v>7</v>
      </c>
      <c r="N52" s="103" t="s">
        <v>10</v>
      </c>
      <c r="O52" s="103">
        <v>0</v>
      </c>
      <c r="P52" s="104">
        <v>10</v>
      </c>
      <c r="Q52" s="105">
        <v>0.8</v>
      </c>
      <c r="R52" s="105">
        <v>0.2</v>
      </c>
      <c r="S52" s="106">
        <f>Q52/R52</f>
        <v>4</v>
      </c>
      <c r="T52" s="107">
        <v>1</v>
      </c>
      <c r="U52" s="103" t="s">
        <v>1228</v>
      </c>
      <c r="V52" s="31" t="s">
        <v>45</v>
      </c>
      <c r="W52" s="30"/>
    </row>
    <row r="53" spans="1:23" ht="45" x14ac:dyDescent="0.2">
      <c r="A53" s="100" t="s">
        <v>160</v>
      </c>
      <c r="B53" s="164" t="s">
        <v>1847</v>
      </c>
      <c r="C53" s="164">
        <v>613019</v>
      </c>
      <c r="D53" s="101" t="s">
        <v>602</v>
      </c>
      <c r="E53" s="101" t="s">
        <v>668</v>
      </c>
      <c r="F53" s="101" t="s">
        <v>204</v>
      </c>
      <c r="G53" s="101" t="s">
        <v>45</v>
      </c>
      <c r="H53" s="101" t="s">
        <v>199</v>
      </c>
      <c r="I53" s="130" t="s">
        <v>199</v>
      </c>
      <c r="J53" s="100" t="s">
        <v>44</v>
      </c>
      <c r="K53" s="101" t="s">
        <v>44</v>
      </c>
      <c r="L53" s="102" t="s">
        <v>44</v>
      </c>
      <c r="M53" s="131" t="s">
        <v>7</v>
      </c>
      <c r="N53" s="103" t="s">
        <v>8</v>
      </c>
      <c r="O53" s="103">
        <v>0</v>
      </c>
      <c r="P53" s="104">
        <v>1</v>
      </c>
      <c r="Q53" s="105">
        <v>1</v>
      </c>
      <c r="R53" s="105">
        <v>0</v>
      </c>
      <c r="S53" s="106" t="s">
        <v>14</v>
      </c>
      <c r="T53" s="107" t="s">
        <v>206</v>
      </c>
      <c r="U53" s="103" t="s">
        <v>1232</v>
      </c>
      <c r="V53" s="31" t="s">
        <v>45</v>
      </c>
      <c r="W53" s="30"/>
    </row>
    <row r="54" spans="1:23" ht="45" x14ac:dyDescent="0.2">
      <c r="A54" s="100" t="s">
        <v>161</v>
      </c>
      <c r="B54" s="167" t="s">
        <v>1848</v>
      </c>
      <c r="C54" s="164">
        <v>185470</v>
      </c>
      <c r="D54" s="101" t="s">
        <v>1785</v>
      </c>
      <c r="E54" s="101" t="s">
        <v>668</v>
      </c>
      <c r="F54" s="101" t="s">
        <v>204</v>
      </c>
      <c r="G54" s="101" t="s">
        <v>45</v>
      </c>
      <c r="H54" s="101" t="s">
        <v>199</v>
      </c>
      <c r="I54" s="130" t="s">
        <v>199</v>
      </c>
      <c r="J54" s="100" t="s">
        <v>44</v>
      </c>
      <c r="K54" s="101" t="s">
        <v>44</v>
      </c>
      <c r="L54" s="102" t="s">
        <v>44</v>
      </c>
      <c r="M54" s="131" t="s">
        <v>7</v>
      </c>
      <c r="N54" s="103" t="s">
        <v>8</v>
      </c>
      <c r="O54" s="103">
        <v>0</v>
      </c>
      <c r="P54" s="104">
        <v>16</v>
      </c>
      <c r="Q54" s="105">
        <v>0.6875</v>
      </c>
      <c r="R54" s="105">
        <v>0.3125</v>
      </c>
      <c r="S54" s="106">
        <f>Q54/R54</f>
        <v>2.2000000000000002</v>
      </c>
      <c r="T54" s="107">
        <v>1</v>
      </c>
      <c r="U54" s="103" t="s">
        <v>1231</v>
      </c>
      <c r="V54" s="31" t="s">
        <v>45</v>
      </c>
      <c r="W54" s="30"/>
    </row>
    <row r="55" spans="1:23" ht="45" x14ac:dyDescent="0.2">
      <c r="A55" s="100" t="s">
        <v>162</v>
      </c>
      <c r="B55" s="101" t="s">
        <v>1849</v>
      </c>
      <c r="C55" s="164">
        <v>602413</v>
      </c>
      <c r="D55" s="101" t="s">
        <v>601</v>
      </c>
      <c r="E55" s="101" t="s">
        <v>668</v>
      </c>
      <c r="F55" s="101" t="s">
        <v>204</v>
      </c>
      <c r="G55" s="101" t="s">
        <v>45</v>
      </c>
      <c r="H55" s="101" t="s">
        <v>199</v>
      </c>
      <c r="I55" s="130" t="s">
        <v>199</v>
      </c>
      <c r="J55" s="100" t="s">
        <v>44</v>
      </c>
      <c r="K55" s="101" t="s">
        <v>44</v>
      </c>
      <c r="L55" s="102" t="s">
        <v>44</v>
      </c>
      <c r="M55" s="131" t="s">
        <v>7</v>
      </c>
      <c r="N55" s="103" t="s">
        <v>8</v>
      </c>
      <c r="O55" s="103">
        <v>0</v>
      </c>
      <c r="P55" s="104">
        <v>2</v>
      </c>
      <c r="Q55" s="105">
        <v>0.5</v>
      </c>
      <c r="R55" s="105">
        <v>0.5</v>
      </c>
      <c r="S55" s="106">
        <f>Q55/R55</f>
        <v>1</v>
      </c>
      <c r="T55" s="107" t="s">
        <v>206</v>
      </c>
      <c r="U55" s="103" t="s">
        <v>1230</v>
      </c>
      <c r="V55" s="34" t="s">
        <v>45</v>
      </c>
      <c r="W55" s="35"/>
    </row>
    <row r="56" spans="1:23" ht="45" x14ac:dyDescent="0.2">
      <c r="A56" s="100" t="s">
        <v>163</v>
      </c>
      <c r="B56" s="101" t="s">
        <v>1850</v>
      </c>
      <c r="C56" s="164">
        <v>602690</v>
      </c>
      <c r="D56" s="101" t="s">
        <v>603</v>
      </c>
      <c r="E56" s="101" t="s">
        <v>668</v>
      </c>
      <c r="F56" s="101" t="s">
        <v>204</v>
      </c>
      <c r="G56" s="101" t="s">
        <v>45</v>
      </c>
      <c r="H56" s="101" t="s">
        <v>199</v>
      </c>
      <c r="I56" s="130" t="s">
        <v>199</v>
      </c>
      <c r="J56" s="100" t="s">
        <v>44</v>
      </c>
      <c r="K56" s="101" t="s">
        <v>44</v>
      </c>
      <c r="L56" s="102" t="s">
        <v>44</v>
      </c>
      <c r="M56" s="131" t="s">
        <v>7</v>
      </c>
      <c r="N56" s="103" t="s">
        <v>8</v>
      </c>
      <c r="O56" s="103">
        <v>0</v>
      </c>
      <c r="P56" s="104">
        <v>22</v>
      </c>
      <c r="Q56" s="105">
        <v>0.27272727272727271</v>
      </c>
      <c r="R56" s="105">
        <v>0.72727272727272729</v>
      </c>
      <c r="S56" s="106">
        <f>Q56/R56</f>
        <v>0.37499999999999994</v>
      </c>
      <c r="T56" s="107">
        <v>0</v>
      </c>
      <c r="U56" s="103" t="s">
        <v>1229</v>
      </c>
      <c r="V56" s="34" t="s">
        <v>45</v>
      </c>
      <c r="W56" s="35"/>
    </row>
    <row r="57" spans="1:23" ht="30" x14ac:dyDescent="0.2">
      <c r="A57" s="100" t="s">
        <v>170</v>
      </c>
      <c r="B57" s="101" t="s">
        <v>1851</v>
      </c>
      <c r="C57" s="164">
        <v>603254</v>
      </c>
      <c r="D57" s="101" t="s">
        <v>599</v>
      </c>
      <c r="E57" s="101" t="s">
        <v>788</v>
      </c>
      <c r="F57" s="101" t="s">
        <v>204</v>
      </c>
      <c r="G57" s="101" t="s">
        <v>45</v>
      </c>
      <c r="H57" s="101" t="s">
        <v>199</v>
      </c>
      <c r="I57" s="130" t="s">
        <v>204</v>
      </c>
      <c r="J57" s="100" t="s">
        <v>44</v>
      </c>
      <c r="K57" s="101" t="s">
        <v>44</v>
      </c>
      <c r="L57" s="102" t="s">
        <v>44</v>
      </c>
      <c r="M57" s="131" t="s">
        <v>7</v>
      </c>
      <c r="N57" s="103" t="s">
        <v>8</v>
      </c>
      <c r="O57" s="103">
        <v>0</v>
      </c>
      <c r="P57" s="104">
        <v>6</v>
      </c>
      <c r="Q57" s="105">
        <v>0.83333333333333337</v>
      </c>
      <c r="R57" s="105">
        <v>0.16666666666666666</v>
      </c>
      <c r="S57" s="106">
        <f>Q57/R57</f>
        <v>5.0000000000000009</v>
      </c>
      <c r="T57" s="107" t="s">
        <v>206</v>
      </c>
      <c r="U57" s="103" t="s">
        <v>1233</v>
      </c>
      <c r="V57" s="31" t="s">
        <v>45</v>
      </c>
      <c r="W57" s="30"/>
    </row>
    <row r="58" spans="1:23" ht="30" x14ac:dyDescent="0.2">
      <c r="A58" s="100" t="s">
        <v>171</v>
      </c>
      <c r="B58" s="101" t="s">
        <v>1852</v>
      </c>
      <c r="C58" s="164">
        <v>601607</v>
      </c>
      <c r="D58" s="101" t="s">
        <v>600</v>
      </c>
      <c r="E58" s="101" t="s">
        <v>788</v>
      </c>
      <c r="F58" s="101" t="s">
        <v>204</v>
      </c>
      <c r="G58" s="101" t="s">
        <v>45</v>
      </c>
      <c r="H58" s="101" t="s">
        <v>199</v>
      </c>
      <c r="I58" s="130" t="s">
        <v>204</v>
      </c>
      <c r="J58" s="100" t="s">
        <v>44</v>
      </c>
      <c r="K58" s="101" t="s">
        <v>44</v>
      </c>
      <c r="L58" s="102" t="s">
        <v>44</v>
      </c>
      <c r="M58" s="131" t="s">
        <v>7</v>
      </c>
      <c r="N58" s="103" t="s">
        <v>8</v>
      </c>
      <c r="O58" s="103">
        <v>0</v>
      </c>
      <c r="P58" s="104">
        <v>4</v>
      </c>
      <c r="Q58" s="105">
        <v>0.75</v>
      </c>
      <c r="R58" s="105">
        <v>0.25</v>
      </c>
      <c r="S58" s="106">
        <f>Q58/R58</f>
        <v>3</v>
      </c>
      <c r="T58" s="107" t="s">
        <v>206</v>
      </c>
      <c r="U58" s="103" t="s">
        <v>828</v>
      </c>
      <c r="V58" s="31" t="s">
        <v>45</v>
      </c>
      <c r="W58" s="30"/>
    </row>
    <row r="59" spans="1:23" ht="30" x14ac:dyDescent="0.2">
      <c r="A59" s="100" t="s">
        <v>172</v>
      </c>
      <c r="B59" s="167" t="s">
        <v>1853</v>
      </c>
      <c r="C59" s="164">
        <v>603111</v>
      </c>
      <c r="D59" s="101" t="s">
        <v>700</v>
      </c>
      <c r="E59" s="101" t="s">
        <v>701</v>
      </c>
      <c r="F59" s="101" t="s">
        <v>204</v>
      </c>
      <c r="G59" s="101" t="s">
        <v>45</v>
      </c>
      <c r="H59" s="101" t="s">
        <v>199</v>
      </c>
      <c r="I59" s="130" t="s">
        <v>204</v>
      </c>
      <c r="J59" s="100" t="s">
        <v>44</v>
      </c>
      <c r="K59" s="101" t="s">
        <v>44</v>
      </c>
      <c r="L59" s="102" t="s">
        <v>44</v>
      </c>
      <c r="M59" s="131" t="s">
        <v>7</v>
      </c>
      <c r="N59" s="103" t="s">
        <v>8</v>
      </c>
      <c r="O59" s="103">
        <v>0</v>
      </c>
      <c r="P59" s="104">
        <v>4</v>
      </c>
      <c r="Q59" s="105">
        <v>0</v>
      </c>
      <c r="R59" s="105">
        <v>1</v>
      </c>
      <c r="S59" s="106" t="s">
        <v>26</v>
      </c>
      <c r="T59" s="107" t="s">
        <v>206</v>
      </c>
      <c r="U59" s="103" t="s">
        <v>45</v>
      </c>
      <c r="V59" s="33" t="s">
        <v>45</v>
      </c>
      <c r="W59" s="30"/>
    </row>
    <row r="60" spans="1:23" ht="30" x14ac:dyDescent="0.2">
      <c r="A60" s="100" t="s">
        <v>176</v>
      </c>
      <c r="B60" s="101" t="s">
        <v>1854</v>
      </c>
      <c r="C60" s="164">
        <v>607035</v>
      </c>
      <c r="D60" s="101" t="s">
        <v>698</v>
      </c>
      <c r="E60" s="101" t="s">
        <v>697</v>
      </c>
      <c r="F60" s="101" t="s">
        <v>204</v>
      </c>
      <c r="G60" s="101" t="s">
        <v>45</v>
      </c>
      <c r="H60" s="101" t="s">
        <v>199</v>
      </c>
      <c r="I60" s="130" t="s">
        <v>204</v>
      </c>
      <c r="J60" s="100" t="s">
        <v>44</v>
      </c>
      <c r="K60" s="101" t="s">
        <v>44</v>
      </c>
      <c r="L60" s="102" t="s">
        <v>44</v>
      </c>
      <c r="M60" s="131" t="s">
        <v>7</v>
      </c>
      <c r="N60" s="103" t="s">
        <v>8</v>
      </c>
      <c r="O60" s="103">
        <v>0</v>
      </c>
      <c r="P60" s="104">
        <v>1</v>
      </c>
      <c r="Q60" s="105">
        <v>0</v>
      </c>
      <c r="R60" s="105">
        <v>1</v>
      </c>
      <c r="S60" s="106" t="s">
        <v>26</v>
      </c>
      <c r="T60" s="107" t="s">
        <v>206</v>
      </c>
      <c r="U60" s="108" t="s">
        <v>45</v>
      </c>
      <c r="V60" s="33" t="s">
        <v>45</v>
      </c>
      <c r="W60" s="87"/>
    </row>
    <row r="61" spans="1:23" ht="30" x14ac:dyDescent="0.2">
      <c r="A61" s="100" t="s">
        <v>180</v>
      </c>
      <c r="B61" s="101" t="s">
        <v>1855</v>
      </c>
      <c r="C61" s="164">
        <v>613403</v>
      </c>
      <c r="D61" s="101" t="s">
        <v>1785</v>
      </c>
      <c r="E61" s="101" t="s">
        <v>668</v>
      </c>
      <c r="F61" s="101" t="s">
        <v>204</v>
      </c>
      <c r="G61" s="101" t="s">
        <v>45</v>
      </c>
      <c r="H61" s="101" t="s">
        <v>199</v>
      </c>
      <c r="I61" s="130" t="s">
        <v>204</v>
      </c>
      <c r="J61" s="100" t="s">
        <v>44</v>
      </c>
      <c r="K61" s="101" t="s">
        <v>44</v>
      </c>
      <c r="L61" s="102" t="s">
        <v>44</v>
      </c>
      <c r="M61" s="131" t="s">
        <v>7</v>
      </c>
      <c r="N61" s="103" t="s">
        <v>8</v>
      </c>
      <c r="O61" s="103">
        <v>0</v>
      </c>
      <c r="P61" s="104">
        <v>8</v>
      </c>
      <c r="Q61" s="105">
        <v>0.375</v>
      </c>
      <c r="R61" s="105">
        <v>0.625</v>
      </c>
      <c r="S61" s="106">
        <f>Q61/R61</f>
        <v>0.6</v>
      </c>
      <c r="T61" s="107" t="s">
        <v>206</v>
      </c>
      <c r="U61" s="103" t="s">
        <v>828</v>
      </c>
      <c r="V61" s="31" t="s">
        <v>45</v>
      </c>
      <c r="W61" s="30"/>
    </row>
    <row r="62" spans="1:23" x14ac:dyDescent="0.2">
      <c r="A62" s="98" t="s">
        <v>1331</v>
      </c>
      <c r="B62" s="165"/>
      <c r="C62" s="165"/>
      <c r="D62" s="101"/>
      <c r="E62" s="101"/>
      <c r="F62" s="101"/>
      <c r="G62" s="101"/>
      <c r="H62" s="101"/>
      <c r="I62" s="130"/>
      <c r="J62" s="98"/>
      <c r="K62" s="99"/>
      <c r="L62" s="156"/>
      <c r="M62" s="131"/>
      <c r="N62" s="103"/>
      <c r="O62" s="103"/>
      <c r="P62" s="104"/>
      <c r="Q62" s="105"/>
      <c r="R62" s="105"/>
      <c r="S62" s="106"/>
      <c r="T62" s="107"/>
      <c r="U62" s="103"/>
      <c r="V62" s="33"/>
      <c r="W62" s="87"/>
    </row>
    <row r="63" spans="1:23" x14ac:dyDescent="0.2">
      <c r="A63" s="100" t="s">
        <v>17</v>
      </c>
      <c r="B63" s="6" t="s">
        <v>1856</v>
      </c>
      <c r="C63" s="101">
        <v>164730</v>
      </c>
      <c r="D63" s="101" t="s">
        <v>828</v>
      </c>
      <c r="E63" s="101" t="s">
        <v>44</v>
      </c>
      <c r="F63" s="101" t="s">
        <v>44</v>
      </c>
      <c r="G63" s="101" t="s">
        <v>45</v>
      </c>
      <c r="H63" s="101" t="s">
        <v>204</v>
      </c>
      <c r="I63" s="130" t="s">
        <v>204</v>
      </c>
      <c r="J63" s="100" t="s">
        <v>44</v>
      </c>
      <c r="K63" s="101" t="s">
        <v>828</v>
      </c>
      <c r="L63" s="102" t="s">
        <v>828</v>
      </c>
      <c r="M63" s="131" t="s">
        <v>18</v>
      </c>
      <c r="N63" s="103" t="s">
        <v>8</v>
      </c>
      <c r="O63" s="103">
        <v>0</v>
      </c>
      <c r="P63" s="104">
        <v>2</v>
      </c>
      <c r="Q63" s="105">
        <v>1</v>
      </c>
      <c r="R63" s="105">
        <v>0</v>
      </c>
      <c r="S63" s="106" t="s">
        <v>14</v>
      </c>
      <c r="T63" s="107">
        <v>1</v>
      </c>
      <c r="U63" s="103" t="s">
        <v>1222</v>
      </c>
      <c r="V63" s="31" t="s">
        <v>45</v>
      </c>
      <c r="W63" s="30"/>
    </row>
    <row r="64" spans="1:23" x14ac:dyDescent="0.2">
      <c r="A64" s="100" t="s">
        <v>43</v>
      </c>
      <c r="B64" s="101" t="s">
        <v>1857</v>
      </c>
      <c r="C64" s="164">
        <v>603078</v>
      </c>
      <c r="D64" s="101" t="s">
        <v>45</v>
      </c>
      <c r="E64" s="101" t="s">
        <v>44</v>
      </c>
      <c r="F64" s="101" t="s">
        <v>44</v>
      </c>
      <c r="G64" s="101" t="s">
        <v>45</v>
      </c>
      <c r="H64" s="101" t="s">
        <v>204</v>
      </c>
      <c r="I64" s="130" t="s">
        <v>204</v>
      </c>
      <c r="J64" s="100" t="s">
        <v>44</v>
      </c>
      <c r="K64" s="101" t="s">
        <v>828</v>
      </c>
      <c r="L64" s="102" t="s">
        <v>828</v>
      </c>
      <c r="M64" s="131" t="s">
        <v>44</v>
      </c>
      <c r="N64" s="103" t="s">
        <v>44</v>
      </c>
      <c r="O64" s="103">
        <v>0</v>
      </c>
      <c r="P64" s="104">
        <v>0</v>
      </c>
      <c r="Q64" s="105" t="s">
        <v>45</v>
      </c>
      <c r="R64" s="105" t="s">
        <v>45</v>
      </c>
      <c r="S64" s="106" t="s">
        <v>45</v>
      </c>
      <c r="T64" s="107" t="s">
        <v>206</v>
      </c>
      <c r="U64" s="103" t="s">
        <v>1163</v>
      </c>
      <c r="V64" s="31" t="s">
        <v>45</v>
      </c>
      <c r="W64" s="30"/>
    </row>
    <row r="65" spans="1:23" x14ac:dyDescent="0.2">
      <c r="A65" s="100" t="s">
        <v>49</v>
      </c>
      <c r="B65" s="101" t="s">
        <v>1858</v>
      </c>
      <c r="C65" s="164">
        <v>116805</v>
      </c>
      <c r="D65" s="101" t="s">
        <v>828</v>
      </c>
      <c r="E65" s="101" t="s">
        <v>44</v>
      </c>
      <c r="F65" s="101" t="s">
        <v>44</v>
      </c>
      <c r="G65" s="101" t="s">
        <v>45</v>
      </c>
      <c r="H65" s="101" t="s">
        <v>204</v>
      </c>
      <c r="I65" s="130" t="s">
        <v>204</v>
      </c>
      <c r="J65" s="100" t="s">
        <v>44</v>
      </c>
      <c r="K65" s="101" t="s">
        <v>828</v>
      </c>
      <c r="L65" s="102" t="s">
        <v>828</v>
      </c>
      <c r="M65" s="131" t="s">
        <v>7</v>
      </c>
      <c r="N65" s="103" t="s">
        <v>8</v>
      </c>
      <c r="O65" s="103">
        <v>0</v>
      </c>
      <c r="P65" s="104">
        <v>1</v>
      </c>
      <c r="Q65" s="105">
        <v>0</v>
      </c>
      <c r="R65" s="105">
        <v>1</v>
      </c>
      <c r="S65" s="106" t="s">
        <v>26</v>
      </c>
      <c r="T65" s="107" t="s">
        <v>206</v>
      </c>
      <c r="U65" s="103" t="s">
        <v>828</v>
      </c>
      <c r="V65" s="31" t="s">
        <v>45</v>
      </c>
      <c r="W65" s="30"/>
    </row>
    <row r="66" spans="1:23" x14ac:dyDescent="0.2">
      <c r="A66" s="100" t="s">
        <v>71</v>
      </c>
      <c r="B66" s="167" t="s">
        <v>1859</v>
      </c>
      <c r="C66" s="164">
        <v>611143</v>
      </c>
      <c r="D66" s="101" t="s">
        <v>828</v>
      </c>
      <c r="E66" s="101" t="s">
        <v>44</v>
      </c>
      <c r="F66" s="101" t="s">
        <v>44</v>
      </c>
      <c r="G66" s="101" t="s">
        <v>45</v>
      </c>
      <c r="H66" s="101" t="s">
        <v>204</v>
      </c>
      <c r="I66" s="130" t="s">
        <v>204</v>
      </c>
      <c r="J66" s="100" t="s">
        <v>44</v>
      </c>
      <c r="K66" s="101" t="s">
        <v>828</v>
      </c>
      <c r="L66" s="102" t="s">
        <v>828</v>
      </c>
      <c r="M66" s="131" t="s">
        <v>44</v>
      </c>
      <c r="N66" s="103" t="s">
        <v>44</v>
      </c>
      <c r="O66" s="103">
        <v>0</v>
      </c>
      <c r="P66" s="104">
        <v>3</v>
      </c>
      <c r="Q66" s="105">
        <v>0</v>
      </c>
      <c r="R66" s="105">
        <v>1</v>
      </c>
      <c r="S66" s="106" t="s">
        <v>26</v>
      </c>
      <c r="T66" s="107" t="s">
        <v>206</v>
      </c>
      <c r="U66" s="103" t="s">
        <v>828</v>
      </c>
      <c r="V66" s="31" t="s">
        <v>45</v>
      </c>
      <c r="W66" s="30"/>
    </row>
    <row r="67" spans="1:23" x14ac:dyDescent="0.2">
      <c r="A67" s="100" t="s">
        <v>89</v>
      </c>
      <c r="B67" s="101" t="s">
        <v>1860</v>
      </c>
      <c r="C67" s="164">
        <v>612449</v>
      </c>
      <c r="D67" s="101" t="s">
        <v>828</v>
      </c>
      <c r="E67" s="101" t="s">
        <v>44</v>
      </c>
      <c r="F67" s="101" t="s">
        <v>44</v>
      </c>
      <c r="G67" s="101" t="s">
        <v>625</v>
      </c>
      <c r="H67" s="101" t="s">
        <v>204</v>
      </c>
      <c r="I67" s="130" t="s">
        <v>204</v>
      </c>
      <c r="J67" s="100" t="s">
        <v>44</v>
      </c>
      <c r="K67" s="101" t="s">
        <v>828</v>
      </c>
      <c r="L67" s="102" t="s">
        <v>828</v>
      </c>
      <c r="M67" s="131" t="s">
        <v>7</v>
      </c>
      <c r="N67" s="103" t="s">
        <v>22</v>
      </c>
      <c r="O67" s="103">
        <v>0</v>
      </c>
      <c r="P67" s="104">
        <v>1</v>
      </c>
      <c r="Q67" s="105">
        <v>0</v>
      </c>
      <c r="R67" s="105">
        <v>1</v>
      </c>
      <c r="S67" s="106" t="s">
        <v>26</v>
      </c>
      <c r="T67" s="107" t="s">
        <v>206</v>
      </c>
      <c r="U67" s="103" t="s">
        <v>828</v>
      </c>
      <c r="V67" s="31" t="s">
        <v>45</v>
      </c>
      <c r="W67" s="30"/>
    </row>
    <row r="68" spans="1:23" ht="45" x14ac:dyDescent="0.2">
      <c r="A68" s="100" t="s">
        <v>129</v>
      </c>
      <c r="B68" s="167" t="s">
        <v>1861</v>
      </c>
      <c r="C68" s="164">
        <v>171834</v>
      </c>
      <c r="D68" s="101" t="s">
        <v>828</v>
      </c>
      <c r="E68" s="101" t="s">
        <v>44</v>
      </c>
      <c r="F68" s="101" t="s">
        <v>44</v>
      </c>
      <c r="G68" s="101" t="s">
        <v>45</v>
      </c>
      <c r="H68" s="101" t="s">
        <v>204</v>
      </c>
      <c r="I68" s="130" t="s">
        <v>204</v>
      </c>
      <c r="J68" s="100" t="s">
        <v>44</v>
      </c>
      <c r="K68" s="101" t="s">
        <v>828</v>
      </c>
      <c r="L68" s="102" t="s">
        <v>828</v>
      </c>
      <c r="M68" s="131" t="s">
        <v>18</v>
      </c>
      <c r="N68" s="103" t="s">
        <v>8</v>
      </c>
      <c r="O68" s="103">
        <v>0</v>
      </c>
      <c r="P68" s="104">
        <v>7</v>
      </c>
      <c r="Q68" s="105">
        <v>0.8571428571428571</v>
      </c>
      <c r="R68" s="105">
        <v>0.14285714285714285</v>
      </c>
      <c r="S68" s="106">
        <v>6</v>
      </c>
      <c r="T68" s="107">
        <v>1</v>
      </c>
      <c r="U68" s="103" t="s">
        <v>1204</v>
      </c>
      <c r="V68" s="31" t="s">
        <v>45</v>
      </c>
      <c r="W68" s="30"/>
    </row>
    <row r="69" spans="1:23" x14ac:dyDescent="0.2">
      <c r="A69" s="100" t="s">
        <v>131</v>
      </c>
      <c r="B69" s="101" t="s">
        <v>1862</v>
      </c>
      <c r="C69" s="164">
        <v>600258</v>
      </c>
      <c r="D69" s="101" t="s">
        <v>45</v>
      </c>
      <c r="E69" s="101" t="s">
        <v>44</v>
      </c>
      <c r="F69" s="101" t="s">
        <v>44</v>
      </c>
      <c r="G69" s="101" t="s">
        <v>45</v>
      </c>
      <c r="H69" s="101" t="s">
        <v>204</v>
      </c>
      <c r="I69" s="130" t="s">
        <v>204</v>
      </c>
      <c r="J69" s="100" t="s">
        <v>44</v>
      </c>
      <c r="K69" s="101" t="s">
        <v>828</v>
      </c>
      <c r="L69" s="102" t="s">
        <v>828</v>
      </c>
      <c r="M69" s="131" t="s">
        <v>44</v>
      </c>
      <c r="N69" s="103" t="s">
        <v>44</v>
      </c>
      <c r="O69" s="103">
        <v>0</v>
      </c>
      <c r="P69" s="104">
        <v>1</v>
      </c>
      <c r="Q69" s="105">
        <v>0</v>
      </c>
      <c r="R69" s="105">
        <v>1</v>
      </c>
      <c r="S69" s="106" t="s">
        <v>26</v>
      </c>
      <c r="T69" s="107" t="s">
        <v>206</v>
      </c>
      <c r="U69" s="103" t="s">
        <v>828</v>
      </c>
      <c r="V69" s="31" t="s">
        <v>45</v>
      </c>
      <c r="W69" s="30"/>
    </row>
    <row r="70" spans="1:23" x14ac:dyDescent="0.2">
      <c r="A70" s="100" t="s">
        <v>146</v>
      </c>
      <c r="B70" s="101" t="s">
        <v>1863</v>
      </c>
      <c r="C70" s="164">
        <v>603070</v>
      </c>
      <c r="D70" s="101" t="s">
        <v>45</v>
      </c>
      <c r="E70" s="101" t="s">
        <v>44</v>
      </c>
      <c r="F70" s="101" t="s">
        <v>44</v>
      </c>
      <c r="G70" s="101" t="s">
        <v>45</v>
      </c>
      <c r="H70" s="101" t="s">
        <v>204</v>
      </c>
      <c r="I70" s="130" t="s">
        <v>204</v>
      </c>
      <c r="J70" s="100" t="s">
        <v>44</v>
      </c>
      <c r="K70" s="101" t="s">
        <v>828</v>
      </c>
      <c r="L70" s="102" t="s">
        <v>828</v>
      </c>
      <c r="M70" s="131" t="s">
        <v>44</v>
      </c>
      <c r="N70" s="103" t="s">
        <v>44</v>
      </c>
      <c r="O70" s="103">
        <v>0</v>
      </c>
      <c r="P70" s="104">
        <v>1</v>
      </c>
      <c r="Q70" s="105">
        <v>1</v>
      </c>
      <c r="R70" s="105">
        <v>0</v>
      </c>
      <c r="S70" s="106" t="s">
        <v>14</v>
      </c>
      <c r="T70" s="107" t="s">
        <v>206</v>
      </c>
      <c r="U70" s="103" t="s">
        <v>828</v>
      </c>
      <c r="V70" s="31" t="s">
        <v>45</v>
      </c>
      <c r="W70" s="30"/>
    </row>
    <row r="71" spans="1:23" x14ac:dyDescent="0.2">
      <c r="A71" s="100" t="s">
        <v>185</v>
      </c>
      <c r="B71" s="101" t="s">
        <v>1864</v>
      </c>
      <c r="C71" s="164">
        <v>605230</v>
      </c>
      <c r="D71" s="101" t="s">
        <v>45</v>
      </c>
      <c r="E71" s="101" t="s">
        <v>44</v>
      </c>
      <c r="F71" s="101" t="s">
        <v>44</v>
      </c>
      <c r="G71" s="101" t="s">
        <v>45</v>
      </c>
      <c r="H71" s="101" t="s">
        <v>199</v>
      </c>
      <c r="I71" s="130" t="s">
        <v>204</v>
      </c>
      <c r="J71" s="100" t="s">
        <v>44</v>
      </c>
      <c r="K71" s="101" t="s">
        <v>828</v>
      </c>
      <c r="L71" s="102" t="s">
        <v>828</v>
      </c>
      <c r="M71" s="131" t="s">
        <v>44</v>
      </c>
      <c r="N71" s="103" t="s">
        <v>44</v>
      </c>
      <c r="O71" s="103">
        <v>0</v>
      </c>
      <c r="P71" s="104">
        <v>0</v>
      </c>
      <c r="Q71" s="105" t="s">
        <v>45</v>
      </c>
      <c r="R71" s="105" t="s">
        <v>45</v>
      </c>
      <c r="S71" s="106" t="s">
        <v>45</v>
      </c>
      <c r="T71" s="107" t="s">
        <v>206</v>
      </c>
      <c r="U71" s="103" t="s">
        <v>828</v>
      </c>
      <c r="V71" s="33" t="s">
        <v>45</v>
      </c>
      <c r="W71" s="30"/>
    </row>
    <row r="72" spans="1:23" x14ac:dyDescent="0.2">
      <c r="A72" s="98" t="s">
        <v>1330</v>
      </c>
      <c r="B72" s="165"/>
      <c r="C72" s="165"/>
      <c r="D72" s="101"/>
      <c r="E72" s="101"/>
      <c r="F72" s="101"/>
      <c r="G72" s="101"/>
      <c r="H72" s="101"/>
      <c r="I72" s="130"/>
      <c r="J72" s="98"/>
      <c r="K72" s="99"/>
      <c r="L72" s="156"/>
      <c r="M72" s="131"/>
      <c r="N72" s="103"/>
      <c r="O72" s="103"/>
      <c r="P72" s="104"/>
      <c r="Q72" s="105"/>
      <c r="R72" s="105"/>
      <c r="S72" s="106"/>
      <c r="T72" s="107"/>
      <c r="U72" s="103"/>
      <c r="V72" s="32"/>
    </row>
    <row r="73" spans="1:23" ht="30" x14ac:dyDescent="0.2">
      <c r="A73" s="100" t="s">
        <v>16</v>
      </c>
      <c r="B73" s="101" t="s">
        <v>1865</v>
      </c>
      <c r="C73" s="164">
        <v>605555</v>
      </c>
      <c r="D73" s="101" t="s">
        <v>1782</v>
      </c>
      <c r="E73" s="101" t="s">
        <v>716</v>
      </c>
      <c r="F73" s="101" t="s">
        <v>717</v>
      </c>
      <c r="G73" s="101" t="s">
        <v>45</v>
      </c>
      <c r="H73" s="101" t="s">
        <v>204</v>
      </c>
      <c r="I73" s="130" t="s">
        <v>204</v>
      </c>
      <c r="J73" s="100" t="s">
        <v>44</v>
      </c>
      <c r="K73" s="101" t="s">
        <v>44</v>
      </c>
      <c r="L73" s="102" t="s">
        <v>44</v>
      </c>
      <c r="M73" s="131" t="s">
        <v>7</v>
      </c>
      <c r="N73" s="103" t="s">
        <v>8</v>
      </c>
      <c r="O73" s="103">
        <v>0</v>
      </c>
      <c r="P73" s="104">
        <v>8</v>
      </c>
      <c r="Q73" s="105">
        <v>0.125</v>
      </c>
      <c r="R73" s="105">
        <v>0.875</v>
      </c>
      <c r="S73" s="106">
        <f>Q73/R73</f>
        <v>0.14285714285714285</v>
      </c>
      <c r="T73" s="107" t="s">
        <v>206</v>
      </c>
      <c r="U73" s="103" t="s">
        <v>1171</v>
      </c>
      <c r="V73" s="123" t="s">
        <v>878</v>
      </c>
      <c r="W73" s="87"/>
    </row>
    <row r="74" spans="1:23" ht="45" x14ac:dyDescent="0.2">
      <c r="A74" s="100" t="s">
        <v>20</v>
      </c>
      <c r="B74" s="101" t="s">
        <v>1866</v>
      </c>
      <c r="C74" s="164">
        <v>611731</v>
      </c>
      <c r="D74" s="101" t="s">
        <v>589</v>
      </c>
      <c r="E74" s="101" t="s">
        <v>659</v>
      </c>
      <c r="F74" s="101" t="s">
        <v>836</v>
      </c>
      <c r="G74" s="101" t="s">
        <v>45</v>
      </c>
      <c r="H74" s="101" t="s">
        <v>199</v>
      </c>
      <c r="I74" s="130" t="s">
        <v>199</v>
      </c>
      <c r="J74" s="100" t="s">
        <v>44</v>
      </c>
      <c r="K74" s="101" t="s">
        <v>44</v>
      </c>
      <c r="L74" s="102" t="s">
        <v>44</v>
      </c>
      <c r="M74" s="131" t="s">
        <v>7</v>
      </c>
      <c r="N74" s="103" t="s">
        <v>8</v>
      </c>
      <c r="O74" s="103">
        <v>0</v>
      </c>
      <c r="P74" s="104">
        <v>57</v>
      </c>
      <c r="Q74" s="105">
        <f>2/57</f>
        <v>3.5087719298245612E-2</v>
      </c>
      <c r="R74" s="105">
        <f>55/57</f>
        <v>0.96491228070175439</v>
      </c>
      <c r="S74" s="106">
        <f>Q74/R74</f>
        <v>3.6363636363636362E-2</v>
      </c>
      <c r="T74" s="107">
        <v>0</v>
      </c>
      <c r="U74" s="103" t="s">
        <v>45</v>
      </c>
      <c r="V74" s="123" t="s">
        <v>877</v>
      </c>
      <c r="W74" s="30"/>
    </row>
    <row r="75" spans="1:23" ht="45" x14ac:dyDescent="0.2">
      <c r="A75" s="100" t="s">
        <v>24</v>
      </c>
      <c r="B75" s="167" t="s">
        <v>1867</v>
      </c>
      <c r="C75" s="164">
        <v>601215</v>
      </c>
      <c r="D75" s="101" t="s">
        <v>676</v>
      </c>
      <c r="E75" s="101" t="s">
        <v>790</v>
      </c>
      <c r="F75" s="101" t="s">
        <v>800</v>
      </c>
      <c r="G75" s="101" t="s">
        <v>45</v>
      </c>
      <c r="H75" s="101" t="s">
        <v>204</v>
      </c>
      <c r="I75" s="130" t="s">
        <v>204</v>
      </c>
      <c r="J75" s="100" t="s">
        <v>44</v>
      </c>
      <c r="K75" s="101" t="s">
        <v>44</v>
      </c>
      <c r="L75" s="102" t="s">
        <v>44</v>
      </c>
      <c r="M75" s="131" t="s">
        <v>7</v>
      </c>
      <c r="N75" s="103" t="s">
        <v>10</v>
      </c>
      <c r="O75" s="103">
        <v>0</v>
      </c>
      <c r="P75" s="104">
        <v>2</v>
      </c>
      <c r="Q75" s="105">
        <v>1</v>
      </c>
      <c r="R75" s="105">
        <v>0</v>
      </c>
      <c r="S75" s="106" t="s">
        <v>1493</v>
      </c>
      <c r="T75" s="107" t="s">
        <v>206</v>
      </c>
      <c r="U75" s="103" t="s">
        <v>1157</v>
      </c>
      <c r="V75" s="31" t="s">
        <v>45</v>
      </c>
      <c r="W75" s="30"/>
    </row>
    <row r="76" spans="1:23" ht="30" x14ac:dyDescent="0.2">
      <c r="A76" s="100" t="s">
        <v>25</v>
      </c>
      <c r="B76" s="167" t="s">
        <v>1868</v>
      </c>
      <c r="C76" s="164">
        <v>604025</v>
      </c>
      <c r="D76" s="101" t="s">
        <v>709</v>
      </c>
      <c r="E76" s="101" t="s">
        <v>659</v>
      </c>
      <c r="F76" s="101" t="s">
        <v>801</v>
      </c>
      <c r="G76" s="101" t="s">
        <v>45</v>
      </c>
      <c r="H76" s="101" t="s">
        <v>199</v>
      </c>
      <c r="I76" s="130" t="s">
        <v>204</v>
      </c>
      <c r="J76" s="100" t="s">
        <v>44</v>
      </c>
      <c r="K76" s="101" t="s">
        <v>44</v>
      </c>
      <c r="L76" s="102" t="s">
        <v>44</v>
      </c>
      <c r="M76" s="131" t="s">
        <v>7</v>
      </c>
      <c r="N76" s="103" t="s">
        <v>8</v>
      </c>
      <c r="O76" s="103">
        <v>0</v>
      </c>
      <c r="P76" s="104">
        <v>1</v>
      </c>
      <c r="Q76" s="105">
        <v>0</v>
      </c>
      <c r="R76" s="105">
        <v>1</v>
      </c>
      <c r="S76" s="106" t="s">
        <v>26</v>
      </c>
      <c r="T76" s="107" t="s">
        <v>206</v>
      </c>
      <c r="U76" s="103" t="s">
        <v>45</v>
      </c>
      <c r="V76" s="31" t="s">
        <v>45</v>
      </c>
      <c r="W76" s="30"/>
    </row>
    <row r="77" spans="1:23" ht="30" x14ac:dyDescent="0.2">
      <c r="A77" s="100" t="s">
        <v>30</v>
      </c>
      <c r="B77" s="167" t="s">
        <v>1869</v>
      </c>
      <c r="C77" s="164">
        <v>601299</v>
      </c>
      <c r="D77" s="101" t="s">
        <v>590</v>
      </c>
      <c r="E77" s="101" t="s">
        <v>659</v>
      </c>
      <c r="F77" s="101" t="s">
        <v>837</v>
      </c>
      <c r="G77" s="101" t="s">
        <v>45</v>
      </c>
      <c r="H77" s="101" t="s">
        <v>199</v>
      </c>
      <c r="I77" s="130" t="s">
        <v>204</v>
      </c>
      <c r="J77" s="100" t="s">
        <v>44</v>
      </c>
      <c r="K77" s="101" t="s">
        <v>44</v>
      </c>
      <c r="L77" s="102" t="s">
        <v>44</v>
      </c>
      <c r="M77" s="131" t="s">
        <v>7</v>
      </c>
      <c r="N77" s="103" t="s">
        <v>8</v>
      </c>
      <c r="O77" s="103">
        <v>0</v>
      </c>
      <c r="P77" s="104">
        <v>12</v>
      </c>
      <c r="Q77" s="105">
        <v>0.5</v>
      </c>
      <c r="R77" s="105">
        <v>0.5</v>
      </c>
      <c r="S77" s="106">
        <f>Q77/R77</f>
        <v>1</v>
      </c>
      <c r="T77" s="107">
        <v>0</v>
      </c>
      <c r="U77" s="103" t="s">
        <v>1216</v>
      </c>
      <c r="V77" s="31" t="s">
        <v>45</v>
      </c>
      <c r="W77" s="30"/>
    </row>
    <row r="78" spans="1:23" ht="30" x14ac:dyDescent="0.2">
      <c r="A78" s="100" t="s">
        <v>34</v>
      </c>
      <c r="B78" s="167" t="s">
        <v>1870</v>
      </c>
      <c r="C78" s="164">
        <v>165360</v>
      </c>
      <c r="D78" s="101" t="s">
        <v>706</v>
      </c>
      <c r="E78" s="101" t="s">
        <v>791</v>
      </c>
      <c r="F78" s="101" t="s">
        <v>802</v>
      </c>
      <c r="G78" s="101" t="s">
        <v>45</v>
      </c>
      <c r="H78" s="101" t="s">
        <v>199</v>
      </c>
      <c r="I78" s="130" t="s">
        <v>204</v>
      </c>
      <c r="J78" s="100" t="s">
        <v>44</v>
      </c>
      <c r="K78" s="101" t="s">
        <v>44</v>
      </c>
      <c r="L78" s="102" t="s">
        <v>44</v>
      </c>
      <c r="M78" s="131" t="s">
        <v>7</v>
      </c>
      <c r="N78" s="103" t="s">
        <v>8</v>
      </c>
      <c r="O78" s="103">
        <v>0</v>
      </c>
      <c r="P78" s="104">
        <v>7</v>
      </c>
      <c r="Q78" s="105">
        <v>1</v>
      </c>
      <c r="R78" s="105">
        <v>0</v>
      </c>
      <c r="S78" s="106" t="s">
        <v>14</v>
      </c>
      <c r="T78" s="107" t="s">
        <v>206</v>
      </c>
      <c r="U78" s="103" t="s">
        <v>1158</v>
      </c>
      <c r="V78" s="31" t="s">
        <v>45</v>
      </c>
      <c r="W78" s="30"/>
    </row>
    <row r="79" spans="1:23" ht="30" x14ac:dyDescent="0.2">
      <c r="A79" s="100" t="s">
        <v>35</v>
      </c>
      <c r="B79" s="164" t="s">
        <v>1871</v>
      </c>
      <c r="C79" s="164">
        <v>607393</v>
      </c>
      <c r="D79" s="101" t="s">
        <v>692</v>
      </c>
      <c r="E79" s="101" t="s">
        <v>691</v>
      </c>
      <c r="F79" s="101" t="s">
        <v>803</v>
      </c>
      <c r="G79" s="101" t="s">
        <v>45</v>
      </c>
      <c r="H79" s="101" t="s">
        <v>199</v>
      </c>
      <c r="I79" s="130" t="s">
        <v>204</v>
      </c>
      <c r="J79" s="100" t="s">
        <v>44</v>
      </c>
      <c r="K79" s="101" t="s">
        <v>44</v>
      </c>
      <c r="L79" s="102" t="s">
        <v>44</v>
      </c>
      <c r="M79" s="131" t="s">
        <v>7</v>
      </c>
      <c r="N79" s="103" t="s">
        <v>8</v>
      </c>
      <c r="O79" s="103">
        <v>0</v>
      </c>
      <c r="P79" s="104">
        <v>3</v>
      </c>
      <c r="Q79" s="105">
        <v>0.66666666666666663</v>
      </c>
      <c r="R79" s="105">
        <v>0.33333333333333331</v>
      </c>
      <c r="S79" s="106">
        <f>Q79/R79</f>
        <v>2</v>
      </c>
      <c r="T79" s="107" t="s">
        <v>206</v>
      </c>
      <c r="U79" s="103" t="s">
        <v>1219</v>
      </c>
      <c r="V79" s="31" t="s">
        <v>45</v>
      </c>
      <c r="W79" s="30"/>
    </row>
    <row r="80" spans="1:23" ht="30" x14ac:dyDescent="0.2">
      <c r="A80" s="100" t="s">
        <v>39</v>
      </c>
      <c r="B80" s="101" t="s">
        <v>1872</v>
      </c>
      <c r="C80" s="164">
        <v>600856</v>
      </c>
      <c r="D80" s="101" t="s">
        <v>645</v>
      </c>
      <c r="E80" s="101" t="s">
        <v>650</v>
      </c>
      <c r="F80" s="101" t="s">
        <v>649</v>
      </c>
      <c r="G80" s="101" t="s">
        <v>45</v>
      </c>
      <c r="H80" s="101" t="s">
        <v>204</v>
      </c>
      <c r="I80" s="130" t="s">
        <v>204</v>
      </c>
      <c r="J80" s="100" t="s">
        <v>44</v>
      </c>
      <c r="K80" s="101" t="s">
        <v>44</v>
      </c>
      <c r="L80" s="102" t="s">
        <v>44</v>
      </c>
      <c r="M80" s="131" t="s">
        <v>7</v>
      </c>
      <c r="N80" s="103" t="s">
        <v>8</v>
      </c>
      <c r="O80" s="103">
        <v>0</v>
      </c>
      <c r="P80" s="104">
        <v>10</v>
      </c>
      <c r="Q80" s="105">
        <v>0.5</v>
      </c>
      <c r="R80" s="105">
        <v>0.5</v>
      </c>
      <c r="S80" s="106">
        <f>Q80/R80</f>
        <v>1</v>
      </c>
      <c r="T80" s="107">
        <v>0</v>
      </c>
      <c r="U80" s="103" t="s">
        <v>45</v>
      </c>
      <c r="V80" s="31" t="s">
        <v>45</v>
      </c>
      <c r="W80" s="30"/>
    </row>
    <row r="81" spans="1:23" ht="30" x14ac:dyDescent="0.2">
      <c r="A81" s="100" t="s">
        <v>50</v>
      </c>
      <c r="B81" s="101" t="s">
        <v>1873</v>
      </c>
      <c r="C81" s="164">
        <v>605018</v>
      </c>
      <c r="D81" s="101" t="s">
        <v>646</v>
      </c>
      <c r="E81" s="101" t="s">
        <v>672</v>
      </c>
      <c r="F81" s="101" t="s">
        <v>648</v>
      </c>
      <c r="G81" s="101" t="s">
        <v>45</v>
      </c>
      <c r="H81" s="101" t="s">
        <v>199</v>
      </c>
      <c r="I81" s="130" t="s">
        <v>204</v>
      </c>
      <c r="J81" s="100" t="s">
        <v>44</v>
      </c>
      <c r="K81" s="101" t="s">
        <v>44</v>
      </c>
      <c r="L81" s="102" t="s">
        <v>44</v>
      </c>
      <c r="M81" s="131" t="s">
        <v>7</v>
      </c>
      <c r="N81" s="103" t="s">
        <v>8</v>
      </c>
      <c r="O81" s="103">
        <v>0</v>
      </c>
      <c r="P81" s="104">
        <v>3</v>
      </c>
      <c r="Q81" s="105">
        <v>0.33333333333333331</v>
      </c>
      <c r="R81" s="105">
        <v>0.66666666666666663</v>
      </c>
      <c r="S81" s="106">
        <f>Q81/R81</f>
        <v>0.5</v>
      </c>
      <c r="T81" s="107" t="s">
        <v>206</v>
      </c>
      <c r="U81" s="103" t="s">
        <v>1167</v>
      </c>
      <c r="V81" s="31" t="s">
        <v>45</v>
      </c>
      <c r="W81" s="30"/>
    </row>
    <row r="82" spans="1:23" ht="30" x14ac:dyDescent="0.2">
      <c r="A82" s="100" t="s">
        <v>51</v>
      </c>
      <c r="B82" s="101" t="s">
        <v>1874</v>
      </c>
      <c r="C82" s="164">
        <v>600811</v>
      </c>
      <c r="D82" s="101" t="s">
        <v>640</v>
      </c>
      <c r="E82" s="101" t="s">
        <v>672</v>
      </c>
      <c r="F82" s="101" t="s">
        <v>804</v>
      </c>
      <c r="G82" s="101" t="s">
        <v>45</v>
      </c>
      <c r="H82" s="101" t="s">
        <v>199</v>
      </c>
      <c r="I82" s="130" t="s">
        <v>204</v>
      </c>
      <c r="J82" s="100" t="s">
        <v>44</v>
      </c>
      <c r="K82" s="101" t="s">
        <v>44</v>
      </c>
      <c r="L82" s="102" t="s">
        <v>44</v>
      </c>
      <c r="M82" s="131" t="s">
        <v>7</v>
      </c>
      <c r="N82" s="103" t="s">
        <v>8</v>
      </c>
      <c r="O82" s="103">
        <v>0</v>
      </c>
      <c r="P82" s="104">
        <v>4</v>
      </c>
      <c r="Q82" s="105">
        <v>0.75</v>
      </c>
      <c r="R82" s="105">
        <v>0.25</v>
      </c>
      <c r="S82" s="106">
        <f>Q82/R82</f>
        <v>3</v>
      </c>
      <c r="T82" s="107" t="s">
        <v>206</v>
      </c>
      <c r="U82" s="103" t="s">
        <v>45</v>
      </c>
      <c r="V82" s="32" t="s">
        <v>45</v>
      </c>
    </row>
    <row r="83" spans="1:23" ht="30" x14ac:dyDescent="0.2">
      <c r="A83" s="100" t="s">
        <v>52</v>
      </c>
      <c r="B83" s="194" t="s">
        <v>1875</v>
      </c>
      <c r="C83" s="164">
        <v>606241</v>
      </c>
      <c r="D83" s="101" t="s">
        <v>678</v>
      </c>
      <c r="E83" s="101" t="s">
        <v>792</v>
      </c>
      <c r="F83" s="101" t="s">
        <v>805</v>
      </c>
      <c r="G83" s="101" t="s">
        <v>45</v>
      </c>
      <c r="H83" s="101" t="s">
        <v>199</v>
      </c>
      <c r="I83" s="130" t="s">
        <v>204</v>
      </c>
      <c r="J83" s="100" t="s">
        <v>44</v>
      </c>
      <c r="K83" s="101" t="s">
        <v>44</v>
      </c>
      <c r="L83" s="102" t="s">
        <v>44</v>
      </c>
      <c r="M83" s="131" t="s">
        <v>7</v>
      </c>
      <c r="N83" s="103" t="s">
        <v>8</v>
      </c>
      <c r="O83" s="103">
        <v>0</v>
      </c>
      <c r="P83" s="104">
        <v>5</v>
      </c>
      <c r="Q83" s="105">
        <v>0.4</v>
      </c>
      <c r="R83" s="105">
        <v>0.6</v>
      </c>
      <c r="S83" s="106">
        <f>Q83/R83</f>
        <v>0.66666666666666674</v>
      </c>
      <c r="T83" s="107" t="s">
        <v>206</v>
      </c>
      <c r="U83" s="103" t="s">
        <v>45</v>
      </c>
      <c r="V83" s="31" t="s">
        <v>45</v>
      </c>
      <c r="W83" s="30"/>
    </row>
    <row r="84" spans="1:23" ht="30" x14ac:dyDescent="0.2">
      <c r="A84" s="100" t="s">
        <v>61</v>
      </c>
      <c r="B84" s="167" t="s">
        <v>1876</v>
      </c>
      <c r="C84" s="164">
        <v>130130</v>
      </c>
      <c r="D84" s="101" t="s">
        <v>726</v>
      </c>
      <c r="E84" s="101" t="s">
        <v>789</v>
      </c>
      <c r="F84" s="101" t="s">
        <v>725</v>
      </c>
      <c r="G84" s="101" t="s">
        <v>45</v>
      </c>
      <c r="H84" s="101" t="s">
        <v>199</v>
      </c>
      <c r="I84" s="130" t="s">
        <v>204</v>
      </c>
      <c r="J84" s="100" t="s">
        <v>44</v>
      </c>
      <c r="K84" s="101" t="s">
        <v>44</v>
      </c>
      <c r="L84" s="102" t="s">
        <v>44</v>
      </c>
      <c r="M84" s="131" t="s">
        <v>7</v>
      </c>
      <c r="N84" s="103" t="s">
        <v>8</v>
      </c>
      <c r="O84" s="103">
        <v>0</v>
      </c>
      <c r="P84" s="104">
        <v>10</v>
      </c>
      <c r="Q84" s="105">
        <v>1</v>
      </c>
      <c r="R84" s="105">
        <v>0</v>
      </c>
      <c r="S84" s="106" t="s">
        <v>14</v>
      </c>
      <c r="T84" s="107">
        <v>1</v>
      </c>
      <c r="U84" s="103" t="s">
        <v>45</v>
      </c>
      <c r="V84" s="31" t="s">
        <v>45</v>
      </c>
      <c r="W84" s="30"/>
    </row>
    <row r="85" spans="1:23" ht="30" x14ac:dyDescent="0.2">
      <c r="A85" s="100" t="s">
        <v>67</v>
      </c>
      <c r="B85" s="167" t="s">
        <v>1877</v>
      </c>
      <c r="C85" s="164">
        <v>608177</v>
      </c>
      <c r="D85" s="101" t="s">
        <v>673</v>
      </c>
      <c r="E85" s="101" t="s">
        <v>793</v>
      </c>
      <c r="F85" s="101" t="s">
        <v>806</v>
      </c>
      <c r="G85" s="101" t="s">
        <v>45</v>
      </c>
      <c r="H85" s="101" t="s">
        <v>199</v>
      </c>
      <c r="I85" s="130" t="s">
        <v>204</v>
      </c>
      <c r="J85" s="100" t="s">
        <v>44</v>
      </c>
      <c r="K85" s="101" t="s">
        <v>44</v>
      </c>
      <c r="L85" s="102" t="s">
        <v>44</v>
      </c>
      <c r="M85" s="131" t="s">
        <v>7</v>
      </c>
      <c r="N85" s="103" t="s">
        <v>8</v>
      </c>
      <c r="O85" s="103">
        <v>0</v>
      </c>
      <c r="P85" s="104">
        <v>4</v>
      </c>
      <c r="Q85" s="105">
        <v>0.75</v>
      </c>
      <c r="R85" s="105">
        <v>0.25</v>
      </c>
      <c r="S85" s="106">
        <f>Q85/R85</f>
        <v>3</v>
      </c>
      <c r="T85" s="107" t="s">
        <v>206</v>
      </c>
      <c r="U85" s="103" t="s">
        <v>45</v>
      </c>
      <c r="V85" s="22" t="s">
        <v>867</v>
      </c>
      <c r="W85" s="30"/>
    </row>
    <row r="86" spans="1:23" ht="30" x14ac:dyDescent="0.2">
      <c r="A86" s="100" t="s">
        <v>68</v>
      </c>
      <c r="B86" s="194" t="s">
        <v>1878</v>
      </c>
      <c r="C86" s="164">
        <v>608210</v>
      </c>
      <c r="D86" s="101" t="s">
        <v>674</v>
      </c>
      <c r="E86" s="101" t="s">
        <v>793</v>
      </c>
      <c r="F86" s="101" t="s">
        <v>806</v>
      </c>
      <c r="G86" s="101" t="s">
        <v>45</v>
      </c>
      <c r="H86" s="101" t="s">
        <v>199</v>
      </c>
      <c r="I86" s="130" t="s">
        <v>204</v>
      </c>
      <c r="J86" s="100" t="s">
        <v>44</v>
      </c>
      <c r="K86" s="101" t="s">
        <v>44</v>
      </c>
      <c r="L86" s="102" t="s">
        <v>44</v>
      </c>
      <c r="M86" s="131" t="s">
        <v>7</v>
      </c>
      <c r="N86" s="103" t="s">
        <v>8</v>
      </c>
      <c r="O86" s="103">
        <v>0</v>
      </c>
      <c r="P86" s="104">
        <v>4</v>
      </c>
      <c r="Q86" s="105">
        <v>0.25</v>
      </c>
      <c r="R86" s="105">
        <v>0.75</v>
      </c>
      <c r="S86" s="106">
        <f>Q86/R86</f>
        <v>0.33333333333333331</v>
      </c>
      <c r="T86" s="107" t="s">
        <v>206</v>
      </c>
      <c r="U86" s="103" t="s">
        <v>45</v>
      </c>
      <c r="V86" s="22" t="s">
        <v>867</v>
      </c>
      <c r="W86" s="30"/>
    </row>
    <row r="87" spans="1:23" ht="30" x14ac:dyDescent="0.2">
      <c r="A87" s="100" t="s">
        <v>69</v>
      </c>
      <c r="B87" s="101" t="s">
        <v>1879</v>
      </c>
      <c r="C87" s="164">
        <v>601573</v>
      </c>
      <c r="D87" s="101" t="s">
        <v>727</v>
      </c>
      <c r="E87" s="101" t="s">
        <v>704</v>
      </c>
      <c r="F87" s="101" t="s">
        <v>807</v>
      </c>
      <c r="G87" s="101" t="s">
        <v>45</v>
      </c>
      <c r="H87" s="101" t="s">
        <v>204</v>
      </c>
      <c r="I87" s="130" t="s">
        <v>204</v>
      </c>
      <c r="J87" s="100" t="s">
        <v>44</v>
      </c>
      <c r="K87" s="101" t="s">
        <v>44</v>
      </c>
      <c r="L87" s="102" t="s">
        <v>44</v>
      </c>
      <c r="M87" s="131" t="s">
        <v>7</v>
      </c>
      <c r="N87" s="103" t="s">
        <v>8</v>
      </c>
      <c r="O87" s="103">
        <v>0</v>
      </c>
      <c r="P87" s="104">
        <v>2</v>
      </c>
      <c r="Q87" s="105">
        <v>1</v>
      </c>
      <c r="R87" s="105">
        <v>0</v>
      </c>
      <c r="S87" s="106" t="s">
        <v>14</v>
      </c>
      <c r="T87" s="107" t="s">
        <v>206</v>
      </c>
      <c r="U87" s="103" t="s">
        <v>1169</v>
      </c>
      <c r="V87" s="31" t="s">
        <v>45</v>
      </c>
      <c r="W87" s="30"/>
    </row>
    <row r="88" spans="1:23" ht="30" x14ac:dyDescent="0.2">
      <c r="A88" s="100" t="s">
        <v>82</v>
      </c>
      <c r="B88" s="101" t="s">
        <v>1880</v>
      </c>
      <c r="C88" s="164">
        <v>134637</v>
      </c>
      <c r="D88" s="101" t="s">
        <v>642</v>
      </c>
      <c r="E88" s="101" t="s">
        <v>647</v>
      </c>
      <c r="F88" s="101" t="s">
        <v>808</v>
      </c>
      <c r="G88" s="101" t="s">
        <v>45</v>
      </c>
      <c r="H88" s="101" t="s">
        <v>204</v>
      </c>
      <c r="I88" s="130" t="s">
        <v>204</v>
      </c>
      <c r="J88" s="100" t="s">
        <v>44</v>
      </c>
      <c r="K88" s="101" t="s">
        <v>44</v>
      </c>
      <c r="L88" s="102" t="s">
        <v>44</v>
      </c>
      <c r="M88" s="131" t="s">
        <v>7</v>
      </c>
      <c r="N88" s="103" t="s">
        <v>8</v>
      </c>
      <c r="O88" s="103">
        <v>0</v>
      </c>
      <c r="P88" s="104">
        <v>9</v>
      </c>
      <c r="Q88" s="105">
        <v>0.88888888888888884</v>
      </c>
      <c r="R88" s="105">
        <v>0.1111111111111111</v>
      </c>
      <c r="S88" s="106">
        <f>Q88/R88</f>
        <v>8</v>
      </c>
      <c r="T88" s="107" t="s">
        <v>206</v>
      </c>
      <c r="U88" s="103" t="s">
        <v>1173</v>
      </c>
      <c r="V88" s="31" t="s">
        <v>45</v>
      </c>
      <c r="W88" s="30"/>
    </row>
    <row r="89" spans="1:23" ht="30" x14ac:dyDescent="0.2">
      <c r="A89" s="100" t="s">
        <v>84</v>
      </c>
      <c r="B89" s="167" t="s">
        <v>1881</v>
      </c>
      <c r="C89" s="164">
        <v>136850</v>
      </c>
      <c r="D89" s="101" t="s">
        <v>594</v>
      </c>
      <c r="E89" s="101" t="s">
        <v>661</v>
      </c>
      <c r="F89" s="101" t="s">
        <v>662</v>
      </c>
      <c r="G89" s="101" t="s">
        <v>45</v>
      </c>
      <c r="H89" s="101" t="s">
        <v>199</v>
      </c>
      <c r="I89" s="130" t="s">
        <v>204</v>
      </c>
      <c r="J89" s="100" t="s">
        <v>44</v>
      </c>
      <c r="K89" s="101" t="s">
        <v>44</v>
      </c>
      <c r="L89" s="102" t="s">
        <v>44</v>
      </c>
      <c r="M89" s="131" t="s">
        <v>7</v>
      </c>
      <c r="N89" s="103" t="s">
        <v>10</v>
      </c>
      <c r="O89" s="103">
        <v>0</v>
      </c>
      <c r="P89" s="104">
        <v>15</v>
      </c>
      <c r="Q89" s="105">
        <v>0.66666666666666663</v>
      </c>
      <c r="R89" s="105">
        <v>0.33333333333333331</v>
      </c>
      <c r="S89" s="106">
        <f>Q89/R89</f>
        <v>2</v>
      </c>
      <c r="T89" s="107">
        <v>1</v>
      </c>
      <c r="U89" s="103" t="s">
        <v>45</v>
      </c>
      <c r="V89" s="123" t="s">
        <v>864</v>
      </c>
    </row>
    <row r="90" spans="1:23" ht="30" x14ac:dyDescent="0.2">
      <c r="A90" s="100" t="s">
        <v>85</v>
      </c>
      <c r="B90" s="167" t="s">
        <v>1882</v>
      </c>
      <c r="C90" s="164">
        <v>607273</v>
      </c>
      <c r="D90" s="101" t="s">
        <v>592</v>
      </c>
      <c r="E90" s="101" t="s">
        <v>661</v>
      </c>
      <c r="F90" s="101" t="s">
        <v>838</v>
      </c>
      <c r="G90" s="101" t="s">
        <v>45</v>
      </c>
      <c r="H90" s="101" t="s">
        <v>199</v>
      </c>
      <c r="I90" s="130" t="s">
        <v>204</v>
      </c>
      <c r="J90" s="100" t="s">
        <v>44</v>
      </c>
      <c r="K90" s="101" t="s">
        <v>44</v>
      </c>
      <c r="L90" s="102" t="s">
        <v>44</v>
      </c>
      <c r="M90" s="131" t="s">
        <v>7</v>
      </c>
      <c r="N90" s="103" t="s">
        <v>8</v>
      </c>
      <c r="O90" s="103">
        <v>0</v>
      </c>
      <c r="P90" s="104">
        <v>11</v>
      </c>
      <c r="Q90" s="105">
        <v>0</v>
      </c>
      <c r="R90" s="105">
        <v>1</v>
      </c>
      <c r="S90" s="106" t="s">
        <v>26</v>
      </c>
      <c r="T90" s="107">
        <v>0</v>
      </c>
      <c r="U90" s="103" t="s">
        <v>1175</v>
      </c>
      <c r="V90" s="31" t="s">
        <v>45</v>
      </c>
      <c r="W90" s="30"/>
    </row>
    <row r="91" spans="1:23" ht="30" x14ac:dyDescent="0.2">
      <c r="A91" s="100" t="s">
        <v>87</v>
      </c>
      <c r="B91" s="101" t="s">
        <v>1883</v>
      </c>
      <c r="C91" s="164">
        <v>137295</v>
      </c>
      <c r="D91" s="101" t="s">
        <v>682</v>
      </c>
      <c r="E91" s="101" t="s">
        <v>794</v>
      </c>
      <c r="F91" s="101" t="s">
        <v>809</v>
      </c>
      <c r="G91" s="101" t="s">
        <v>45</v>
      </c>
      <c r="H91" s="101" t="s">
        <v>199</v>
      </c>
      <c r="I91" s="130" t="s">
        <v>204</v>
      </c>
      <c r="J91" s="100" t="s">
        <v>44</v>
      </c>
      <c r="K91" s="101" t="s">
        <v>44</v>
      </c>
      <c r="L91" s="102" t="s">
        <v>44</v>
      </c>
      <c r="M91" s="131" t="s">
        <v>7</v>
      </c>
      <c r="N91" s="103" t="s">
        <v>8</v>
      </c>
      <c r="O91" s="103">
        <v>0</v>
      </c>
      <c r="P91" s="104">
        <v>7</v>
      </c>
      <c r="Q91" s="105">
        <v>0.7142857142857143</v>
      </c>
      <c r="R91" s="105">
        <v>0.2857142857142857</v>
      </c>
      <c r="S91" s="106">
        <f>Q91/R91</f>
        <v>2.5</v>
      </c>
      <c r="T91" s="107" t="s">
        <v>206</v>
      </c>
      <c r="U91" s="103" t="s">
        <v>1175</v>
      </c>
      <c r="V91" s="33" t="s">
        <v>45</v>
      </c>
      <c r="W91" s="30"/>
    </row>
    <row r="92" spans="1:23" ht="30" x14ac:dyDescent="0.2">
      <c r="A92" s="100" t="s">
        <v>90</v>
      </c>
      <c r="B92" s="167" t="s">
        <v>1884</v>
      </c>
      <c r="C92" s="164">
        <v>121011</v>
      </c>
      <c r="D92" s="101" t="s">
        <v>693</v>
      </c>
      <c r="E92" s="101" t="s">
        <v>672</v>
      </c>
      <c r="F92" s="101" t="s">
        <v>810</v>
      </c>
      <c r="G92" s="101" t="s">
        <v>694</v>
      </c>
      <c r="H92" s="101" t="s">
        <v>199</v>
      </c>
      <c r="I92" s="130" t="s">
        <v>204</v>
      </c>
      <c r="J92" s="100" t="s">
        <v>44</v>
      </c>
      <c r="K92" s="101" t="s">
        <v>44</v>
      </c>
      <c r="L92" s="102" t="s">
        <v>44</v>
      </c>
      <c r="M92" s="131" t="s">
        <v>7</v>
      </c>
      <c r="N92" s="103" t="s">
        <v>8</v>
      </c>
      <c r="O92" s="103">
        <v>0</v>
      </c>
      <c r="P92" s="104">
        <v>37</v>
      </c>
      <c r="Q92" s="105">
        <v>0.78378378378378377</v>
      </c>
      <c r="R92" s="105">
        <v>0.21621621621621623</v>
      </c>
      <c r="S92" s="106">
        <f>Q92/R92</f>
        <v>3.6249999999999996</v>
      </c>
      <c r="T92" s="107">
        <v>1</v>
      </c>
      <c r="U92" s="103" t="s">
        <v>1171</v>
      </c>
      <c r="V92" s="123" t="s">
        <v>865</v>
      </c>
      <c r="W92" s="30"/>
    </row>
    <row r="93" spans="1:23" ht="30" x14ac:dyDescent="0.2">
      <c r="A93" s="100" t="s">
        <v>93</v>
      </c>
      <c r="B93" s="194" t="s">
        <v>1885</v>
      </c>
      <c r="C93" s="164">
        <v>603054</v>
      </c>
      <c r="D93" s="101" t="s">
        <v>630</v>
      </c>
      <c r="E93" s="101" t="s">
        <v>659</v>
      </c>
      <c r="F93" s="101" t="s">
        <v>671</v>
      </c>
      <c r="G93" s="101" t="s">
        <v>45</v>
      </c>
      <c r="H93" s="101" t="s">
        <v>204</v>
      </c>
      <c r="I93" s="130" t="s">
        <v>204</v>
      </c>
      <c r="J93" s="100" t="s">
        <v>44</v>
      </c>
      <c r="K93" s="101" t="s">
        <v>44</v>
      </c>
      <c r="L93" s="102" t="s">
        <v>44</v>
      </c>
      <c r="M93" s="131" t="s">
        <v>18</v>
      </c>
      <c r="N93" s="103" t="s">
        <v>8</v>
      </c>
      <c r="O93" s="103">
        <v>0</v>
      </c>
      <c r="P93" s="104">
        <v>2</v>
      </c>
      <c r="Q93" s="105">
        <v>0</v>
      </c>
      <c r="R93" s="105">
        <v>0</v>
      </c>
      <c r="S93" s="106" t="s">
        <v>1177</v>
      </c>
      <c r="T93" s="107">
        <v>1</v>
      </c>
      <c r="U93" s="103" t="s">
        <v>828</v>
      </c>
      <c r="V93" s="31" t="s">
        <v>45</v>
      </c>
      <c r="W93" s="30"/>
    </row>
    <row r="94" spans="1:23" ht="30" x14ac:dyDescent="0.2">
      <c r="A94" s="100" t="s">
        <v>95</v>
      </c>
      <c r="B94" s="101" t="s">
        <v>1886</v>
      </c>
      <c r="C94" s="164">
        <v>609806</v>
      </c>
      <c r="D94" s="101" t="s">
        <v>718</v>
      </c>
      <c r="E94" s="101" t="s">
        <v>719</v>
      </c>
      <c r="F94" s="101" t="s">
        <v>811</v>
      </c>
      <c r="G94" s="101" t="s">
        <v>45</v>
      </c>
      <c r="H94" s="101" t="s">
        <v>199</v>
      </c>
      <c r="I94" s="130" t="s">
        <v>204</v>
      </c>
      <c r="J94" s="100" t="s">
        <v>44</v>
      </c>
      <c r="K94" s="101" t="s">
        <v>44</v>
      </c>
      <c r="L94" s="102" t="s">
        <v>44</v>
      </c>
      <c r="M94" s="131" t="s">
        <v>7</v>
      </c>
      <c r="N94" s="103" t="s">
        <v>8</v>
      </c>
      <c r="O94" s="103">
        <v>0</v>
      </c>
      <c r="P94" s="104">
        <v>27</v>
      </c>
      <c r="Q94" s="105">
        <v>0.85185185185185186</v>
      </c>
      <c r="R94" s="105">
        <v>0.14814814814814814</v>
      </c>
      <c r="S94" s="106">
        <f>Q94/R94</f>
        <v>5.75</v>
      </c>
      <c r="T94" s="107">
        <v>1</v>
      </c>
      <c r="U94" s="103" t="s">
        <v>1171</v>
      </c>
      <c r="V94" s="31" t="s">
        <v>45</v>
      </c>
      <c r="W94" s="30"/>
    </row>
    <row r="95" spans="1:23" ht="30" x14ac:dyDescent="0.2">
      <c r="A95" s="100" t="s">
        <v>96</v>
      </c>
      <c r="B95" s="101" t="s">
        <v>1887</v>
      </c>
      <c r="C95" s="164">
        <v>142410</v>
      </c>
      <c r="D95" s="101" t="s">
        <v>724</v>
      </c>
      <c r="E95" s="101" t="s">
        <v>661</v>
      </c>
      <c r="F95" s="101" t="s">
        <v>723</v>
      </c>
      <c r="G95" s="101" t="s">
        <v>45</v>
      </c>
      <c r="H95" s="101" t="s">
        <v>204</v>
      </c>
      <c r="I95" s="130" t="s">
        <v>204</v>
      </c>
      <c r="J95" s="100" t="s">
        <v>44</v>
      </c>
      <c r="K95" s="101" t="s">
        <v>44</v>
      </c>
      <c r="L95" s="102" t="s">
        <v>44</v>
      </c>
      <c r="M95" s="131" t="s">
        <v>7</v>
      </c>
      <c r="N95" s="103" t="s">
        <v>8</v>
      </c>
      <c r="O95" s="103">
        <v>0</v>
      </c>
      <c r="P95" s="104">
        <v>36</v>
      </c>
      <c r="Q95" s="105">
        <v>0.83333333333333337</v>
      </c>
      <c r="R95" s="105">
        <v>0.16666666666666666</v>
      </c>
      <c r="S95" s="106">
        <f>Q95/R95</f>
        <v>5.0000000000000009</v>
      </c>
      <c r="T95" s="107">
        <v>1</v>
      </c>
      <c r="U95" s="103" t="s">
        <v>1187</v>
      </c>
      <c r="V95" s="31" t="s">
        <v>45</v>
      </c>
      <c r="W95" s="30"/>
    </row>
    <row r="96" spans="1:23" ht="30" x14ac:dyDescent="0.2">
      <c r="A96" s="100" t="s">
        <v>98</v>
      </c>
      <c r="B96" s="164" t="s">
        <v>1753</v>
      </c>
      <c r="C96" s="164">
        <v>190020</v>
      </c>
      <c r="D96" s="101" t="s">
        <v>675</v>
      </c>
      <c r="E96" s="101" t="s">
        <v>795</v>
      </c>
      <c r="F96" s="101" t="s">
        <v>812</v>
      </c>
      <c r="G96" s="101" t="s">
        <v>45</v>
      </c>
      <c r="H96" s="101" t="s">
        <v>199</v>
      </c>
      <c r="I96" s="130" t="s">
        <v>204</v>
      </c>
      <c r="J96" s="100" t="s">
        <v>44</v>
      </c>
      <c r="K96" s="101" t="s">
        <v>44</v>
      </c>
      <c r="L96" s="102" t="s">
        <v>44</v>
      </c>
      <c r="M96" s="131" t="s">
        <v>18</v>
      </c>
      <c r="N96" s="103" t="s">
        <v>8</v>
      </c>
      <c r="O96" s="103">
        <v>0</v>
      </c>
      <c r="P96" s="104">
        <v>16</v>
      </c>
      <c r="Q96" s="105">
        <v>1</v>
      </c>
      <c r="R96" s="105">
        <v>0</v>
      </c>
      <c r="S96" s="106" t="s">
        <v>14</v>
      </c>
      <c r="T96" s="107">
        <v>1</v>
      </c>
      <c r="U96" s="103" t="s">
        <v>1194</v>
      </c>
      <c r="V96" s="31" t="s">
        <v>45</v>
      </c>
      <c r="W96" s="30"/>
    </row>
    <row r="97" spans="1:23" ht="30" x14ac:dyDescent="0.2">
      <c r="A97" s="100" t="s">
        <v>106</v>
      </c>
      <c r="B97" s="101" t="s">
        <v>1888</v>
      </c>
      <c r="C97" s="164">
        <v>613733</v>
      </c>
      <c r="D97" s="101" t="s">
        <v>597</v>
      </c>
      <c r="E97" s="101" t="s">
        <v>663</v>
      </c>
      <c r="F97" s="101" t="s">
        <v>839</v>
      </c>
      <c r="G97" s="101" t="s">
        <v>45</v>
      </c>
      <c r="H97" s="101" t="s">
        <v>199</v>
      </c>
      <c r="I97" s="130" t="s">
        <v>199</v>
      </c>
      <c r="J97" s="100" t="s">
        <v>44</v>
      </c>
      <c r="K97" s="101" t="s">
        <v>44</v>
      </c>
      <c r="L97" s="102" t="s">
        <v>44</v>
      </c>
      <c r="M97" s="131" t="s">
        <v>7</v>
      </c>
      <c r="N97" s="103" t="s">
        <v>8</v>
      </c>
      <c r="O97" s="103">
        <v>0</v>
      </c>
      <c r="P97" s="104">
        <v>26</v>
      </c>
      <c r="Q97" s="105">
        <v>0.42307692307692307</v>
      </c>
      <c r="R97" s="105">
        <v>0.57692307692307687</v>
      </c>
      <c r="S97" s="106">
        <f>Q97/R97</f>
        <v>0.73333333333333339</v>
      </c>
      <c r="T97" s="107">
        <v>0</v>
      </c>
      <c r="U97" s="103" t="s">
        <v>1171</v>
      </c>
      <c r="V97" s="31" t="s">
        <v>45</v>
      </c>
      <c r="W97" s="30"/>
    </row>
    <row r="98" spans="1:23" ht="30" x14ac:dyDescent="0.2">
      <c r="A98" s="100" t="s">
        <v>113</v>
      </c>
      <c r="B98" s="167" t="s">
        <v>1889</v>
      </c>
      <c r="C98" s="164">
        <v>156540</v>
      </c>
      <c r="D98" s="101" t="s">
        <v>677</v>
      </c>
      <c r="E98" s="101" t="s">
        <v>796</v>
      </c>
      <c r="F98" s="101" t="s">
        <v>813</v>
      </c>
      <c r="G98" s="101" t="s">
        <v>45</v>
      </c>
      <c r="H98" s="101" t="s">
        <v>199</v>
      </c>
      <c r="I98" s="130" t="s">
        <v>204</v>
      </c>
      <c r="J98" s="100" t="s">
        <v>44</v>
      </c>
      <c r="K98" s="101" t="s">
        <v>44</v>
      </c>
      <c r="L98" s="102" t="s">
        <v>44</v>
      </c>
      <c r="M98" s="131" t="s">
        <v>7</v>
      </c>
      <c r="N98" s="103" t="s">
        <v>8</v>
      </c>
      <c r="O98" s="103">
        <v>0</v>
      </c>
      <c r="P98" s="104">
        <v>1</v>
      </c>
      <c r="Q98" s="105">
        <v>0</v>
      </c>
      <c r="R98" s="105">
        <v>1</v>
      </c>
      <c r="S98" s="106" t="s">
        <v>26</v>
      </c>
      <c r="T98" s="107" t="s">
        <v>206</v>
      </c>
      <c r="U98" s="103" t="s">
        <v>828</v>
      </c>
      <c r="V98" s="33" t="s">
        <v>45</v>
      </c>
      <c r="W98" s="87"/>
    </row>
    <row r="99" spans="1:23" ht="30" x14ac:dyDescent="0.2">
      <c r="A99" s="100" t="s">
        <v>123</v>
      </c>
      <c r="B99" s="101" t="s">
        <v>1890</v>
      </c>
      <c r="C99" s="164">
        <v>607379</v>
      </c>
      <c r="D99" s="101" t="s">
        <v>634</v>
      </c>
      <c r="E99" s="101" t="s">
        <v>797</v>
      </c>
      <c r="F99" s="101" t="s">
        <v>814</v>
      </c>
      <c r="G99" s="101" t="s">
        <v>45</v>
      </c>
      <c r="H99" s="101" t="s">
        <v>199</v>
      </c>
      <c r="I99" s="130" t="s">
        <v>199</v>
      </c>
      <c r="J99" s="100" t="s">
        <v>44</v>
      </c>
      <c r="K99" s="101" t="s">
        <v>44</v>
      </c>
      <c r="L99" s="102" t="s">
        <v>44</v>
      </c>
      <c r="M99" s="131" t="s">
        <v>7</v>
      </c>
      <c r="N99" s="103" t="s">
        <v>8</v>
      </c>
      <c r="O99" s="103">
        <v>0</v>
      </c>
      <c r="P99" s="104">
        <v>12</v>
      </c>
      <c r="Q99" s="105">
        <v>0.25</v>
      </c>
      <c r="R99" s="105">
        <v>0.75</v>
      </c>
      <c r="S99" s="106">
        <f>Q99/R99</f>
        <v>0.33333333333333331</v>
      </c>
      <c r="T99" s="107">
        <v>0</v>
      </c>
      <c r="U99" s="103" t="s">
        <v>1171</v>
      </c>
      <c r="V99" s="31" t="s">
        <v>45</v>
      </c>
      <c r="W99" s="30"/>
    </row>
    <row r="100" spans="1:23" ht="30" x14ac:dyDescent="0.2">
      <c r="A100" s="100" t="s">
        <v>124</v>
      </c>
      <c r="B100" s="101" t="s">
        <v>1891</v>
      </c>
      <c r="C100" s="164">
        <v>606681</v>
      </c>
      <c r="D100" s="101" t="s">
        <v>645</v>
      </c>
      <c r="E100" s="101" t="s">
        <v>650</v>
      </c>
      <c r="F100" s="101" t="s">
        <v>649</v>
      </c>
      <c r="G100" s="101" t="s">
        <v>45</v>
      </c>
      <c r="H100" s="101" t="s">
        <v>204</v>
      </c>
      <c r="I100" s="130" t="s">
        <v>204</v>
      </c>
      <c r="J100" s="100" t="s">
        <v>44</v>
      </c>
      <c r="K100" s="101" t="s">
        <v>44</v>
      </c>
      <c r="L100" s="102" t="s">
        <v>44</v>
      </c>
      <c r="M100" s="131" t="s">
        <v>7</v>
      </c>
      <c r="N100" s="103" t="s">
        <v>8</v>
      </c>
      <c r="O100" s="103">
        <v>0</v>
      </c>
      <c r="P100" s="104">
        <v>5</v>
      </c>
      <c r="Q100" s="105">
        <v>0.6</v>
      </c>
      <c r="R100" s="105">
        <v>0.4</v>
      </c>
      <c r="S100" s="106">
        <f>Q100/R100</f>
        <v>1.4999999999999998</v>
      </c>
      <c r="T100" s="107" t="s">
        <v>206</v>
      </c>
      <c r="U100" s="103" t="s">
        <v>828</v>
      </c>
      <c r="V100" s="34" t="s">
        <v>45</v>
      </c>
      <c r="W100" s="35"/>
    </row>
    <row r="101" spans="1:23" ht="30" x14ac:dyDescent="0.2">
      <c r="A101" s="100" t="s">
        <v>128</v>
      </c>
      <c r="B101" s="167" t="s">
        <v>1892</v>
      </c>
      <c r="C101" s="164">
        <v>603851</v>
      </c>
      <c r="D101" s="101" t="s">
        <v>705</v>
      </c>
      <c r="E101" s="101" t="s">
        <v>704</v>
      </c>
      <c r="F101" s="101" t="s">
        <v>815</v>
      </c>
      <c r="G101" s="101" t="s">
        <v>45</v>
      </c>
      <c r="H101" s="101" t="s">
        <v>199</v>
      </c>
      <c r="I101" s="130" t="s">
        <v>204</v>
      </c>
      <c r="J101" s="100" t="s">
        <v>44</v>
      </c>
      <c r="K101" s="101" t="s">
        <v>44</v>
      </c>
      <c r="L101" s="102" t="s">
        <v>44</v>
      </c>
      <c r="M101" s="131" t="s">
        <v>7</v>
      </c>
      <c r="N101" s="103" t="s">
        <v>8</v>
      </c>
      <c r="O101" s="103">
        <v>0</v>
      </c>
      <c r="P101" s="104">
        <v>2</v>
      </c>
      <c r="Q101" s="105">
        <v>0.5</v>
      </c>
      <c r="R101" s="105">
        <v>0.5</v>
      </c>
      <c r="S101" s="106">
        <f>Q101/R101</f>
        <v>1</v>
      </c>
      <c r="T101" s="107" t="s">
        <v>206</v>
      </c>
      <c r="U101" s="103" t="s">
        <v>1202</v>
      </c>
      <c r="V101" s="31" t="s">
        <v>45</v>
      </c>
      <c r="W101" s="30"/>
    </row>
    <row r="102" spans="1:23" ht="45" x14ac:dyDescent="0.2">
      <c r="A102" s="100" t="s">
        <v>140</v>
      </c>
      <c r="B102" s="164" t="s">
        <v>1893</v>
      </c>
      <c r="C102" s="164">
        <v>188830</v>
      </c>
      <c r="D102" s="101" t="s">
        <v>596</v>
      </c>
      <c r="E102" s="101" t="s">
        <v>666</v>
      </c>
      <c r="F102" s="101" t="s">
        <v>840</v>
      </c>
      <c r="G102" s="101" t="s">
        <v>45</v>
      </c>
      <c r="H102" s="101" t="s">
        <v>199</v>
      </c>
      <c r="I102" s="130" t="s">
        <v>204</v>
      </c>
      <c r="J102" s="100" t="s">
        <v>44</v>
      </c>
      <c r="K102" s="101" t="s">
        <v>44</v>
      </c>
      <c r="L102" s="102" t="s">
        <v>44</v>
      </c>
      <c r="M102" s="131" t="s">
        <v>7</v>
      </c>
      <c r="N102" s="103" t="s">
        <v>8</v>
      </c>
      <c r="O102" s="103">
        <v>0</v>
      </c>
      <c r="P102" s="104">
        <v>9</v>
      </c>
      <c r="Q102" s="105">
        <v>0.55555555555555558</v>
      </c>
      <c r="R102" s="105">
        <v>0.44444444444444442</v>
      </c>
      <c r="S102" s="106">
        <f>Q102/R102</f>
        <v>1.2500000000000002</v>
      </c>
      <c r="T102" s="107" t="s">
        <v>206</v>
      </c>
      <c r="U102" s="103" t="s">
        <v>1175</v>
      </c>
      <c r="V102" s="31" t="s">
        <v>45</v>
      </c>
      <c r="W102" s="30"/>
    </row>
    <row r="103" spans="1:23" ht="30" x14ac:dyDescent="0.2">
      <c r="A103" s="100" t="s">
        <v>141</v>
      </c>
      <c r="B103" s="167" t="s">
        <v>1894</v>
      </c>
      <c r="C103" s="164">
        <v>276000</v>
      </c>
      <c r="D103" s="101" t="s">
        <v>714</v>
      </c>
      <c r="E103" s="101" t="s">
        <v>713</v>
      </c>
      <c r="F103" s="101" t="s">
        <v>715</v>
      </c>
      <c r="G103" s="101" t="s">
        <v>45</v>
      </c>
      <c r="H103" s="101" t="s">
        <v>199</v>
      </c>
      <c r="I103" s="130" t="s">
        <v>204</v>
      </c>
      <c r="J103" s="100" t="s">
        <v>44</v>
      </c>
      <c r="K103" s="101" t="s">
        <v>44</v>
      </c>
      <c r="L103" s="102" t="s">
        <v>44</v>
      </c>
      <c r="M103" s="131" t="s">
        <v>7</v>
      </c>
      <c r="N103" s="103" t="s">
        <v>8</v>
      </c>
      <c r="O103" s="103">
        <v>0</v>
      </c>
      <c r="P103" s="104">
        <v>17</v>
      </c>
      <c r="Q103" s="105">
        <v>1</v>
      </c>
      <c r="R103" s="105">
        <v>0</v>
      </c>
      <c r="S103" s="106" t="s">
        <v>1493</v>
      </c>
      <c r="T103" s="107">
        <v>1</v>
      </c>
      <c r="U103" s="103" t="s">
        <v>1205</v>
      </c>
      <c r="V103" s="32" t="s">
        <v>45</v>
      </c>
    </row>
    <row r="104" spans="1:23" ht="45" x14ac:dyDescent="0.2">
      <c r="A104" s="100" t="s">
        <v>142</v>
      </c>
      <c r="B104" s="167" t="s">
        <v>1895</v>
      </c>
      <c r="C104" s="164">
        <v>601309</v>
      </c>
      <c r="D104" s="101" t="s">
        <v>699</v>
      </c>
      <c r="E104" s="101" t="s">
        <v>655</v>
      </c>
      <c r="F104" s="101" t="s">
        <v>656</v>
      </c>
      <c r="G104" s="101" t="s">
        <v>45</v>
      </c>
      <c r="H104" s="101" t="s">
        <v>199</v>
      </c>
      <c r="I104" s="130" t="s">
        <v>204</v>
      </c>
      <c r="J104" s="100" t="s">
        <v>44</v>
      </c>
      <c r="K104" s="101" t="s">
        <v>44</v>
      </c>
      <c r="L104" s="102" t="s">
        <v>44</v>
      </c>
      <c r="M104" s="131" t="s">
        <v>7</v>
      </c>
      <c r="N104" s="103" t="s">
        <v>8</v>
      </c>
      <c r="O104" s="103">
        <v>0</v>
      </c>
      <c r="P104" s="104">
        <v>3</v>
      </c>
      <c r="Q104" s="105">
        <v>0.66666666666666663</v>
      </c>
      <c r="R104" s="105">
        <v>0.33333333333333331</v>
      </c>
      <c r="S104" s="106">
        <f>Q104/R104</f>
        <v>2</v>
      </c>
      <c r="T104" s="107" t="s">
        <v>206</v>
      </c>
      <c r="U104" s="103" t="s">
        <v>1171</v>
      </c>
      <c r="V104" s="31" t="s">
        <v>45</v>
      </c>
      <c r="W104" s="30"/>
    </row>
    <row r="105" spans="1:23" ht="75" x14ac:dyDescent="0.2">
      <c r="A105" s="100" t="s">
        <v>144</v>
      </c>
      <c r="B105" s="167" t="s">
        <v>1896</v>
      </c>
      <c r="C105" s="164">
        <v>176876</v>
      </c>
      <c r="D105" s="101" t="s">
        <v>707</v>
      </c>
      <c r="E105" s="101" t="s">
        <v>791</v>
      </c>
      <c r="F105" s="101" t="s">
        <v>816</v>
      </c>
      <c r="G105" s="101" t="s">
        <v>45</v>
      </c>
      <c r="H105" s="101" t="s">
        <v>199</v>
      </c>
      <c r="I105" s="130" t="s">
        <v>204</v>
      </c>
      <c r="J105" s="100" t="s">
        <v>44</v>
      </c>
      <c r="K105" s="101" t="s">
        <v>44</v>
      </c>
      <c r="L105" s="102" t="s">
        <v>44</v>
      </c>
      <c r="M105" s="131" t="s">
        <v>18</v>
      </c>
      <c r="N105" s="103" t="s">
        <v>8</v>
      </c>
      <c r="O105" s="103">
        <v>0</v>
      </c>
      <c r="P105" s="104">
        <v>58</v>
      </c>
      <c r="Q105" s="105">
        <v>0.86206896551724133</v>
      </c>
      <c r="R105" s="105">
        <v>0.13793103448275862</v>
      </c>
      <c r="S105" s="106">
        <f>Q105/R105</f>
        <v>6.25</v>
      </c>
      <c r="T105" s="107">
        <v>1</v>
      </c>
      <c r="U105" s="103" t="s">
        <v>1207</v>
      </c>
      <c r="V105" s="32" t="s">
        <v>45</v>
      </c>
    </row>
    <row r="106" spans="1:23" ht="30" x14ac:dyDescent="0.2">
      <c r="A106" s="100" t="s">
        <v>151</v>
      </c>
      <c r="B106" s="101" t="s">
        <v>1897</v>
      </c>
      <c r="C106" s="164">
        <v>164761</v>
      </c>
      <c r="D106" s="101" t="s">
        <v>595</v>
      </c>
      <c r="E106" s="101" t="s">
        <v>664</v>
      </c>
      <c r="F106" s="101" t="s">
        <v>839</v>
      </c>
      <c r="G106" s="101" t="s">
        <v>45</v>
      </c>
      <c r="H106" s="101" t="s">
        <v>199</v>
      </c>
      <c r="I106" s="130" t="s">
        <v>199</v>
      </c>
      <c r="J106" s="100" t="s">
        <v>44</v>
      </c>
      <c r="K106" s="101" t="s">
        <v>44</v>
      </c>
      <c r="L106" s="102" t="s">
        <v>44</v>
      </c>
      <c r="M106" s="131" t="s">
        <v>18</v>
      </c>
      <c r="N106" s="103" t="s">
        <v>8</v>
      </c>
      <c r="O106" s="103">
        <v>0</v>
      </c>
      <c r="P106" s="104">
        <v>29</v>
      </c>
      <c r="Q106" s="105">
        <v>1</v>
      </c>
      <c r="R106" s="105">
        <v>0</v>
      </c>
      <c r="S106" s="106" t="s">
        <v>14</v>
      </c>
      <c r="T106" s="107">
        <v>1</v>
      </c>
      <c r="U106" s="103" t="s">
        <v>1220</v>
      </c>
      <c r="V106" s="123" t="s">
        <v>871</v>
      </c>
      <c r="W106" s="30"/>
    </row>
    <row r="107" spans="1:23" ht="30" x14ac:dyDescent="0.2">
      <c r="A107" s="100" t="s">
        <v>152</v>
      </c>
      <c r="B107" s="167" t="s">
        <v>1898</v>
      </c>
      <c r="C107" s="164">
        <v>614404</v>
      </c>
      <c r="D107" s="101" t="s">
        <v>685</v>
      </c>
      <c r="E107" s="101" t="s">
        <v>798</v>
      </c>
      <c r="F107" s="101" t="s">
        <v>686</v>
      </c>
      <c r="G107" s="101" t="s">
        <v>45</v>
      </c>
      <c r="H107" s="101" t="s">
        <v>199</v>
      </c>
      <c r="I107" s="130" t="s">
        <v>204</v>
      </c>
      <c r="J107" s="100" t="s">
        <v>44</v>
      </c>
      <c r="K107" s="101" t="s">
        <v>44</v>
      </c>
      <c r="L107" s="102" t="s">
        <v>44</v>
      </c>
      <c r="M107" s="131" t="s">
        <v>18</v>
      </c>
      <c r="N107" s="103" t="s">
        <v>8</v>
      </c>
      <c r="O107" s="103">
        <v>0</v>
      </c>
      <c r="P107" s="104">
        <v>2</v>
      </c>
      <c r="Q107" s="105">
        <v>1</v>
      </c>
      <c r="R107" s="105">
        <v>0</v>
      </c>
      <c r="S107" s="106" t="s">
        <v>14</v>
      </c>
      <c r="T107" s="107">
        <v>1</v>
      </c>
      <c r="U107" s="103" t="s">
        <v>1221</v>
      </c>
      <c r="V107" s="32" t="s">
        <v>45</v>
      </c>
    </row>
    <row r="108" spans="1:23" ht="30" x14ac:dyDescent="0.2">
      <c r="A108" s="100" t="s">
        <v>169</v>
      </c>
      <c r="B108" s="167" t="s">
        <v>1899</v>
      </c>
      <c r="C108" s="164">
        <v>600993</v>
      </c>
      <c r="D108" s="101" t="s">
        <v>590</v>
      </c>
      <c r="E108" s="101" t="s">
        <v>659</v>
      </c>
      <c r="F108" s="101" t="s">
        <v>837</v>
      </c>
      <c r="G108" s="101" t="s">
        <v>45</v>
      </c>
      <c r="H108" s="101" t="s">
        <v>199</v>
      </c>
      <c r="I108" s="130" t="s">
        <v>204</v>
      </c>
      <c r="J108" s="100" t="s">
        <v>44</v>
      </c>
      <c r="K108" s="101" t="s">
        <v>44</v>
      </c>
      <c r="L108" s="102" t="s">
        <v>44</v>
      </c>
      <c r="M108" s="131" t="s">
        <v>7</v>
      </c>
      <c r="N108" s="103" t="s">
        <v>8</v>
      </c>
      <c r="O108" s="103">
        <v>0</v>
      </c>
      <c r="P108" s="104">
        <v>11</v>
      </c>
      <c r="Q108" s="105">
        <v>0.54545454545454541</v>
      </c>
      <c r="R108" s="105">
        <v>0.45454545454545453</v>
      </c>
      <c r="S108" s="106">
        <f>Q108/R108</f>
        <v>1.2</v>
      </c>
      <c r="T108" s="107">
        <v>1</v>
      </c>
      <c r="U108" s="103" t="s">
        <v>1234</v>
      </c>
      <c r="V108" s="123" t="s">
        <v>872</v>
      </c>
      <c r="W108" s="30"/>
    </row>
    <row r="109" spans="1:23" ht="45" x14ac:dyDescent="0.2">
      <c r="A109" s="100" t="s">
        <v>173</v>
      </c>
      <c r="B109" s="167" t="s">
        <v>1900</v>
      </c>
      <c r="C109" s="164">
        <v>182530</v>
      </c>
      <c r="D109" s="101" t="s">
        <v>708</v>
      </c>
      <c r="E109" s="101" t="s">
        <v>791</v>
      </c>
      <c r="F109" s="101" t="s">
        <v>816</v>
      </c>
      <c r="G109" s="101" t="s">
        <v>45</v>
      </c>
      <c r="H109" s="101" t="s">
        <v>199</v>
      </c>
      <c r="I109" s="130" t="s">
        <v>204</v>
      </c>
      <c r="J109" s="100" t="s">
        <v>44</v>
      </c>
      <c r="K109" s="101" t="s">
        <v>44</v>
      </c>
      <c r="L109" s="102" t="s">
        <v>44</v>
      </c>
      <c r="M109" s="131" t="s">
        <v>18</v>
      </c>
      <c r="N109" s="103" t="s">
        <v>8</v>
      </c>
      <c r="O109" s="103">
        <v>0</v>
      </c>
      <c r="P109" s="104">
        <v>6</v>
      </c>
      <c r="Q109" s="105">
        <v>1</v>
      </c>
      <c r="R109" s="105">
        <v>0</v>
      </c>
      <c r="S109" s="106" t="s">
        <v>14</v>
      </c>
      <c r="T109" s="107">
        <v>1</v>
      </c>
      <c r="U109" s="103" t="s">
        <v>1235</v>
      </c>
      <c r="V109" s="31" t="s">
        <v>45</v>
      </c>
      <c r="W109" s="30"/>
    </row>
    <row r="110" spans="1:23" ht="45" x14ac:dyDescent="0.2">
      <c r="A110" s="100" t="s">
        <v>174</v>
      </c>
      <c r="B110" s="101" t="s">
        <v>1901</v>
      </c>
      <c r="C110" s="164">
        <v>102582</v>
      </c>
      <c r="D110" s="101" t="s">
        <v>690</v>
      </c>
      <c r="E110" s="109" t="s">
        <v>751</v>
      </c>
      <c r="F110" s="101" t="s">
        <v>817</v>
      </c>
      <c r="G110" s="101" t="s">
        <v>45</v>
      </c>
      <c r="H110" s="101" t="s">
        <v>199</v>
      </c>
      <c r="I110" s="130" t="s">
        <v>204</v>
      </c>
      <c r="J110" s="100" t="s">
        <v>44</v>
      </c>
      <c r="K110" s="101" t="s">
        <v>44</v>
      </c>
      <c r="L110" s="102" t="s">
        <v>44</v>
      </c>
      <c r="M110" s="131" t="s">
        <v>7</v>
      </c>
      <c r="N110" s="103" t="s">
        <v>8</v>
      </c>
      <c r="O110" s="103">
        <v>0</v>
      </c>
      <c r="P110" s="104">
        <v>13</v>
      </c>
      <c r="Q110" s="105">
        <v>0.92307692307692313</v>
      </c>
      <c r="R110" s="105">
        <v>7.6923076923076927E-2</v>
      </c>
      <c r="S110" s="106">
        <f>Q110/R110</f>
        <v>12</v>
      </c>
      <c r="T110" s="107">
        <v>1</v>
      </c>
      <c r="U110" s="103" t="s">
        <v>1236</v>
      </c>
      <c r="V110" s="34" t="s">
        <v>45</v>
      </c>
      <c r="W110" s="35"/>
    </row>
    <row r="111" spans="1:23" ht="45" x14ac:dyDescent="0.2">
      <c r="A111" s="100" t="s">
        <v>177</v>
      </c>
      <c r="B111" s="101" t="s">
        <v>1902</v>
      </c>
      <c r="C111" s="164">
        <v>187270</v>
      </c>
      <c r="D111" s="101" t="s">
        <v>679</v>
      </c>
      <c r="E111" s="101" t="s">
        <v>789</v>
      </c>
      <c r="F111" s="101" t="s">
        <v>818</v>
      </c>
      <c r="G111" s="101" t="s">
        <v>680</v>
      </c>
      <c r="H111" s="101" t="s">
        <v>199</v>
      </c>
      <c r="I111" s="130" t="s">
        <v>204</v>
      </c>
      <c r="J111" s="100" t="s">
        <v>44</v>
      </c>
      <c r="K111" s="101" t="s">
        <v>44</v>
      </c>
      <c r="L111" s="102" t="s">
        <v>44</v>
      </c>
      <c r="M111" s="131" t="s">
        <v>7</v>
      </c>
      <c r="N111" s="103" t="s">
        <v>10</v>
      </c>
      <c r="O111" s="103">
        <v>0</v>
      </c>
      <c r="P111" s="104">
        <v>20</v>
      </c>
      <c r="Q111" s="105">
        <v>0.95</v>
      </c>
      <c r="R111" s="105">
        <v>0.05</v>
      </c>
      <c r="S111" s="106">
        <f>Q111/R111</f>
        <v>18.999999999999996</v>
      </c>
      <c r="T111" s="107">
        <v>1</v>
      </c>
      <c r="U111" s="103" t="s">
        <v>1237</v>
      </c>
      <c r="V111" s="123" t="s">
        <v>869</v>
      </c>
      <c r="W111" s="30"/>
    </row>
    <row r="112" spans="1:23" ht="30" x14ac:dyDescent="0.2">
      <c r="A112" s="100" t="s">
        <v>178</v>
      </c>
      <c r="B112" s="101" t="s">
        <v>1903</v>
      </c>
      <c r="C112" s="164">
        <v>190181</v>
      </c>
      <c r="D112" s="109" t="s">
        <v>750</v>
      </c>
      <c r="E112" s="109" t="s">
        <v>751</v>
      </c>
      <c r="F112" s="109" t="s">
        <v>819</v>
      </c>
      <c r="G112" s="101" t="s">
        <v>45</v>
      </c>
      <c r="H112" s="101" t="s">
        <v>199</v>
      </c>
      <c r="I112" s="130" t="s">
        <v>204</v>
      </c>
      <c r="J112" s="100" t="s">
        <v>44</v>
      </c>
      <c r="K112" s="101" t="s">
        <v>44</v>
      </c>
      <c r="L112" s="102" t="s">
        <v>44</v>
      </c>
      <c r="M112" s="131" t="s">
        <v>7</v>
      </c>
      <c r="N112" s="103" t="s">
        <v>8</v>
      </c>
      <c r="O112" s="103">
        <v>0</v>
      </c>
      <c r="P112" s="104">
        <v>8</v>
      </c>
      <c r="Q112" s="105">
        <v>1</v>
      </c>
      <c r="R112" s="105">
        <v>0</v>
      </c>
      <c r="S112" s="106" t="s">
        <v>14</v>
      </c>
      <c r="T112" s="107" t="s">
        <v>206</v>
      </c>
      <c r="U112" s="103" t="s">
        <v>1197</v>
      </c>
      <c r="V112" s="33" t="s">
        <v>45</v>
      </c>
      <c r="W112" s="87"/>
    </row>
    <row r="113" spans="1:23" ht="30" x14ac:dyDescent="0.2">
      <c r="A113" s="100" t="s">
        <v>188</v>
      </c>
      <c r="B113" s="101" t="s">
        <v>1904</v>
      </c>
      <c r="C113" s="164">
        <v>605284</v>
      </c>
      <c r="D113" s="101" t="s">
        <v>580</v>
      </c>
      <c r="E113" s="101" t="s">
        <v>661</v>
      </c>
      <c r="F113" s="101" t="s">
        <v>841</v>
      </c>
      <c r="G113" s="101" t="s">
        <v>45</v>
      </c>
      <c r="H113" s="101" t="s">
        <v>199</v>
      </c>
      <c r="I113" s="130" t="s">
        <v>199</v>
      </c>
      <c r="J113" s="100" t="s">
        <v>44</v>
      </c>
      <c r="K113" s="101" t="s">
        <v>44</v>
      </c>
      <c r="L113" s="102" t="s">
        <v>44</v>
      </c>
      <c r="M113" s="131" t="s">
        <v>7</v>
      </c>
      <c r="N113" s="103" t="s">
        <v>8</v>
      </c>
      <c r="O113" s="103">
        <v>0</v>
      </c>
      <c r="P113" s="104">
        <v>8</v>
      </c>
      <c r="Q113" s="105">
        <v>0.25</v>
      </c>
      <c r="R113" s="105">
        <v>0.75</v>
      </c>
      <c r="S113" s="106">
        <f>Q113/R113</f>
        <v>0.33333333333333331</v>
      </c>
      <c r="T113" s="107" t="s">
        <v>206</v>
      </c>
      <c r="U113" s="103" t="s">
        <v>45</v>
      </c>
      <c r="V113" s="125" t="s">
        <v>1733</v>
      </c>
      <c r="W113" s="30"/>
    </row>
    <row r="114" spans="1:23" ht="30" x14ac:dyDescent="0.2">
      <c r="A114" s="100" t="s">
        <v>189</v>
      </c>
      <c r="B114" s="101" t="s">
        <v>1905</v>
      </c>
      <c r="C114" s="164">
        <v>191092</v>
      </c>
      <c r="D114" s="101" t="s">
        <v>581</v>
      </c>
      <c r="E114" s="101" t="s">
        <v>661</v>
      </c>
      <c r="F114" s="101" t="s">
        <v>841</v>
      </c>
      <c r="G114" s="101" t="s">
        <v>45</v>
      </c>
      <c r="H114" s="101" t="s">
        <v>199</v>
      </c>
      <c r="I114" s="130" t="s">
        <v>199</v>
      </c>
      <c r="J114" s="100" t="s">
        <v>44</v>
      </c>
      <c r="K114" s="101" t="s">
        <v>44</v>
      </c>
      <c r="L114" s="102" t="s">
        <v>44</v>
      </c>
      <c r="M114" s="131" t="s">
        <v>7</v>
      </c>
      <c r="N114" s="103" t="s">
        <v>8</v>
      </c>
      <c r="O114" s="103">
        <v>0</v>
      </c>
      <c r="P114" s="104">
        <v>17</v>
      </c>
      <c r="Q114" s="105">
        <v>0.47058823529411764</v>
      </c>
      <c r="R114" s="105">
        <v>0.52941176470588236</v>
      </c>
      <c r="S114" s="106">
        <f>Q114/R114</f>
        <v>0.88888888888888884</v>
      </c>
      <c r="T114" s="107">
        <v>1</v>
      </c>
      <c r="U114" s="103" t="s">
        <v>1238</v>
      </c>
      <c r="V114" s="31" t="s">
        <v>45</v>
      </c>
      <c r="W114" s="30"/>
    </row>
    <row r="115" spans="1:23" ht="30" x14ac:dyDescent="0.2">
      <c r="A115" s="100" t="s">
        <v>190</v>
      </c>
      <c r="B115" s="167" t="s">
        <v>1906</v>
      </c>
      <c r="C115" s="164">
        <v>613521</v>
      </c>
      <c r="D115" s="101" t="s">
        <v>720</v>
      </c>
      <c r="E115" s="101" t="s">
        <v>719</v>
      </c>
      <c r="F115" s="101" t="s">
        <v>811</v>
      </c>
      <c r="G115" s="101" t="s">
        <v>45</v>
      </c>
      <c r="H115" s="101" t="s">
        <v>199</v>
      </c>
      <c r="I115" s="130" t="s">
        <v>204</v>
      </c>
      <c r="J115" s="100" t="s">
        <v>44</v>
      </c>
      <c r="K115" s="101" t="s">
        <v>44</v>
      </c>
      <c r="L115" s="102" t="s">
        <v>44</v>
      </c>
      <c r="M115" s="131" t="s">
        <v>7</v>
      </c>
      <c r="N115" s="103" t="s">
        <v>8</v>
      </c>
      <c r="O115" s="103">
        <v>0</v>
      </c>
      <c r="P115" s="104">
        <v>12</v>
      </c>
      <c r="Q115" s="105">
        <v>0.83333333333333337</v>
      </c>
      <c r="R115" s="105">
        <v>0.16666666666666666</v>
      </c>
      <c r="S115" s="106">
        <f>Q115/R115</f>
        <v>5.0000000000000009</v>
      </c>
      <c r="T115" s="107">
        <v>1</v>
      </c>
      <c r="U115" s="103" t="s">
        <v>828</v>
      </c>
      <c r="V115" s="31" t="s">
        <v>45</v>
      </c>
      <c r="W115" s="30"/>
    </row>
    <row r="116" spans="1:23" ht="30" x14ac:dyDescent="0.2">
      <c r="A116" s="100" t="s">
        <v>191</v>
      </c>
      <c r="B116" s="167" t="s">
        <v>1907</v>
      </c>
      <c r="C116" s="164">
        <v>608537</v>
      </c>
      <c r="D116" s="101" t="s">
        <v>591</v>
      </c>
      <c r="E116" s="101" t="s">
        <v>660</v>
      </c>
      <c r="F116" s="101" t="s">
        <v>842</v>
      </c>
      <c r="G116" s="101" t="s">
        <v>45</v>
      </c>
      <c r="H116" s="101" t="s">
        <v>199</v>
      </c>
      <c r="I116" s="130" t="s">
        <v>199</v>
      </c>
      <c r="J116" s="100" t="s">
        <v>44</v>
      </c>
      <c r="K116" s="101" t="s">
        <v>44</v>
      </c>
      <c r="L116" s="102" t="s">
        <v>44</v>
      </c>
      <c r="M116" s="131" t="s">
        <v>7</v>
      </c>
      <c r="N116" s="103" t="s">
        <v>8</v>
      </c>
      <c r="O116" s="103">
        <v>0</v>
      </c>
      <c r="P116" s="104">
        <v>31</v>
      </c>
      <c r="Q116" s="105">
        <v>0.93548387096774188</v>
      </c>
      <c r="R116" s="105">
        <v>6.4516129032258063E-2</v>
      </c>
      <c r="S116" s="106">
        <f>Q116/R116</f>
        <v>14.5</v>
      </c>
      <c r="T116" s="107">
        <v>1</v>
      </c>
      <c r="U116" s="103" t="s">
        <v>1239</v>
      </c>
      <c r="V116" s="34" t="s">
        <v>45</v>
      </c>
      <c r="W116" s="35"/>
    </row>
    <row r="117" spans="1:23" ht="45" x14ac:dyDescent="0.2">
      <c r="A117" s="100" t="s">
        <v>194</v>
      </c>
      <c r="B117" s="101" t="s">
        <v>1908</v>
      </c>
      <c r="C117" s="164">
        <v>607102</v>
      </c>
      <c r="D117" s="101" t="s">
        <v>728</v>
      </c>
      <c r="E117" s="101" t="s">
        <v>729</v>
      </c>
      <c r="F117" s="101" t="s">
        <v>820</v>
      </c>
      <c r="G117" s="101" t="s">
        <v>45</v>
      </c>
      <c r="H117" s="101" t="s">
        <v>199</v>
      </c>
      <c r="I117" s="130" t="s">
        <v>199</v>
      </c>
      <c r="J117" s="100" t="s">
        <v>44</v>
      </c>
      <c r="K117" s="101" t="s">
        <v>44</v>
      </c>
      <c r="L117" s="102" t="s">
        <v>44</v>
      </c>
      <c r="M117" s="131" t="s">
        <v>7</v>
      </c>
      <c r="N117" s="103" t="s">
        <v>8</v>
      </c>
      <c r="O117" s="103">
        <v>0</v>
      </c>
      <c r="P117" s="104">
        <v>17</v>
      </c>
      <c r="Q117" s="105">
        <v>0.70588235294117652</v>
      </c>
      <c r="R117" s="105">
        <v>0.29411764705882354</v>
      </c>
      <c r="S117" s="106">
        <f>Q117/R117</f>
        <v>2.4</v>
      </c>
      <c r="T117" s="107">
        <v>1</v>
      </c>
      <c r="U117" s="103" t="s">
        <v>1240</v>
      </c>
      <c r="V117" s="32" t="s">
        <v>45</v>
      </c>
    </row>
    <row r="118" spans="1:23" x14ac:dyDescent="0.2">
      <c r="A118" s="98" t="s">
        <v>834</v>
      </c>
      <c r="B118" s="165"/>
      <c r="C118" s="165"/>
      <c r="D118" s="101"/>
      <c r="E118" s="101"/>
      <c r="F118" s="101"/>
      <c r="G118" s="101"/>
      <c r="H118" s="101"/>
      <c r="I118" s="130"/>
      <c r="J118" s="98"/>
      <c r="K118" s="99"/>
      <c r="L118" s="156"/>
      <c r="M118" s="131"/>
      <c r="N118" s="103"/>
      <c r="O118" s="103"/>
      <c r="P118" s="104"/>
      <c r="Q118" s="105"/>
      <c r="R118" s="105"/>
      <c r="S118" s="106"/>
      <c r="T118" s="107"/>
      <c r="U118" s="103"/>
      <c r="V118" s="32"/>
    </row>
    <row r="119" spans="1:23" ht="30" x14ac:dyDescent="0.2">
      <c r="A119" s="100" t="s">
        <v>11</v>
      </c>
      <c r="B119" s="167" t="s">
        <v>1909</v>
      </c>
      <c r="C119" s="164">
        <v>603201</v>
      </c>
      <c r="D119" s="101" t="s">
        <v>45</v>
      </c>
      <c r="E119" s="101" t="s">
        <v>44</v>
      </c>
      <c r="F119" s="101" t="s">
        <v>44</v>
      </c>
      <c r="G119" s="109" t="s">
        <v>743</v>
      </c>
      <c r="H119" s="109" t="s">
        <v>199</v>
      </c>
      <c r="I119" s="130" t="s">
        <v>204</v>
      </c>
      <c r="J119" s="100" t="s">
        <v>1542</v>
      </c>
      <c r="K119" s="147" t="s">
        <v>44</v>
      </c>
      <c r="L119" s="102" t="s">
        <v>1542</v>
      </c>
      <c r="M119" s="131" t="s">
        <v>7</v>
      </c>
      <c r="N119" s="103" t="s">
        <v>12</v>
      </c>
      <c r="O119" s="103">
        <v>0</v>
      </c>
      <c r="P119" s="104">
        <v>5</v>
      </c>
      <c r="Q119" s="105">
        <f>2/5</f>
        <v>0.4</v>
      </c>
      <c r="R119" s="105">
        <f>3/5</f>
        <v>0.6</v>
      </c>
      <c r="S119" s="106">
        <f>Q119/R119</f>
        <v>0.66666666666666674</v>
      </c>
      <c r="T119" s="107" t="s">
        <v>206</v>
      </c>
      <c r="U119" s="103" t="s">
        <v>45</v>
      </c>
      <c r="V119" s="31" t="s">
        <v>45</v>
      </c>
      <c r="W119" s="30"/>
    </row>
    <row r="120" spans="1:23" ht="30" x14ac:dyDescent="0.2">
      <c r="A120" s="100" t="s">
        <v>32</v>
      </c>
      <c r="B120" s="167" t="s">
        <v>1910</v>
      </c>
      <c r="C120" s="164">
        <v>602860</v>
      </c>
      <c r="D120" s="101" t="s">
        <v>45</v>
      </c>
      <c r="E120" s="101" t="s">
        <v>44</v>
      </c>
      <c r="F120" s="101" t="s">
        <v>44</v>
      </c>
      <c r="G120" s="101" t="s">
        <v>739</v>
      </c>
      <c r="H120" s="101" t="s">
        <v>199</v>
      </c>
      <c r="I120" s="130" t="s">
        <v>204</v>
      </c>
      <c r="J120" s="157" t="s">
        <v>1536</v>
      </c>
      <c r="K120" s="147" t="s">
        <v>44</v>
      </c>
      <c r="L120" s="158" t="s">
        <v>1536</v>
      </c>
      <c r="M120" s="131" t="s">
        <v>7</v>
      </c>
      <c r="N120" s="103" t="s">
        <v>22</v>
      </c>
      <c r="O120" s="103">
        <v>0</v>
      </c>
      <c r="P120" s="104">
        <v>5</v>
      </c>
      <c r="Q120" s="105">
        <v>0.8</v>
      </c>
      <c r="R120" s="105">
        <v>0.2</v>
      </c>
      <c r="S120" s="106">
        <f>Q120/R120</f>
        <v>4</v>
      </c>
      <c r="T120" s="107" t="s">
        <v>206</v>
      </c>
      <c r="U120" s="103" t="s">
        <v>1162</v>
      </c>
      <c r="V120" s="31" t="s">
        <v>45</v>
      </c>
      <c r="W120" s="30"/>
    </row>
    <row r="121" spans="1:23" ht="30" x14ac:dyDescent="0.2">
      <c r="A121" s="100" t="s">
        <v>42</v>
      </c>
      <c r="B121" s="101" t="s">
        <v>1911</v>
      </c>
      <c r="C121" s="164">
        <v>607951</v>
      </c>
      <c r="D121" s="101" t="s">
        <v>45</v>
      </c>
      <c r="E121" s="101" t="s">
        <v>44</v>
      </c>
      <c r="F121" s="101" t="s">
        <v>44</v>
      </c>
      <c r="G121" s="101" t="s">
        <v>740</v>
      </c>
      <c r="H121" s="101" t="s">
        <v>204</v>
      </c>
      <c r="I121" s="130" t="s">
        <v>204</v>
      </c>
      <c r="J121" s="157" t="s">
        <v>1536</v>
      </c>
      <c r="K121" s="147" t="s">
        <v>44</v>
      </c>
      <c r="L121" s="158" t="s">
        <v>1536</v>
      </c>
      <c r="M121" s="131" t="s">
        <v>7</v>
      </c>
      <c r="N121" s="103" t="s">
        <v>22</v>
      </c>
      <c r="O121" s="103">
        <v>0</v>
      </c>
      <c r="P121" s="104">
        <v>3</v>
      </c>
      <c r="Q121" s="105">
        <v>0</v>
      </c>
      <c r="R121" s="105">
        <v>1</v>
      </c>
      <c r="S121" s="106" t="s">
        <v>26</v>
      </c>
      <c r="T121" s="107" t="s">
        <v>206</v>
      </c>
      <c r="U121" s="103" t="s">
        <v>45</v>
      </c>
      <c r="V121" s="31" t="s">
        <v>45</v>
      </c>
      <c r="W121" s="30"/>
    </row>
    <row r="122" spans="1:23" ht="30" x14ac:dyDescent="0.2">
      <c r="A122" s="100" t="s">
        <v>48</v>
      </c>
      <c r="B122" s="167" t="s">
        <v>1912</v>
      </c>
      <c r="C122" s="164">
        <v>120120</v>
      </c>
      <c r="D122" s="109" t="s">
        <v>683</v>
      </c>
      <c r="E122" s="109" t="s">
        <v>45</v>
      </c>
      <c r="F122" s="109" t="s">
        <v>843</v>
      </c>
      <c r="G122" s="109" t="s">
        <v>684</v>
      </c>
      <c r="H122" s="109" t="s">
        <v>199</v>
      </c>
      <c r="I122" s="130" t="s">
        <v>204</v>
      </c>
      <c r="J122" s="157">
        <f>6.5/1000000</f>
        <v>6.4999999999999996E-6</v>
      </c>
      <c r="K122" s="147">
        <v>5.0899999999999999E-3</v>
      </c>
      <c r="L122" s="158">
        <f>1/370</f>
        <v>2.7027027027027029E-3</v>
      </c>
      <c r="M122" s="131" t="s">
        <v>7</v>
      </c>
      <c r="N122" s="103" t="s">
        <v>10</v>
      </c>
      <c r="O122" s="103">
        <v>0</v>
      </c>
      <c r="P122" s="104">
        <v>31</v>
      </c>
      <c r="Q122" s="105">
        <v>0.83870967741935487</v>
      </c>
      <c r="R122" s="105">
        <v>0.16129032258064516</v>
      </c>
      <c r="S122" s="106">
        <f>Q122/R122</f>
        <v>5.2</v>
      </c>
      <c r="T122" s="107">
        <v>1</v>
      </c>
      <c r="U122" s="103" t="s">
        <v>1166</v>
      </c>
      <c r="V122" s="123" t="s">
        <v>875</v>
      </c>
      <c r="W122" s="30"/>
    </row>
    <row r="123" spans="1:23" ht="30" x14ac:dyDescent="0.2">
      <c r="A123" s="100" t="s">
        <v>53</v>
      </c>
      <c r="B123" s="167" t="s">
        <v>1913</v>
      </c>
      <c r="C123" s="164">
        <v>614184</v>
      </c>
      <c r="D123" s="101" t="s">
        <v>45</v>
      </c>
      <c r="E123" s="101" t="s">
        <v>44</v>
      </c>
      <c r="F123" s="101" t="s">
        <v>44</v>
      </c>
      <c r="G123" s="101" t="s">
        <v>742</v>
      </c>
      <c r="H123" s="101" t="s">
        <v>199</v>
      </c>
      <c r="I123" s="130" t="s">
        <v>204</v>
      </c>
      <c r="J123" s="100" t="s">
        <v>1542</v>
      </c>
      <c r="K123" s="147" t="s">
        <v>44</v>
      </c>
      <c r="L123" s="102" t="s">
        <v>1542</v>
      </c>
      <c r="M123" s="131" t="s">
        <v>7</v>
      </c>
      <c r="N123" s="103" t="s">
        <v>22</v>
      </c>
      <c r="O123" s="103">
        <v>0</v>
      </c>
      <c r="P123" s="104">
        <v>1</v>
      </c>
      <c r="Q123" s="105">
        <v>1</v>
      </c>
      <c r="R123" s="105">
        <v>0</v>
      </c>
      <c r="S123" s="106" t="s">
        <v>14</v>
      </c>
      <c r="T123" s="107" t="s">
        <v>206</v>
      </c>
      <c r="U123" s="103" t="s">
        <v>45</v>
      </c>
      <c r="V123" s="31" t="s">
        <v>45</v>
      </c>
      <c r="W123" s="30"/>
    </row>
    <row r="124" spans="1:23" ht="30" x14ac:dyDescent="0.2">
      <c r="A124" s="100" t="s">
        <v>54</v>
      </c>
      <c r="B124" s="101" t="s">
        <v>1914</v>
      </c>
      <c r="C124" s="164">
        <v>300126</v>
      </c>
      <c r="D124" s="101" t="s">
        <v>45</v>
      </c>
      <c r="E124" s="101" t="s">
        <v>44</v>
      </c>
      <c r="F124" s="101" t="s">
        <v>44</v>
      </c>
      <c r="G124" s="101" t="s">
        <v>681</v>
      </c>
      <c r="H124" s="101" t="s">
        <v>199</v>
      </c>
      <c r="I124" s="130" t="s">
        <v>204</v>
      </c>
      <c r="J124" s="157" t="s">
        <v>1542</v>
      </c>
      <c r="K124" s="147" t="s">
        <v>44</v>
      </c>
      <c r="L124" s="158" t="s">
        <v>1542</v>
      </c>
      <c r="M124" s="131" t="s">
        <v>7</v>
      </c>
      <c r="N124" s="103" t="s">
        <v>55</v>
      </c>
      <c r="O124" s="103">
        <v>0</v>
      </c>
      <c r="P124" s="104">
        <v>23</v>
      </c>
      <c r="Q124" s="105">
        <v>0.91304347826086951</v>
      </c>
      <c r="R124" s="105">
        <v>8.6956521739130432E-2</v>
      </c>
      <c r="S124" s="106">
        <f>Q124/R124</f>
        <v>10.5</v>
      </c>
      <c r="T124" s="107">
        <v>1</v>
      </c>
      <c r="U124" s="103" t="s">
        <v>1168</v>
      </c>
      <c r="V124" s="123" t="s">
        <v>868</v>
      </c>
      <c r="W124" s="30"/>
    </row>
    <row r="125" spans="1:23" ht="30" x14ac:dyDescent="0.2">
      <c r="A125" s="100" t="s">
        <v>56</v>
      </c>
      <c r="B125" s="167" t="s">
        <v>1915</v>
      </c>
      <c r="C125" s="164">
        <v>611432</v>
      </c>
      <c r="D125" s="101" t="s">
        <v>45</v>
      </c>
      <c r="E125" s="101" t="s">
        <v>44</v>
      </c>
      <c r="F125" s="101" t="s">
        <v>44</v>
      </c>
      <c r="G125" s="101" t="s">
        <v>735</v>
      </c>
      <c r="H125" s="101" t="s">
        <v>199</v>
      </c>
      <c r="I125" s="130" t="s">
        <v>204</v>
      </c>
      <c r="J125" s="157" t="s">
        <v>1542</v>
      </c>
      <c r="K125" s="147" t="s">
        <v>44</v>
      </c>
      <c r="L125" s="158" t="s">
        <v>1542</v>
      </c>
      <c r="M125" s="131" t="s">
        <v>7</v>
      </c>
      <c r="N125" s="103" t="s">
        <v>12</v>
      </c>
      <c r="O125" s="103">
        <v>0</v>
      </c>
      <c r="P125" s="104">
        <v>2</v>
      </c>
      <c r="Q125" s="105">
        <v>0.5</v>
      </c>
      <c r="R125" s="105">
        <v>0.5</v>
      </c>
      <c r="S125" s="106">
        <f>Q125/R125</f>
        <v>1</v>
      </c>
      <c r="T125" s="107" t="s">
        <v>206</v>
      </c>
      <c r="U125" s="103" t="s">
        <v>45</v>
      </c>
      <c r="V125" s="31" t="s">
        <v>45</v>
      </c>
      <c r="W125" s="30"/>
    </row>
    <row r="126" spans="1:23" ht="30" x14ac:dyDescent="0.2">
      <c r="A126" s="100" t="s">
        <v>63</v>
      </c>
      <c r="B126" s="167" t="s">
        <v>1916</v>
      </c>
      <c r="C126" s="164">
        <v>126340</v>
      </c>
      <c r="D126" s="101" t="s">
        <v>45</v>
      </c>
      <c r="E126" s="101" t="s">
        <v>44</v>
      </c>
      <c r="F126" s="101" t="s">
        <v>44</v>
      </c>
      <c r="G126" s="101" t="s">
        <v>636</v>
      </c>
      <c r="H126" s="101" t="s">
        <v>199</v>
      </c>
      <c r="I126" s="130" t="s">
        <v>204</v>
      </c>
      <c r="J126" s="157">
        <f>(1/1000000)*0.28</f>
        <v>2.8000000000000002E-7</v>
      </c>
      <c r="K126" s="147">
        <v>1.06E-3</v>
      </c>
      <c r="L126" s="158" t="s">
        <v>1542</v>
      </c>
      <c r="M126" s="131" t="s">
        <v>7</v>
      </c>
      <c r="N126" s="103" t="s">
        <v>22</v>
      </c>
      <c r="O126" s="103">
        <v>0</v>
      </c>
      <c r="P126" s="104">
        <v>12</v>
      </c>
      <c r="Q126" s="105">
        <v>0.91666666666666663</v>
      </c>
      <c r="R126" s="105">
        <v>8.3333333333333329E-2</v>
      </c>
      <c r="S126" s="106">
        <f>Q126/R126</f>
        <v>11</v>
      </c>
      <c r="T126" s="107">
        <v>1</v>
      </c>
      <c r="U126" s="103" t="s">
        <v>45</v>
      </c>
      <c r="V126" s="31" t="s">
        <v>45</v>
      </c>
      <c r="W126" s="30"/>
    </row>
    <row r="127" spans="1:23" ht="30" x14ac:dyDescent="0.2">
      <c r="A127" s="100" t="s">
        <v>64</v>
      </c>
      <c r="B127" s="101" t="s">
        <v>1917</v>
      </c>
      <c r="C127" s="164">
        <v>133510</v>
      </c>
      <c r="D127" s="101" t="s">
        <v>45</v>
      </c>
      <c r="E127" s="101" t="s">
        <v>44</v>
      </c>
      <c r="F127" s="101" t="s">
        <v>44</v>
      </c>
      <c r="G127" s="101" t="s">
        <v>639</v>
      </c>
      <c r="H127" s="101" t="s">
        <v>199</v>
      </c>
      <c r="I127" s="130" t="s">
        <v>204</v>
      </c>
      <c r="J127" s="157">
        <f>(1/1000000)*0.01</f>
        <v>1E-8</v>
      </c>
      <c r="K127" s="147">
        <v>2.0000000000000001E-4</v>
      </c>
      <c r="L127" s="158" t="s">
        <v>1542</v>
      </c>
      <c r="M127" s="131" t="s">
        <v>7</v>
      </c>
      <c r="N127" s="103" t="s">
        <v>22</v>
      </c>
      <c r="O127" s="103">
        <v>0</v>
      </c>
      <c r="P127" s="104">
        <v>4</v>
      </c>
      <c r="Q127" s="105">
        <v>0.5</v>
      </c>
      <c r="R127" s="105">
        <v>0.5</v>
      </c>
      <c r="S127" s="106">
        <f>Q127/R127</f>
        <v>1</v>
      </c>
      <c r="T127" s="107" t="s">
        <v>206</v>
      </c>
      <c r="U127" s="103" t="s">
        <v>45</v>
      </c>
      <c r="V127" s="31" t="s">
        <v>45</v>
      </c>
      <c r="W127" s="30"/>
    </row>
    <row r="128" spans="1:23" ht="45" x14ac:dyDescent="0.2">
      <c r="A128" s="100" t="s">
        <v>65</v>
      </c>
      <c r="B128" s="167" t="s">
        <v>1918</v>
      </c>
      <c r="C128" s="164">
        <v>133520</v>
      </c>
      <c r="D128" s="101" t="s">
        <v>45</v>
      </c>
      <c r="E128" s="101" t="s">
        <v>44</v>
      </c>
      <c r="F128" s="101" t="s">
        <v>44</v>
      </c>
      <c r="G128" s="101" t="s">
        <v>1503</v>
      </c>
      <c r="H128" s="101" t="s">
        <v>199</v>
      </c>
      <c r="I128" s="130" t="s">
        <v>204</v>
      </c>
      <c r="J128" s="157" t="s">
        <v>1542</v>
      </c>
      <c r="K128" s="147" t="s">
        <v>44</v>
      </c>
      <c r="L128" s="158" t="s">
        <v>1542</v>
      </c>
      <c r="M128" s="131" t="s">
        <v>7</v>
      </c>
      <c r="N128" s="103" t="s">
        <v>22</v>
      </c>
      <c r="O128" s="103">
        <v>0</v>
      </c>
      <c r="P128" s="104">
        <v>9</v>
      </c>
      <c r="Q128" s="105">
        <v>0.66666666666666663</v>
      </c>
      <c r="R128" s="105">
        <v>0.33333333333333331</v>
      </c>
      <c r="S128" s="106">
        <f>Q128/R128</f>
        <v>2</v>
      </c>
      <c r="T128" s="107" t="s">
        <v>206</v>
      </c>
      <c r="U128" s="103" t="s">
        <v>45</v>
      </c>
      <c r="V128" s="31" t="s">
        <v>45</v>
      </c>
      <c r="W128" s="30"/>
    </row>
    <row r="129" spans="1:23" ht="30" x14ac:dyDescent="0.2">
      <c r="A129" s="100" t="s">
        <v>66</v>
      </c>
      <c r="B129" s="167" t="s">
        <v>1919</v>
      </c>
      <c r="C129" s="164">
        <v>133530</v>
      </c>
      <c r="D129" s="101" t="s">
        <v>45</v>
      </c>
      <c r="E129" s="101" t="s">
        <v>44</v>
      </c>
      <c r="F129" s="101" t="s">
        <v>44</v>
      </c>
      <c r="G129" s="101" t="s">
        <v>637</v>
      </c>
      <c r="H129" s="101" t="s">
        <v>199</v>
      </c>
      <c r="I129" s="130" t="s">
        <v>204</v>
      </c>
      <c r="J129" s="157">
        <f>(1/1000000)*0.03</f>
        <v>2.9999999999999997E-8</v>
      </c>
      <c r="K129" s="147">
        <v>3.4000000000000002E-4</v>
      </c>
      <c r="L129" s="158" t="s">
        <v>1542</v>
      </c>
      <c r="M129" s="131" t="s">
        <v>7</v>
      </c>
      <c r="N129" s="103" t="s">
        <v>22</v>
      </c>
      <c r="O129" s="103">
        <v>0</v>
      </c>
      <c r="P129" s="104">
        <v>28</v>
      </c>
      <c r="Q129" s="105">
        <v>0.39285714285714285</v>
      </c>
      <c r="R129" s="105">
        <v>0.6071428571428571</v>
      </c>
      <c r="S129" s="106">
        <v>0.6470588235294118</v>
      </c>
      <c r="T129" s="107">
        <v>0</v>
      </c>
      <c r="U129" s="103" t="s">
        <v>45</v>
      </c>
      <c r="V129" s="31" t="s">
        <v>45</v>
      </c>
      <c r="W129" s="30"/>
    </row>
    <row r="130" spans="1:23" ht="22.5" customHeight="1" x14ac:dyDescent="0.2">
      <c r="A130" s="100" t="s">
        <v>70</v>
      </c>
      <c r="B130" s="167" t="s">
        <v>1920</v>
      </c>
      <c r="C130" s="164">
        <v>613871</v>
      </c>
      <c r="D130" s="101" t="s">
        <v>45</v>
      </c>
      <c r="E130" s="101" t="s">
        <v>44</v>
      </c>
      <c r="F130" s="101" t="s">
        <v>44</v>
      </c>
      <c r="G130" s="101" t="s">
        <v>747</v>
      </c>
      <c r="H130" s="101" t="s">
        <v>199</v>
      </c>
      <c r="I130" s="130" t="s">
        <v>204</v>
      </c>
      <c r="J130" s="157">
        <f>1/110000</f>
        <v>9.090909090909091E-6</v>
      </c>
      <c r="K130" s="147">
        <v>6.0200000000000002E-3</v>
      </c>
      <c r="L130" s="158">
        <f>1/125</f>
        <v>8.0000000000000002E-3</v>
      </c>
      <c r="M130" s="131" t="s">
        <v>7</v>
      </c>
      <c r="N130" s="103" t="s">
        <v>12</v>
      </c>
      <c r="O130" s="103">
        <v>0</v>
      </c>
      <c r="P130" s="104">
        <v>10</v>
      </c>
      <c r="Q130" s="105">
        <v>0.6</v>
      </c>
      <c r="R130" s="105">
        <v>0.4</v>
      </c>
      <c r="S130" s="106">
        <f>Q130/R130</f>
        <v>1.4999999999999998</v>
      </c>
      <c r="T130" s="107">
        <v>1</v>
      </c>
      <c r="U130" s="103" t="s">
        <v>1170</v>
      </c>
      <c r="V130" s="125" t="s">
        <v>1736</v>
      </c>
      <c r="W130" s="30"/>
    </row>
    <row r="131" spans="1:23" x14ac:dyDescent="0.2">
      <c r="A131" s="100" t="s">
        <v>72</v>
      </c>
      <c r="B131" s="101" t="s">
        <v>1921</v>
      </c>
      <c r="C131" s="164">
        <v>607139</v>
      </c>
      <c r="D131" s="101" t="s">
        <v>45</v>
      </c>
      <c r="E131" s="101" t="s">
        <v>44</v>
      </c>
      <c r="F131" s="101" t="s">
        <v>44</v>
      </c>
      <c r="G131" s="101" t="s">
        <v>617</v>
      </c>
      <c r="H131" s="101" t="s">
        <v>199</v>
      </c>
      <c r="I131" s="130" t="s">
        <v>204</v>
      </c>
      <c r="J131" s="157">
        <f>(1/360000)*0.65</f>
        <v>1.8055555555555557E-6</v>
      </c>
      <c r="K131" s="147">
        <v>2.6800000000000001E-3</v>
      </c>
      <c r="L131" s="158">
        <f>(1/300)*0.65</f>
        <v>2.166666666666667E-3</v>
      </c>
      <c r="M131" s="131" t="s">
        <v>7</v>
      </c>
      <c r="N131" s="103" t="s">
        <v>22</v>
      </c>
      <c r="O131" s="103">
        <v>0</v>
      </c>
      <c r="P131" s="104">
        <v>214</v>
      </c>
      <c r="Q131" s="105">
        <f>53/214</f>
        <v>0.24766355140186916</v>
      </c>
      <c r="R131" s="105">
        <f>161/214</f>
        <v>0.75233644859813087</v>
      </c>
      <c r="S131" s="106">
        <v>0.24799999999999997</v>
      </c>
      <c r="T131" s="107">
        <v>0</v>
      </c>
      <c r="U131" s="103" t="s">
        <v>1171</v>
      </c>
      <c r="V131" s="31" t="s">
        <v>45</v>
      </c>
      <c r="W131" s="30"/>
    </row>
    <row r="132" spans="1:23" x14ac:dyDescent="0.2">
      <c r="A132" s="100" t="s">
        <v>73</v>
      </c>
      <c r="B132" s="101" t="s">
        <v>1922</v>
      </c>
      <c r="C132" s="164">
        <v>300515</v>
      </c>
      <c r="D132" s="101" t="s">
        <v>45</v>
      </c>
      <c r="E132" s="101" t="s">
        <v>44</v>
      </c>
      <c r="F132" s="101" t="s">
        <v>44</v>
      </c>
      <c r="G132" s="101" t="s">
        <v>620</v>
      </c>
      <c r="H132" s="101" t="s">
        <v>204</v>
      </c>
      <c r="I132" s="130" t="s">
        <v>204</v>
      </c>
      <c r="J132" s="157">
        <f>(1/360000)*0.02</f>
        <v>5.5555555555555561E-8</v>
      </c>
      <c r="K132" s="147">
        <v>4.6000000000000001E-4</v>
      </c>
      <c r="L132" s="158">
        <f>(1/300)*0.02</f>
        <v>6.666666666666667E-5</v>
      </c>
      <c r="M132" s="131" t="s">
        <v>7</v>
      </c>
      <c r="N132" s="103" t="s">
        <v>55</v>
      </c>
      <c r="O132" s="103">
        <v>0</v>
      </c>
      <c r="P132" s="104" t="s">
        <v>45</v>
      </c>
      <c r="Q132" s="105">
        <v>0</v>
      </c>
      <c r="R132" s="105">
        <v>0</v>
      </c>
      <c r="S132" s="106" t="s">
        <v>44</v>
      </c>
      <c r="T132" s="107" t="s">
        <v>206</v>
      </c>
      <c r="U132" s="103" t="s">
        <v>45</v>
      </c>
      <c r="V132" s="31" t="s">
        <v>45</v>
      </c>
      <c r="W132" s="30"/>
    </row>
    <row r="133" spans="1:23" ht="30" x14ac:dyDescent="0.2">
      <c r="A133" s="100" t="s">
        <v>75</v>
      </c>
      <c r="B133" s="101" t="s">
        <v>1923</v>
      </c>
      <c r="C133" s="164">
        <v>613984</v>
      </c>
      <c r="D133" s="101" t="s">
        <v>45</v>
      </c>
      <c r="E133" s="101" t="s">
        <v>44</v>
      </c>
      <c r="F133" s="101" t="s">
        <v>44</v>
      </c>
      <c r="G133" s="101" t="s">
        <v>607</v>
      </c>
      <c r="H133" s="101" t="s">
        <v>204</v>
      </c>
      <c r="I133" s="130" t="s">
        <v>204</v>
      </c>
      <c r="J133" s="157">
        <f>(1/360000)*0.03</f>
        <v>8.3333333333333338E-8</v>
      </c>
      <c r="K133" s="147">
        <v>5.8E-4</v>
      </c>
      <c r="L133" s="158">
        <f>(1/300)*0.03</f>
        <v>1E-4</v>
      </c>
      <c r="M133" s="131" t="s">
        <v>7</v>
      </c>
      <c r="N133" s="103" t="s">
        <v>22</v>
      </c>
      <c r="O133" s="103">
        <v>0</v>
      </c>
      <c r="P133" s="104">
        <v>2</v>
      </c>
      <c r="Q133" s="105">
        <v>0.5</v>
      </c>
      <c r="R133" s="105">
        <v>0.5</v>
      </c>
      <c r="S133" s="106">
        <f>Q133/R133</f>
        <v>1</v>
      </c>
      <c r="T133" s="107" t="s">
        <v>206</v>
      </c>
      <c r="U133" s="103" t="s">
        <v>45</v>
      </c>
      <c r="V133" s="31" t="s">
        <v>45</v>
      </c>
      <c r="W133" s="30"/>
    </row>
    <row r="134" spans="1:23" x14ac:dyDescent="0.2">
      <c r="A134" s="100" t="s">
        <v>76</v>
      </c>
      <c r="B134" s="167" t="s">
        <v>1924</v>
      </c>
      <c r="C134" s="164">
        <v>613976</v>
      </c>
      <c r="D134" s="101" t="s">
        <v>45</v>
      </c>
      <c r="E134" s="101" t="s">
        <v>44</v>
      </c>
      <c r="F134" s="101" t="s">
        <v>44</v>
      </c>
      <c r="G134" s="101" t="s">
        <v>608</v>
      </c>
      <c r="H134" s="101" t="s">
        <v>845</v>
      </c>
      <c r="I134" s="130" t="s">
        <v>204</v>
      </c>
      <c r="J134" s="157">
        <f>(1/360000)*0.03</f>
        <v>8.3333333333333338E-8</v>
      </c>
      <c r="K134" s="147">
        <v>5.8E-4</v>
      </c>
      <c r="L134" s="158">
        <f>(1/300)*0.03</f>
        <v>1E-4</v>
      </c>
      <c r="M134" s="131" t="s">
        <v>7</v>
      </c>
      <c r="N134" s="103" t="s">
        <v>22</v>
      </c>
      <c r="O134" s="103">
        <v>0</v>
      </c>
      <c r="P134" s="104">
        <v>2</v>
      </c>
      <c r="Q134" s="105">
        <v>0</v>
      </c>
      <c r="R134" s="105">
        <v>1</v>
      </c>
      <c r="S134" s="106" t="s">
        <v>26</v>
      </c>
      <c r="T134" s="107" t="s">
        <v>206</v>
      </c>
      <c r="U134" s="103" t="s">
        <v>45</v>
      </c>
      <c r="V134" s="31" t="s">
        <v>45</v>
      </c>
      <c r="W134" s="30"/>
    </row>
    <row r="135" spans="1:23" x14ac:dyDescent="0.2">
      <c r="A135" s="100" t="s">
        <v>77</v>
      </c>
      <c r="B135" s="167" t="s">
        <v>1925</v>
      </c>
      <c r="C135" s="164">
        <v>603467</v>
      </c>
      <c r="D135" s="101" t="s">
        <v>45</v>
      </c>
      <c r="E135" s="101" t="s">
        <v>44</v>
      </c>
      <c r="F135" s="101" t="s">
        <v>44</v>
      </c>
      <c r="G135" s="101" t="s">
        <v>611</v>
      </c>
      <c r="H135" s="101" t="s">
        <v>204</v>
      </c>
      <c r="I135" s="130" t="s">
        <v>204</v>
      </c>
      <c r="J135" s="157">
        <f>(1/360000)*0.02</f>
        <v>5.5555555555555561E-8</v>
      </c>
      <c r="K135" s="147">
        <v>4.6000000000000001E-4</v>
      </c>
      <c r="L135" s="158">
        <f>(1/300)*0.02</f>
        <v>6.666666666666667E-5</v>
      </c>
      <c r="M135" s="131" t="s">
        <v>7</v>
      </c>
      <c r="N135" s="103" t="s">
        <v>22</v>
      </c>
      <c r="O135" s="103">
        <v>0</v>
      </c>
      <c r="P135" s="104">
        <v>2</v>
      </c>
      <c r="Q135" s="105">
        <v>0</v>
      </c>
      <c r="R135" s="105">
        <v>1</v>
      </c>
      <c r="S135" s="106" t="s">
        <v>26</v>
      </c>
      <c r="T135" s="107" t="s">
        <v>206</v>
      </c>
      <c r="U135" s="103" t="s">
        <v>45</v>
      </c>
      <c r="V135" s="31" t="s">
        <v>45</v>
      </c>
      <c r="W135" s="30"/>
    </row>
    <row r="136" spans="1:23" ht="30" x14ac:dyDescent="0.2">
      <c r="A136" s="100" t="s">
        <v>78</v>
      </c>
      <c r="B136" s="167" t="s">
        <v>1926</v>
      </c>
      <c r="C136" s="164">
        <v>602956</v>
      </c>
      <c r="D136" s="101" t="s">
        <v>45</v>
      </c>
      <c r="E136" s="101" t="s">
        <v>44</v>
      </c>
      <c r="F136" s="101" t="s">
        <v>44</v>
      </c>
      <c r="G136" s="101" t="s">
        <v>609</v>
      </c>
      <c r="H136" s="101" t="s">
        <v>199</v>
      </c>
      <c r="I136" s="130" t="s">
        <v>204</v>
      </c>
      <c r="J136" s="157">
        <f>(1/360000)*0.1</f>
        <v>2.7777777777777781E-7</v>
      </c>
      <c r="K136" s="147">
        <v>1.0399999999999999E-3</v>
      </c>
      <c r="L136" s="158">
        <f>(1/300)*0.1</f>
        <v>3.3333333333333338E-4</v>
      </c>
      <c r="M136" s="131" t="s">
        <v>7</v>
      </c>
      <c r="N136" s="103" t="s">
        <v>22</v>
      </c>
      <c r="O136" s="103">
        <v>0</v>
      </c>
      <c r="P136" s="104">
        <v>3</v>
      </c>
      <c r="Q136" s="105">
        <v>0</v>
      </c>
      <c r="R136" s="105">
        <v>1</v>
      </c>
      <c r="S136" s="106" t="s">
        <v>26</v>
      </c>
      <c r="T136" s="107" t="s">
        <v>206</v>
      </c>
      <c r="U136" s="103" t="s">
        <v>45</v>
      </c>
      <c r="V136" s="31" t="s">
        <v>45</v>
      </c>
      <c r="W136" s="30"/>
    </row>
    <row r="137" spans="1:23" x14ac:dyDescent="0.2">
      <c r="A137" s="100" t="s">
        <v>79</v>
      </c>
      <c r="B137" s="167" t="s">
        <v>1927</v>
      </c>
      <c r="C137" s="164">
        <v>611360</v>
      </c>
      <c r="D137" s="101" t="s">
        <v>45</v>
      </c>
      <c r="E137" s="101" t="s">
        <v>44</v>
      </c>
      <c r="F137" s="101" t="s">
        <v>44</v>
      </c>
      <c r="G137" s="101" t="s">
        <v>614</v>
      </c>
      <c r="H137" s="101" t="s">
        <v>204</v>
      </c>
      <c r="I137" s="130" t="s">
        <v>204</v>
      </c>
      <c r="J137" s="157">
        <f>(1/360000)*0.01</f>
        <v>2.7777777777777781E-8</v>
      </c>
      <c r="K137" s="147">
        <v>1.0399999999999999E-4</v>
      </c>
      <c r="L137" s="158">
        <f>(1/300)*0.01</f>
        <v>3.3333333333333335E-5</v>
      </c>
      <c r="M137" s="131" t="s">
        <v>7</v>
      </c>
      <c r="N137" s="103" t="s">
        <v>22</v>
      </c>
      <c r="O137" s="103">
        <v>0</v>
      </c>
      <c r="P137" s="104">
        <v>2</v>
      </c>
      <c r="Q137" s="105">
        <v>0.5</v>
      </c>
      <c r="R137" s="105">
        <v>0.5</v>
      </c>
      <c r="S137" s="106">
        <f>Q137/R137</f>
        <v>1</v>
      </c>
      <c r="T137" s="107" t="s">
        <v>206</v>
      </c>
      <c r="U137" s="103" t="s">
        <v>45</v>
      </c>
      <c r="V137" s="31" t="s">
        <v>45</v>
      </c>
      <c r="W137" s="30"/>
    </row>
    <row r="138" spans="1:23" x14ac:dyDescent="0.2">
      <c r="A138" s="100" t="s">
        <v>80</v>
      </c>
      <c r="B138" s="194" t="s">
        <v>1928</v>
      </c>
      <c r="C138" s="164">
        <v>608111</v>
      </c>
      <c r="D138" s="101" t="s">
        <v>45</v>
      </c>
      <c r="E138" s="101" t="s">
        <v>44</v>
      </c>
      <c r="F138" s="101" t="s">
        <v>44</v>
      </c>
      <c r="G138" s="101" t="s">
        <v>606</v>
      </c>
      <c r="H138" s="101" t="s">
        <v>204</v>
      </c>
      <c r="I138" s="130" t="s">
        <v>204</v>
      </c>
      <c r="J138" s="157">
        <f>(1/360000)*0.002</f>
        <v>5.5555555555555559E-9</v>
      </c>
      <c r="K138" s="147">
        <v>1.3999999999999999E-4</v>
      </c>
      <c r="L138" s="158">
        <f>(1/300)*0.002</f>
        <v>6.6666666666666675E-6</v>
      </c>
      <c r="M138" s="131" t="s">
        <v>7</v>
      </c>
      <c r="N138" s="103" t="s">
        <v>22</v>
      </c>
      <c r="O138" s="103">
        <v>0</v>
      </c>
      <c r="P138" s="104">
        <v>1</v>
      </c>
      <c r="Q138" s="105">
        <v>0</v>
      </c>
      <c r="R138" s="105">
        <v>1</v>
      </c>
      <c r="S138" s="106" t="s">
        <v>26</v>
      </c>
      <c r="T138" s="107" t="s">
        <v>206</v>
      </c>
      <c r="U138" s="103" t="s">
        <v>45</v>
      </c>
      <c r="V138" s="31" t="s">
        <v>45</v>
      </c>
      <c r="W138" s="30"/>
    </row>
    <row r="139" spans="1:23" ht="30" x14ac:dyDescent="0.2">
      <c r="A139" s="100" t="s">
        <v>88</v>
      </c>
      <c r="B139" s="101" t="s">
        <v>1929</v>
      </c>
      <c r="C139" s="164">
        <v>606463</v>
      </c>
      <c r="D139" s="101" t="s">
        <v>45</v>
      </c>
      <c r="E139" s="101" t="s">
        <v>44</v>
      </c>
      <c r="F139" s="101" t="s">
        <v>44</v>
      </c>
      <c r="G139" s="101" t="s">
        <v>734</v>
      </c>
      <c r="H139" s="101" t="s">
        <v>199</v>
      </c>
      <c r="I139" s="130" t="s">
        <v>204</v>
      </c>
      <c r="J139" s="157">
        <f>1/57000</f>
        <v>1.7543859649122806E-5</v>
      </c>
      <c r="K139" s="147">
        <v>8.3400000000000002E-3</v>
      </c>
      <c r="L139" s="158">
        <v>8.3400000000000002E-3</v>
      </c>
      <c r="M139" s="131" t="s">
        <v>7</v>
      </c>
      <c r="N139" s="103" t="s">
        <v>12</v>
      </c>
      <c r="O139" s="103">
        <v>0</v>
      </c>
      <c r="P139" s="104">
        <v>52</v>
      </c>
      <c r="Q139" s="105">
        <v>0.90384615384615385</v>
      </c>
      <c r="R139" s="105">
        <v>9.6153846153846159E-2</v>
      </c>
      <c r="S139" s="106">
        <f>Q139/R139</f>
        <v>9.4</v>
      </c>
      <c r="T139" s="107">
        <v>1</v>
      </c>
      <c r="U139" s="103" t="s">
        <v>1248</v>
      </c>
      <c r="V139" s="31" t="s">
        <v>45</v>
      </c>
      <c r="W139" s="30"/>
    </row>
    <row r="140" spans="1:23" ht="30" x14ac:dyDescent="0.2">
      <c r="A140" s="100" t="s">
        <v>92</v>
      </c>
      <c r="B140" s="194" t="s">
        <v>1930</v>
      </c>
      <c r="C140" s="164">
        <v>300037</v>
      </c>
      <c r="D140" s="101" t="s">
        <v>45</v>
      </c>
      <c r="E140" s="101" t="s">
        <v>44</v>
      </c>
      <c r="F140" s="101" t="s">
        <v>44</v>
      </c>
      <c r="G140" s="101" t="s">
        <v>746</v>
      </c>
      <c r="H140" s="101" t="s">
        <v>199</v>
      </c>
      <c r="I140" s="130" t="s">
        <v>204</v>
      </c>
      <c r="J140" s="157" t="s">
        <v>1542</v>
      </c>
      <c r="K140" s="147" t="s">
        <v>44</v>
      </c>
      <c r="L140" s="158" t="s">
        <v>1542</v>
      </c>
      <c r="M140" s="131" t="s">
        <v>7</v>
      </c>
      <c r="N140" s="103" t="s">
        <v>55</v>
      </c>
      <c r="O140" s="103">
        <v>0</v>
      </c>
      <c r="P140" s="104">
        <v>4</v>
      </c>
      <c r="Q140" s="105">
        <v>0.5</v>
      </c>
      <c r="R140" s="105">
        <v>0.5</v>
      </c>
      <c r="S140" s="106">
        <f>Q140/R140</f>
        <v>1</v>
      </c>
      <c r="T140" s="107" t="s">
        <v>206</v>
      </c>
      <c r="U140" s="103" t="s">
        <v>1171</v>
      </c>
      <c r="V140" s="31" t="s">
        <v>45</v>
      </c>
      <c r="W140" s="30"/>
    </row>
    <row r="141" spans="1:23" ht="30" x14ac:dyDescent="0.2">
      <c r="A141" s="100" t="s">
        <v>94</v>
      </c>
      <c r="B141" s="194" t="s">
        <v>1931</v>
      </c>
      <c r="C141" s="164">
        <v>613609</v>
      </c>
      <c r="D141" s="101" t="s">
        <v>45</v>
      </c>
      <c r="E141" s="101" t="s">
        <v>44</v>
      </c>
      <c r="F141" s="101" t="s">
        <v>44</v>
      </c>
      <c r="G141" s="101" t="s">
        <v>1781</v>
      </c>
      <c r="H141" s="101" t="s">
        <v>199</v>
      </c>
      <c r="I141" s="130" t="s">
        <v>204</v>
      </c>
      <c r="J141" s="159">
        <f>1/300</f>
        <v>3.3333333333333335E-3</v>
      </c>
      <c r="K141" s="106">
        <v>0.10881</v>
      </c>
      <c r="L141" s="160">
        <f>0.06</f>
        <v>0.06</v>
      </c>
      <c r="M141" s="131" t="s">
        <v>7</v>
      </c>
      <c r="N141" s="103" t="s">
        <v>12</v>
      </c>
      <c r="O141" s="103">
        <v>0</v>
      </c>
      <c r="P141" s="104">
        <v>6</v>
      </c>
      <c r="Q141" s="105">
        <v>1</v>
      </c>
      <c r="R141" s="105">
        <v>0</v>
      </c>
      <c r="S141" s="106" t="s">
        <v>14</v>
      </c>
      <c r="T141" s="107" t="s">
        <v>206</v>
      </c>
      <c r="U141" s="103" t="s">
        <v>1178</v>
      </c>
      <c r="V141" s="125" t="s">
        <v>1505</v>
      </c>
      <c r="W141" s="30"/>
    </row>
    <row r="142" spans="1:23" ht="30" x14ac:dyDescent="0.2">
      <c r="A142" s="100" t="s">
        <v>99</v>
      </c>
      <c r="B142" s="167" t="s">
        <v>1932</v>
      </c>
      <c r="C142" s="164">
        <v>186973</v>
      </c>
      <c r="D142" s="101" t="s">
        <v>45</v>
      </c>
      <c r="E142" s="101" t="s">
        <v>44</v>
      </c>
      <c r="F142" s="101" t="s">
        <v>44</v>
      </c>
      <c r="G142" s="101" t="s">
        <v>738</v>
      </c>
      <c r="H142" s="101" t="s">
        <v>199</v>
      </c>
      <c r="I142" s="130" t="s">
        <v>204</v>
      </c>
      <c r="J142" s="157">
        <f>1/100000</f>
        <v>1.0000000000000001E-5</v>
      </c>
      <c r="K142" s="147">
        <v>2E-3</v>
      </c>
      <c r="L142" s="158" t="s">
        <v>1542</v>
      </c>
      <c r="M142" s="131" t="s">
        <v>7</v>
      </c>
      <c r="N142" s="103" t="s">
        <v>12</v>
      </c>
      <c r="O142" s="103">
        <v>0</v>
      </c>
      <c r="P142" s="104">
        <v>3</v>
      </c>
      <c r="Q142" s="105">
        <v>0.66666666666666663</v>
      </c>
      <c r="R142" s="105">
        <v>0.33333333333333331</v>
      </c>
      <c r="S142" s="106">
        <f>Q142/R142</f>
        <v>2</v>
      </c>
      <c r="T142" s="107" t="s">
        <v>206</v>
      </c>
      <c r="U142" s="103" t="s">
        <v>1189</v>
      </c>
      <c r="V142" s="31" t="s">
        <v>45</v>
      </c>
      <c r="W142" s="30"/>
    </row>
    <row r="143" spans="1:23" ht="45" x14ac:dyDescent="0.2">
      <c r="A143" s="100" t="s">
        <v>114</v>
      </c>
      <c r="B143" s="194" t="s">
        <v>1933</v>
      </c>
      <c r="C143" s="164">
        <v>604933</v>
      </c>
      <c r="D143" s="101" t="s">
        <v>45</v>
      </c>
      <c r="E143" s="101" t="s">
        <v>44</v>
      </c>
      <c r="F143" s="101" t="s">
        <v>44</v>
      </c>
      <c r="G143" s="101" t="s">
        <v>1784</v>
      </c>
      <c r="H143" s="101" t="s">
        <v>199</v>
      </c>
      <c r="I143" s="130" t="s">
        <v>199</v>
      </c>
      <c r="J143" s="157">
        <f>1/30000</f>
        <v>3.3333333333333335E-5</v>
      </c>
      <c r="K143" s="106">
        <v>1.1469999999999999E-2</v>
      </c>
      <c r="L143" s="160">
        <f>0.015</f>
        <v>1.4999999999999999E-2</v>
      </c>
      <c r="M143" s="131" t="s">
        <v>7</v>
      </c>
      <c r="N143" s="103" t="s">
        <v>22</v>
      </c>
      <c r="O143" s="103">
        <v>0</v>
      </c>
      <c r="P143" s="104">
        <v>19</v>
      </c>
      <c r="Q143" s="105">
        <v>0.26315789473684209</v>
      </c>
      <c r="R143" s="105">
        <v>0.73684210526315785</v>
      </c>
      <c r="S143" s="106">
        <f>Q143/R143</f>
        <v>0.35714285714285715</v>
      </c>
      <c r="T143" s="107">
        <v>0</v>
      </c>
      <c r="U143" s="103" t="s">
        <v>1470</v>
      </c>
      <c r="V143" s="31" t="s">
        <v>45</v>
      </c>
      <c r="W143" s="30"/>
    </row>
    <row r="144" spans="1:23" ht="30" x14ac:dyDescent="0.2">
      <c r="A144" s="100" t="s">
        <v>135</v>
      </c>
      <c r="B144" s="101" t="s">
        <v>1934</v>
      </c>
      <c r="C144" s="164">
        <v>603968</v>
      </c>
      <c r="D144" s="101" t="s">
        <v>45</v>
      </c>
      <c r="E144" s="101" t="s">
        <v>44</v>
      </c>
      <c r="F144" s="101" t="s">
        <v>44</v>
      </c>
      <c r="G144" s="101" t="s">
        <v>641</v>
      </c>
      <c r="H144" s="101" t="s">
        <v>199</v>
      </c>
      <c r="I144" s="130" t="s">
        <v>204</v>
      </c>
      <c r="J144" s="157">
        <f>(1/1000000)*0.07</f>
        <v>7.0000000000000005E-8</v>
      </c>
      <c r="K144" s="147">
        <v>5.1999999999999995E-4</v>
      </c>
      <c r="L144" s="158" t="s">
        <v>1542</v>
      </c>
      <c r="M144" s="131" t="s">
        <v>7</v>
      </c>
      <c r="N144" s="103" t="s">
        <v>12</v>
      </c>
      <c r="O144" s="103">
        <v>0</v>
      </c>
      <c r="P144" s="104">
        <v>5</v>
      </c>
      <c r="Q144" s="105">
        <v>0.4</v>
      </c>
      <c r="R144" s="105">
        <v>0.6</v>
      </c>
      <c r="S144" s="106">
        <f>Q144/R144</f>
        <v>0.66666666666666674</v>
      </c>
      <c r="T144" s="107" t="s">
        <v>206</v>
      </c>
      <c r="U144" s="103" t="s">
        <v>828</v>
      </c>
      <c r="V144" s="31" t="s">
        <v>45</v>
      </c>
      <c r="W144" s="30"/>
    </row>
    <row r="145" spans="1:23" ht="45" x14ac:dyDescent="0.2">
      <c r="A145" s="100" t="s">
        <v>138</v>
      </c>
      <c r="B145" s="101" t="s">
        <v>1935</v>
      </c>
      <c r="C145" s="164">
        <v>170280</v>
      </c>
      <c r="D145" s="101" t="s">
        <v>45</v>
      </c>
      <c r="E145" s="101" t="s">
        <v>44</v>
      </c>
      <c r="F145" s="101" t="s">
        <v>44</v>
      </c>
      <c r="G145" s="101" t="s">
        <v>736</v>
      </c>
      <c r="H145" s="101" t="s">
        <v>204</v>
      </c>
      <c r="I145" s="130" t="s">
        <v>204</v>
      </c>
      <c r="J145" s="157">
        <f>1/50000</f>
        <v>2.0000000000000002E-5</v>
      </c>
      <c r="K145" s="147">
        <v>8.8999999999999999E-3</v>
      </c>
      <c r="L145" s="158" t="s">
        <v>1542</v>
      </c>
      <c r="M145" s="131" t="s">
        <v>7</v>
      </c>
      <c r="N145" s="103" t="s">
        <v>22</v>
      </c>
      <c r="O145" s="103">
        <v>0</v>
      </c>
      <c r="P145" s="104">
        <v>12</v>
      </c>
      <c r="Q145" s="105">
        <v>0.75</v>
      </c>
      <c r="R145" s="105">
        <v>0.25</v>
      </c>
      <c r="S145" s="106">
        <f>Q145/R145</f>
        <v>3</v>
      </c>
      <c r="T145" s="107">
        <v>1</v>
      </c>
      <c r="U145" s="103" t="s">
        <v>1171</v>
      </c>
      <c r="V145" s="31" t="s">
        <v>45</v>
      </c>
      <c r="W145" s="30"/>
    </row>
    <row r="146" spans="1:23" ht="30" x14ac:dyDescent="0.2">
      <c r="A146" s="100" t="s">
        <v>150</v>
      </c>
      <c r="B146" s="167" t="s">
        <v>1936</v>
      </c>
      <c r="C146" s="164">
        <v>603780</v>
      </c>
      <c r="D146" s="101" t="s">
        <v>45</v>
      </c>
      <c r="E146" s="101" t="s">
        <v>44</v>
      </c>
      <c r="F146" s="101" t="s">
        <v>44</v>
      </c>
      <c r="G146" s="101" t="s">
        <v>744</v>
      </c>
      <c r="H146" s="101" t="s">
        <v>199</v>
      </c>
      <c r="I146" s="130" t="s">
        <v>204</v>
      </c>
      <c r="J146" s="157" t="s">
        <v>1536</v>
      </c>
      <c r="K146" s="147" t="s">
        <v>44</v>
      </c>
      <c r="L146" s="158" t="s">
        <v>1536</v>
      </c>
      <c r="M146" s="131" t="s">
        <v>7</v>
      </c>
      <c r="N146" s="103" t="s">
        <v>22</v>
      </c>
      <c r="O146" s="103">
        <v>0</v>
      </c>
      <c r="P146" s="104">
        <v>4</v>
      </c>
      <c r="Q146" s="105">
        <v>0.25</v>
      </c>
      <c r="R146" s="105">
        <v>0.75</v>
      </c>
      <c r="S146" s="106">
        <f>Q146/R146</f>
        <v>0.33333333333333331</v>
      </c>
      <c r="T146" s="107" t="s">
        <v>206</v>
      </c>
      <c r="U146" s="103" t="s">
        <v>1226</v>
      </c>
      <c r="V146" s="31" t="s">
        <v>45</v>
      </c>
      <c r="W146" s="30"/>
    </row>
    <row r="147" spans="1:23" ht="30" x14ac:dyDescent="0.2">
      <c r="A147" s="100" t="s">
        <v>153</v>
      </c>
      <c r="B147" s="164" t="s">
        <v>1940</v>
      </c>
      <c r="C147" s="164">
        <v>157660</v>
      </c>
      <c r="D147" s="101" t="s">
        <v>45</v>
      </c>
      <c r="E147" s="101" t="s">
        <v>44</v>
      </c>
      <c r="F147" s="101" t="s">
        <v>44</v>
      </c>
      <c r="G147" s="101" t="s">
        <v>732</v>
      </c>
      <c r="H147" s="101" t="s">
        <v>199</v>
      </c>
      <c r="I147" s="130" t="s">
        <v>204</v>
      </c>
      <c r="J147" s="157" t="s">
        <v>1536</v>
      </c>
      <c r="K147" s="147" t="s">
        <v>44</v>
      </c>
      <c r="L147" s="158" t="s">
        <v>1536</v>
      </c>
      <c r="M147" s="131" t="s">
        <v>7</v>
      </c>
      <c r="N147" s="103" t="s">
        <v>12</v>
      </c>
      <c r="O147" s="103">
        <v>0</v>
      </c>
      <c r="P147" s="104">
        <v>1</v>
      </c>
      <c r="Q147" s="105">
        <v>0</v>
      </c>
      <c r="R147" s="105">
        <v>1</v>
      </c>
      <c r="S147" s="106" t="s">
        <v>26</v>
      </c>
      <c r="T147" s="107" t="s">
        <v>206</v>
      </c>
      <c r="U147" s="103" t="s">
        <v>1227</v>
      </c>
      <c r="V147" s="33" t="s">
        <v>45</v>
      </c>
      <c r="W147" s="30"/>
    </row>
    <row r="148" spans="1:23" ht="30" x14ac:dyDescent="0.2">
      <c r="A148" s="100" t="s">
        <v>157</v>
      </c>
      <c r="B148" s="167" t="s">
        <v>1937</v>
      </c>
      <c r="C148" s="164">
        <v>607444</v>
      </c>
      <c r="D148" s="101" t="s">
        <v>45</v>
      </c>
      <c r="E148" s="101" t="s">
        <v>44</v>
      </c>
      <c r="F148" s="101" t="s">
        <v>44</v>
      </c>
      <c r="G148" s="101" t="s">
        <v>745</v>
      </c>
      <c r="H148" s="101" t="s">
        <v>199</v>
      </c>
      <c r="I148" s="130" t="s">
        <v>204</v>
      </c>
      <c r="J148" s="157">
        <f>1/77000</f>
        <v>1.2987012987012988E-5</v>
      </c>
      <c r="K148" s="147">
        <v>7.1700000000000002E-3</v>
      </c>
      <c r="L148" s="158" t="s">
        <v>1542</v>
      </c>
      <c r="M148" s="131" t="s">
        <v>7</v>
      </c>
      <c r="N148" s="103" t="s">
        <v>22</v>
      </c>
      <c r="O148" s="103">
        <v>0</v>
      </c>
      <c r="P148" s="104">
        <v>2</v>
      </c>
      <c r="Q148" s="105">
        <v>0.5</v>
      </c>
      <c r="R148" s="105">
        <v>0.5</v>
      </c>
      <c r="S148" s="106">
        <f>Q148/R148</f>
        <v>1</v>
      </c>
      <c r="T148" s="107" t="s">
        <v>206</v>
      </c>
      <c r="U148" s="103" t="s">
        <v>1224</v>
      </c>
      <c r="V148" s="31" t="s">
        <v>45</v>
      </c>
      <c r="W148" s="30"/>
    </row>
    <row r="149" spans="1:23" ht="45" x14ac:dyDescent="0.2">
      <c r="A149" s="100" t="s">
        <v>164</v>
      </c>
      <c r="B149" s="101" t="s">
        <v>1938</v>
      </c>
      <c r="C149" s="164">
        <v>107400</v>
      </c>
      <c r="D149" s="101" t="s">
        <v>45</v>
      </c>
      <c r="E149" s="101" t="s">
        <v>44</v>
      </c>
      <c r="F149" s="101" t="s">
        <v>44</v>
      </c>
      <c r="G149" s="101" t="s">
        <v>731</v>
      </c>
      <c r="H149" s="101" t="s">
        <v>199</v>
      </c>
      <c r="I149" s="130" t="s">
        <v>204</v>
      </c>
      <c r="J149" s="157">
        <f>0.11/100</f>
        <v>1.1000000000000001E-3</v>
      </c>
      <c r="K149" s="106">
        <v>6.4140000000000003E-2</v>
      </c>
      <c r="L149" s="160">
        <v>8.2000000000000003E-2</v>
      </c>
      <c r="M149" s="131" t="s">
        <v>7</v>
      </c>
      <c r="N149" s="103" t="s">
        <v>12</v>
      </c>
      <c r="O149" s="103">
        <v>0</v>
      </c>
      <c r="P149" s="104">
        <v>5</v>
      </c>
      <c r="Q149" s="105">
        <v>0.8</v>
      </c>
      <c r="R149" s="105">
        <v>0.2</v>
      </c>
      <c r="S149" s="106">
        <f>Q149/R149</f>
        <v>4</v>
      </c>
      <c r="T149" s="107" t="s">
        <v>206</v>
      </c>
      <c r="U149" s="103" t="s">
        <v>1243</v>
      </c>
      <c r="V149" s="31" t="s">
        <v>45</v>
      </c>
      <c r="W149" s="30"/>
    </row>
    <row r="150" spans="1:23" ht="30" x14ac:dyDescent="0.2">
      <c r="A150" s="100" t="s">
        <v>165</v>
      </c>
      <c r="B150" s="101" t="s">
        <v>1939</v>
      </c>
      <c r="C150" s="164">
        <v>300490</v>
      </c>
      <c r="D150" s="101" t="s">
        <v>45</v>
      </c>
      <c r="E150" s="101" t="s">
        <v>44</v>
      </c>
      <c r="F150" s="101" t="s">
        <v>44</v>
      </c>
      <c r="G150" s="101" t="s">
        <v>737</v>
      </c>
      <c r="H150" s="101" t="s">
        <v>199</v>
      </c>
      <c r="I150" s="130" t="s">
        <v>204</v>
      </c>
      <c r="J150" s="157">
        <f>1/1000000</f>
        <v>9.9999999999999995E-7</v>
      </c>
      <c r="K150" s="147">
        <v>2E-3</v>
      </c>
      <c r="L150" s="158" t="s">
        <v>1542</v>
      </c>
      <c r="M150" s="131" t="s">
        <v>7</v>
      </c>
      <c r="N150" s="103" t="s">
        <v>55</v>
      </c>
      <c r="O150" s="103">
        <v>0</v>
      </c>
      <c r="P150" s="104">
        <v>8</v>
      </c>
      <c r="Q150" s="105">
        <v>0.625</v>
      </c>
      <c r="R150" s="105">
        <v>0.375</v>
      </c>
      <c r="S150" s="106">
        <f>Q150/R150</f>
        <v>1.6666666666666667</v>
      </c>
      <c r="T150" s="107" t="s">
        <v>206</v>
      </c>
      <c r="U150" s="103" t="s">
        <v>1171</v>
      </c>
      <c r="V150" s="31" t="s">
        <v>45</v>
      </c>
      <c r="W150" s="30"/>
    </row>
    <row r="151" spans="1:23" ht="21" customHeight="1" x14ac:dyDescent="0.2">
      <c r="A151" s="100" t="s">
        <v>166</v>
      </c>
      <c r="B151" s="101" t="s">
        <v>1941</v>
      </c>
      <c r="C151" s="164">
        <v>603859</v>
      </c>
      <c r="D151" s="101" t="s">
        <v>45</v>
      </c>
      <c r="E151" s="101" t="s">
        <v>44</v>
      </c>
      <c r="F151" s="101" t="s">
        <v>44</v>
      </c>
      <c r="G151" s="101" t="s">
        <v>733</v>
      </c>
      <c r="H151" s="101" t="s">
        <v>199</v>
      </c>
      <c r="I151" s="130" t="s">
        <v>204</v>
      </c>
      <c r="J151" s="157" t="s">
        <v>1542</v>
      </c>
      <c r="K151" s="147" t="s">
        <v>44</v>
      </c>
      <c r="L151" s="158" t="s">
        <v>1542</v>
      </c>
      <c r="M151" s="131" t="s">
        <v>7</v>
      </c>
      <c r="N151" s="103" t="s">
        <v>12</v>
      </c>
      <c r="O151" s="103">
        <v>0</v>
      </c>
      <c r="P151" s="104">
        <v>5</v>
      </c>
      <c r="Q151" s="105">
        <v>0.2</v>
      </c>
      <c r="R151" s="105">
        <v>0.8</v>
      </c>
      <c r="S151" s="106">
        <f>Q151/R151</f>
        <v>0.25</v>
      </c>
      <c r="T151" s="107" t="s">
        <v>206</v>
      </c>
      <c r="U151" s="103" t="s">
        <v>1224</v>
      </c>
      <c r="V151" s="31" t="s">
        <v>45</v>
      </c>
      <c r="W151" s="30"/>
    </row>
    <row r="152" spans="1:23" x14ac:dyDescent="0.2">
      <c r="A152" s="100" t="s">
        <v>167</v>
      </c>
      <c r="B152" s="167" t="s">
        <v>1942</v>
      </c>
      <c r="C152" s="164">
        <v>613278</v>
      </c>
      <c r="D152" s="101" t="s">
        <v>45</v>
      </c>
      <c r="E152" s="101" t="s">
        <v>44</v>
      </c>
      <c r="F152" s="101" t="s">
        <v>44</v>
      </c>
      <c r="G152" s="101" t="s">
        <v>615</v>
      </c>
      <c r="H152" s="101" t="s">
        <v>204</v>
      </c>
      <c r="I152" s="130" t="s">
        <v>204</v>
      </c>
      <c r="J152" s="157">
        <f>(1/360000)*0.002</f>
        <v>5.5555555555555559E-9</v>
      </c>
      <c r="K152" s="147">
        <v>1.3999999999999999E-4</v>
      </c>
      <c r="L152" s="158">
        <f>(1/300)*0.002</f>
        <v>6.6666666666666675E-6</v>
      </c>
      <c r="M152" s="131" t="s">
        <v>7</v>
      </c>
      <c r="N152" s="103" t="s">
        <v>22</v>
      </c>
      <c r="O152" s="103">
        <v>0</v>
      </c>
      <c r="P152" s="104">
        <v>8</v>
      </c>
      <c r="Q152" s="105">
        <v>0</v>
      </c>
      <c r="R152" s="105">
        <v>1</v>
      </c>
      <c r="S152" s="106" t="s">
        <v>26</v>
      </c>
      <c r="T152" s="107" t="s">
        <v>206</v>
      </c>
      <c r="U152" s="103" t="s">
        <v>828</v>
      </c>
      <c r="V152" s="31" t="s">
        <v>45</v>
      </c>
      <c r="W152" s="30"/>
    </row>
    <row r="153" spans="1:23" x14ac:dyDescent="0.2">
      <c r="A153" s="100" t="s">
        <v>187</v>
      </c>
      <c r="B153" s="101" t="s">
        <v>1943</v>
      </c>
      <c r="C153" s="164">
        <v>605073</v>
      </c>
      <c r="D153" s="101" t="s">
        <v>45</v>
      </c>
      <c r="E153" s="101" t="s">
        <v>44</v>
      </c>
      <c r="F153" s="101" t="s">
        <v>44</v>
      </c>
      <c r="G153" s="101" t="s">
        <v>741</v>
      </c>
      <c r="H153" s="101" t="s">
        <v>199</v>
      </c>
      <c r="I153" s="130" t="s">
        <v>204</v>
      </c>
      <c r="J153" s="157" t="s">
        <v>1536</v>
      </c>
      <c r="K153" s="147" t="s">
        <v>44</v>
      </c>
      <c r="L153" s="158" t="s">
        <v>1536</v>
      </c>
      <c r="M153" s="131" t="s">
        <v>7</v>
      </c>
      <c r="N153" s="103" t="s">
        <v>12</v>
      </c>
      <c r="O153" s="103">
        <v>0</v>
      </c>
      <c r="P153" s="104">
        <v>4</v>
      </c>
      <c r="Q153" s="105">
        <v>1</v>
      </c>
      <c r="R153" s="105">
        <v>0</v>
      </c>
      <c r="S153" s="106" t="s">
        <v>14</v>
      </c>
      <c r="T153" s="107" t="s">
        <v>206</v>
      </c>
      <c r="U153" s="103" t="s">
        <v>828</v>
      </c>
      <c r="V153" s="31" t="s">
        <v>45</v>
      </c>
      <c r="W153" s="30"/>
    </row>
    <row r="154" spans="1:23" ht="30" x14ac:dyDescent="0.2">
      <c r="A154" s="100" t="s">
        <v>192</v>
      </c>
      <c r="B154" s="167" t="s">
        <v>1944</v>
      </c>
      <c r="C154" s="164">
        <v>300392</v>
      </c>
      <c r="D154" s="101" t="s">
        <v>45</v>
      </c>
      <c r="E154" s="101" t="s">
        <v>44</v>
      </c>
      <c r="F154" s="101" t="s">
        <v>44</v>
      </c>
      <c r="G154" s="101" t="s">
        <v>749</v>
      </c>
      <c r="H154" s="101" t="s">
        <v>199</v>
      </c>
      <c r="I154" s="130" t="s">
        <v>204</v>
      </c>
      <c r="J154" s="157">
        <f>1/500000</f>
        <v>1.9999999999999999E-6</v>
      </c>
      <c r="K154" s="147">
        <v>2.82E-3</v>
      </c>
      <c r="L154" s="158" t="s">
        <v>1542</v>
      </c>
      <c r="M154" s="131" t="s">
        <v>7</v>
      </c>
      <c r="N154" s="103" t="s">
        <v>55</v>
      </c>
      <c r="O154" s="103">
        <v>0</v>
      </c>
      <c r="P154" s="104">
        <v>14</v>
      </c>
      <c r="Q154" s="105">
        <v>0.8571428571428571</v>
      </c>
      <c r="R154" s="105">
        <v>0.14285714285714285</v>
      </c>
      <c r="S154" s="106">
        <f>Q154/R154</f>
        <v>6</v>
      </c>
      <c r="T154" s="107">
        <v>1</v>
      </c>
      <c r="U154" s="103" t="s">
        <v>1246</v>
      </c>
      <c r="V154" s="33" t="s">
        <v>45</v>
      </c>
      <c r="W154" s="30"/>
    </row>
    <row r="155" spans="1:23" ht="30" x14ac:dyDescent="0.2">
      <c r="A155" s="100" t="s">
        <v>193</v>
      </c>
      <c r="B155" s="167" t="s">
        <v>1945</v>
      </c>
      <c r="C155" s="164">
        <v>604611</v>
      </c>
      <c r="D155" s="101" t="s">
        <v>45</v>
      </c>
      <c r="E155" s="101" t="s">
        <v>44</v>
      </c>
      <c r="F155" s="101" t="s">
        <v>44</v>
      </c>
      <c r="G155" s="101" t="s">
        <v>748</v>
      </c>
      <c r="H155" s="101" t="s">
        <v>199</v>
      </c>
      <c r="I155" s="130" t="s">
        <v>204</v>
      </c>
      <c r="J155" s="157">
        <f>1/200000</f>
        <v>5.0000000000000004E-6</v>
      </c>
      <c r="K155" s="147">
        <v>4.47E-3</v>
      </c>
      <c r="L155" s="158" t="s">
        <v>1542</v>
      </c>
      <c r="M155" s="131" t="s">
        <v>7</v>
      </c>
      <c r="N155" s="103" t="s">
        <v>22</v>
      </c>
      <c r="O155" s="103">
        <v>0</v>
      </c>
      <c r="P155" s="104">
        <v>7</v>
      </c>
      <c r="Q155" s="105">
        <v>0.42857142857142855</v>
      </c>
      <c r="R155" s="105">
        <v>0.5714285714285714</v>
      </c>
      <c r="S155" s="106">
        <f>Q155/R155</f>
        <v>0.75</v>
      </c>
      <c r="T155" s="107" t="s">
        <v>206</v>
      </c>
      <c r="U155" s="103" t="s">
        <v>1247</v>
      </c>
      <c r="V155" s="123" t="s">
        <v>876</v>
      </c>
      <c r="W155" s="87"/>
    </row>
    <row r="156" spans="1:23" ht="30" x14ac:dyDescent="0.2">
      <c r="A156" s="100" t="s">
        <v>195</v>
      </c>
      <c r="B156" s="167" t="s">
        <v>1946</v>
      </c>
      <c r="C156" s="164">
        <v>611153</v>
      </c>
      <c r="D156" s="101" t="s">
        <v>45</v>
      </c>
      <c r="E156" s="101" t="s">
        <v>44</v>
      </c>
      <c r="F156" s="101" t="s">
        <v>44</v>
      </c>
      <c r="G156" s="101" t="s">
        <v>635</v>
      </c>
      <c r="H156" s="101" t="s">
        <v>199</v>
      </c>
      <c r="I156" s="130" t="s">
        <v>204</v>
      </c>
      <c r="J156" s="157">
        <f>(1/1000000)*0.09</f>
        <v>8.9999999999999999E-8</v>
      </c>
      <c r="K156" s="147">
        <v>5.9999999999999995E-4</v>
      </c>
      <c r="L156" s="158" t="s">
        <v>1542</v>
      </c>
      <c r="M156" s="131" t="s">
        <v>7</v>
      </c>
      <c r="N156" s="103" t="s">
        <v>22</v>
      </c>
      <c r="O156" s="103">
        <v>0</v>
      </c>
      <c r="P156" s="104">
        <v>4</v>
      </c>
      <c r="Q156" s="105">
        <v>0.25</v>
      </c>
      <c r="R156" s="105">
        <v>0.75</v>
      </c>
      <c r="S156" s="106">
        <f>Q156/R156</f>
        <v>0.33333333333333331</v>
      </c>
      <c r="T156" s="107" t="s">
        <v>206</v>
      </c>
      <c r="U156" s="103" t="s">
        <v>1224</v>
      </c>
      <c r="V156" s="33" t="s">
        <v>45</v>
      </c>
      <c r="W156" s="35"/>
    </row>
    <row r="157" spans="1:23" ht="30" x14ac:dyDescent="0.2">
      <c r="A157" s="100" t="s">
        <v>196</v>
      </c>
      <c r="B157" s="167" t="s">
        <v>1947</v>
      </c>
      <c r="C157" s="164">
        <v>613208</v>
      </c>
      <c r="D157" s="101" t="s">
        <v>45</v>
      </c>
      <c r="E157" s="101" t="s">
        <v>44</v>
      </c>
      <c r="F157" s="101" t="s">
        <v>44</v>
      </c>
      <c r="G157" s="101" t="s">
        <v>638</v>
      </c>
      <c r="H157" s="101" t="s">
        <v>199</v>
      </c>
      <c r="I157" s="130" t="s">
        <v>204</v>
      </c>
      <c r="J157" s="157">
        <f>(1/1000000)*0.43</f>
        <v>4.2999999999999996E-7</v>
      </c>
      <c r="K157" s="147">
        <v>1.32E-3</v>
      </c>
      <c r="L157" s="158" t="s">
        <v>1542</v>
      </c>
      <c r="M157" s="131" t="s">
        <v>7</v>
      </c>
      <c r="N157" s="103" t="s">
        <v>22</v>
      </c>
      <c r="O157" s="103">
        <v>0</v>
      </c>
      <c r="P157" s="104">
        <v>2</v>
      </c>
      <c r="Q157" s="105">
        <v>0.5</v>
      </c>
      <c r="R157" s="105">
        <v>0.5</v>
      </c>
      <c r="S157" s="106">
        <f>Q157/R157</f>
        <v>1</v>
      </c>
      <c r="T157" s="107" t="s">
        <v>206</v>
      </c>
      <c r="U157" s="103" t="s">
        <v>1224</v>
      </c>
      <c r="V157" s="33" t="s">
        <v>45</v>
      </c>
      <c r="W157" s="87"/>
    </row>
    <row r="158" spans="1:23" x14ac:dyDescent="0.2">
      <c r="A158" s="98" t="s">
        <v>1948</v>
      </c>
      <c r="B158" s="165"/>
      <c r="C158" s="165"/>
      <c r="D158" s="101"/>
      <c r="E158" s="101"/>
      <c r="F158" s="101"/>
      <c r="G158" s="101"/>
      <c r="H158" s="101"/>
      <c r="I158" s="130"/>
      <c r="J158" s="98"/>
      <c r="K158" s="99"/>
      <c r="L158" s="156"/>
      <c r="M158" s="131"/>
      <c r="N158" s="103"/>
      <c r="O158" s="103"/>
      <c r="P158" s="104"/>
      <c r="Q158" s="105"/>
      <c r="R158" s="105"/>
      <c r="S158" s="106"/>
      <c r="T158" s="107"/>
      <c r="U158" s="103"/>
      <c r="V158" s="33"/>
      <c r="W158" s="30"/>
    </row>
    <row r="159" spans="1:23" ht="30" x14ac:dyDescent="0.2">
      <c r="A159" s="100" t="s">
        <v>13</v>
      </c>
      <c r="B159" s="164" t="s">
        <v>1949</v>
      </c>
      <c r="C159" s="164">
        <v>102620</v>
      </c>
      <c r="D159" s="101" t="s">
        <v>752</v>
      </c>
      <c r="E159" s="101" t="s">
        <v>44</v>
      </c>
      <c r="F159" s="101" t="s">
        <v>204</v>
      </c>
      <c r="G159" s="101" t="s">
        <v>45</v>
      </c>
      <c r="H159" s="101" t="s">
        <v>204</v>
      </c>
      <c r="I159" s="130" t="s">
        <v>199</v>
      </c>
      <c r="J159" s="100" t="s">
        <v>44</v>
      </c>
      <c r="K159" s="101" t="s">
        <v>44</v>
      </c>
      <c r="L159" s="102" t="s">
        <v>44</v>
      </c>
      <c r="M159" s="131" t="s">
        <v>7</v>
      </c>
      <c r="N159" s="103" t="s">
        <v>8</v>
      </c>
      <c r="O159" s="103">
        <v>0</v>
      </c>
      <c r="P159" s="104">
        <v>6</v>
      </c>
      <c r="Q159" s="105">
        <v>1</v>
      </c>
      <c r="R159" s="105">
        <v>0</v>
      </c>
      <c r="S159" s="106" t="s">
        <v>14</v>
      </c>
      <c r="T159" s="107" t="s">
        <v>206</v>
      </c>
      <c r="U159" s="103" t="s">
        <v>1171</v>
      </c>
      <c r="V159" s="31" t="s">
        <v>45</v>
      </c>
      <c r="W159" s="30"/>
    </row>
    <row r="160" spans="1:23" ht="60" x14ac:dyDescent="0.2">
      <c r="A160" s="100" t="s">
        <v>15</v>
      </c>
      <c r="B160" s="164" t="s">
        <v>1950</v>
      </c>
      <c r="C160" s="164">
        <v>102540</v>
      </c>
      <c r="D160" s="101" t="s">
        <v>753</v>
      </c>
      <c r="E160" s="101" t="s">
        <v>44</v>
      </c>
      <c r="F160" s="101" t="s">
        <v>204</v>
      </c>
      <c r="G160" s="101" t="s">
        <v>45</v>
      </c>
      <c r="H160" s="101" t="s">
        <v>204</v>
      </c>
      <c r="I160" s="130" t="s">
        <v>199</v>
      </c>
      <c r="J160" s="100" t="s">
        <v>44</v>
      </c>
      <c r="K160" s="101" t="s">
        <v>44</v>
      </c>
      <c r="L160" s="102" t="s">
        <v>44</v>
      </c>
      <c r="M160" s="131" t="s">
        <v>7</v>
      </c>
      <c r="N160" s="103" t="s">
        <v>8</v>
      </c>
      <c r="O160" s="103">
        <v>0</v>
      </c>
      <c r="P160" s="104">
        <v>0</v>
      </c>
      <c r="Q160" s="105">
        <v>0</v>
      </c>
      <c r="R160" s="105">
        <v>0</v>
      </c>
      <c r="S160" s="106" t="s">
        <v>44</v>
      </c>
      <c r="T160" s="107" t="s">
        <v>206</v>
      </c>
      <c r="U160" s="103" t="s">
        <v>1223</v>
      </c>
      <c r="V160" s="31" t="s">
        <v>45</v>
      </c>
      <c r="W160" s="30"/>
    </row>
    <row r="161" spans="1:23" ht="45" x14ac:dyDescent="0.2">
      <c r="A161" s="100" t="s">
        <v>21</v>
      </c>
      <c r="B161" s="167" t="s">
        <v>1951</v>
      </c>
      <c r="C161" s="164">
        <v>107730</v>
      </c>
      <c r="D161" s="101" t="s">
        <v>1147</v>
      </c>
      <c r="E161" s="101" t="s">
        <v>44</v>
      </c>
      <c r="F161" s="101" t="s">
        <v>204</v>
      </c>
      <c r="G161" s="101" t="s">
        <v>1146</v>
      </c>
      <c r="H161" s="101" t="s">
        <v>204</v>
      </c>
      <c r="I161" s="130" t="s">
        <v>199</v>
      </c>
      <c r="J161" s="100" t="s">
        <v>44</v>
      </c>
      <c r="K161" s="101" t="s">
        <v>44</v>
      </c>
      <c r="L161" s="102" t="s">
        <v>44</v>
      </c>
      <c r="M161" s="131" t="s">
        <v>7</v>
      </c>
      <c r="N161" s="103" t="s">
        <v>10</v>
      </c>
      <c r="O161" s="103">
        <v>0</v>
      </c>
      <c r="P161" s="104">
        <v>16</v>
      </c>
      <c r="Q161" s="105">
        <f>2/16</f>
        <v>0.125</v>
      </c>
      <c r="R161" s="105">
        <f>14/16</f>
        <v>0.875</v>
      </c>
      <c r="S161" s="106">
        <f>Q161/R161</f>
        <v>0.14285714285714285</v>
      </c>
      <c r="T161" s="107" t="s">
        <v>1492</v>
      </c>
      <c r="U161" s="103" t="s">
        <v>1159</v>
      </c>
      <c r="V161" s="31" t="s">
        <v>45</v>
      </c>
      <c r="W161" s="30"/>
    </row>
    <row r="162" spans="1:23" ht="30" x14ac:dyDescent="0.2">
      <c r="A162" s="100" t="s">
        <v>33</v>
      </c>
      <c r="B162" s="167" t="s">
        <v>1952</v>
      </c>
      <c r="C162" s="164">
        <v>114208</v>
      </c>
      <c r="D162" s="101" t="s">
        <v>1780</v>
      </c>
      <c r="E162" s="101" t="s">
        <v>44</v>
      </c>
      <c r="F162" s="101" t="s">
        <v>204</v>
      </c>
      <c r="G162" s="101" t="s">
        <v>45</v>
      </c>
      <c r="H162" s="101" t="s">
        <v>204</v>
      </c>
      <c r="I162" s="130" t="s">
        <v>199</v>
      </c>
      <c r="J162" s="100" t="s">
        <v>44</v>
      </c>
      <c r="K162" s="101" t="s">
        <v>44</v>
      </c>
      <c r="L162" s="102" t="s">
        <v>44</v>
      </c>
      <c r="M162" s="131" t="s">
        <v>18</v>
      </c>
      <c r="N162" s="103" t="s">
        <v>8</v>
      </c>
      <c r="O162" s="103">
        <v>0</v>
      </c>
      <c r="P162" s="104">
        <v>5</v>
      </c>
      <c r="Q162" s="105">
        <v>1</v>
      </c>
      <c r="R162" s="105">
        <v>0</v>
      </c>
      <c r="S162" s="106" t="s">
        <v>1149</v>
      </c>
      <c r="T162" s="107">
        <v>1</v>
      </c>
      <c r="U162" s="103" t="s">
        <v>1148</v>
      </c>
      <c r="V162" s="31" t="s">
        <v>45</v>
      </c>
      <c r="W162" s="30"/>
    </row>
    <row r="163" spans="1:23" ht="30" x14ac:dyDescent="0.2">
      <c r="A163" s="100" t="s">
        <v>47</v>
      </c>
      <c r="B163" s="167" t="s">
        <v>1953</v>
      </c>
      <c r="C163" s="164">
        <v>120180</v>
      </c>
      <c r="D163" s="101" t="s">
        <v>754</v>
      </c>
      <c r="E163" s="101" t="s">
        <v>44</v>
      </c>
      <c r="F163" s="101" t="s">
        <v>759</v>
      </c>
      <c r="G163" s="101" t="s">
        <v>45</v>
      </c>
      <c r="H163" s="101" t="s">
        <v>204</v>
      </c>
      <c r="I163" s="130" t="s">
        <v>199</v>
      </c>
      <c r="J163" s="100" t="s">
        <v>44</v>
      </c>
      <c r="K163" s="101" t="s">
        <v>44</v>
      </c>
      <c r="L163" s="102" t="s">
        <v>44</v>
      </c>
      <c r="M163" s="131" t="s">
        <v>7</v>
      </c>
      <c r="N163" s="103" t="s">
        <v>8</v>
      </c>
      <c r="O163" s="103">
        <v>0</v>
      </c>
      <c r="P163" s="104">
        <v>174</v>
      </c>
      <c r="Q163" s="105">
        <v>0.7183908045977011</v>
      </c>
      <c r="R163" s="105">
        <v>0.28160919540229884</v>
      </c>
      <c r="S163" s="106">
        <f t="shared" ref="S163:S175" si="0">Q163/R163</f>
        <v>2.5510204081632653</v>
      </c>
      <c r="T163" s="107">
        <v>1</v>
      </c>
      <c r="U163" s="103" t="s">
        <v>1165</v>
      </c>
      <c r="V163" s="31" t="s">
        <v>45</v>
      </c>
      <c r="W163" s="30"/>
    </row>
    <row r="164" spans="1:23" ht="30" x14ac:dyDescent="0.2">
      <c r="A164" s="100" t="s">
        <v>57</v>
      </c>
      <c r="B164" s="167" t="s">
        <v>1954</v>
      </c>
      <c r="C164" s="164">
        <v>125645</v>
      </c>
      <c r="D164" s="101" t="s">
        <v>755</v>
      </c>
      <c r="E164" s="101" t="s">
        <v>44</v>
      </c>
      <c r="F164" s="101" t="s">
        <v>204</v>
      </c>
      <c r="G164" s="101" t="s">
        <v>45</v>
      </c>
      <c r="H164" s="101" t="s">
        <v>204</v>
      </c>
      <c r="I164" s="130" t="s">
        <v>199</v>
      </c>
      <c r="J164" s="100" t="s">
        <v>44</v>
      </c>
      <c r="K164" s="101" t="s">
        <v>44</v>
      </c>
      <c r="L164" s="102" t="s">
        <v>44</v>
      </c>
      <c r="M164" s="131" t="s">
        <v>7</v>
      </c>
      <c r="N164" s="103" t="s">
        <v>8</v>
      </c>
      <c r="O164" s="103">
        <v>0</v>
      </c>
      <c r="P164" s="104">
        <v>3</v>
      </c>
      <c r="Q164" s="105">
        <v>0.33333333333333331</v>
      </c>
      <c r="R164" s="105">
        <v>0.66666666666666663</v>
      </c>
      <c r="S164" s="106">
        <f t="shared" si="0"/>
        <v>0.5</v>
      </c>
      <c r="T164" s="107" t="s">
        <v>206</v>
      </c>
      <c r="U164" s="103" t="s">
        <v>45</v>
      </c>
      <c r="V164" s="123" t="s">
        <v>874</v>
      </c>
      <c r="W164" s="30"/>
    </row>
    <row r="165" spans="1:23" ht="30" x14ac:dyDescent="0.2">
      <c r="A165" s="100" t="s">
        <v>58</v>
      </c>
      <c r="B165" s="167" t="s">
        <v>1955</v>
      </c>
      <c r="C165" s="164">
        <v>125671</v>
      </c>
      <c r="D165" s="101" t="s">
        <v>756</v>
      </c>
      <c r="E165" s="101" t="s">
        <v>44</v>
      </c>
      <c r="F165" s="101" t="s">
        <v>204</v>
      </c>
      <c r="G165" s="101" t="s">
        <v>45</v>
      </c>
      <c r="H165" s="101" t="s">
        <v>204</v>
      </c>
      <c r="I165" s="130" t="s">
        <v>199</v>
      </c>
      <c r="J165" s="100" t="s">
        <v>44</v>
      </c>
      <c r="K165" s="101" t="s">
        <v>44</v>
      </c>
      <c r="L165" s="102" t="s">
        <v>44</v>
      </c>
      <c r="M165" s="131" t="s">
        <v>7</v>
      </c>
      <c r="N165" s="103" t="s">
        <v>8</v>
      </c>
      <c r="O165" s="103">
        <v>0</v>
      </c>
      <c r="P165" s="104">
        <v>7</v>
      </c>
      <c r="Q165" s="105">
        <v>0.8571428571428571</v>
      </c>
      <c r="R165" s="105">
        <v>0.14285714285714285</v>
      </c>
      <c r="S165" s="106">
        <f t="shared" si="0"/>
        <v>6</v>
      </c>
      <c r="T165" s="107" t="s">
        <v>206</v>
      </c>
      <c r="U165" s="103" t="s">
        <v>45</v>
      </c>
      <c r="V165" s="22" t="s">
        <v>874</v>
      </c>
      <c r="W165" s="30"/>
    </row>
    <row r="166" spans="1:23" ht="30" x14ac:dyDescent="0.2">
      <c r="A166" s="100" t="s">
        <v>59</v>
      </c>
      <c r="B166" s="167" t="s">
        <v>1956</v>
      </c>
      <c r="C166" s="164">
        <v>125647</v>
      </c>
      <c r="D166" s="101" t="s">
        <v>757</v>
      </c>
      <c r="E166" s="101" t="s">
        <v>44</v>
      </c>
      <c r="F166" s="101" t="s">
        <v>758</v>
      </c>
      <c r="G166" s="101" t="s">
        <v>45</v>
      </c>
      <c r="H166" s="101" t="s">
        <v>204</v>
      </c>
      <c r="I166" s="130" t="s">
        <v>199</v>
      </c>
      <c r="J166" s="100" t="s">
        <v>44</v>
      </c>
      <c r="K166" s="101" t="s">
        <v>44</v>
      </c>
      <c r="L166" s="102" t="s">
        <v>44</v>
      </c>
      <c r="M166" s="131" t="s">
        <v>7</v>
      </c>
      <c r="N166" s="103" t="s">
        <v>8</v>
      </c>
      <c r="O166" s="103">
        <v>0</v>
      </c>
      <c r="P166" s="104">
        <v>17</v>
      </c>
      <c r="Q166" s="105">
        <v>0.41176470588235292</v>
      </c>
      <c r="R166" s="105">
        <v>0.58823529411764708</v>
      </c>
      <c r="S166" s="106">
        <f t="shared" si="0"/>
        <v>0.7</v>
      </c>
      <c r="T166" s="107">
        <v>1</v>
      </c>
      <c r="U166" s="103" t="s">
        <v>1171</v>
      </c>
      <c r="V166" s="22" t="s">
        <v>874</v>
      </c>
      <c r="W166" s="30"/>
    </row>
    <row r="167" spans="1:23" ht="75" x14ac:dyDescent="0.2">
      <c r="A167" s="100" t="s">
        <v>83</v>
      </c>
      <c r="B167" s="167" t="s">
        <v>1957</v>
      </c>
      <c r="C167" s="164">
        <v>134797</v>
      </c>
      <c r="D167" s="101" t="s">
        <v>760</v>
      </c>
      <c r="E167" s="101" t="s">
        <v>44</v>
      </c>
      <c r="F167" s="101" t="s">
        <v>761</v>
      </c>
      <c r="G167" s="101" t="s">
        <v>45</v>
      </c>
      <c r="H167" s="101" t="s">
        <v>204</v>
      </c>
      <c r="I167" s="130" t="s">
        <v>199</v>
      </c>
      <c r="J167" s="100" t="s">
        <v>44</v>
      </c>
      <c r="K167" s="101" t="s">
        <v>44</v>
      </c>
      <c r="L167" s="102" t="s">
        <v>44</v>
      </c>
      <c r="M167" s="131" t="s">
        <v>7</v>
      </c>
      <c r="N167" s="103" t="s">
        <v>8</v>
      </c>
      <c r="O167" s="103">
        <v>0</v>
      </c>
      <c r="P167" s="104">
        <v>94</v>
      </c>
      <c r="Q167" s="105">
        <v>0.76595744680851063</v>
      </c>
      <c r="R167" s="105">
        <v>0.23404255319148937</v>
      </c>
      <c r="S167" s="106">
        <f t="shared" si="0"/>
        <v>3.2727272727272725</v>
      </c>
      <c r="T167" s="107">
        <v>1</v>
      </c>
      <c r="U167" s="103" t="s">
        <v>1174</v>
      </c>
      <c r="V167" s="31" t="s">
        <v>45</v>
      </c>
      <c r="W167" s="30"/>
    </row>
    <row r="168" spans="1:23" ht="45" x14ac:dyDescent="0.2">
      <c r="A168" s="100" t="s">
        <v>91</v>
      </c>
      <c r="B168" s="167" t="s">
        <v>1958</v>
      </c>
      <c r="C168" s="164">
        <v>300644</v>
      </c>
      <c r="D168" s="101" t="s">
        <v>765</v>
      </c>
      <c r="E168" s="101" t="s">
        <v>44</v>
      </c>
      <c r="F168" s="101" t="s">
        <v>764</v>
      </c>
      <c r="G168" s="101" t="s">
        <v>762</v>
      </c>
      <c r="H168" s="101" t="s">
        <v>204</v>
      </c>
      <c r="I168" s="130" t="s">
        <v>199</v>
      </c>
      <c r="J168" s="100" t="s">
        <v>44</v>
      </c>
      <c r="K168" s="101" t="s">
        <v>44</v>
      </c>
      <c r="L168" s="102" t="s">
        <v>44</v>
      </c>
      <c r="M168" s="131" t="s">
        <v>7</v>
      </c>
      <c r="N168" s="103" t="s">
        <v>763</v>
      </c>
      <c r="O168" s="103">
        <v>0</v>
      </c>
      <c r="P168" s="104">
        <v>57</v>
      </c>
      <c r="Q168" s="105">
        <v>0.51</v>
      </c>
      <c r="R168" s="105">
        <v>0.49</v>
      </c>
      <c r="S168" s="106">
        <f t="shared" si="0"/>
        <v>1.0408163265306123</v>
      </c>
      <c r="T168" s="107">
        <v>1</v>
      </c>
      <c r="U168" s="103" t="s">
        <v>1176</v>
      </c>
      <c r="V168" s="31" t="s">
        <v>45</v>
      </c>
      <c r="W168" s="30"/>
    </row>
    <row r="169" spans="1:23" ht="30" x14ac:dyDescent="0.2">
      <c r="A169" s="100" t="s">
        <v>100</v>
      </c>
      <c r="B169" s="101" t="s">
        <v>1959</v>
      </c>
      <c r="C169" s="164">
        <v>152427</v>
      </c>
      <c r="D169" s="101" t="s">
        <v>767</v>
      </c>
      <c r="E169" s="101" t="s">
        <v>44</v>
      </c>
      <c r="F169" s="101" t="s">
        <v>204</v>
      </c>
      <c r="G169" s="101" t="s">
        <v>45</v>
      </c>
      <c r="H169" s="101" t="s">
        <v>204</v>
      </c>
      <c r="I169" s="130" t="s">
        <v>199</v>
      </c>
      <c r="J169" s="100" t="s">
        <v>44</v>
      </c>
      <c r="K169" s="101" t="s">
        <v>44</v>
      </c>
      <c r="L169" s="102" t="s">
        <v>44</v>
      </c>
      <c r="M169" s="131" t="s">
        <v>7</v>
      </c>
      <c r="N169" s="103" t="s">
        <v>8</v>
      </c>
      <c r="O169" s="103">
        <v>0</v>
      </c>
      <c r="P169" s="104">
        <v>42</v>
      </c>
      <c r="Q169" s="105">
        <v>0.97619047619047616</v>
      </c>
      <c r="R169" s="105">
        <v>2.3809523809523808E-2</v>
      </c>
      <c r="S169" s="106">
        <f t="shared" si="0"/>
        <v>41</v>
      </c>
      <c r="T169" s="107">
        <v>1</v>
      </c>
      <c r="U169" s="103" t="s">
        <v>1190</v>
      </c>
      <c r="V169" s="123" t="s">
        <v>870</v>
      </c>
      <c r="W169" s="30"/>
    </row>
    <row r="170" spans="1:23" ht="30" x14ac:dyDescent="0.2">
      <c r="A170" s="100" t="s">
        <v>101</v>
      </c>
      <c r="B170" s="101" t="s">
        <v>1960</v>
      </c>
      <c r="C170" s="164">
        <v>607542</v>
      </c>
      <c r="D170" s="101" t="s">
        <v>766</v>
      </c>
      <c r="E170" s="101" t="s">
        <v>44</v>
      </c>
      <c r="F170" s="101" t="s">
        <v>204</v>
      </c>
      <c r="G170" s="101" t="s">
        <v>45</v>
      </c>
      <c r="H170" s="101" t="s">
        <v>204</v>
      </c>
      <c r="I170" s="130" t="s">
        <v>199</v>
      </c>
      <c r="J170" s="100" t="s">
        <v>44</v>
      </c>
      <c r="K170" s="101" t="s">
        <v>44</v>
      </c>
      <c r="L170" s="102" t="s">
        <v>44</v>
      </c>
      <c r="M170" s="131" t="s">
        <v>7</v>
      </c>
      <c r="N170" s="103" t="s">
        <v>8</v>
      </c>
      <c r="O170" s="103">
        <v>0</v>
      </c>
      <c r="P170" s="104">
        <v>37</v>
      </c>
      <c r="Q170" s="105">
        <v>0.7567567567567568</v>
      </c>
      <c r="R170" s="105">
        <v>0.24324324324324326</v>
      </c>
      <c r="S170" s="106">
        <f t="shared" si="0"/>
        <v>3.1111111111111112</v>
      </c>
      <c r="T170" s="107">
        <v>1</v>
      </c>
      <c r="U170" s="103" t="s">
        <v>1171</v>
      </c>
      <c r="V170" s="22" t="s">
        <v>870</v>
      </c>
      <c r="W170" s="30"/>
    </row>
    <row r="171" spans="1:23" ht="60" x14ac:dyDescent="0.2">
      <c r="A171" s="100" t="s">
        <v>103</v>
      </c>
      <c r="B171" s="101" t="s">
        <v>1961</v>
      </c>
      <c r="C171" s="164">
        <v>606945</v>
      </c>
      <c r="D171" s="101" t="s">
        <v>768</v>
      </c>
      <c r="E171" s="101" t="s">
        <v>44</v>
      </c>
      <c r="F171" s="101" t="s">
        <v>204</v>
      </c>
      <c r="G171" s="101" t="s">
        <v>769</v>
      </c>
      <c r="H171" s="101" t="s">
        <v>204</v>
      </c>
      <c r="I171" s="130" t="s">
        <v>199</v>
      </c>
      <c r="J171" s="100" t="s">
        <v>44</v>
      </c>
      <c r="K171" s="101" t="s">
        <v>44</v>
      </c>
      <c r="L171" s="102" t="s">
        <v>44</v>
      </c>
      <c r="M171" s="131" t="s">
        <v>7</v>
      </c>
      <c r="N171" s="103" t="s">
        <v>10</v>
      </c>
      <c r="O171" s="103">
        <v>0</v>
      </c>
      <c r="P171" s="104">
        <v>46</v>
      </c>
      <c r="Q171" s="105">
        <v>0.67391304347826086</v>
      </c>
      <c r="R171" s="105">
        <v>0.32608695652173914</v>
      </c>
      <c r="S171" s="106">
        <f t="shared" si="0"/>
        <v>2.0666666666666664</v>
      </c>
      <c r="T171" s="107">
        <v>1</v>
      </c>
      <c r="U171" s="103" t="s">
        <v>1193</v>
      </c>
      <c r="V171" s="31" t="s">
        <v>45</v>
      </c>
      <c r="W171" s="30"/>
    </row>
    <row r="172" spans="1:23" ht="30" x14ac:dyDescent="0.2">
      <c r="A172" s="100" t="s">
        <v>104</v>
      </c>
      <c r="B172" s="101" t="s">
        <v>1962</v>
      </c>
      <c r="C172" s="164">
        <v>150330</v>
      </c>
      <c r="D172" s="101" t="s">
        <v>770</v>
      </c>
      <c r="E172" s="101" t="s">
        <v>44</v>
      </c>
      <c r="F172" s="101" t="s">
        <v>771</v>
      </c>
      <c r="G172" s="101" t="s">
        <v>45</v>
      </c>
      <c r="H172" s="101" t="s">
        <v>204</v>
      </c>
      <c r="I172" s="130" t="s">
        <v>199</v>
      </c>
      <c r="J172" s="100" t="s">
        <v>44</v>
      </c>
      <c r="K172" s="101" t="s">
        <v>44</v>
      </c>
      <c r="L172" s="102" t="s">
        <v>44</v>
      </c>
      <c r="M172" s="131" t="s">
        <v>7</v>
      </c>
      <c r="N172" s="103" t="s">
        <v>8</v>
      </c>
      <c r="O172" s="103">
        <v>0</v>
      </c>
      <c r="P172" s="104">
        <v>59</v>
      </c>
      <c r="Q172" s="105">
        <v>0.83050847457627119</v>
      </c>
      <c r="R172" s="105">
        <v>0.16949152542372881</v>
      </c>
      <c r="S172" s="106">
        <f t="shared" si="0"/>
        <v>4.9000000000000004</v>
      </c>
      <c r="T172" s="107">
        <v>1</v>
      </c>
      <c r="U172" s="103" t="s">
        <v>1171</v>
      </c>
      <c r="V172" s="31" t="s">
        <v>45</v>
      </c>
      <c r="W172" s="30"/>
    </row>
    <row r="173" spans="1:23" ht="30" x14ac:dyDescent="0.2">
      <c r="A173" s="100" t="s">
        <v>115</v>
      </c>
      <c r="B173" s="167" t="s">
        <v>1963</v>
      </c>
      <c r="C173" s="164">
        <v>600958</v>
      </c>
      <c r="D173" s="101" t="s">
        <v>1777</v>
      </c>
      <c r="E173" s="101" t="s">
        <v>44</v>
      </c>
      <c r="F173" s="101" t="s">
        <v>204</v>
      </c>
      <c r="G173" s="101" t="s">
        <v>45</v>
      </c>
      <c r="H173" s="101" t="s">
        <v>204</v>
      </c>
      <c r="I173" s="130" t="s">
        <v>199</v>
      </c>
      <c r="J173" s="100" t="s">
        <v>44</v>
      </c>
      <c r="K173" s="101" t="s">
        <v>44</v>
      </c>
      <c r="L173" s="102" t="s">
        <v>44</v>
      </c>
      <c r="M173" s="131" t="s">
        <v>7</v>
      </c>
      <c r="N173" s="103" t="s">
        <v>8</v>
      </c>
      <c r="O173" s="103">
        <v>0</v>
      </c>
      <c r="P173" s="104">
        <v>16</v>
      </c>
      <c r="Q173" s="105">
        <v>0.8125</v>
      </c>
      <c r="R173" s="105">
        <v>0.1875</v>
      </c>
      <c r="S173" s="106">
        <f t="shared" si="0"/>
        <v>4.333333333333333</v>
      </c>
      <c r="T173" s="107">
        <v>1</v>
      </c>
      <c r="U173" s="103" t="s">
        <v>1196</v>
      </c>
      <c r="V173" s="31" t="s">
        <v>45</v>
      </c>
      <c r="W173" s="30"/>
    </row>
    <row r="174" spans="1:23" ht="30" x14ac:dyDescent="0.2">
      <c r="A174" s="100" t="s">
        <v>116</v>
      </c>
      <c r="B174" s="101" t="s">
        <v>1964</v>
      </c>
      <c r="C174" s="164">
        <v>160745</v>
      </c>
      <c r="D174" s="101" t="s">
        <v>772</v>
      </c>
      <c r="E174" s="101" t="s">
        <v>44</v>
      </c>
      <c r="F174" s="101" t="s">
        <v>773</v>
      </c>
      <c r="G174" s="101" t="s">
        <v>45</v>
      </c>
      <c r="H174" s="101" t="s">
        <v>204</v>
      </c>
      <c r="I174" s="130" t="s">
        <v>199</v>
      </c>
      <c r="J174" s="100" t="s">
        <v>44</v>
      </c>
      <c r="K174" s="101" t="s">
        <v>44</v>
      </c>
      <c r="L174" s="102" t="s">
        <v>44</v>
      </c>
      <c r="M174" s="131" t="s">
        <v>7</v>
      </c>
      <c r="N174" s="103" t="s">
        <v>8</v>
      </c>
      <c r="O174" s="103">
        <v>0</v>
      </c>
      <c r="P174" s="104">
        <v>6</v>
      </c>
      <c r="Q174" s="105">
        <v>0.83333333333333337</v>
      </c>
      <c r="R174" s="105">
        <v>0.16666666666666666</v>
      </c>
      <c r="S174" s="106">
        <f t="shared" si="0"/>
        <v>5.0000000000000009</v>
      </c>
      <c r="T174" s="107" t="s">
        <v>206</v>
      </c>
      <c r="U174" s="103" t="s">
        <v>1199</v>
      </c>
      <c r="V174" s="33" t="s">
        <v>45</v>
      </c>
      <c r="W174" s="30"/>
    </row>
    <row r="175" spans="1:23" ht="30" x14ac:dyDescent="0.2">
      <c r="A175" s="100" t="s">
        <v>117</v>
      </c>
      <c r="B175" s="167" t="s">
        <v>1965</v>
      </c>
      <c r="C175" s="164">
        <v>160760</v>
      </c>
      <c r="D175" s="101" t="s">
        <v>774</v>
      </c>
      <c r="E175" s="101" t="s">
        <v>44</v>
      </c>
      <c r="F175" s="101" t="s">
        <v>204</v>
      </c>
      <c r="G175" s="101" t="s">
        <v>45</v>
      </c>
      <c r="H175" s="101" t="s">
        <v>204</v>
      </c>
      <c r="I175" s="130" t="s">
        <v>199</v>
      </c>
      <c r="J175" s="100" t="s">
        <v>44</v>
      </c>
      <c r="K175" s="101" t="s">
        <v>44</v>
      </c>
      <c r="L175" s="102" t="s">
        <v>44</v>
      </c>
      <c r="M175" s="131" t="s">
        <v>18</v>
      </c>
      <c r="N175" s="103" t="s">
        <v>8</v>
      </c>
      <c r="O175" s="103">
        <v>0</v>
      </c>
      <c r="P175" s="104">
        <v>54</v>
      </c>
      <c r="Q175" s="105">
        <f>50/54</f>
        <v>0.92592592592592593</v>
      </c>
      <c r="R175" s="105">
        <f>6/54</f>
        <v>0.1111111111111111</v>
      </c>
      <c r="S175" s="106">
        <f t="shared" si="0"/>
        <v>8.3333333333333339</v>
      </c>
      <c r="T175" s="107">
        <v>1</v>
      </c>
      <c r="U175" s="103" t="s">
        <v>1171</v>
      </c>
      <c r="V175" s="33" t="s">
        <v>45</v>
      </c>
      <c r="W175" s="30"/>
    </row>
    <row r="176" spans="1:23" ht="30" x14ac:dyDescent="0.2">
      <c r="A176" s="100" t="s">
        <v>118</v>
      </c>
      <c r="B176" s="167" t="s">
        <v>1966</v>
      </c>
      <c r="C176" s="164">
        <v>160781</v>
      </c>
      <c r="D176" s="101" t="s">
        <v>775</v>
      </c>
      <c r="E176" s="101" t="s">
        <v>44</v>
      </c>
      <c r="F176" s="101" t="s">
        <v>204</v>
      </c>
      <c r="G176" s="101" t="s">
        <v>45</v>
      </c>
      <c r="H176" s="101" t="s">
        <v>204</v>
      </c>
      <c r="I176" s="130" t="s">
        <v>199</v>
      </c>
      <c r="J176" s="100" t="s">
        <v>44</v>
      </c>
      <c r="K176" s="101" t="s">
        <v>44</v>
      </c>
      <c r="L176" s="102" t="s">
        <v>44</v>
      </c>
      <c r="M176" s="131" t="s">
        <v>7</v>
      </c>
      <c r="N176" s="103" t="s">
        <v>8</v>
      </c>
      <c r="O176" s="103">
        <v>0</v>
      </c>
      <c r="P176" s="104">
        <v>4</v>
      </c>
      <c r="Q176" s="105">
        <v>1</v>
      </c>
      <c r="R176" s="105">
        <v>0</v>
      </c>
      <c r="S176" s="106" t="s">
        <v>14</v>
      </c>
      <c r="T176" s="107" t="s">
        <v>206</v>
      </c>
      <c r="U176" s="103" t="s">
        <v>1171</v>
      </c>
      <c r="V176" s="31" t="s">
        <v>45</v>
      </c>
      <c r="W176" s="30"/>
    </row>
    <row r="177" spans="1:23" ht="30" x14ac:dyDescent="0.2">
      <c r="A177" s="100" t="s">
        <v>119</v>
      </c>
      <c r="B177" s="167" t="s">
        <v>1967</v>
      </c>
      <c r="C177" s="164">
        <v>160790</v>
      </c>
      <c r="D177" s="101" t="s">
        <v>1778</v>
      </c>
      <c r="E177" s="101" t="s">
        <v>44</v>
      </c>
      <c r="F177" s="101" t="s">
        <v>204</v>
      </c>
      <c r="G177" s="101" t="s">
        <v>780</v>
      </c>
      <c r="H177" s="101" t="s">
        <v>204</v>
      </c>
      <c r="I177" s="130" t="s">
        <v>199</v>
      </c>
      <c r="J177" s="100" t="s">
        <v>44</v>
      </c>
      <c r="K177" s="101" t="s">
        <v>44</v>
      </c>
      <c r="L177" s="102" t="s">
        <v>44</v>
      </c>
      <c r="M177" s="131" t="s">
        <v>7</v>
      </c>
      <c r="N177" s="103" t="s">
        <v>10</v>
      </c>
      <c r="O177" s="103">
        <v>0</v>
      </c>
      <c r="P177" s="104">
        <v>3</v>
      </c>
      <c r="Q177" s="105">
        <v>1</v>
      </c>
      <c r="R177" s="105">
        <v>0</v>
      </c>
      <c r="S177" s="106" t="s">
        <v>14</v>
      </c>
      <c r="T177" s="107" t="s">
        <v>206</v>
      </c>
      <c r="U177" s="103" t="s">
        <v>1171</v>
      </c>
      <c r="V177" s="31" t="s">
        <v>45</v>
      </c>
      <c r="W177" s="30"/>
    </row>
    <row r="178" spans="1:23" ht="30" x14ac:dyDescent="0.2">
      <c r="A178" s="100" t="s">
        <v>120</v>
      </c>
      <c r="B178" s="101" t="s">
        <v>1968</v>
      </c>
      <c r="C178" s="164">
        <v>600922</v>
      </c>
      <c r="D178" s="101" t="s">
        <v>781</v>
      </c>
      <c r="E178" s="101" t="s">
        <v>44</v>
      </c>
      <c r="F178" s="101" t="s">
        <v>204</v>
      </c>
      <c r="G178" s="101" t="s">
        <v>45</v>
      </c>
      <c r="H178" s="101" t="s">
        <v>204</v>
      </c>
      <c r="I178" s="130" t="s">
        <v>199</v>
      </c>
      <c r="J178" s="100" t="s">
        <v>44</v>
      </c>
      <c r="K178" s="101" t="s">
        <v>44</v>
      </c>
      <c r="L178" s="102" t="s">
        <v>44</v>
      </c>
      <c r="M178" s="131" t="s">
        <v>7</v>
      </c>
      <c r="N178" s="103" t="s">
        <v>8</v>
      </c>
      <c r="O178" s="103">
        <v>0</v>
      </c>
      <c r="P178" s="104">
        <v>2</v>
      </c>
      <c r="Q178" s="105">
        <v>0.5</v>
      </c>
      <c r="R178" s="105">
        <v>0.5</v>
      </c>
      <c r="S178" s="106">
        <f>Q178/R178</f>
        <v>1</v>
      </c>
      <c r="T178" s="107" t="s">
        <v>206</v>
      </c>
      <c r="U178" s="103" t="s">
        <v>828</v>
      </c>
      <c r="V178" s="31" t="s">
        <v>45</v>
      </c>
      <c r="W178" s="30"/>
    </row>
    <row r="179" spans="1:23" ht="30" x14ac:dyDescent="0.2">
      <c r="A179" s="100" t="s">
        <v>126</v>
      </c>
      <c r="B179" s="167" t="s">
        <v>1969</v>
      </c>
      <c r="C179" s="164">
        <v>607786</v>
      </c>
      <c r="D179" s="101" t="s">
        <v>779</v>
      </c>
      <c r="E179" s="101" t="s">
        <v>44</v>
      </c>
      <c r="F179" s="101" t="s">
        <v>204</v>
      </c>
      <c r="G179" s="101" t="s">
        <v>45</v>
      </c>
      <c r="H179" s="101" t="s">
        <v>204</v>
      </c>
      <c r="I179" s="130" t="s">
        <v>199</v>
      </c>
      <c r="J179" s="100" t="s">
        <v>44</v>
      </c>
      <c r="K179" s="101" t="s">
        <v>44</v>
      </c>
      <c r="L179" s="102" t="s">
        <v>44</v>
      </c>
      <c r="M179" s="131" t="s">
        <v>18</v>
      </c>
      <c r="N179" s="103" t="s">
        <v>8</v>
      </c>
      <c r="O179" s="103">
        <v>0</v>
      </c>
      <c r="P179" s="104">
        <v>3</v>
      </c>
      <c r="Q179" s="105">
        <v>1</v>
      </c>
      <c r="R179" s="105">
        <v>0</v>
      </c>
      <c r="S179" s="106" t="s">
        <v>14</v>
      </c>
      <c r="T179" s="107">
        <v>1</v>
      </c>
      <c r="U179" s="103" t="s">
        <v>1192</v>
      </c>
      <c r="V179" s="31" t="s">
        <v>45</v>
      </c>
      <c r="W179" s="30"/>
    </row>
    <row r="180" spans="1:23" ht="30" x14ac:dyDescent="0.2">
      <c r="A180" s="100" t="s">
        <v>130</v>
      </c>
      <c r="B180" s="101" t="s">
        <v>1970</v>
      </c>
      <c r="C180" s="164">
        <v>602861</v>
      </c>
      <c r="D180" s="101" t="s">
        <v>1779</v>
      </c>
      <c r="E180" s="101" t="s">
        <v>44</v>
      </c>
      <c r="F180" s="101" t="s">
        <v>204</v>
      </c>
      <c r="G180" s="101" t="s">
        <v>45</v>
      </c>
      <c r="H180" s="101" t="s">
        <v>204</v>
      </c>
      <c r="I180" s="130" t="s">
        <v>199</v>
      </c>
      <c r="J180" s="100" t="s">
        <v>44</v>
      </c>
      <c r="K180" s="101" t="s">
        <v>44</v>
      </c>
      <c r="L180" s="102" t="s">
        <v>44</v>
      </c>
      <c r="M180" s="131" t="s">
        <v>7</v>
      </c>
      <c r="N180" s="103" t="s">
        <v>8</v>
      </c>
      <c r="O180" s="103">
        <v>0</v>
      </c>
      <c r="P180" s="104">
        <v>3</v>
      </c>
      <c r="Q180" s="105">
        <v>0</v>
      </c>
      <c r="R180" s="105">
        <v>1</v>
      </c>
      <c r="S180" s="106" t="s">
        <v>26</v>
      </c>
      <c r="T180" s="107" t="s">
        <v>206</v>
      </c>
      <c r="U180" s="103" t="s">
        <v>1224</v>
      </c>
      <c r="V180" s="22" t="s">
        <v>874</v>
      </c>
      <c r="W180" s="30"/>
    </row>
    <row r="181" spans="1:23" ht="45" x14ac:dyDescent="0.2">
      <c r="A181" s="100" t="s">
        <v>139</v>
      </c>
      <c r="B181" s="101" t="s">
        <v>1971</v>
      </c>
      <c r="C181" s="164">
        <v>602743</v>
      </c>
      <c r="D181" s="101" t="s">
        <v>782</v>
      </c>
      <c r="E181" s="101" t="s">
        <v>44</v>
      </c>
      <c r="F181" s="101" t="s">
        <v>204</v>
      </c>
      <c r="G181" s="101" t="s">
        <v>45</v>
      </c>
      <c r="H181" s="101" t="s">
        <v>204</v>
      </c>
      <c r="I181" s="130" t="s">
        <v>199</v>
      </c>
      <c r="J181" s="100" t="s">
        <v>44</v>
      </c>
      <c r="K181" s="101" t="s">
        <v>44</v>
      </c>
      <c r="L181" s="102" t="s">
        <v>44</v>
      </c>
      <c r="M181" s="131" t="s">
        <v>18</v>
      </c>
      <c r="N181" s="103" t="s">
        <v>8</v>
      </c>
      <c r="O181" s="103">
        <v>0</v>
      </c>
      <c r="P181" s="104">
        <v>12</v>
      </c>
      <c r="Q181" s="105">
        <v>1</v>
      </c>
      <c r="R181" s="105">
        <v>0</v>
      </c>
      <c r="S181" s="106" t="s">
        <v>14</v>
      </c>
      <c r="T181" s="107">
        <v>1</v>
      </c>
      <c r="U181" s="103" t="s">
        <v>828</v>
      </c>
      <c r="V181" s="31" t="s">
        <v>45</v>
      </c>
      <c r="W181" s="30"/>
    </row>
    <row r="182" spans="1:23" ht="60" x14ac:dyDescent="0.2">
      <c r="A182" s="100" t="s">
        <v>155</v>
      </c>
      <c r="B182" s="101" t="s">
        <v>1972</v>
      </c>
      <c r="C182" s="164">
        <v>180901</v>
      </c>
      <c r="D182" s="101" t="s">
        <v>783</v>
      </c>
      <c r="E182" s="101" t="s">
        <v>44</v>
      </c>
      <c r="F182" s="101" t="s">
        <v>204</v>
      </c>
      <c r="G182" s="101" t="s">
        <v>45</v>
      </c>
      <c r="H182" s="101" t="s">
        <v>204</v>
      </c>
      <c r="I182" s="130" t="s">
        <v>199</v>
      </c>
      <c r="J182" s="100" t="s">
        <v>44</v>
      </c>
      <c r="K182" s="101" t="s">
        <v>44</v>
      </c>
      <c r="L182" s="102" t="s">
        <v>44</v>
      </c>
      <c r="M182" s="131" t="s">
        <v>18</v>
      </c>
      <c r="N182" s="103" t="s">
        <v>8</v>
      </c>
      <c r="O182" s="103">
        <v>0</v>
      </c>
      <c r="P182" s="104">
        <v>24</v>
      </c>
      <c r="Q182" s="105">
        <v>0.75</v>
      </c>
      <c r="R182" s="105">
        <v>0.25</v>
      </c>
      <c r="S182" s="106">
        <f>Q182/R182</f>
        <v>3</v>
      </c>
      <c r="T182" s="107">
        <v>1</v>
      </c>
      <c r="U182" s="103" t="s">
        <v>1213</v>
      </c>
      <c r="V182" s="125" t="s">
        <v>1214</v>
      </c>
      <c r="W182" s="30"/>
    </row>
    <row r="183" spans="1:23" ht="90" x14ac:dyDescent="0.2">
      <c r="A183" s="100" t="s">
        <v>156</v>
      </c>
      <c r="B183" s="167" t="s">
        <v>1973</v>
      </c>
      <c r="C183" s="164">
        <v>180902</v>
      </c>
      <c r="D183" s="101" t="s">
        <v>784</v>
      </c>
      <c r="E183" s="101" t="s">
        <v>44</v>
      </c>
      <c r="F183" s="101" t="s">
        <v>204</v>
      </c>
      <c r="G183" s="101" t="s">
        <v>45</v>
      </c>
      <c r="H183" s="101" t="s">
        <v>204</v>
      </c>
      <c r="I183" s="130" t="s">
        <v>199</v>
      </c>
      <c r="J183" s="100" t="s">
        <v>44</v>
      </c>
      <c r="K183" s="101" t="s">
        <v>44</v>
      </c>
      <c r="L183" s="102" t="s">
        <v>44</v>
      </c>
      <c r="M183" s="131" t="s">
        <v>18</v>
      </c>
      <c r="N183" s="103" t="s">
        <v>8</v>
      </c>
      <c r="O183" s="103">
        <v>0</v>
      </c>
      <c r="P183" s="104">
        <v>13</v>
      </c>
      <c r="Q183" s="105">
        <v>1</v>
      </c>
      <c r="R183" s="105">
        <v>0</v>
      </c>
      <c r="S183" s="106" t="s">
        <v>14</v>
      </c>
      <c r="T183" s="107">
        <v>1</v>
      </c>
      <c r="U183" s="103" t="s">
        <v>1225</v>
      </c>
      <c r="V183" s="123" t="s">
        <v>870</v>
      </c>
      <c r="W183" s="30"/>
    </row>
    <row r="184" spans="1:23" ht="45" x14ac:dyDescent="0.2">
      <c r="A184" s="100" t="s">
        <v>158</v>
      </c>
      <c r="B184" s="101" t="s">
        <v>1974</v>
      </c>
      <c r="C184" s="164">
        <v>600163</v>
      </c>
      <c r="D184" s="101" t="s">
        <v>1750</v>
      </c>
      <c r="E184" s="101" t="s">
        <v>44</v>
      </c>
      <c r="F184" s="101" t="s">
        <v>204</v>
      </c>
      <c r="G184" s="101" t="s">
        <v>45</v>
      </c>
      <c r="H184" s="101" t="s">
        <v>204</v>
      </c>
      <c r="I184" s="130" t="s">
        <v>199</v>
      </c>
      <c r="J184" s="100" t="s">
        <v>44</v>
      </c>
      <c r="K184" s="101" t="s">
        <v>44</v>
      </c>
      <c r="L184" s="102" t="s">
        <v>44</v>
      </c>
      <c r="M184" s="131" t="s">
        <v>1751</v>
      </c>
      <c r="N184" s="103" t="s">
        <v>8</v>
      </c>
      <c r="O184" s="103">
        <v>0</v>
      </c>
      <c r="P184" s="104">
        <v>73</v>
      </c>
      <c r="Q184" s="105">
        <v>0.87671232876712324</v>
      </c>
      <c r="R184" s="105">
        <v>0.12328767123287671</v>
      </c>
      <c r="S184" s="106">
        <f>Q184/R184</f>
        <v>7.1111111111111107</v>
      </c>
      <c r="T184" s="107">
        <v>1</v>
      </c>
      <c r="U184" s="103" t="s">
        <v>1171</v>
      </c>
      <c r="V184" s="22" t="s">
        <v>870</v>
      </c>
      <c r="W184" s="30"/>
    </row>
    <row r="185" spans="1:23" ht="30" x14ac:dyDescent="0.2">
      <c r="A185" s="100" t="s">
        <v>168</v>
      </c>
      <c r="B185" s="101" t="s">
        <v>1975</v>
      </c>
      <c r="C185" s="164">
        <v>603109</v>
      </c>
      <c r="D185" s="101" t="s">
        <v>785</v>
      </c>
      <c r="E185" s="101" t="s">
        <v>44</v>
      </c>
      <c r="F185" s="101" t="s">
        <v>204</v>
      </c>
      <c r="G185" s="101" t="s">
        <v>45</v>
      </c>
      <c r="H185" s="101" t="s">
        <v>204</v>
      </c>
      <c r="I185" s="130" t="s">
        <v>199</v>
      </c>
      <c r="J185" s="100" t="s">
        <v>44</v>
      </c>
      <c r="K185" s="101" t="s">
        <v>44</v>
      </c>
      <c r="L185" s="102" t="s">
        <v>44</v>
      </c>
      <c r="M185" s="131" t="s">
        <v>7</v>
      </c>
      <c r="N185" s="103" t="s">
        <v>8</v>
      </c>
      <c r="O185" s="103">
        <v>0</v>
      </c>
      <c r="P185" s="104">
        <v>10</v>
      </c>
      <c r="Q185" s="105">
        <v>0.6</v>
      </c>
      <c r="R185" s="105">
        <v>0.4</v>
      </c>
      <c r="S185" s="106">
        <f>Q185/R185</f>
        <v>1.4999999999999998</v>
      </c>
      <c r="T185" s="107">
        <v>1</v>
      </c>
      <c r="U185" s="103" t="s">
        <v>1200</v>
      </c>
      <c r="V185" s="34" t="s">
        <v>45</v>
      </c>
      <c r="W185" s="35"/>
    </row>
    <row r="186" spans="1:23" ht="30" x14ac:dyDescent="0.2">
      <c r="A186" s="100" t="s">
        <v>179</v>
      </c>
      <c r="B186" s="167" t="s">
        <v>1976</v>
      </c>
      <c r="C186" s="164">
        <v>190182</v>
      </c>
      <c r="D186" s="101" t="s">
        <v>786</v>
      </c>
      <c r="E186" s="101" t="s">
        <v>44</v>
      </c>
      <c r="F186" s="101" t="s">
        <v>204</v>
      </c>
      <c r="G186" s="101" t="s">
        <v>45</v>
      </c>
      <c r="H186" s="101" t="s">
        <v>204</v>
      </c>
      <c r="I186" s="130" t="s">
        <v>199</v>
      </c>
      <c r="J186" s="100" t="s">
        <v>44</v>
      </c>
      <c r="K186" s="101" t="s">
        <v>44</v>
      </c>
      <c r="L186" s="102" t="s">
        <v>44</v>
      </c>
      <c r="M186" s="131" t="s">
        <v>7</v>
      </c>
      <c r="N186" s="103" t="s">
        <v>8</v>
      </c>
      <c r="O186" s="103">
        <v>0</v>
      </c>
      <c r="P186" s="104">
        <v>18</v>
      </c>
      <c r="Q186" s="105">
        <f>17/18</f>
        <v>0.94444444444444442</v>
      </c>
      <c r="R186" s="105">
        <f>1/18</f>
        <v>5.5555555555555552E-2</v>
      </c>
      <c r="S186" s="106">
        <f>Q186/R186</f>
        <v>17</v>
      </c>
      <c r="T186" s="107">
        <v>1</v>
      </c>
      <c r="U186" s="103" t="s">
        <v>1198</v>
      </c>
      <c r="V186" s="36" t="s">
        <v>45</v>
      </c>
      <c r="W186" s="37"/>
    </row>
    <row r="187" spans="1:23" ht="30" x14ac:dyDescent="0.2">
      <c r="A187" s="100" t="s">
        <v>181</v>
      </c>
      <c r="B187" s="167" t="s">
        <v>1977</v>
      </c>
      <c r="C187" s="164">
        <v>612048</v>
      </c>
      <c r="D187" s="101" t="s">
        <v>787</v>
      </c>
      <c r="E187" s="101" t="s">
        <v>44</v>
      </c>
      <c r="F187" s="101" t="s">
        <v>204</v>
      </c>
      <c r="G187" s="101" t="s">
        <v>45</v>
      </c>
      <c r="H187" s="101" t="s">
        <v>204</v>
      </c>
      <c r="I187" s="130" t="s">
        <v>199</v>
      </c>
      <c r="J187" s="100" t="s">
        <v>44</v>
      </c>
      <c r="K187" s="101" t="s">
        <v>44</v>
      </c>
      <c r="L187" s="102" t="s">
        <v>44</v>
      </c>
      <c r="M187" s="131" t="s">
        <v>7</v>
      </c>
      <c r="N187" s="103" t="s">
        <v>8</v>
      </c>
      <c r="O187" s="103">
        <v>0</v>
      </c>
      <c r="P187" s="104">
        <v>5</v>
      </c>
      <c r="Q187" s="105">
        <v>1</v>
      </c>
      <c r="R187" s="105">
        <v>0</v>
      </c>
      <c r="S187" s="106" t="s">
        <v>14</v>
      </c>
      <c r="T187" s="107" t="s">
        <v>206</v>
      </c>
      <c r="U187" s="103" t="s">
        <v>828</v>
      </c>
      <c r="V187" s="22" t="s">
        <v>873</v>
      </c>
      <c r="W187" s="35"/>
    </row>
    <row r="188" spans="1:23" ht="30" x14ac:dyDescent="0.2">
      <c r="A188" s="100" t="s">
        <v>182</v>
      </c>
      <c r="B188" s="164" t="s">
        <v>1978</v>
      </c>
      <c r="C188" s="164">
        <v>191044</v>
      </c>
      <c r="D188" s="101" t="s">
        <v>776</v>
      </c>
      <c r="E188" s="101" t="s">
        <v>44</v>
      </c>
      <c r="F188" s="101" t="s">
        <v>204</v>
      </c>
      <c r="G188" s="101" t="s">
        <v>45</v>
      </c>
      <c r="H188" s="101" t="s">
        <v>204</v>
      </c>
      <c r="I188" s="130" t="s">
        <v>199</v>
      </c>
      <c r="J188" s="100" t="s">
        <v>44</v>
      </c>
      <c r="K188" s="101" t="s">
        <v>44</v>
      </c>
      <c r="L188" s="102" t="s">
        <v>44</v>
      </c>
      <c r="M188" s="131" t="s">
        <v>7</v>
      </c>
      <c r="N188" s="103" t="s">
        <v>8</v>
      </c>
      <c r="O188" s="103">
        <v>0</v>
      </c>
      <c r="P188" s="104">
        <v>13</v>
      </c>
      <c r="Q188" s="105">
        <v>1</v>
      </c>
      <c r="R188" s="105">
        <v>0</v>
      </c>
      <c r="S188" s="106" t="s">
        <v>14</v>
      </c>
      <c r="T188" s="107">
        <v>1</v>
      </c>
      <c r="U188" s="103" t="s">
        <v>1171</v>
      </c>
      <c r="V188" s="32" t="s">
        <v>45</v>
      </c>
    </row>
    <row r="189" spans="1:23" ht="30" x14ac:dyDescent="0.2">
      <c r="A189" s="100" t="s">
        <v>183</v>
      </c>
      <c r="B189" s="101" t="s">
        <v>1979</v>
      </c>
      <c r="C189" s="164">
        <v>191045</v>
      </c>
      <c r="D189" s="101" t="s">
        <v>777</v>
      </c>
      <c r="E189" s="101" t="s">
        <v>44</v>
      </c>
      <c r="F189" s="101" t="s">
        <v>204</v>
      </c>
      <c r="G189" s="101" t="s">
        <v>45</v>
      </c>
      <c r="H189" s="101" t="s">
        <v>204</v>
      </c>
      <c r="I189" s="130" t="s">
        <v>199</v>
      </c>
      <c r="J189" s="100" t="s">
        <v>44</v>
      </c>
      <c r="K189" s="101" t="s">
        <v>44</v>
      </c>
      <c r="L189" s="102" t="s">
        <v>44</v>
      </c>
      <c r="M189" s="131" t="s">
        <v>7</v>
      </c>
      <c r="N189" s="103" t="s">
        <v>8</v>
      </c>
      <c r="O189" s="103">
        <v>0</v>
      </c>
      <c r="P189" s="104">
        <v>12</v>
      </c>
      <c r="Q189" s="105">
        <v>0.91666666666666663</v>
      </c>
      <c r="R189" s="105">
        <v>8.3333333333333329E-2</v>
      </c>
      <c r="S189" s="106">
        <f>Q189/R189</f>
        <v>11</v>
      </c>
      <c r="T189" s="107">
        <v>1</v>
      </c>
      <c r="U189" s="103" t="s">
        <v>1171</v>
      </c>
      <c r="V189" s="32" t="s">
        <v>45</v>
      </c>
    </row>
    <row r="190" spans="1:23" ht="31" thickBot="1" x14ac:dyDescent="0.25">
      <c r="A190" s="110" t="s">
        <v>186</v>
      </c>
      <c r="B190" s="166" t="s">
        <v>1980</v>
      </c>
      <c r="C190" s="166">
        <v>191010</v>
      </c>
      <c r="D190" s="111" t="s">
        <v>778</v>
      </c>
      <c r="E190" s="111" t="s">
        <v>44</v>
      </c>
      <c r="F190" s="111" t="s">
        <v>204</v>
      </c>
      <c r="G190" s="111" t="s">
        <v>45</v>
      </c>
      <c r="H190" s="111" t="s">
        <v>204</v>
      </c>
      <c r="I190" s="151" t="s">
        <v>199</v>
      </c>
      <c r="J190" s="110" t="s">
        <v>44</v>
      </c>
      <c r="K190" s="111" t="s">
        <v>44</v>
      </c>
      <c r="L190" s="112" t="s">
        <v>44</v>
      </c>
      <c r="M190" s="132" t="s">
        <v>7</v>
      </c>
      <c r="N190" s="113" t="s">
        <v>8</v>
      </c>
      <c r="O190" s="113">
        <v>0</v>
      </c>
      <c r="P190" s="114">
        <v>15</v>
      </c>
      <c r="Q190" s="115">
        <v>1</v>
      </c>
      <c r="R190" s="115">
        <v>0</v>
      </c>
      <c r="S190" s="116" t="s">
        <v>14</v>
      </c>
      <c r="T190" s="117">
        <v>1</v>
      </c>
      <c r="U190" s="113" t="s">
        <v>1171</v>
      </c>
      <c r="V190" s="38" t="s">
        <v>45</v>
      </c>
    </row>
    <row r="191" spans="1:23" x14ac:dyDescent="0.2">
      <c r="A191" s="10" t="s">
        <v>578</v>
      </c>
      <c r="B191" s="10"/>
      <c r="C191" s="10"/>
      <c r="J191" s="10"/>
      <c r="K191" s="10"/>
      <c r="L191" s="10"/>
    </row>
    <row r="192" spans="1:23" ht="16" thickBot="1" x14ac:dyDescent="0.25">
      <c r="P192" s="5">
        <f>SUM(P4:P190)</f>
        <v>5382</v>
      </c>
    </row>
    <row r="193" spans="1:23" x14ac:dyDescent="0.2">
      <c r="A193" s="118"/>
      <c r="B193" s="9"/>
      <c r="C193" s="9"/>
      <c r="J193" s="9"/>
      <c r="K193" s="9"/>
      <c r="L193" s="9"/>
      <c r="P193" s="39"/>
      <c r="Q193" s="119"/>
      <c r="R193" s="119"/>
      <c r="S193" s="120"/>
      <c r="V193" s="40"/>
      <c r="W193" s="30"/>
    </row>
    <row r="194" spans="1:23" x14ac:dyDescent="0.2">
      <c r="A194" s="121"/>
      <c r="B194" s="9"/>
      <c r="C194" s="9"/>
      <c r="J194" s="9"/>
      <c r="K194" s="9"/>
      <c r="L194" s="9"/>
      <c r="P194" s="39"/>
      <c r="Q194" s="119"/>
      <c r="R194" s="119"/>
      <c r="S194" s="120"/>
      <c r="V194" s="40"/>
      <c r="W194" s="30"/>
    </row>
    <row r="195" spans="1:23" x14ac:dyDescent="0.2">
      <c r="A195" s="121"/>
      <c r="B195" s="9"/>
      <c r="C195" s="9"/>
      <c r="J195" s="9"/>
      <c r="K195" s="9"/>
      <c r="L195" s="9"/>
      <c r="P195" s="39"/>
      <c r="Q195" s="119"/>
      <c r="R195" s="119"/>
      <c r="S195" s="120"/>
      <c r="V195" s="40"/>
      <c r="W195" s="30"/>
    </row>
    <row r="196" spans="1:23" x14ac:dyDescent="0.2">
      <c r="A196" s="121"/>
      <c r="B196" s="9"/>
      <c r="C196" s="9"/>
      <c r="J196" s="9"/>
      <c r="K196" s="9"/>
      <c r="L196" s="9"/>
      <c r="P196" s="39"/>
      <c r="Q196" s="119"/>
      <c r="R196" s="119"/>
      <c r="S196" s="120"/>
      <c r="V196" s="40"/>
      <c r="W196" s="30"/>
    </row>
    <row r="197" spans="1:23" x14ac:dyDescent="0.2">
      <c r="A197" s="121"/>
      <c r="B197" s="9"/>
      <c r="C197" s="9"/>
      <c r="J197" s="9"/>
      <c r="K197" s="9"/>
      <c r="L197" s="9"/>
      <c r="P197" s="39"/>
      <c r="Q197" s="119"/>
      <c r="R197" s="119"/>
      <c r="S197" s="120"/>
      <c r="V197" s="40"/>
      <c r="W197" s="30"/>
    </row>
    <row r="198" spans="1:23" x14ac:dyDescent="0.2">
      <c r="A198" s="121"/>
      <c r="B198" s="9"/>
      <c r="C198" s="9"/>
      <c r="J198" s="9"/>
      <c r="K198" s="9"/>
      <c r="L198" s="9"/>
      <c r="P198" s="39"/>
      <c r="Q198" s="119"/>
      <c r="R198" s="119"/>
      <c r="S198" s="120"/>
      <c r="V198" s="37"/>
      <c r="W198" s="37"/>
    </row>
    <row r="199" spans="1:23" x14ac:dyDescent="0.2">
      <c r="A199" s="121"/>
      <c r="B199" s="9"/>
      <c r="C199" s="9"/>
      <c r="J199" s="9"/>
      <c r="K199" s="9"/>
      <c r="L199" s="9"/>
    </row>
    <row r="200" spans="1:23" x14ac:dyDescent="0.2">
      <c r="A200" s="121"/>
      <c r="B200" s="9"/>
      <c r="C200" s="9"/>
      <c r="J200" s="9"/>
      <c r="K200" s="9"/>
      <c r="L200" s="9"/>
    </row>
    <row r="201" spans="1:23" x14ac:dyDescent="0.2">
      <c r="A201" s="121"/>
      <c r="B201" s="9"/>
      <c r="C201" s="9"/>
      <c r="J201" s="9"/>
      <c r="K201" s="9"/>
      <c r="L201" s="9"/>
    </row>
    <row r="202" spans="1:23" x14ac:dyDescent="0.2">
      <c r="A202" s="121"/>
      <c r="B202" s="9"/>
      <c r="C202" s="9"/>
      <c r="J202" s="9"/>
      <c r="K202" s="9"/>
      <c r="L202" s="9"/>
    </row>
    <row r="203" spans="1:23" x14ac:dyDescent="0.2">
      <c r="A203" s="121"/>
      <c r="B203" s="9"/>
      <c r="C203" s="9"/>
      <c r="J203" s="9"/>
      <c r="K203" s="9"/>
      <c r="L203" s="9"/>
    </row>
    <row r="204" spans="1:23" x14ac:dyDescent="0.2">
      <c r="A204" s="121"/>
      <c r="B204" s="9"/>
      <c r="C204" s="9"/>
      <c r="J204" s="9"/>
      <c r="K204" s="9"/>
      <c r="L204" s="9"/>
    </row>
    <row r="205" spans="1:23" x14ac:dyDescent="0.2">
      <c r="A205" s="121"/>
      <c r="B205" s="9"/>
      <c r="C205" s="9"/>
      <c r="J205" s="9"/>
      <c r="K205" s="9"/>
      <c r="L205" s="9"/>
    </row>
    <row r="206" spans="1:23" x14ac:dyDescent="0.2">
      <c r="A206" s="121"/>
      <c r="B206" s="9"/>
      <c r="C206" s="9"/>
      <c r="J206" s="9"/>
      <c r="K206" s="9"/>
      <c r="L206" s="9"/>
    </row>
    <row r="207" spans="1:23" x14ac:dyDescent="0.2">
      <c r="A207" s="121"/>
      <c r="B207" s="9"/>
      <c r="C207" s="9"/>
      <c r="J207" s="9"/>
      <c r="K207" s="9"/>
      <c r="L207" s="9"/>
    </row>
    <row r="208" spans="1:23" x14ac:dyDescent="0.2">
      <c r="A208" s="121"/>
      <c r="B208" s="9"/>
      <c r="C208" s="9"/>
      <c r="J208" s="9"/>
      <c r="K208" s="9"/>
      <c r="L208" s="9"/>
    </row>
    <row r="209" spans="1:12" ht="16" thickBot="1" x14ac:dyDescent="0.25">
      <c r="A209" s="122"/>
      <c r="B209" s="9"/>
      <c r="C209" s="9"/>
      <c r="J209" s="9"/>
      <c r="K209" s="9"/>
      <c r="L209" s="9"/>
    </row>
  </sheetData>
  <sortState ref="A4:AO14">
    <sortCondition ref="A4:A14"/>
  </sortState>
  <conditionalFormatting sqref="V193:V198">
    <cfRule type="duplicateValues" dxfId="17" priority="1277"/>
  </conditionalFormatting>
  <conditionalFormatting sqref="V191:V1048576 V1 A210:C1048576 A1:C4 A5:B5 A6:A192 C6:C192 B6:B16 B21 B26 B31 B40 B53 B62 B72 B79 B96 B102 B118 B147 B158:B160 B188 B190:B192">
    <cfRule type="duplicateValues" dxfId="16" priority="1278"/>
  </conditionalFormatting>
  <conditionalFormatting sqref="A210:C1048576 A1:C4 A5:B5 A6:A192 C6:C192 B6:B16 B21 B26 B31 B40 B53 B62 B72 B79 B96 B102 B118 B147 B158:B160 B188 B190:B192">
    <cfRule type="duplicateValues" dxfId="15" priority="1304"/>
  </conditionalFormatting>
  <conditionalFormatting sqref="A193:C209 A63:A71 C63:C71">
    <cfRule type="duplicateValues" dxfId="14" priority="1308"/>
  </conditionalFormatting>
  <conditionalFormatting sqref="A1:C4 A5:B5 A6:A1048576 C6:C1048576 B6:B16 B21 B26 B31 B40 B53 B62 B72 B79 B96 B102 B118 B147 B158:B160 B188 B190:B1048576">
    <cfRule type="duplicateValues" dxfId="13" priority="1310"/>
  </conditionalFormatting>
  <hyperlinks>
    <hyperlink ref="V89" r:id="rId1" xr:uid="{00000000-0004-0000-0000-000000000000}"/>
    <hyperlink ref="V92" r:id="rId2" xr:uid="{00000000-0004-0000-0000-000001000000}"/>
    <hyperlink ref="V43" r:id="rId3" xr:uid="{00000000-0004-0000-0000-000002000000}"/>
    <hyperlink ref="V44" r:id="rId4" xr:uid="{00000000-0004-0000-0000-000003000000}"/>
    <hyperlink ref="V45" r:id="rId5" xr:uid="{00000000-0004-0000-0000-000004000000}"/>
    <hyperlink ref="V47" r:id="rId6" xr:uid="{00000000-0004-0000-0000-000005000000}"/>
    <hyperlink ref="V85" r:id="rId7" xr:uid="{00000000-0004-0000-0000-000006000000}"/>
    <hyperlink ref="V86" r:id="rId8" xr:uid="{00000000-0004-0000-0000-000007000000}"/>
    <hyperlink ref="V124" r:id="rId9" location="dkc1" xr:uid="{00000000-0004-0000-0000-000008000000}"/>
    <hyperlink ref="V111" r:id="rId10" location="tert" xr:uid="{00000000-0004-0000-0000-000009000000}"/>
    <hyperlink ref="V169" r:id="rId11" xr:uid="{00000000-0004-0000-0000-00000A000000}"/>
    <hyperlink ref="V170" r:id="rId12" xr:uid="{00000000-0004-0000-0000-00000B000000}"/>
    <hyperlink ref="V183" r:id="rId13" xr:uid="{00000000-0004-0000-0000-00000C000000}"/>
    <hyperlink ref="V184" r:id="rId14" xr:uid="{00000000-0004-0000-0000-00000D000000}"/>
    <hyperlink ref="V106" r:id="rId15" xr:uid="{00000000-0004-0000-0000-00000E000000}"/>
    <hyperlink ref="V108" r:id="rId16" xr:uid="{00000000-0004-0000-0000-00000F000000}"/>
    <hyperlink ref="V187" r:id="rId17" xr:uid="{00000000-0004-0000-0000-000010000000}"/>
    <hyperlink ref="V164" r:id="rId18" xr:uid="{00000000-0004-0000-0000-000011000000}"/>
    <hyperlink ref="V180" r:id="rId19" xr:uid="{00000000-0004-0000-0000-000012000000}"/>
    <hyperlink ref="V122" r:id="rId20" xr:uid="{00000000-0004-0000-0000-000013000000}"/>
    <hyperlink ref="V155" r:id="rId21" xr:uid="{00000000-0004-0000-0000-000014000000}"/>
    <hyperlink ref="V74" r:id="rId22" xr:uid="{00000000-0004-0000-0000-000015000000}"/>
    <hyperlink ref="V182" r:id="rId23" xr:uid="{00000000-0004-0000-0000-000016000000}"/>
    <hyperlink ref="V166" r:id="rId24" xr:uid="{00000000-0004-0000-0000-000017000000}"/>
    <hyperlink ref="V4" r:id="rId25" xr:uid="{00000000-0004-0000-0000-000018000000}"/>
    <hyperlink ref="V5" r:id="rId26" xr:uid="{00000000-0004-0000-0000-000019000000}"/>
    <hyperlink ref="V73" r:id="rId27" xr:uid="{00000000-0004-0000-0000-00001A000000}"/>
    <hyperlink ref="V141" r:id="rId28" xr:uid="{00000000-0004-0000-0000-00001B000000}"/>
    <hyperlink ref="V113" r:id="rId29" xr:uid="{00000000-0004-0000-0000-00001C000000}"/>
    <hyperlink ref="V130" r:id="rId30" xr:uid="{00000000-0004-0000-0000-00001D000000}"/>
    <hyperlink ref="V7" r:id="rId31" xr:uid="{00000000-0004-0000-0000-00001E000000}"/>
  </hyperlinks>
  <pageMargins left="0.7" right="0.7" top="0.75" bottom="0.75" header="0.3" footer="0.3"/>
  <pageSetup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4" zoomScaleNormal="100" workbookViewId="0"/>
  </sheetViews>
  <sheetFormatPr baseColWidth="10" defaultColWidth="9.1640625" defaultRowHeight="14" x14ac:dyDescent="0.2"/>
  <cols>
    <col min="1" max="1" width="7.83203125" style="5" customWidth="1"/>
    <col min="2" max="2" width="47" style="5" customWidth="1"/>
    <col min="3" max="3" width="33.5" style="5" customWidth="1"/>
    <col min="4" max="4" width="35" style="5" customWidth="1"/>
    <col min="5" max="5" width="47.83203125" style="5" customWidth="1"/>
    <col min="6" max="16384" width="9.1640625" style="5"/>
  </cols>
  <sheetData>
    <row r="1" spans="1:5" s="10" customFormat="1" x14ac:dyDescent="0.2">
      <c r="A1" s="20" t="s">
        <v>1499</v>
      </c>
    </row>
    <row r="2" spans="1:5" ht="31" thickBot="1" x14ac:dyDescent="0.25">
      <c r="A2" s="11" t="s">
        <v>208</v>
      </c>
      <c r="B2" s="11" t="s">
        <v>574</v>
      </c>
      <c r="C2" s="11" t="s">
        <v>848</v>
      </c>
      <c r="D2" s="11" t="s">
        <v>846</v>
      </c>
      <c r="E2" s="12" t="s">
        <v>847</v>
      </c>
    </row>
    <row r="3" spans="1:5" ht="91" thickBot="1" x14ac:dyDescent="0.25">
      <c r="A3" s="13" t="s">
        <v>4</v>
      </c>
      <c r="B3" s="14" t="s">
        <v>575</v>
      </c>
      <c r="C3" s="14" t="s">
        <v>852</v>
      </c>
      <c r="D3" s="14" t="s">
        <v>1483</v>
      </c>
      <c r="E3" s="15" t="s">
        <v>849</v>
      </c>
    </row>
    <row r="4" spans="1:5" ht="31" thickBot="1" x14ac:dyDescent="0.25">
      <c r="A4" s="13" t="s">
        <v>233</v>
      </c>
      <c r="B4" s="14" t="s">
        <v>234</v>
      </c>
      <c r="C4" s="14" t="s">
        <v>1143</v>
      </c>
      <c r="D4" s="14" t="s">
        <v>1145</v>
      </c>
      <c r="E4" s="15" t="s">
        <v>1144</v>
      </c>
    </row>
    <row r="5" spans="1:5" ht="61" thickBot="1" x14ac:dyDescent="0.25">
      <c r="A5" s="16" t="s">
        <v>213</v>
      </c>
      <c r="B5" s="184" t="s">
        <v>214</v>
      </c>
      <c r="C5" s="184" t="s">
        <v>1143</v>
      </c>
      <c r="D5" s="184" t="s">
        <v>576</v>
      </c>
      <c r="E5" s="182" t="s">
        <v>1335</v>
      </c>
    </row>
    <row r="6" spans="1:5" ht="45" x14ac:dyDescent="0.2">
      <c r="A6" s="16" t="s">
        <v>242</v>
      </c>
      <c r="B6" s="184" t="s">
        <v>243</v>
      </c>
      <c r="C6" s="197" t="s">
        <v>1484</v>
      </c>
      <c r="D6" s="197" t="s">
        <v>1140</v>
      </c>
      <c r="E6" s="195" t="s">
        <v>1485</v>
      </c>
    </row>
    <row r="7" spans="1:5" ht="31" thickBot="1" x14ac:dyDescent="0.25">
      <c r="A7" s="17" t="s">
        <v>211</v>
      </c>
      <c r="B7" s="185" t="s">
        <v>212</v>
      </c>
      <c r="C7" s="198"/>
      <c r="D7" s="198"/>
      <c r="E7" s="196"/>
    </row>
    <row r="8" spans="1:5" ht="31" thickBot="1" x14ac:dyDescent="0.25">
      <c r="A8" s="13" t="s">
        <v>246</v>
      </c>
      <c r="B8" s="14" t="s">
        <v>247</v>
      </c>
      <c r="C8" s="14" t="s">
        <v>1741</v>
      </c>
      <c r="D8" s="14" t="s">
        <v>1742</v>
      </c>
      <c r="E8" s="15" t="s">
        <v>1743</v>
      </c>
    </row>
    <row r="9" spans="1:5" ht="30" x14ac:dyDescent="0.2">
      <c r="A9" s="16" t="s">
        <v>235</v>
      </c>
      <c r="B9" s="184" t="s">
        <v>236</v>
      </c>
      <c r="C9" s="197" t="s">
        <v>851</v>
      </c>
      <c r="D9" s="197" t="s">
        <v>1473</v>
      </c>
      <c r="E9" s="195" t="s">
        <v>850</v>
      </c>
    </row>
    <row r="10" spans="1:5" ht="31" thickBot="1" x14ac:dyDescent="0.25">
      <c r="A10" s="17" t="s">
        <v>215</v>
      </c>
      <c r="B10" s="185" t="s">
        <v>216</v>
      </c>
      <c r="C10" s="198"/>
      <c r="D10" s="198"/>
      <c r="E10" s="196"/>
    </row>
    <row r="11" spans="1:5" ht="61" thickBot="1" x14ac:dyDescent="0.25">
      <c r="A11" s="13" t="s">
        <v>230</v>
      </c>
      <c r="B11" s="14" t="s">
        <v>231</v>
      </c>
      <c r="C11" s="14" t="s">
        <v>854</v>
      </c>
      <c r="D11" s="14" t="s">
        <v>1786</v>
      </c>
      <c r="E11" s="15" t="s">
        <v>855</v>
      </c>
    </row>
    <row r="12" spans="1:5" ht="45" x14ac:dyDescent="0.2">
      <c r="A12" s="16" t="s">
        <v>250</v>
      </c>
      <c r="B12" s="184" t="s">
        <v>251</v>
      </c>
      <c r="C12" s="184" t="s">
        <v>856</v>
      </c>
      <c r="D12" s="197" t="s">
        <v>1486</v>
      </c>
      <c r="E12" s="182" t="s">
        <v>857</v>
      </c>
    </row>
    <row r="13" spans="1:5" ht="46" thickBot="1" x14ac:dyDescent="0.25">
      <c r="A13" s="17" t="s">
        <v>237</v>
      </c>
      <c r="B13" s="185" t="s">
        <v>238</v>
      </c>
      <c r="C13" s="185" t="s">
        <v>858</v>
      </c>
      <c r="D13" s="198"/>
      <c r="E13" s="183" t="s">
        <v>859</v>
      </c>
    </row>
    <row r="14" spans="1:5" ht="45" x14ac:dyDescent="0.2">
      <c r="A14" s="16" t="s">
        <v>254</v>
      </c>
      <c r="B14" s="184" t="s">
        <v>255</v>
      </c>
      <c r="C14" s="197" t="s">
        <v>1135</v>
      </c>
      <c r="D14" s="197" t="s">
        <v>1787</v>
      </c>
      <c r="E14" s="195" t="s">
        <v>1136</v>
      </c>
    </row>
    <row r="15" spans="1:5" ht="46" thickBot="1" x14ac:dyDescent="0.25">
      <c r="A15" s="17" t="s">
        <v>227</v>
      </c>
      <c r="B15" s="185" t="s">
        <v>228</v>
      </c>
      <c r="C15" s="198"/>
      <c r="D15" s="198"/>
      <c r="E15" s="196"/>
    </row>
    <row r="16" spans="1:5" ht="46" thickBot="1" x14ac:dyDescent="0.25">
      <c r="A16" s="13" t="s">
        <v>256</v>
      </c>
      <c r="B16" s="14" t="s">
        <v>257</v>
      </c>
      <c r="C16" s="14" t="s">
        <v>1141</v>
      </c>
      <c r="D16" s="14" t="s">
        <v>1787</v>
      </c>
      <c r="E16" s="15" t="s">
        <v>1487</v>
      </c>
    </row>
    <row r="17" spans="1:5" ht="45" x14ac:dyDescent="0.2">
      <c r="A17" s="16" t="s">
        <v>5</v>
      </c>
      <c r="B17" s="184" t="s">
        <v>241</v>
      </c>
      <c r="C17" s="197" t="s">
        <v>1137</v>
      </c>
      <c r="D17" s="197" t="s">
        <v>1139</v>
      </c>
      <c r="E17" s="195" t="s">
        <v>1138</v>
      </c>
    </row>
    <row r="18" spans="1:5" ht="16" thickBot="1" x14ac:dyDescent="0.25">
      <c r="A18" s="17" t="s">
        <v>229</v>
      </c>
      <c r="B18" s="185" t="s">
        <v>259</v>
      </c>
      <c r="C18" s="198"/>
      <c r="D18" s="198"/>
      <c r="E18" s="196"/>
    </row>
    <row r="19" spans="1:5" ht="30" x14ac:dyDescent="0.2">
      <c r="A19" s="16" t="s">
        <v>248</v>
      </c>
      <c r="B19" s="184" t="s">
        <v>249</v>
      </c>
      <c r="C19" s="197" t="s">
        <v>860</v>
      </c>
      <c r="D19" s="197" t="s">
        <v>1744</v>
      </c>
      <c r="E19" s="195" t="s">
        <v>1745</v>
      </c>
    </row>
    <row r="20" spans="1:5" ht="31" thickBot="1" x14ac:dyDescent="0.25">
      <c r="A20" s="17" t="s">
        <v>221</v>
      </c>
      <c r="B20" s="185" t="s">
        <v>222</v>
      </c>
      <c r="C20" s="198"/>
      <c r="D20" s="198"/>
      <c r="E20" s="196"/>
    </row>
    <row r="21" spans="1:5" ht="45" x14ac:dyDescent="0.2">
      <c r="A21" s="16" t="s">
        <v>209</v>
      </c>
      <c r="B21" s="184" t="s">
        <v>577</v>
      </c>
      <c r="C21" s="197" t="s">
        <v>861</v>
      </c>
      <c r="D21" s="197" t="s">
        <v>853</v>
      </c>
      <c r="E21" s="195" t="s">
        <v>1746</v>
      </c>
    </row>
    <row r="22" spans="1:5" ht="15" x14ac:dyDescent="0.2">
      <c r="A22" s="18" t="s">
        <v>223</v>
      </c>
      <c r="B22" s="186" t="s">
        <v>224</v>
      </c>
      <c r="C22" s="204"/>
      <c r="D22" s="204"/>
      <c r="E22" s="203"/>
    </row>
    <row r="23" spans="1:5" ht="46" thickBot="1" x14ac:dyDescent="0.25">
      <c r="A23" s="17" t="s">
        <v>232</v>
      </c>
      <c r="B23" s="185" t="s">
        <v>1491</v>
      </c>
      <c r="C23" s="198"/>
      <c r="D23" s="198"/>
      <c r="E23" s="196"/>
    </row>
    <row r="24" spans="1:5" ht="61" thickBot="1" x14ac:dyDescent="0.25">
      <c r="A24" s="13" t="s">
        <v>225</v>
      </c>
      <c r="B24" s="14" t="s">
        <v>226</v>
      </c>
      <c r="C24" s="14" t="s">
        <v>862</v>
      </c>
      <c r="D24" s="14" t="s">
        <v>853</v>
      </c>
      <c r="E24" s="15" t="s">
        <v>1747</v>
      </c>
    </row>
    <row r="25" spans="1:5" ht="42.75" customHeight="1" x14ac:dyDescent="0.2">
      <c r="A25" s="16" t="s">
        <v>244</v>
      </c>
      <c r="B25" s="184" t="s">
        <v>245</v>
      </c>
      <c r="C25" s="197" t="s">
        <v>1788</v>
      </c>
      <c r="D25" s="197" t="s">
        <v>1488</v>
      </c>
      <c r="E25" s="195" t="s">
        <v>1789</v>
      </c>
    </row>
    <row r="26" spans="1:5" ht="74.25" customHeight="1" thickBot="1" x14ac:dyDescent="0.25">
      <c r="A26" s="17" t="s">
        <v>217</v>
      </c>
      <c r="B26" s="185" t="s">
        <v>218</v>
      </c>
      <c r="C26" s="198"/>
      <c r="D26" s="198"/>
      <c r="E26" s="196"/>
    </row>
    <row r="27" spans="1:5" ht="45" x14ac:dyDescent="0.2">
      <c r="A27" s="187" t="s">
        <v>244</v>
      </c>
      <c r="B27" s="188" t="s">
        <v>245</v>
      </c>
      <c r="C27" s="199" t="s">
        <v>1790</v>
      </c>
      <c r="D27" s="199" t="s">
        <v>1488</v>
      </c>
      <c r="E27" s="201" t="s">
        <v>1489</v>
      </c>
    </row>
    <row r="28" spans="1:5" ht="46" thickBot="1" x14ac:dyDescent="0.25">
      <c r="A28" s="189" t="s">
        <v>217</v>
      </c>
      <c r="B28" s="190" t="s">
        <v>218</v>
      </c>
      <c r="C28" s="200"/>
      <c r="D28" s="200"/>
      <c r="E28" s="202"/>
    </row>
    <row r="29" spans="1:5" ht="31" thickBot="1" x14ac:dyDescent="0.25">
      <c r="A29" s="17" t="s">
        <v>219</v>
      </c>
      <c r="B29" s="185" t="s">
        <v>220</v>
      </c>
      <c r="C29" s="185" t="s">
        <v>1143</v>
      </c>
      <c r="D29" s="185" t="s">
        <v>1334</v>
      </c>
      <c r="E29" s="183" t="s">
        <v>1490</v>
      </c>
    </row>
    <row r="30" spans="1:5" ht="30" x14ac:dyDescent="0.2">
      <c r="A30" s="16" t="s">
        <v>239</v>
      </c>
      <c r="B30" s="184" t="s">
        <v>240</v>
      </c>
      <c r="C30" s="184" t="s">
        <v>258</v>
      </c>
      <c r="D30" s="184" t="s">
        <v>258</v>
      </c>
      <c r="E30" s="182" t="s">
        <v>1142</v>
      </c>
    </row>
    <row r="31" spans="1:5" s="19" customFormat="1" ht="31" thickBot="1" x14ac:dyDescent="0.25">
      <c r="A31" s="17" t="s">
        <v>252</v>
      </c>
      <c r="B31" s="185" t="s">
        <v>253</v>
      </c>
      <c r="C31" s="185"/>
      <c r="D31" s="185"/>
      <c r="E31" s="183"/>
    </row>
    <row r="33" spans="1:5" x14ac:dyDescent="0.2">
      <c r="A33" s="19"/>
      <c r="B33" s="19"/>
      <c r="C33" s="19"/>
      <c r="D33" s="19"/>
      <c r="E33" s="19"/>
    </row>
  </sheetData>
  <mergeCells count="25">
    <mergeCell ref="E6:E7"/>
    <mergeCell ref="D6:D7"/>
    <mergeCell ref="C6:C7"/>
    <mergeCell ref="C25:C26"/>
    <mergeCell ref="D25:D26"/>
    <mergeCell ref="E25:E26"/>
    <mergeCell ref="E17:E18"/>
    <mergeCell ref="D17:D18"/>
    <mergeCell ref="C17:C18"/>
    <mergeCell ref="E21:E23"/>
    <mergeCell ref="D21:D23"/>
    <mergeCell ref="C21:C23"/>
    <mergeCell ref="D12:D13"/>
    <mergeCell ref="C9:C10"/>
    <mergeCell ref="E9:E10"/>
    <mergeCell ref="D9:D10"/>
    <mergeCell ref="E14:E15"/>
    <mergeCell ref="D14:D15"/>
    <mergeCell ref="C14:C15"/>
    <mergeCell ref="C27:C28"/>
    <mergeCell ref="D27:D28"/>
    <mergeCell ref="E27:E28"/>
    <mergeCell ref="E19:E20"/>
    <mergeCell ref="D19:D20"/>
    <mergeCell ref="C19:C20"/>
  </mergeCells>
  <conditionalFormatting sqref="A1">
    <cfRule type="duplicateValues" dxfId="12" priority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0"/>
  <sheetViews>
    <sheetView workbookViewId="0"/>
  </sheetViews>
  <sheetFormatPr baseColWidth="10" defaultColWidth="22.1640625" defaultRowHeight="14" x14ac:dyDescent="0.15"/>
  <cols>
    <col min="1" max="16384" width="22.1640625" style="6"/>
  </cols>
  <sheetData>
    <row r="1" spans="1:2" x14ac:dyDescent="0.15">
      <c r="A1" s="2" t="s">
        <v>1500</v>
      </c>
    </row>
    <row r="2" spans="1:2" x14ac:dyDescent="0.15">
      <c r="A2" s="7" t="s">
        <v>208</v>
      </c>
      <c r="B2" s="7" t="s">
        <v>260</v>
      </c>
    </row>
    <row r="3" spans="1:2" ht="15" x14ac:dyDescent="0.15">
      <c r="A3" s="8" t="s">
        <v>261</v>
      </c>
      <c r="B3" s="6" t="s">
        <v>262</v>
      </c>
    </row>
    <row r="4" spans="1:2" ht="15" x14ac:dyDescent="0.15">
      <c r="A4" s="8" t="s">
        <v>263</v>
      </c>
      <c r="B4" s="6" t="s">
        <v>262</v>
      </c>
    </row>
    <row r="5" spans="1:2" ht="15" x14ac:dyDescent="0.15">
      <c r="A5" s="8" t="s">
        <v>264</v>
      </c>
      <c r="B5" s="6" t="s">
        <v>262</v>
      </c>
    </row>
    <row r="6" spans="1:2" ht="15" x14ac:dyDescent="0.15">
      <c r="A6" s="8" t="s">
        <v>265</v>
      </c>
      <c r="B6" s="6" t="s">
        <v>262</v>
      </c>
    </row>
    <row r="7" spans="1:2" ht="15" x14ac:dyDescent="0.15">
      <c r="A7" s="8" t="s">
        <v>266</v>
      </c>
      <c r="B7" s="6" t="s">
        <v>262</v>
      </c>
    </row>
    <row r="8" spans="1:2" ht="15" x14ac:dyDescent="0.15">
      <c r="A8" s="8" t="s">
        <v>267</v>
      </c>
      <c r="B8" s="6" t="s">
        <v>262</v>
      </c>
    </row>
    <row r="9" spans="1:2" ht="15" x14ac:dyDescent="0.15">
      <c r="A9" s="8" t="s">
        <v>268</v>
      </c>
      <c r="B9" s="6" t="s">
        <v>262</v>
      </c>
    </row>
    <row r="10" spans="1:2" ht="15" x14ac:dyDescent="0.15">
      <c r="A10" s="8" t="s">
        <v>269</v>
      </c>
      <c r="B10" s="6" t="s">
        <v>262</v>
      </c>
    </row>
    <row r="11" spans="1:2" ht="15" x14ac:dyDescent="0.15">
      <c r="A11" s="8" t="s">
        <v>270</v>
      </c>
      <c r="B11" s="6" t="s">
        <v>262</v>
      </c>
    </row>
    <row r="12" spans="1:2" ht="15" x14ac:dyDescent="0.15">
      <c r="A12" s="8" t="s">
        <v>271</v>
      </c>
      <c r="B12" s="6" t="s">
        <v>262</v>
      </c>
    </row>
    <row r="13" spans="1:2" ht="15" x14ac:dyDescent="0.15">
      <c r="A13" s="8" t="s">
        <v>272</v>
      </c>
      <c r="B13" s="6" t="s">
        <v>262</v>
      </c>
    </row>
    <row r="14" spans="1:2" ht="15" x14ac:dyDescent="0.15">
      <c r="A14" s="8" t="s">
        <v>273</v>
      </c>
      <c r="B14" s="6" t="s">
        <v>262</v>
      </c>
    </row>
    <row r="15" spans="1:2" ht="15" x14ac:dyDescent="0.15">
      <c r="A15" s="8" t="s">
        <v>274</v>
      </c>
      <c r="B15" s="6" t="s">
        <v>262</v>
      </c>
    </row>
    <row r="16" spans="1:2" ht="15" x14ac:dyDescent="0.15">
      <c r="A16" s="8" t="s">
        <v>275</v>
      </c>
      <c r="B16" s="6" t="s">
        <v>262</v>
      </c>
    </row>
    <row r="17" spans="1:2" ht="15" x14ac:dyDescent="0.15">
      <c r="A17" s="8" t="s">
        <v>276</v>
      </c>
      <c r="B17" s="6" t="s">
        <v>262</v>
      </c>
    </row>
    <row r="18" spans="1:2" ht="15" x14ac:dyDescent="0.15">
      <c r="A18" s="8" t="s">
        <v>277</v>
      </c>
      <c r="B18" s="6" t="s">
        <v>262</v>
      </c>
    </row>
    <row r="19" spans="1:2" ht="15" x14ac:dyDescent="0.15">
      <c r="A19" s="8" t="s">
        <v>278</v>
      </c>
      <c r="B19" s="6" t="s">
        <v>262</v>
      </c>
    </row>
    <row r="20" spans="1:2" ht="15" x14ac:dyDescent="0.15">
      <c r="A20" s="8" t="s">
        <v>279</v>
      </c>
      <c r="B20" s="6" t="s">
        <v>262</v>
      </c>
    </row>
    <row r="21" spans="1:2" ht="15" x14ac:dyDescent="0.15">
      <c r="A21" s="8" t="s">
        <v>280</v>
      </c>
      <c r="B21" s="6" t="s">
        <v>262</v>
      </c>
    </row>
    <row r="22" spans="1:2" ht="15" x14ac:dyDescent="0.15">
      <c r="A22" s="8" t="s">
        <v>281</v>
      </c>
      <c r="B22" s="6" t="s">
        <v>262</v>
      </c>
    </row>
    <row r="23" spans="1:2" ht="15" x14ac:dyDescent="0.15">
      <c r="A23" s="8" t="s">
        <v>282</v>
      </c>
      <c r="B23" s="6" t="s">
        <v>262</v>
      </c>
    </row>
    <row r="24" spans="1:2" ht="15" x14ac:dyDescent="0.15">
      <c r="A24" s="8" t="s">
        <v>283</v>
      </c>
      <c r="B24" s="6" t="s">
        <v>262</v>
      </c>
    </row>
    <row r="25" spans="1:2" ht="15" x14ac:dyDescent="0.15">
      <c r="A25" s="8" t="s">
        <v>284</v>
      </c>
      <c r="B25" s="6" t="s">
        <v>262</v>
      </c>
    </row>
    <row r="26" spans="1:2" ht="15" x14ac:dyDescent="0.15">
      <c r="A26" s="8" t="s">
        <v>285</v>
      </c>
      <c r="B26" s="6" t="s">
        <v>262</v>
      </c>
    </row>
    <row r="27" spans="1:2" ht="15" x14ac:dyDescent="0.15">
      <c r="A27" s="8" t="s">
        <v>286</v>
      </c>
      <c r="B27" s="6" t="s">
        <v>262</v>
      </c>
    </row>
    <row r="28" spans="1:2" ht="15" x14ac:dyDescent="0.15">
      <c r="A28" s="8" t="s">
        <v>287</v>
      </c>
      <c r="B28" s="6" t="s">
        <v>262</v>
      </c>
    </row>
    <row r="29" spans="1:2" ht="15" x14ac:dyDescent="0.15">
      <c r="A29" s="8" t="s">
        <v>288</v>
      </c>
      <c r="B29" s="6" t="s">
        <v>262</v>
      </c>
    </row>
    <row r="30" spans="1:2" ht="15" x14ac:dyDescent="0.15">
      <c r="A30" s="8" t="s">
        <v>289</v>
      </c>
      <c r="B30" s="6" t="s">
        <v>262</v>
      </c>
    </row>
    <row r="31" spans="1:2" ht="15" x14ac:dyDescent="0.15">
      <c r="A31" s="8" t="s">
        <v>290</v>
      </c>
      <c r="B31" s="6" t="s">
        <v>262</v>
      </c>
    </row>
    <row r="32" spans="1:2" ht="15" x14ac:dyDescent="0.15">
      <c r="A32" s="8" t="s">
        <v>291</v>
      </c>
      <c r="B32" s="6" t="s">
        <v>262</v>
      </c>
    </row>
    <row r="33" spans="1:2" ht="15" x14ac:dyDescent="0.15">
      <c r="A33" s="8" t="s">
        <v>292</v>
      </c>
      <c r="B33" s="6" t="s">
        <v>262</v>
      </c>
    </row>
    <row r="34" spans="1:2" ht="15" x14ac:dyDescent="0.15">
      <c r="A34" s="8" t="s">
        <v>293</v>
      </c>
      <c r="B34" s="6" t="s">
        <v>262</v>
      </c>
    </row>
    <row r="35" spans="1:2" ht="15" x14ac:dyDescent="0.15">
      <c r="A35" s="8" t="s">
        <v>294</v>
      </c>
      <c r="B35" s="6" t="s">
        <v>262</v>
      </c>
    </row>
    <row r="36" spans="1:2" ht="15" x14ac:dyDescent="0.15">
      <c r="A36" s="8" t="s">
        <v>295</v>
      </c>
      <c r="B36" s="6" t="s">
        <v>262</v>
      </c>
    </row>
    <row r="37" spans="1:2" ht="15" x14ac:dyDescent="0.15">
      <c r="A37" s="8" t="s">
        <v>296</v>
      </c>
      <c r="B37" s="6" t="s">
        <v>262</v>
      </c>
    </row>
    <row r="38" spans="1:2" ht="15" x14ac:dyDescent="0.15">
      <c r="A38" s="8" t="s">
        <v>297</v>
      </c>
      <c r="B38" s="6" t="s">
        <v>262</v>
      </c>
    </row>
    <row r="39" spans="1:2" ht="15" x14ac:dyDescent="0.15">
      <c r="A39" s="8" t="s">
        <v>298</v>
      </c>
      <c r="B39" s="6" t="s">
        <v>262</v>
      </c>
    </row>
    <row r="40" spans="1:2" ht="15" x14ac:dyDescent="0.15">
      <c r="A40" s="8" t="s">
        <v>299</v>
      </c>
      <c r="B40" s="6" t="s">
        <v>262</v>
      </c>
    </row>
    <row r="41" spans="1:2" ht="15" x14ac:dyDescent="0.15">
      <c r="A41" s="8" t="s">
        <v>300</v>
      </c>
      <c r="B41" s="6" t="s">
        <v>262</v>
      </c>
    </row>
    <row r="42" spans="1:2" ht="15" x14ac:dyDescent="0.15">
      <c r="A42" s="8" t="s">
        <v>301</v>
      </c>
      <c r="B42" s="6" t="s">
        <v>262</v>
      </c>
    </row>
    <row r="43" spans="1:2" ht="15" x14ac:dyDescent="0.15">
      <c r="A43" s="8" t="s">
        <v>302</v>
      </c>
      <c r="B43" s="6" t="s">
        <v>262</v>
      </c>
    </row>
    <row r="44" spans="1:2" ht="15" x14ac:dyDescent="0.15">
      <c r="A44" s="8" t="s">
        <v>303</v>
      </c>
      <c r="B44" s="6" t="s">
        <v>262</v>
      </c>
    </row>
    <row r="45" spans="1:2" ht="15" x14ac:dyDescent="0.15">
      <c r="A45" s="8" t="s">
        <v>304</v>
      </c>
      <c r="B45" s="6" t="s">
        <v>262</v>
      </c>
    </row>
    <row r="46" spans="1:2" ht="15" x14ac:dyDescent="0.15">
      <c r="A46" s="8" t="s">
        <v>305</v>
      </c>
      <c r="B46" s="6" t="s">
        <v>262</v>
      </c>
    </row>
    <row r="47" spans="1:2" ht="15" x14ac:dyDescent="0.15">
      <c r="A47" s="8" t="s">
        <v>306</v>
      </c>
      <c r="B47" s="6" t="s">
        <v>262</v>
      </c>
    </row>
    <row r="48" spans="1:2" ht="15" x14ac:dyDescent="0.15">
      <c r="A48" s="8" t="s">
        <v>307</v>
      </c>
      <c r="B48" s="6" t="s">
        <v>262</v>
      </c>
    </row>
    <row r="49" spans="1:2" ht="15" x14ac:dyDescent="0.15">
      <c r="A49" s="8" t="s">
        <v>308</v>
      </c>
      <c r="B49" s="6" t="s">
        <v>262</v>
      </c>
    </row>
    <row r="50" spans="1:2" ht="15" x14ac:dyDescent="0.15">
      <c r="A50" s="8" t="s">
        <v>309</v>
      </c>
      <c r="B50" s="6" t="s">
        <v>262</v>
      </c>
    </row>
    <row r="51" spans="1:2" ht="15" x14ac:dyDescent="0.15">
      <c r="A51" s="8" t="s">
        <v>310</v>
      </c>
      <c r="B51" s="6" t="s">
        <v>262</v>
      </c>
    </row>
    <row r="52" spans="1:2" ht="15" x14ac:dyDescent="0.15">
      <c r="A52" s="8" t="s">
        <v>311</v>
      </c>
      <c r="B52" s="6" t="s">
        <v>262</v>
      </c>
    </row>
    <row r="53" spans="1:2" ht="15" x14ac:dyDescent="0.15">
      <c r="A53" s="8" t="s">
        <v>312</v>
      </c>
      <c r="B53" s="6" t="s">
        <v>262</v>
      </c>
    </row>
    <row r="54" spans="1:2" ht="15" x14ac:dyDescent="0.15">
      <c r="A54" s="8" t="s">
        <v>313</v>
      </c>
      <c r="B54" s="6" t="s">
        <v>262</v>
      </c>
    </row>
    <row r="55" spans="1:2" ht="15" x14ac:dyDescent="0.15">
      <c r="A55" s="8" t="s">
        <v>314</v>
      </c>
      <c r="B55" s="6" t="s">
        <v>262</v>
      </c>
    </row>
    <row r="56" spans="1:2" ht="15" x14ac:dyDescent="0.15">
      <c r="A56" s="8" t="s">
        <v>315</v>
      </c>
      <c r="B56" s="6" t="s">
        <v>262</v>
      </c>
    </row>
    <row r="57" spans="1:2" ht="15" x14ac:dyDescent="0.15">
      <c r="A57" s="8" t="s">
        <v>316</v>
      </c>
      <c r="B57" s="6" t="s">
        <v>262</v>
      </c>
    </row>
    <row r="58" spans="1:2" ht="15" x14ac:dyDescent="0.15">
      <c r="A58" s="8" t="s">
        <v>317</v>
      </c>
      <c r="B58" s="6" t="s">
        <v>262</v>
      </c>
    </row>
    <row r="59" spans="1:2" ht="15" x14ac:dyDescent="0.15">
      <c r="A59" s="8" t="s">
        <v>318</v>
      </c>
      <c r="B59" s="6" t="s">
        <v>262</v>
      </c>
    </row>
    <row r="60" spans="1:2" ht="15" x14ac:dyDescent="0.15">
      <c r="A60" s="8" t="s">
        <v>319</v>
      </c>
      <c r="B60" s="6" t="s">
        <v>262</v>
      </c>
    </row>
    <row r="61" spans="1:2" ht="15" x14ac:dyDescent="0.15">
      <c r="A61" s="8" t="s">
        <v>320</v>
      </c>
      <c r="B61" s="6" t="s">
        <v>262</v>
      </c>
    </row>
    <row r="62" spans="1:2" ht="15" x14ac:dyDescent="0.15">
      <c r="A62" s="8" t="s">
        <v>321</v>
      </c>
      <c r="B62" s="6" t="s">
        <v>262</v>
      </c>
    </row>
    <row r="63" spans="1:2" ht="15" x14ac:dyDescent="0.15">
      <c r="A63" s="8" t="s">
        <v>322</v>
      </c>
      <c r="B63" s="6" t="s">
        <v>262</v>
      </c>
    </row>
    <row r="64" spans="1:2" ht="15" x14ac:dyDescent="0.15">
      <c r="A64" s="8" t="s">
        <v>323</v>
      </c>
      <c r="B64" s="6" t="s">
        <v>262</v>
      </c>
    </row>
    <row r="65" spans="1:2" ht="15" x14ac:dyDescent="0.15">
      <c r="A65" s="8" t="s">
        <v>324</v>
      </c>
      <c r="B65" s="6" t="s">
        <v>262</v>
      </c>
    </row>
    <row r="66" spans="1:2" ht="15" x14ac:dyDescent="0.15">
      <c r="A66" s="8" t="s">
        <v>325</v>
      </c>
      <c r="B66" s="6" t="s">
        <v>262</v>
      </c>
    </row>
    <row r="67" spans="1:2" ht="15" x14ac:dyDescent="0.15">
      <c r="A67" s="8" t="s">
        <v>326</v>
      </c>
      <c r="B67" s="6" t="s">
        <v>262</v>
      </c>
    </row>
    <row r="68" spans="1:2" ht="15" x14ac:dyDescent="0.15">
      <c r="A68" s="8" t="s">
        <v>327</v>
      </c>
      <c r="B68" s="6" t="s">
        <v>262</v>
      </c>
    </row>
    <row r="69" spans="1:2" ht="15" x14ac:dyDescent="0.15">
      <c r="A69" s="8" t="s">
        <v>328</v>
      </c>
      <c r="B69" s="6" t="s">
        <v>262</v>
      </c>
    </row>
    <row r="70" spans="1:2" ht="15" x14ac:dyDescent="0.15">
      <c r="A70" s="8" t="s">
        <v>329</v>
      </c>
      <c r="B70" s="6" t="s">
        <v>262</v>
      </c>
    </row>
    <row r="71" spans="1:2" ht="15" x14ac:dyDescent="0.15">
      <c r="A71" s="8" t="s">
        <v>330</v>
      </c>
      <c r="B71" s="6" t="s">
        <v>262</v>
      </c>
    </row>
    <row r="72" spans="1:2" ht="15" x14ac:dyDescent="0.15">
      <c r="A72" s="8" t="s">
        <v>331</v>
      </c>
      <c r="B72" s="6" t="s">
        <v>262</v>
      </c>
    </row>
    <row r="73" spans="1:2" ht="15" x14ac:dyDescent="0.15">
      <c r="A73" s="8" t="s">
        <v>332</v>
      </c>
      <c r="B73" s="6" t="s">
        <v>262</v>
      </c>
    </row>
    <row r="74" spans="1:2" ht="15" x14ac:dyDescent="0.15">
      <c r="A74" s="8" t="s">
        <v>333</v>
      </c>
      <c r="B74" s="6" t="s">
        <v>262</v>
      </c>
    </row>
    <row r="75" spans="1:2" ht="15" x14ac:dyDescent="0.15">
      <c r="A75" s="8" t="s">
        <v>334</v>
      </c>
      <c r="B75" s="6" t="s">
        <v>262</v>
      </c>
    </row>
    <row r="76" spans="1:2" ht="15" x14ac:dyDescent="0.15">
      <c r="A76" s="8" t="s">
        <v>335</v>
      </c>
      <c r="B76" s="6" t="s">
        <v>262</v>
      </c>
    </row>
    <row r="77" spans="1:2" ht="15" x14ac:dyDescent="0.15">
      <c r="A77" s="8" t="s">
        <v>336</v>
      </c>
      <c r="B77" s="6" t="s">
        <v>262</v>
      </c>
    </row>
    <row r="78" spans="1:2" ht="15" x14ac:dyDescent="0.15">
      <c r="A78" s="8" t="s">
        <v>337</v>
      </c>
      <c r="B78" s="6" t="s">
        <v>262</v>
      </c>
    </row>
    <row r="79" spans="1:2" ht="15" x14ac:dyDescent="0.15">
      <c r="A79" s="8" t="s">
        <v>338</v>
      </c>
      <c r="B79" s="6" t="s">
        <v>262</v>
      </c>
    </row>
    <row r="80" spans="1:2" ht="15" x14ac:dyDescent="0.15">
      <c r="A80" s="8" t="s">
        <v>339</v>
      </c>
      <c r="B80" s="6" t="s">
        <v>262</v>
      </c>
    </row>
    <row r="81" spans="1:2" ht="15" x14ac:dyDescent="0.15">
      <c r="A81" s="8" t="s">
        <v>340</v>
      </c>
      <c r="B81" s="6" t="s">
        <v>262</v>
      </c>
    </row>
    <row r="82" spans="1:2" ht="15" x14ac:dyDescent="0.15">
      <c r="A82" s="8" t="s">
        <v>341</v>
      </c>
      <c r="B82" s="6" t="s">
        <v>262</v>
      </c>
    </row>
    <row r="83" spans="1:2" ht="15" x14ac:dyDescent="0.15">
      <c r="A83" s="8" t="s">
        <v>342</v>
      </c>
      <c r="B83" s="6" t="s">
        <v>262</v>
      </c>
    </row>
    <row r="84" spans="1:2" ht="15" x14ac:dyDescent="0.15">
      <c r="A84" s="8" t="s">
        <v>343</v>
      </c>
      <c r="B84" s="6" t="s">
        <v>262</v>
      </c>
    </row>
    <row r="85" spans="1:2" ht="15" x14ac:dyDescent="0.15">
      <c r="A85" s="8" t="s">
        <v>344</v>
      </c>
      <c r="B85" s="6" t="s">
        <v>262</v>
      </c>
    </row>
    <row r="86" spans="1:2" ht="15" x14ac:dyDescent="0.15">
      <c r="A86" s="8" t="s">
        <v>345</v>
      </c>
      <c r="B86" s="6" t="s">
        <v>262</v>
      </c>
    </row>
    <row r="87" spans="1:2" x14ac:dyDescent="0.15">
      <c r="A87" s="6" t="s">
        <v>346</v>
      </c>
      <c r="B87" s="6" t="s">
        <v>262</v>
      </c>
    </row>
    <row r="88" spans="1:2" x14ac:dyDescent="0.15">
      <c r="A88" s="6" t="s">
        <v>347</v>
      </c>
      <c r="B88" s="6" t="s">
        <v>262</v>
      </c>
    </row>
    <row r="89" spans="1:2" x14ac:dyDescent="0.15">
      <c r="A89" s="6" t="s">
        <v>348</v>
      </c>
      <c r="B89" s="6" t="s">
        <v>262</v>
      </c>
    </row>
    <row r="90" spans="1:2" x14ac:dyDescent="0.15">
      <c r="A90" s="6" t="s">
        <v>349</v>
      </c>
      <c r="B90" s="6" t="s">
        <v>262</v>
      </c>
    </row>
    <row r="91" spans="1:2" x14ac:dyDescent="0.15">
      <c r="A91" s="6" t="s">
        <v>350</v>
      </c>
      <c r="B91" s="6" t="s">
        <v>262</v>
      </c>
    </row>
    <row r="92" spans="1:2" x14ac:dyDescent="0.15">
      <c r="A92" s="6" t="s">
        <v>351</v>
      </c>
      <c r="B92" s="6" t="s">
        <v>262</v>
      </c>
    </row>
    <row r="93" spans="1:2" x14ac:dyDescent="0.15">
      <c r="A93" s="6" t="s">
        <v>352</v>
      </c>
      <c r="B93" s="6" t="s">
        <v>262</v>
      </c>
    </row>
    <row r="94" spans="1:2" x14ac:dyDescent="0.15">
      <c r="A94" s="6" t="s">
        <v>353</v>
      </c>
      <c r="B94" s="6" t="s">
        <v>262</v>
      </c>
    </row>
    <row r="95" spans="1:2" x14ac:dyDescent="0.15">
      <c r="A95" s="6" t="s">
        <v>354</v>
      </c>
      <c r="B95" s="6" t="s">
        <v>262</v>
      </c>
    </row>
    <row r="96" spans="1:2" x14ac:dyDescent="0.15">
      <c r="A96" s="6" t="s">
        <v>355</v>
      </c>
      <c r="B96" s="6" t="s">
        <v>262</v>
      </c>
    </row>
    <row r="97" spans="1:2" x14ac:dyDescent="0.15">
      <c r="A97" s="6" t="s">
        <v>356</v>
      </c>
      <c r="B97" s="6" t="s">
        <v>262</v>
      </c>
    </row>
    <row r="98" spans="1:2" x14ac:dyDescent="0.15">
      <c r="A98" s="6" t="s">
        <v>357</v>
      </c>
      <c r="B98" s="6" t="s">
        <v>262</v>
      </c>
    </row>
    <row r="99" spans="1:2" x14ac:dyDescent="0.15">
      <c r="A99" s="6" t="s">
        <v>358</v>
      </c>
      <c r="B99" s="6" t="s">
        <v>262</v>
      </c>
    </row>
    <row r="100" spans="1:2" x14ac:dyDescent="0.15">
      <c r="A100" s="6" t="s">
        <v>359</v>
      </c>
      <c r="B100" s="6" t="s">
        <v>262</v>
      </c>
    </row>
    <row r="101" spans="1:2" x14ac:dyDescent="0.15">
      <c r="A101" s="6" t="s">
        <v>360</v>
      </c>
      <c r="B101" s="6" t="s">
        <v>262</v>
      </c>
    </row>
    <row r="102" spans="1:2" x14ac:dyDescent="0.15">
      <c r="A102" s="6" t="s">
        <v>361</v>
      </c>
      <c r="B102" s="6" t="s">
        <v>262</v>
      </c>
    </row>
    <row r="103" spans="1:2" x14ac:dyDescent="0.15">
      <c r="A103" s="6" t="s">
        <v>362</v>
      </c>
      <c r="B103" s="6" t="s">
        <v>262</v>
      </c>
    </row>
    <row r="104" spans="1:2" x14ac:dyDescent="0.15">
      <c r="A104" s="6" t="s">
        <v>363</v>
      </c>
      <c r="B104" s="6" t="s">
        <v>262</v>
      </c>
    </row>
    <row r="105" spans="1:2" x14ac:dyDescent="0.15">
      <c r="A105" s="6" t="s">
        <v>364</v>
      </c>
      <c r="B105" s="6" t="s">
        <v>262</v>
      </c>
    </row>
    <row r="106" spans="1:2" x14ac:dyDescent="0.15">
      <c r="A106" s="6" t="s">
        <v>365</v>
      </c>
      <c r="B106" s="6" t="s">
        <v>262</v>
      </c>
    </row>
    <row r="107" spans="1:2" x14ac:dyDescent="0.15">
      <c r="A107" s="6" t="s">
        <v>366</v>
      </c>
      <c r="B107" s="6" t="s">
        <v>262</v>
      </c>
    </row>
    <row r="108" spans="1:2" x14ac:dyDescent="0.15">
      <c r="A108" s="6" t="s">
        <v>367</v>
      </c>
      <c r="B108" s="6" t="s">
        <v>262</v>
      </c>
    </row>
    <row r="109" spans="1:2" x14ac:dyDescent="0.15">
      <c r="A109" s="6" t="s">
        <v>368</v>
      </c>
      <c r="B109" s="6" t="s">
        <v>262</v>
      </c>
    </row>
    <row r="110" spans="1:2" x14ac:dyDescent="0.15">
      <c r="A110" s="6" t="s">
        <v>369</v>
      </c>
      <c r="B110" s="6" t="s">
        <v>262</v>
      </c>
    </row>
    <row r="111" spans="1:2" x14ac:dyDescent="0.15">
      <c r="A111" s="6" t="s">
        <v>370</v>
      </c>
      <c r="B111" s="6" t="s">
        <v>262</v>
      </c>
    </row>
    <row r="112" spans="1:2" x14ac:dyDescent="0.15">
      <c r="A112" s="6" t="s">
        <v>371</v>
      </c>
      <c r="B112" s="6" t="s">
        <v>262</v>
      </c>
    </row>
    <row r="113" spans="1:2" x14ac:dyDescent="0.15">
      <c r="A113" s="6" t="s">
        <v>372</v>
      </c>
      <c r="B113" s="6" t="s">
        <v>262</v>
      </c>
    </row>
    <row r="114" spans="1:2" x14ac:dyDescent="0.15">
      <c r="A114" s="6" t="s">
        <v>373</v>
      </c>
      <c r="B114" s="6" t="s">
        <v>262</v>
      </c>
    </row>
    <row r="115" spans="1:2" x14ac:dyDescent="0.15">
      <c r="A115" s="6" t="s">
        <v>374</v>
      </c>
      <c r="B115" s="6" t="s">
        <v>262</v>
      </c>
    </row>
    <row r="116" spans="1:2" x14ac:dyDescent="0.15">
      <c r="A116" s="6" t="s">
        <v>375</v>
      </c>
      <c r="B116" s="6" t="s">
        <v>262</v>
      </c>
    </row>
    <row r="117" spans="1:2" x14ac:dyDescent="0.15">
      <c r="A117" s="6" t="s">
        <v>376</v>
      </c>
      <c r="B117" s="6" t="s">
        <v>262</v>
      </c>
    </row>
    <row r="118" spans="1:2" x14ac:dyDescent="0.15">
      <c r="A118" s="6" t="s">
        <v>377</v>
      </c>
      <c r="B118" s="6" t="s">
        <v>262</v>
      </c>
    </row>
    <row r="119" spans="1:2" x14ac:dyDescent="0.15">
      <c r="A119" s="6" t="s">
        <v>378</v>
      </c>
      <c r="B119" s="6" t="s">
        <v>262</v>
      </c>
    </row>
    <row r="120" spans="1:2" x14ac:dyDescent="0.15">
      <c r="A120" s="6" t="s">
        <v>379</v>
      </c>
      <c r="B120" s="6" t="s">
        <v>262</v>
      </c>
    </row>
    <row r="121" spans="1:2" x14ac:dyDescent="0.15">
      <c r="A121" s="6" t="s">
        <v>380</v>
      </c>
      <c r="B121" s="6" t="s">
        <v>262</v>
      </c>
    </row>
    <row r="122" spans="1:2" x14ac:dyDescent="0.15">
      <c r="A122" s="6" t="s">
        <v>381</v>
      </c>
      <c r="B122" s="6" t="s">
        <v>262</v>
      </c>
    </row>
    <row r="123" spans="1:2" x14ac:dyDescent="0.15">
      <c r="A123" s="6" t="s">
        <v>382</v>
      </c>
      <c r="B123" s="6" t="s">
        <v>262</v>
      </c>
    </row>
    <row r="124" spans="1:2" x14ac:dyDescent="0.15">
      <c r="A124" s="6" t="s">
        <v>383</v>
      </c>
      <c r="B124" s="6" t="s">
        <v>262</v>
      </c>
    </row>
    <row r="125" spans="1:2" x14ac:dyDescent="0.15">
      <c r="A125" s="6" t="s">
        <v>384</v>
      </c>
      <c r="B125" s="6" t="s">
        <v>262</v>
      </c>
    </row>
    <row r="126" spans="1:2" x14ac:dyDescent="0.15">
      <c r="A126" s="6" t="s">
        <v>385</v>
      </c>
      <c r="B126" s="6" t="s">
        <v>262</v>
      </c>
    </row>
    <row r="127" spans="1:2" x14ac:dyDescent="0.15">
      <c r="A127" s="6" t="s">
        <v>386</v>
      </c>
      <c r="B127" s="6" t="s">
        <v>262</v>
      </c>
    </row>
    <row r="128" spans="1:2" x14ac:dyDescent="0.15">
      <c r="A128" s="6" t="s">
        <v>387</v>
      </c>
      <c r="B128" s="6" t="s">
        <v>262</v>
      </c>
    </row>
    <row r="129" spans="1:2" x14ac:dyDescent="0.15">
      <c r="A129" s="6" t="s">
        <v>388</v>
      </c>
      <c r="B129" s="6" t="s">
        <v>262</v>
      </c>
    </row>
    <row r="130" spans="1:2" x14ac:dyDescent="0.15">
      <c r="A130" s="6" t="s">
        <v>389</v>
      </c>
      <c r="B130" s="6" t="s">
        <v>262</v>
      </c>
    </row>
    <row r="131" spans="1:2" x14ac:dyDescent="0.15">
      <c r="A131" s="6" t="s">
        <v>390</v>
      </c>
      <c r="B131" s="6" t="s">
        <v>262</v>
      </c>
    </row>
    <row r="132" spans="1:2" x14ac:dyDescent="0.15">
      <c r="A132" s="6" t="s">
        <v>391</v>
      </c>
      <c r="B132" s="6" t="s">
        <v>262</v>
      </c>
    </row>
    <row r="133" spans="1:2" x14ac:dyDescent="0.15">
      <c r="A133" s="6" t="s">
        <v>392</v>
      </c>
      <c r="B133" s="6" t="s">
        <v>262</v>
      </c>
    </row>
    <row r="134" spans="1:2" x14ac:dyDescent="0.15">
      <c r="A134" s="6" t="s">
        <v>393</v>
      </c>
      <c r="B134" s="6" t="s">
        <v>262</v>
      </c>
    </row>
    <row r="135" spans="1:2" x14ac:dyDescent="0.15">
      <c r="A135" s="6" t="s">
        <v>394</v>
      </c>
      <c r="B135" s="6" t="s">
        <v>262</v>
      </c>
    </row>
    <row r="136" spans="1:2" x14ac:dyDescent="0.15">
      <c r="A136" s="6" t="s">
        <v>395</v>
      </c>
      <c r="B136" s="6" t="s">
        <v>262</v>
      </c>
    </row>
    <row r="137" spans="1:2" x14ac:dyDescent="0.15">
      <c r="A137" s="6" t="s">
        <v>396</v>
      </c>
      <c r="B137" s="6" t="s">
        <v>262</v>
      </c>
    </row>
    <row r="138" spans="1:2" x14ac:dyDescent="0.15">
      <c r="A138" s="6" t="s">
        <v>397</v>
      </c>
      <c r="B138" s="6" t="s">
        <v>262</v>
      </c>
    </row>
    <row r="139" spans="1:2" x14ac:dyDescent="0.15">
      <c r="A139" s="6" t="s">
        <v>398</v>
      </c>
      <c r="B139" s="6" t="s">
        <v>262</v>
      </c>
    </row>
    <row r="140" spans="1:2" x14ac:dyDescent="0.15">
      <c r="A140" s="6" t="s">
        <v>399</v>
      </c>
      <c r="B140" s="6" t="s">
        <v>262</v>
      </c>
    </row>
    <row r="141" spans="1:2" x14ac:dyDescent="0.15">
      <c r="A141" s="6" t="s">
        <v>400</v>
      </c>
      <c r="B141" s="6" t="s">
        <v>262</v>
      </c>
    </row>
    <row r="142" spans="1:2" x14ac:dyDescent="0.15">
      <c r="A142" s="6" t="s">
        <v>401</v>
      </c>
      <c r="B142" s="6" t="s">
        <v>262</v>
      </c>
    </row>
    <row r="143" spans="1:2" x14ac:dyDescent="0.15">
      <c r="A143" s="6" t="s">
        <v>402</v>
      </c>
      <c r="B143" s="6" t="s">
        <v>262</v>
      </c>
    </row>
    <row r="144" spans="1:2" x14ac:dyDescent="0.15">
      <c r="A144" s="6" t="s">
        <v>403</v>
      </c>
      <c r="B144" s="6" t="s">
        <v>262</v>
      </c>
    </row>
    <row r="145" spans="1:2" x14ac:dyDescent="0.15">
      <c r="A145" s="6" t="s">
        <v>404</v>
      </c>
      <c r="B145" s="6" t="s">
        <v>262</v>
      </c>
    </row>
    <row r="146" spans="1:2" x14ac:dyDescent="0.15">
      <c r="A146" s="6" t="s">
        <v>405</v>
      </c>
      <c r="B146" s="6" t="s">
        <v>262</v>
      </c>
    </row>
    <row r="147" spans="1:2" x14ac:dyDescent="0.15">
      <c r="A147" s="6" t="s">
        <v>406</v>
      </c>
      <c r="B147" s="6" t="s">
        <v>262</v>
      </c>
    </row>
    <row r="148" spans="1:2" x14ac:dyDescent="0.15">
      <c r="A148" s="6" t="s">
        <v>407</v>
      </c>
      <c r="B148" s="6" t="s">
        <v>262</v>
      </c>
    </row>
    <row r="149" spans="1:2" x14ac:dyDescent="0.15">
      <c r="A149" s="6" t="s">
        <v>408</v>
      </c>
      <c r="B149" s="6" t="s">
        <v>262</v>
      </c>
    </row>
    <row r="150" spans="1:2" x14ac:dyDescent="0.15">
      <c r="A150" s="6" t="s">
        <v>409</v>
      </c>
      <c r="B150" s="6" t="s">
        <v>262</v>
      </c>
    </row>
    <row r="151" spans="1:2" x14ac:dyDescent="0.15">
      <c r="A151" s="6" t="s">
        <v>410</v>
      </c>
      <c r="B151" s="6" t="s">
        <v>262</v>
      </c>
    </row>
    <row r="152" spans="1:2" x14ac:dyDescent="0.15">
      <c r="A152" s="6" t="s">
        <v>411</v>
      </c>
      <c r="B152" s="6" t="s">
        <v>262</v>
      </c>
    </row>
    <row r="153" spans="1:2" x14ac:dyDescent="0.15">
      <c r="A153" s="6" t="s">
        <v>412</v>
      </c>
      <c r="B153" s="6" t="s">
        <v>262</v>
      </c>
    </row>
    <row r="154" spans="1:2" x14ac:dyDescent="0.15">
      <c r="A154" s="6" t="s">
        <v>413</v>
      </c>
      <c r="B154" s="6" t="s">
        <v>262</v>
      </c>
    </row>
    <row r="155" spans="1:2" x14ac:dyDescent="0.15">
      <c r="A155" s="6" t="s">
        <v>414</v>
      </c>
      <c r="B155" s="6" t="s">
        <v>262</v>
      </c>
    </row>
    <row r="156" spans="1:2" x14ac:dyDescent="0.15">
      <c r="A156" s="6" t="s">
        <v>415</v>
      </c>
      <c r="B156" s="6" t="s">
        <v>262</v>
      </c>
    </row>
    <row r="157" spans="1:2" x14ac:dyDescent="0.15">
      <c r="A157" s="6" t="s">
        <v>416</v>
      </c>
      <c r="B157" s="6" t="s">
        <v>262</v>
      </c>
    </row>
    <row r="158" spans="1:2" x14ac:dyDescent="0.15">
      <c r="A158" s="6" t="s">
        <v>417</v>
      </c>
      <c r="B158" s="6" t="s">
        <v>262</v>
      </c>
    </row>
    <row r="159" spans="1:2" x14ac:dyDescent="0.15">
      <c r="A159" s="6" t="s">
        <v>418</v>
      </c>
      <c r="B159" s="6" t="s">
        <v>262</v>
      </c>
    </row>
    <row r="160" spans="1:2" x14ac:dyDescent="0.15">
      <c r="A160" s="6" t="s">
        <v>419</v>
      </c>
      <c r="B160" s="6" t="s">
        <v>262</v>
      </c>
    </row>
    <row r="161" spans="1:2" x14ac:dyDescent="0.15">
      <c r="A161" s="6" t="s">
        <v>420</v>
      </c>
      <c r="B161" s="6" t="s">
        <v>262</v>
      </c>
    </row>
    <row r="162" spans="1:2" x14ac:dyDescent="0.15">
      <c r="A162" s="6" t="s">
        <v>421</v>
      </c>
      <c r="B162" s="6" t="s">
        <v>262</v>
      </c>
    </row>
    <row r="163" spans="1:2" x14ac:dyDescent="0.15">
      <c r="A163" s="6" t="s">
        <v>422</v>
      </c>
      <c r="B163" s="6" t="s">
        <v>262</v>
      </c>
    </row>
    <row r="164" spans="1:2" x14ac:dyDescent="0.15">
      <c r="A164" s="6" t="s">
        <v>423</v>
      </c>
      <c r="B164" s="6" t="s">
        <v>262</v>
      </c>
    </row>
    <row r="165" spans="1:2" x14ac:dyDescent="0.15">
      <c r="A165" s="6" t="s">
        <v>424</v>
      </c>
      <c r="B165" s="6" t="s">
        <v>262</v>
      </c>
    </row>
    <row r="166" spans="1:2" x14ac:dyDescent="0.15">
      <c r="A166" s="6" t="s">
        <v>425</v>
      </c>
      <c r="B166" s="6" t="s">
        <v>262</v>
      </c>
    </row>
    <row r="167" spans="1:2" x14ac:dyDescent="0.15">
      <c r="A167" s="6" t="s">
        <v>426</v>
      </c>
      <c r="B167" s="6" t="s">
        <v>262</v>
      </c>
    </row>
    <row r="168" spans="1:2" x14ac:dyDescent="0.15">
      <c r="A168" s="6" t="s">
        <v>427</v>
      </c>
      <c r="B168" s="6" t="s">
        <v>262</v>
      </c>
    </row>
    <row r="169" spans="1:2" x14ac:dyDescent="0.15">
      <c r="A169" s="6" t="s">
        <v>428</v>
      </c>
      <c r="B169" s="6" t="s">
        <v>262</v>
      </c>
    </row>
    <row r="170" spans="1:2" x14ac:dyDescent="0.15">
      <c r="A170" s="6" t="s">
        <v>429</v>
      </c>
      <c r="B170" s="6" t="s">
        <v>262</v>
      </c>
    </row>
    <row r="171" spans="1:2" x14ac:dyDescent="0.15">
      <c r="A171" s="6" t="s">
        <v>430</v>
      </c>
      <c r="B171" s="6" t="s">
        <v>262</v>
      </c>
    </row>
    <row r="172" spans="1:2" x14ac:dyDescent="0.15">
      <c r="A172" s="6" t="s">
        <v>431</v>
      </c>
      <c r="B172" s="6" t="s">
        <v>262</v>
      </c>
    </row>
    <row r="173" spans="1:2" x14ac:dyDescent="0.15">
      <c r="A173" s="6" t="s">
        <v>432</v>
      </c>
      <c r="B173" s="6" t="s">
        <v>262</v>
      </c>
    </row>
    <row r="174" spans="1:2" x14ac:dyDescent="0.15">
      <c r="A174" s="6" t="s">
        <v>433</v>
      </c>
      <c r="B174" s="6" t="s">
        <v>262</v>
      </c>
    </row>
    <row r="175" spans="1:2" x14ac:dyDescent="0.15">
      <c r="A175" s="6" t="s">
        <v>434</v>
      </c>
      <c r="B175" s="6" t="s">
        <v>262</v>
      </c>
    </row>
    <row r="176" spans="1:2" x14ac:dyDescent="0.15">
      <c r="A176" s="6" t="s">
        <v>435</v>
      </c>
      <c r="B176" s="6" t="s">
        <v>262</v>
      </c>
    </row>
    <row r="177" spans="1:2" x14ac:dyDescent="0.15">
      <c r="A177" s="6" t="s">
        <v>436</v>
      </c>
      <c r="B177" s="6" t="s">
        <v>262</v>
      </c>
    </row>
    <row r="178" spans="1:2" x14ac:dyDescent="0.15">
      <c r="A178" s="6" t="s">
        <v>437</v>
      </c>
      <c r="B178" s="6" t="s">
        <v>262</v>
      </c>
    </row>
    <row r="179" spans="1:2" x14ac:dyDescent="0.15">
      <c r="A179" s="6" t="s">
        <v>438</v>
      </c>
      <c r="B179" s="6" t="s">
        <v>262</v>
      </c>
    </row>
    <row r="180" spans="1:2" x14ac:dyDescent="0.15">
      <c r="A180" s="6" t="s">
        <v>439</v>
      </c>
      <c r="B180" s="6" t="s">
        <v>262</v>
      </c>
    </row>
    <row r="181" spans="1:2" x14ac:dyDescent="0.15">
      <c r="A181" s="6" t="s">
        <v>440</v>
      </c>
      <c r="B181" s="6" t="s">
        <v>262</v>
      </c>
    </row>
    <row r="182" spans="1:2" x14ac:dyDescent="0.15">
      <c r="A182" s="6" t="s">
        <v>441</v>
      </c>
      <c r="B182" s="6" t="s">
        <v>262</v>
      </c>
    </row>
    <row r="183" spans="1:2" x14ac:dyDescent="0.15">
      <c r="A183" s="6" t="s">
        <v>442</v>
      </c>
      <c r="B183" s="6" t="s">
        <v>262</v>
      </c>
    </row>
    <row r="184" spans="1:2" x14ac:dyDescent="0.15">
      <c r="A184" s="6" t="s">
        <v>443</v>
      </c>
      <c r="B184" s="6" t="s">
        <v>262</v>
      </c>
    </row>
    <row r="185" spans="1:2" x14ac:dyDescent="0.15">
      <c r="A185" s="6" t="s">
        <v>444</v>
      </c>
      <c r="B185" s="6" t="s">
        <v>262</v>
      </c>
    </row>
    <row r="186" spans="1:2" x14ac:dyDescent="0.15">
      <c r="A186" s="6" t="s">
        <v>445</v>
      </c>
      <c r="B186" s="6" t="s">
        <v>262</v>
      </c>
    </row>
    <row r="187" spans="1:2" x14ac:dyDescent="0.15">
      <c r="A187" s="6" t="s">
        <v>446</v>
      </c>
      <c r="B187" s="6" t="s">
        <v>262</v>
      </c>
    </row>
    <row r="188" spans="1:2" x14ac:dyDescent="0.15">
      <c r="A188" s="6" t="s">
        <v>447</v>
      </c>
      <c r="B188" s="6" t="s">
        <v>262</v>
      </c>
    </row>
    <row r="189" spans="1:2" x14ac:dyDescent="0.15">
      <c r="A189" s="6" t="s">
        <v>448</v>
      </c>
      <c r="B189" s="6" t="s">
        <v>262</v>
      </c>
    </row>
    <row r="190" spans="1:2" x14ac:dyDescent="0.15">
      <c r="A190" s="6" t="s">
        <v>449</v>
      </c>
      <c r="B190" s="6" t="s">
        <v>262</v>
      </c>
    </row>
    <row r="191" spans="1:2" x14ac:dyDescent="0.15">
      <c r="A191" s="6" t="s">
        <v>450</v>
      </c>
      <c r="B191" s="6" t="s">
        <v>262</v>
      </c>
    </row>
    <row r="192" spans="1:2" x14ac:dyDescent="0.15">
      <c r="A192" s="6" t="s">
        <v>451</v>
      </c>
      <c r="B192" s="6" t="s">
        <v>262</v>
      </c>
    </row>
    <row r="193" spans="1:2" x14ac:dyDescent="0.15">
      <c r="A193" s="6" t="s">
        <v>452</v>
      </c>
      <c r="B193" s="6" t="s">
        <v>453</v>
      </c>
    </row>
    <row r="194" spans="1:2" x14ac:dyDescent="0.15">
      <c r="A194" s="6" t="s">
        <v>454</v>
      </c>
      <c r="B194" s="6" t="s">
        <v>453</v>
      </c>
    </row>
    <row r="195" spans="1:2" x14ac:dyDescent="0.15">
      <c r="A195" s="6" t="s">
        <v>455</v>
      </c>
      <c r="B195" s="6" t="s">
        <v>453</v>
      </c>
    </row>
    <row r="196" spans="1:2" x14ac:dyDescent="0.15">
      <c r="A196" s="6" t="s">
        <v>456</v>
      </c>
      <c r="B196" s="6" t="s">
        <v>453</v>
      </c>
    </row>
    <row r="197" spans="1:2" x14ac:dyDescent="0.15">
      <c r="A197" s="6" t="s">
        <v>457</v>
      </c>
      <c r="B197" s="6" t="s">
        <v>453</v>
      </c>
    </row>
    <row r="198" spans="1:2" x14ac:dyDescent="0.15">
      <c r="A198" s="6" t="s">
        <v>458</v>
      </c>
      <c r="B198" s="6" t="s">
        <v>453</v>
      </c>
    </row>
    <row r="199" spans="1:2" x14ac:dyDescent="0.15">
      <c r="A199" s="6" t="s">
        <v>459</v>
      </c>
      <c r="B199" s="6" t="s">
        <v>453</v>
      </c>
    </row>
    <row r="200" spans="1:2" x14ac:dyDescent="0.15">
      <c r="A200" s="6" t="s">
        <v>460</v>
      </c>
      <c r="B200" s="6" t="s">
        <v>453</v>
      </c>
    </row>
    <row r="201" spans="1:2" x14ac:dyDescent="0.15">
      <c r="A201" s="6" t="s">
        <v>461</v>
      </c>
      <c r="B201" s="6" t="s">
        <v>453</v>
      </c>
    </row>
    <row r="202" spans="1:2" x14ac:dyDescent="0.15">
      <c r="A202" s="6" t="s">
        <v>462</v>
      </c>
      <c r="B202" s="6" t="s">
        <v>453</v>
      </c>
    </row>
    <row r="203" spans="1:2" x14ac:dyDescent="0.15">
      <c r="A203" s="9" t="s">
        <v>463</v>
      </c>
      <c r="B203" s="6" t="s">
        <v>453</v>
      </c>
    </row>
    <row r="204" spans="1:2" x14ac:dyDescent="0.15">
      <c r="A204" s="9" t="s">
        <v>464</v>
      </c>
      <c r="B204" s="6" t="s">
        <v>453</v>
      </c>
    </row>
    <row r="205" spans="1:2" x14ac:dyDescent="0.15">
      <c r="A205" s="9" t="s">
        <v>465</v>
      </c>
      <c r="B205" s="6" t="s">
        <v>453</v>
      </c>
    </row>
    <row r="206" spans="1:2" x14ac:dyDescent="0.15">
      <c r="A206" s="9" t="s">
        <v>466</v>
      </c>
      <c r="B206" s="6" t="s">
        <v>453</v>
      </c>
    </row>
    <row r="207" spans="1:2" x14ac:dyDescent="0.15">
      <c r="A207" s="9" t="s">
        <v>467</v>
      </c>
      <c r="B207" s="6" t="s">
        <v>453</v>
      </c>
    </row>
    <row r="208" spans="1:2" x14ac:dyDescent="0.15">
      <c r="A208" s="9" t="s">
        <v>468</v>
      </c>
      <c r="B208" s="6" t="s">
        <v>453</v>
      </c>
    </row>
    <row r="209" spans="1:2" x14ac:dyDescent="0.15">
      <c r="A209" s="9" t="s">
        <v>469</v>
      </c>
      <c r="B209" s="6" t="s">
        <v>453</v>
      </c>
    </row>
    <row r="210" spans="1:2" x14ac:dyDescent="0.15">
      <c r="A210" s="9" t="s">
        <v>470</v>
      </c>
      <c r="B210" s="6" t="s">
        <v>453</v>
      </c>
    </row>
    <row r="211" spans="1:2" x14ac:dyDescent="0.15">
      <c r="A211" s="9" t="s">
        <v>471</v>
      </c>
      <c r="B211" s="6" t="s">
        <v>453</v>
      </c>
    </row>
    <row r="212" spans="1:2" x14ac:dyDescent="0.15">
      <c r="A212" s="9" t="s">
        <v>472</v>
      </c>
      <c r="B212" s="6" t="s">
        <v>453</v>
      </c>
    </row>
    <row r="213" spans="1:2" x14ac:dyDescent="0.15">
      <c r="A213" s="9" t="s">
        <v>473</v>
      </c>
      <c r="B213" s="6" t="s">
        <v>453</v>
      </c>
    </row>
    <row r="214" spans="1:2" x14ac:dyDescent="0.15">
      <c r="A214" s="9" t="s">
        <v>474</v>
      </c>
      <c r="B214" s="6" t="s">
        <v>453</v>
      </c>
    </row>
    <row r="215" spans="1:2" x14ac:dyDescent="0.15">
      <c r="A215" s="9" t="s">
        <v>475</v>
      </c>
      <c r="B215" s="6" t="s">
        <v>453</v>
      </c>
    </row>
    <row r="216" spans="1:2" x14ac:dyDescent="0.15">
      <c r="A216" s="9" t="s">
        <v>476</v>
      </c>
      <c r="B216" s="6" t="s">
        <v>453</v>
      </c>
    </row>
    <row r="217" spans="1:2" x14ac:dyDescent="0.15">
      <c r="A217" s="9" t="s">
        <v>477</v>
      </c>
      <c r="B217" s="6" t="s">
        <v>453</v>
      </c>
    </row>
    <row r="218" spans="1:2" x14ac:dyDescent="0.15">
      <c r="A218" s="9" t="s">
        <v>478</v>
      </c>
      <c r="B218" s="6" t="s">
        <v>453</v>
      </c>
    </row>
    <row r="219" spans="1:2" x14ac:dyDescent="0.15">
      <c r="A219" s="9" t="s">
        <v>479</v>
      </c>
      <c r="B219" s="6" t="s">
        <v>453</v>
      </c>
    </row>
    <row r="220" spans="1:2" x14ac:dyDescent="0.15">
      <c r="A220" s="9" t="s">
        <v>480</v>
      </c>
      <c r="B220" s="6" t="s">
        <v>453</v>
      </c>
    </row>
    <row r="221" spans="1:2" x14ac:dyDescent="0.15">
      <c r="A221" s="9" t="s">
        <v>481</v>
      </c>
      <c r="B221" s="6" t="s">
        <v>453</v>
      </c>
    </row>
    <row r="222" spans="1:2" x14ac:dyDescent="0.15">
      <c r="A222" s="9" t="s">
        <v>482</v>
      </c>
      <c r="B222" s="6" t="s">
        <v>453</v>
      </c>
    </row>
    <row r="223" spans="1:2" x14ac:dyDescent="0.15">
      <c r="A223" s="9" t="s">
        <v>483</v>
      </c>
      <c r="B223" s="6" t="s">
        <v>453</v>
      </c>
    </row>
    <row r="224" spans="1:2" x14ac:dyDescent="0.15">
      <c r="A224" s="9" t="s">
        <v>484</v>
      </c>
      <c r="B224" s="6" t="s">
        <v>453</v>
      </c>
    </row>
    <row r="225" spans="1:2" x14ac:dyDescent="0.15">
      <c r="A225" s="9" t="s">
        <v>485</v>
      </c>
      <c r="B225" s="6" t="s">
        <v>453</v>
      </c>
    </row>
    <row r="226" spans="1:2" x14ac:dyDescent="0.15">
      <c r="A226" s="9" t="s">
        <v>486</v>
      </c>
      <c r="B226" s="6" t="s">
        <v>453</v>
      </c>
    </row>
    <row r="227" spans="1:2" x14ac:dyDescent="0.15">
      <c r="A227" s="9" t="s">
        <v>487</v>
      </c>
      <c r="B227" s="6" t="s">
        <v>453</v>
      </c>
    </row>
    <row r="228" spans="1:2" x14ac:dyDescent="0.15">
      <c r="A228" s="9" t="s">
        <v>488</v>
      </c>
      <c r="B228" s="6" t="s">
        <v>453</v>
      </c>
    </row>
    <row r="229" spans="1:2" x14ac:dyDescent="0.15">
      <c r="A229" s="9" t="s">
        <v>489</v>
      </c>
      <c r="B229" s="6" t="s">
        <v>453</v>
      </c>
    </row>
    <row r="230" spans="1:2" x14ac:dyDescent="0.15">
      <c r="A230" s="9" t="s">
        <v>490</v>
      </c>
      <c r="B230" s="6" t="s">
        <v>453</v>
      </c>
    </row>
    <row r="231" spans="1:2" x14ac:dyDescent="0.15">
      <c r="A231" s="9" t="s">
        <v>491</v>
      </c>
      <c r="B231" s="6" t="s">
        <v>453</v>
      </c>
    </row>
    <row r="232" spans="1:2" x14ac:dyDescent="0.15">
      <c r="A232" s="9" t="s">
        <v>492</v>
      </c>
      <c r="B232" s="6" t="s">
        <v>453</v>
      </c>
    </row>
    <row r="233" spans="1:2" x14ac:dyDescent="0.15">
      <c r="A233" s="6" t="s">
        <v>493</v>
      </c>
      <c r="B233" s="6" t="s">
        <v>494</v>
      </c>
    </row>
    <row r="234" spans="1:2" x14ac:dyDescent="0.15">
      <c r="A234" s="6" t="s">
        <v>495</v>
      </c>
      <c r="B234" s="6" t="s">
        <v>494</v>
      </c>
    </row>
    <row r="235" spans="1:2" x14ac:dyDescent="0.15">
      <c r="A235" s="6" t="s">
        <v>496</v>
      </c>
      <c r="B235" s="6" t="s">
        <v>494</v>
      </c>
    </row>
    <row r="236" spans="1:2" x14ac:dyDescent="0.15">
      <c r="A236" s="6" t="s">
        <v>497</v>
      </c>
      <c r="B236" s="6" t="s">
        <v>494</v>
      </c>
    </row>
    <row r="237" spans="1:2" x14ac:dyDescent="0.15">
      <c r="A237" s="6" t="s">
        <v>498</v>
      </c>
      <c r="B237" s="6" t="s">
        <v>494</v>
      </c>
    </row>
    <row r="238" spans="1:2" x14ac:dyDescent="0.15">
      <c r="A238" s="6" t="s">
        <v>499</v>
      </c>
      <c r="B238" s="6" t="s">
        <v>494</v>
      </c>
    </row>
    <row r="239" spans="1:2" x14ac:dyDescent="0.15">
      <c r="A239" s="6" t="s">
        <v>500</v>
      </c>
      <c r="B239" s="6" t="s">
        <v>494</v>
      </c>
    </row>
    <row r="240" spans="1:2" x14ac:dyDescent="0.15">
      <c r="A240" s="6" t="s">
        <v>501</v>
      </c>
      <c r="B240" s="6" t="s">
        <v>494</v>
      </c>
    </row>
    <row r="241" spans="1:2" x14ac:dyDescent="0.15">
      <c r="A241" s="6" t="s">
        <v>502</v>
      </c>
      <c r="B241" s="6" t="s">
        <v>494</v>
      </c>
    </row>
    <row r="242" spans="1:2" x14ac:dyDescent="0.15">
      <c r="A242" s="6" t="s">
        <v>503</v>
      </c>
      <c r="B242" s="6" t="s">
        <v>494</v>
      </c>
    </row>
    <row r="243" spans="1:2" x14ac:dyDescent="0.15">
      <c r="A243" s="6" t="s">
        <v>504</v>
      </c>
      <c r="B243" s="6" t="s">
        <v>494</v>
      </c>
    </row>
    <row r="244" spans="1:2" x14ac:dyDescent="0.15">
      <c r="A244" s="6" t="s">
        <v>505</v>
      </c>
      <c r="B244" s="6" t="s">
        <v>494</v>
      </c>
    </row>
    <row r="245" spans="1:2" x14ac:dyDescent="0.15">
      <c r="A245" s="6" t="s">
        <v>506</v>
      </c>
      <c r="B245" s="6" t="s">
        <v>494</v>
      </c>
    </row>
    <row r="246" spans="1:2" x14ac:dyDescent="0.15">
      <c r="A246" s="6" t="s">
        <v>507</v>
      </c>
      <c r="B246" s="6" t="s">
        <v>494</v>
      </c>
    </row>
    <row r="247" spans="1:2" x14ac:dyDescent="0.15">
      <c r="A247" s="6" t="s">
        <v>508</v>
      </c>
      <c r="B247" s="6" t="s">
        <v>494</v>
      </c>
    </row>
    <row r="248" spans="1:2" x14ac:dyDescent="0.15">
      <c r="A248" s="6" t="s">
        <v>509</v>
      </c>
      <c r="B248" s="6" t="s">
        <v>494</v>
      </c>
    </row>
    <row r="249" spans="1:2" x14ac:dyDescent="0.15">
      <c r="A249" s="6" t="s">
        <v>510</v>
      </c>
      <c r="B249" s="6" t="s">
        <v>494</v>
      </c>
    </row>
    <row r="250" spans="1:2" x14ac:dyDescent="0.15">
      <c r="A250" s="6" t="s">
        <v>511</v>
      </c>
      <c r="B250" s="6" t="s">
        <v>494</v>
      </c>
    </row>
    <row r="251" spans="1:2" x14ac:dyDescent="0.15">
      <c r="A251" s="6" t="s">
        <v>512</v>
      </c>
      <c r="B251" s="6" t="s">
        <v>494</v>
      </c>
    </row>
    <row r="252" spans="1:2" x14ac:dyDescent="0.15">
      <c r="A252" s="6" t="s">
        <v>513</v>
      </c>
      <c r="B252" s="6" t="s">
        <v>494</v>
      </c>
    </row>
    <row r="253" spans="1:2" x14ac:dyDescent="0.15">
      <c r="A253" s="6" t="s">
        <v>514</v>
      </c>
      <c r="B253" s="6" t="s">
        <v>494</v>
      </c>
    </row>
    <row r="254" spans="1:2" x14ac:dyDescent="0.15">
      <c r="A254" s="6" t="s">
        <v>515</v>
      </c>
      <c r="B254" s="6" t="s">
        <v>494</v>
      </c>
    </row>
    <row r="255" spans="1:2" x14ac:dyDescent="0.15">
      <c r="A255" s="6" t="s">
        <v>516</v>
      </c>
      <c r="B255" s="6" t="s">
        <v>494</v>
      </c>
    </row>
    <row r="256" spans="1:2" x14ac:dyDescent="0.15">
      <c r="A256" s="6" t="s">
        <v>517</v>
      </c>
      <c r="B256" s="6" t="s">
        <v>494</v>
      </c>
    </row>
    <row r="257" spans="1:2" x14ac:dyDescent="0.15">
      <c r="A257" s="6" t="s">
        <v>518</v>
      </c>
      <c r="B257" s="6" t="s">
        <v>494</v>
      </c>
    </row>
    <row r="258" spans="1:2" x14ac:dyDescent="0.15">
      <c r="A258" s="6" t="s">
        <v>519</v>
      </c>
      <c r="B258" s="6" t="s">
        <v>520</v>
      </c>
    </row>
    <row r="259" spans="1:2" x14ac:dyDescent="0.15">
      <c r="A259" s="6" t="s">
        <v>521</v>
      </c>
      <c r="B259" s="6" t="s">
        <v>520</v>
      </c>
    </row>
    <row r="260" spans="1:2" x14ac:dyDescent="0.15">
      <c r="A260" s="6" t="s">
        <v>522</v>
      </c>
      <c r="B260" s="6" t="s">
        <v>520</v>
      </c>
    </row>
    <row r="261" spans="1:2" x14ac:dyDescent="0.15">
      <c r="A261" s="6" t="s">
        <v>523</v>
      </c>
      <c r="B261" s="6" t="s">
        <v>520</v>
      </c>
    </row>
    <row r="262" spans="1:2" x14ac:dyDescent="0.15">
      <c r="A262" s="6" t="s">
        <v>524</v>
      </c>
      <c r="B262" s="6" t="s">
        <v>520</v>
      </c>
    </row>
    <row r="263" spans="1:2" x14ac:dyDescent="0.15">
      <c r="A263" s="6" t="s">
        <v>525</v>
      </c>
      <c r="B263" s="6" t="s">
        <v>520</v>
      </c>
    </row>
    <row r="264" spans="1:2" x14ac:dyDescent="0.15">
      <c r="A264" s="6" t="s">
        <v>526</v>
      </c>
      <c r="B264" s="6" t="s">
        <v>520</v>
      </c>
    </row>
    <row r="265" spans="1:2" x14ac:dyDescent="0.15">
      <c r="A265" s="6" t="s">
        <v>527</v>
      </c>
      <c r="B265" s="6" t="s">
        <v>520</v>
      </c>
    </row>
    <row r="266" spans="1:2" x14ac:dyDescent="0.15">
      <c r="A266" s="6" t="s">
        <v>528</v>
      </c>
      <c r="B266" s="6" t="s">
        <v>520</v>
      </c>
    </row>
    <row r="267" spans="1:2" x14ac:dyDescent="0.15">
      <c r="A267" s="6" t="s">
        <v>529</v>
      </c>
      <c r="B267" s="6" t="s">
        <v>520</v>
      </c>
    </row>
    <row r="268" spans="1:2" x14ac:dyDescent="0.15">
      <c r="A268" s="6" t="s">
        <v>530</v>
      </c>
      <c r="B268" s="6" t="s">
        <v>520</v>
      </c>
    </row>
    <row r="269" spans="1:2" x14ac:dyDescent="0.15">
      <c r="A269" s="6" t="s">
        <v>531</v>
      </c>
      <c r="B269" s="6" t="s">
        <v>532</v>
      </c>
    </row>
    <row r="270" spans="1:2" x14ac:dyDescent="0.15">
      <c r="A270" s="6" t="s">
        <v>533</v>
      </c>
      <c r="B270" s="6" t="s">
        <v>532</v>
      </c>
    </row>
    <row r="271" spans="1:2" x14ac:dyDescent="0.15">
      <c r="A271" s="6" t="s">
        <v>534</v>
      </c>
      <c r="B271" s="6" t="s">
        <v>532</v>
      </c>
    </row>
    <row r="272" spans="1:2" x14ac:dyDescent="0.15">
      <c r="A272" s="6" t="s">
        <v>535</v>
      </c>
      <c r="B272" s="6" t="s">
        <v>532</v>
      </c>
    </row>
    <row r="273" spans="1:2" x14ac:dyDescent="0.15">
      <c r="A273" s="6" t="s">
        <v>536</v>
      </c>
      <c r="B273" s="6" t="s">
        <v>532</v>
      </c>
    </row>
    <row r="274" spans="1:2" x14ac:dyDescent="0.15">
      <c r="A274" s="6" t="s">
        <v>537</v>
      </c>
      <c r="B274" s="6" t="s">
        <v>532</v>
      </c>
    </row>
    <row r="275" spans="1:2" x14ac:dyDescent="0.15">
      <c r="A275" s="6" t="s">
        <v>538</v>
      </c>
      <c r="B275" s="6" t="s">
        <v>532</v>
      </c>
    </row>
    <row r="276" spans="1:2" x14ac:dyDescent="0.15">
      <c r="A276" s="6" t="s">
        <v>539</v>
      </c>
      <c r="B276" s="6" t="s">
        <v>532</v>
      </c>
    </row>
    <row r="277" spans="1:2" x14ac:dyDescent="0.15">
      <c r="A277" s="6" t="s">
        <v>540</v>
      </c>
      <c r="B277" s="6" t="s">
        <v>532</v>
      </c>
    </row>
    <row r="278" spans="1:2" x14ac:dyDescent="0.15">
      <c r="A278" s="6" t="s">
        <v>541</v>
      </c>
      <c r="B278" s="6" t="s">
        <v>532</v>
      </c>
    </row>
    <row r="279" spans="1:2" x14ac:dyDescent="0.15">
      <c r="A279" s="6" t="s">
        <v>542</v>
      </c>
      <c r="B279" s="6" t="s">
        <v>532</v>
      </c>
    </row>
    <row r="280" spans="1:2" x14ac:dyDescent="0.15">
      <c r="A280" s="6" t="s">
        <v>543</v>
      </c>
      <c r="B280" s="6" t="s">
        <v>532</v>
      </c>
    </row>
    <row r="281" spans="1:2" x14ac:dyDescent="0.15">
      <c r="A281" s="6" t="s">
        <v>544</v>
      </c>
      <c r="B281" s="6" t="s">
        <v>532</v>
      </c>
    </row>
    <row r="282" spans="1:2" x14ac:dyDescent="0.15">
      <c r="A282" s="6" t="s">
        <v>545</v>
      </c>
      <c r="B282" s="6" t="s">
        <v>532</v>
      </c>
    </row>
    <row r="283" spans="1:2" x14ac:dyDescent="0.15">
      <c r="A283" s="6" t="s">
        <v>546</v>
      </c>
      <c r="B283" s="6" t="s">
        <v>532</v>
      </c>
    </row>
    <row r="284" spans="1:2" x14ac:dyDescent="0.15">
      <c r="A284" s="6" t="s">
        <v>547</v>
      </c>
      <c r="B284" s="6" t="s">
        <v>532</v>
      </c>
    </row>
    <row r="285" spans="1:2" x14ac:dyDescent="0.15">
      <c r="A285" s="6" t="s">
        <v>548</v>
      </c>
      <c r="B285" s="6" t="s">
        <v>532</v>
      </c>
    </row>
    <row r="286" spans="1:2" x14ac:dyDescent="0.15">
      <c r="A286" s="6" t="s">
        <v>549</v>
      </c>
      <c r="B286" s="6" t="s">
        <v>532</v>
      </c>
    </row>
    <row r="287" spans="1:2" x14ac:dyDescent="0.15">
      <c r="A287" s="6" t="s">
        <v>550</v>
      </c>
      <c r="B287" s="6" t="s">
        <v>532</v>
      </c>
    </row>
    <row r="288" spans="1:2" x14ac:dyDescent="0.15">
      <c r="A288" s="6" t="s">
        <v>551</v>
      </c>
      <c r="B288" s="6" t="s">
        <v>532</v>
      </c>
    </row>
    <row r="289" spans="1:2" x14ac:dyDescent="0.15">
      <c r="A289" s="6" t="s">
        <v>552</v>
      </c>
      <c r="B289" s="6" t="s">
        <v>532</v>
      </c>
    </row>
    <row r="290" spans="1:2" x14ac:dyDescent="0.15">
      <c r="A290" s="6" t="s">
        <v>553</v>
      </c>
      <c r="B290" s="6" t="s">
        <v>532</v>
      </c>
    </row>
    <row r="291" spans="1:2" x14ac:dyDescent="0.15">
      <c r="A291" s="6" t="s">
        <v>554</v>
      </c>
      <c r="B291" s="6" t="s">
        <v>532</v>
      </c>
    </row>
    <row r="292" spans="1:2" x14ac:dyDescent="0.15">
      <c r="A292" s="6" t="s">
        <v>555</v>
      </c>
      <c r="B292" s="6" t="s">
        <v>532</v>
      </c>
    </row>
    <row r="293" spans="1:2" x14ac:dyDescent="0.15">
      <c r="A293" s="6" t="s">
        <v>556</v>
      </c>
      <c r="B293" s="6" t="s">
        <v>532</v>
      </c>
    </row>
    <row r="294" spans="1:2" x14ac:dyDescent="0.15">
      <c r="A294" s="6" t="s">
        <v>557</v>
      </c>
      <c r="B294" s="6" t="s">
        <v>532</v>
      </c>
    </row>
    <row r="295" spans="1:2" x14ac:dyDescent="0.15">
      <c r="A295" s="6" t="s">
        <v>558</v>
      </c>
      <c r="B295" s="6" t="s">
        <v>532</v>
      </c>
    </row>
    <row r="296" spans="1:2" x14ac:dyDescent="0.15">
      <c r="A296" s="6" t="s">
        <v>559</v>
      </c>
      <c r="B296" s="6" t="s">
        <v>532</v>
      </c>
    </row>
    <row r="297" spans="1:2" x14ac:dyDescent="0.15">
      <c r="A297" s="6" t="s">
        <v>560</v>
      </c>
      <c r="B297" s="6" t="s">
        <v>532</v>
      </c>
    </row>
    <row r="298" spans="1:2" x14ac:dyDescent="0.15">
      <c r="A298" s="6" t="s">
        <v>561</v>
      </c>
      <c r="B298" s="6" t="s">
        <v>532</v>
      </c>
    </row>
    <row r="299" spans="1:2" x14ac:dyDescent="0.15">
      <c r="A299" s="6" t="s">
        <v>562</v>
      </c>
      <c r="B299" s="6" t="s">
        <v>532</v>
      </c>
    </row>
    <row r="300" spans="1:2" x14ac:dyDescent="0.15">
      <c r="A300" s="6" t="s">
        <v>563</v>
      </c>
      <c r="B300" s="6" t="s">
        <v>532</v>
      </c>
    </row>
    <row r="301" spans="1:2" x14ac:dyDescent="0.15">
      <c r="A301" s="6" t="s">
        <v>564</v>
      </c>
      <c r="B301" s="6" t="s">
        <v>532</v>
      </c>
    </row>
    <row r="302" spans="1:2" x14ac:dyDescent="0.15">
      <c r="A302" s="6" t="s">
        <v>565</v>
      </c>
      <c r="B302" s="6" t="s">
        <v>532</v>
      </c>
    </row>
    <row r="303" spans="1:2" x14ac:dyDescent="0.15">
      <c r="A303" s="6" t="s">
        <v>566</v>
      </c>
      <c r="B303" s="6" t="s">
        <v>532</v>
      </c>
    </row>
    <row r="304" spans="1:2" x14ac:dyDescent="0.15">
      <c r="A304" s="6" t="s">
        <v>567</v>
      </c>
      <c r="B304" s="6" t="s">
        <v>532</v>
      </c>
    </row>
    <row r="305" spans="1:2" x14ac:dyDescent="0.15">
      <c r="A305" s="6" t="s">
        <v>568</v>
      </c>
      <c r="B305" s="6" t="s">
        <v>532</v>
      </c>
    </row>
    <row r="306" spans="1:2" x14ac:dyDescent="0.15">
      <c r="A306" s="6" t="s">
        <v>569</v>
      </c>
      <c r="B306" s="6" t="s">
        <v>532</v>
      </c>
    </row>
    <row r="307" spans="1:2" x14ac:dyDescent="0.15">
      <c r="A307" s="6" t="s">
        <v>570</v>
      </c>
      <c r="B307" s="6" t="s">
        <v>532</v>
      </c>
    </row>
    <row r="308" spans="1:2" x14ac:dyDescent="0.15">
      <c r="A308" s="6" t="s">
        <v>571</v>
      </c>
      <c r="B308" s="6" t="s">
        <v>532</v>
      </c>
    </row>
    <row r="309" spans="1:2" x14ac:dyDescent="0.15">
      <c r="A309" s="6" t="s">
        <v>572</v>
      </c>
      <c r="B309" s="6" t="s">
        <v>532</v>
      </c>
    </row>
    <row r="310" spans="1:2" x14ac:dyDescent="0.15">
      <c r="A310" s="6" t="s">
        <v>573</v>
      </c>
      <c r="B310" s="6" t="s">
        <v>532</v>
      </c>
    </row>
  </sheetData>
  <conditionalFormatting sqref="A1">
    <cfRule type="duplicateValues" dxfId="11" priority="7"/>
  </conditionalFormatting>
  <conditionalFormatting sqref="A1">
    <cfRule type="duplicateValues" dxfId="10" priority="6"/>
  </conditionalFormatting>
  <conditionalFormatting sqref="A1">
    <cfRule type="duplicateValues" dxfId="9" priority="5"/>
  </conditionalFormatting>
  <conditionalFormatting sqref="A1">
    <cfRule type="duplicateValues" dxfId="8" priority="4"/>
  </conditionalFormatting>
  <conditionalFormatting sqref="A1">
    <cfRule type="duplicateValues" dxfId="7" priority="3"/>
  </conditionalFormatting>
  <conditionalFormatting sqref="A1">
    <cfRule type="duplicateValues" dxfId="6" priority="2"/>
  </conditionalFormatting>
  <conditionalFormatting sqref="A1:A1048576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3"/>
  <sheetViews>
    <sheetView workbookViewId="0">
      <selection sqref="A1:A2"/>
    </sheetView>
  </sheetViews>
  <sheetFormatPr baseColWidth="10" defaultColWidth="9.1640625" defaultRowHeight="14" x14ac:dyDescent="0.2"/>
  <cols>
    <col min="1" max="1" width="18.1640625" style="21" customWidth="1"/>
    <col min="2" max="2" width="7.6640625" style="21" customWidth="1"/>
    <col min="3" max="3" width="7.1640625" style="21" customWidth="1"/>
    <col min="4" max="4" width="7.6640625" style="4" customWidth="1"/>
    <col min="5" max="5" width="12.6640625" style="4" customWidth="1"/>
    <col min="6" max="6" width="16.33203125" style="4" customWidth="1"/>
    <col min="7" max="7" width="9.5" style="4" customWidth="1"/>
    <col min="8" max="8" width="10.5" style="4" customWidth="1"/>
    <col min="9" max="9" width="9.1640625" style="21"/>
    <col min="10" max="10" width="11.1640625" style="21" customWidth="1"/>
    <col min="11" max="16384" width="9.1640625" style="21"/>
  </cols>
  <sheetData>
    <row r="1" spans="1:12" s="4" customFormat="1" x14ac:dyDescent="0.15">
      <c r="A1" s="2" t="s">
        <v>1799</v>
      </c>
      <c r="B1" s="2"/>
      <c r="C1" s="3"/>
      <c r="D1" s="3"/>
      <c r="E1" s="3"/>
      <c r="F1" s="3"/>
      <c r="G1" s="3"/>
      <c r="H1" s="3"/>
    </row>
    <row r="2" spans="1:12" s="4" customFormat="1" ht="75" x14ac:dyDescent="0.15">
      <c r="A2" s="41" t="s">
        <v>1307</v>
      </c>
      <c r="B2" s="42" t="s">
        <v>205</v>
      </c>
      <c r="C2" s="42" t="s">
        <v>1310</v>
      </c>
      <c r="D2" s="42" t="s">
        <v>1311</v>
      </c>
      <c r="E2" s="42" t="s">
        <v>1322</v>
      </c>
      <c r="F2" s="42" t="s">
        <v>1496</v>
      </c>
      <c r="G2" s="43" t="s">
        <v>1308</v>
      </c>
      <c r="H2" s="43" t="s">
        <v>1309</v>
      </c>
      <c r="I2" s="43" t="s">
        <v>1319</v>
      </c>
      <c r="J2" s="42" t="s">
        <v>1320</v>
      </c>
      <c r="K2" s="42" t="s">
        <v>1312</v>
      </c>
      <c r="L2" s="42" t="s">
        <v>1313</v>
      </c>
    </row>
    <row r="3" spans="1:12" x14ac:dyDescent="0.15">
      <c r="A3" s="9" t="s">
        <v>1321</v>
      </c>
      <c r="B3" s="44" t="s">
        <v>1317</v>
      </c>
      <c r="C3" s="45">
        <v>0</v>
      </c>
      <c r="D3" s="45">
        <v>1</v>
      </c>
      <c r="E3" s="45" t="s">
        <v>199</v>
      </c>
      <c r="F3" s="45">
        <v>0.98</v>
      </c>
      <c r="G3" s="46">
        <v>831</v>
      </c>
      <c r="H3" s="46">
        <v>464</v>
      </c>
      <c r="I3" s="46">
        <v>260</v>
      </c>
      <c r="J3" s="47">
        <f t="shared" ref="J3:J12" si="0">(G3+H3)/1555</f>
        <v>0.83279742765273312</v>
      </c>
      <c r="K3" s="47">
        <f t="shared" ref="K3:K12" si="1">G3/(G3+H3)</f>
        <v>0.64169884169884173</v>
      </c>
      <c r="L3" s="47">
        <f>1-K3</f>
        <v>0.35830115830115827</v>
      </c>
    </row>
    <row r="4" spans="1:12" x14ac:dyDescent="0.15">
      <c r="A4" s="9" t="s">
        <v>1260</v>
      </c>
      <c r="B4" s="44" t="s">
        <v>1317</v>
      </c>
      <c r="C4" s="45">
        <v>0</v>
      </c>
      <c r="D4" s="45">
        <v>0.94499999999999995</v>
      </c>
      <c r="E4" s="45" t="s">
        <v>199</v>
      </c>
      <c r="F4" s="45">
        <v>0.48</v>
      </c>
      <c r="G4" s="46">
        <v>789</v>
      </c>
      <c r="H4" s="46">
        <v>456</v>
      </c>
      <c r="I4" s="46">
        <v>310</v>
      </c>
      <c r="J4" s="47">
        <f t="shared" si="0"/>
        <v>0.80064308681672025</v>
      </c>
      <c r="K4" s="47">
        <f t="shared" si="1"/>
        <v>0.63373493975903616</v>
      </c>
      <c r="L4" s="47">
        <f t="shared" ref="L4:L12" si="2">1-K4</f>
        <v>0.36626506024096384</v>
      </c>
    </row>
    <row r="5" spans="1:12" x14ac:dyDescent="0.15">
      <c r="A5" s="9" t="s">
        <v>1300</v>
      </c>
      <c r="B5" s="44" t="s">
        <v>1317</v>
      </c>
      <c r="C5" s="45">
        <v>-1.7929999999999999</v>
      </c>
      <c r="D5" s="45">
        <v>1.32</v>
      </c>
      <c r="E5" s="45" t="s">
        <v>199</v>
      </c>
      <c r="F5" s="45">
        <v>0</v>
      </c>
      <c r="G5" s="46">
        <v>1167</v>
      </c>
      <c r="H5" s="46">
        <v>349</v>
      </c>
      <c r="I5" s="46">
        <v>39</v>
      </c>
      <c r="J5" s="47">
        <f t="shared" si="0"/>
        <v>0.97491961414790995</v>
      </c>
      <c r="K5" s="47">
        <f t="shared" si="1"/>
        <v>0.76978891820580475</v>
      </c>
      <c r="L5" s="47">
        <f t="shared" si="2"/>
        <v>0.23021108179419525</v>
      </c>
    </row>
    <row r="6" spans="1:12" x14ac:dyDescent="0.15">
      <c r="A6" s="9" t="s">
        <v>1301</v>
      </c>
      <c r="B6" s="44" t="s">
        <v>1318</v>
      </c>
      <c r="C6" s="48">
        <v>0</v>
      </c>
      <c r="D6" s="48">
        <v>1</v>
      </c>
      <c r="E6" s="48" t="s">
        <v>199</v>
      </c>
      <c r="F6" s="48" t="s">
        <v>1314</v>
      </c>
      <c r="G6" s="46">
        <v>785</v>
      </c>
      <c r="H6" s="46">
        <v>582</v>
      </c>
      <c r="I6" s="46">
        <v>188</v>
      </c>
      <c r="J6" s="47">
        <f t="shared" si="0"/>
        <v>0.87909967845659165</v>
      </c>
      <c r="K6" s="47">
        <f t="shared" si="1"/>
        <v>0.57425018288222385</v>
      </c>
      <c r="L6" s="47">
        <f t="shared" si="2"/>
        <v>0.42574981711777615</v>
      </c>
    </row>
    <row r="7" spans="1:12" x14ac:dyDescent="0.15">
      <c r="A7" s="9" t="s">
        <v>1315</v>
      </c>
      <c r="B7" s="44" t="s">
        <v>1318</v>
      </c>
      <c r="C7" s="48">
        <v>-4.4000000000000004</v>
      </c>
      <c r="D7" s="48">
        <v>4.55</v>
      </c>
      <c r="E7" s="48" t="s">
        <v>199</v>
      </c>
      <c r="F7" s="48">
        <v>1.9</v>
      </c>
      <c r="G7" s="46">
        <v>1052</v>
      </c>
      <c r="H7" s="46">
        <v>448</v>
      </c>
      <c r="I7" s="46">
        <v>55</v>
      </c>
      <c r="J7" s="47">
        <f t="shared" si="0"/>
        <v>0.96463022508038587</v>
      </c>
      <c r="K7" s="47">
        <f t="shared" si="1"/>
        <v>0.70133333333333336</v>
      </c>
      <c r="L7" s="47">
        <f t="shared" si="2"/>
        <v>0.29866666666666664</v>
      </c>
    </row>
    <row r="8" spans="1:12" x14ac:dyDescent="0.15">
      <c r="A8" s="9" t="s">
        <v>1316</v>
      </c>
      <c r="B8" s="44" t="s">
        <v>1318</v>
      </c>
      <c r="C8" s="48">
        <v>0</v>
      </c>
      <c r="D8" s="48">
        <v>1</v>
      </c>
      <c r="E8" s="48" t="s">
        <v>199</v>
      </c>
      <c r="F8" s="48">
        <v>0.7</v>
      </c>
      <c r="G8" s="46">
        <v>823</v>
      </c>
      <c r="H8" s="46">
        <v>604</v>
      </c>
      <c r="I8" s="46">
        <v>128</v>
      </c>
      <c r="J8" s="47">
        <f t="shared" si="0"/>
        <v>0.91768488745980703</v>
      </c>
      <c r="K8" s="47">
        <f t="shared" si="1"/>
        <v>0.5767344078486335</v>
      </c>
      <c r="L8" s="47">
        <f t="shared" si="2"/>
        <v>0.4232655921513665</v>
      </c>
    </row>
    <row r="9" spans="1:12" x14ac:dyDescent="0.15">
      <c r="A9" s="9" t="s">
        <v>1323</v>
      </c>
      <c r="B9" s="44" t="s">
        <v>1318</v>
      </c>
      <c r="C9" s="48">
        <v>0</v>
      </c>
      <c r="D9" s="48">
        <v>1</v>
      </c>
      <c r="E9" s="48" t="s">
        <v>199</v>
      </c>
      <c r="F9" s="48">
        <v>0.45</v>
      </c>
      <c r="G9" s="46">
        <v>724</v>
      </c>
      <c r="H9" s="46">
        <v>789</v>
      </c>
      <c r="I9" s="46">
        <v>42</v>
      </c>
      <c r="J9" s="47">
        <f t="shared" si="0"/>
        <v>0.97299035369774922</v>
      </c>
      <c r="K9" s="47">
        <f t="shared" si="1"/>
        <v>0.47851949768671515</v>
      </c>
      <c r="L9" s="47">
        <f t="shared" si="2"/>
        <v>0.52148050231328491</v>
      </c>
    </row>
    <row r="10" spans="1:12" x14ac:dyDescent="0.15">
      <c r="A10" s="49" t="s">
        <v>1302</v>
      </c>
      <c r="B10" s="44" t="s">
        <v>1318</v>
      </c>
      <c r="C10" s="48">
        <v>0</v>
      </c>
      <c r="D10" s="48">
        <v>1</v>
      </c>
      <c r="E10" s="48" t="s">
        <v>204</v>
      </c>
      <c r="F10" s="44" t="s">
        <v>1324</v>
      </c>
      <c r="G10" s="44">
        <v>999</v>
      </c>
      <c r="H10" s="44">
        <v>519</v>
      </c>
      <c r="I10" s="44">
        <v>37</v>
      </c>
      <c r="J10" s="47">
        <f t="shared" si="0"/>
        <v>0.97620578778135048</v>
      </c>
      <c r="K10" s="47">
        <f t="shared" si="1"/>
        <v>0.65810276679841895</v>
      </c>
      <c r="L10" s="47">
        <f t="shared" si="2"/>
        <v>0.34189723320158105</v>
      </c>
    </row>
    <row r="11" spans="1:12" x14ac:dyDescent="0.15">
      <c r="A11" s="49" t="s">
        <v>1303</v>
      </c>
      <c r="B11" s="44" t="s">
        <v>1318</v>
      </c>
      <c r="C11" s="48">
        <v>-10.38</v>
      </c>
      <c r="D11" s="48">
        <v>6.34</v>
      </c>
      <c r="E11" s="48" t="s">
        <v>204</v>
      </c>
      <c r="F11" s="44" t="s">
        <v>1325</v>
      </c>
      <c r="G11" s="44">
        <v>956</v>
      </c>
      <c r="H11" s="44">
        <v>563</v>
      </c>
      <c r="I11" s="44">
        <v>37</v>
      </c>
      <c r="J11" s="47">
        <f t="shared" si="0"/>
        <v>0.97684887459807079</v>
      </c>
      <c r="K11" s="47">
        <f t="shared" si="1"/>
        <v>0.62936142198815015</v>
      </c>
      <c r="L11" s="47">
        <f t="shared" si="2"/>
        <v>0.37063857801184985</v>
      </c>
    </row>
    <row r="12" spans="1:12" x14ac:dyDescent="0.15">
      <c r="A12" s="49" t="s">
        <v>1304</v>
      </c>
      <c r="B12" s="44" t="s">
        <v>1318</v>
      </c>
      <c r="C12" s="48">
        <v>-4.0369999999999999</v>
      </c>
      <c r="D12" s="48">
        <v>2.9409999999999998</v>
      </c>
      <c r="E12" s="48" t="s">
        <v>204</v>
      </c>
      <c r="F12" s="44">
        <v>0.95</v>
      </c>
      <c r="G12" s="44">
        <v>628</v>
      </c>
      <c r="H12" s="44">
        <v>890</v>
      </c>
      <c r="I12" s="44">
        <v>37</v>
      </c>
      <c r="J12" s="47">
        <f t="shared" si="0"/>
        <v>0.97620578778135048</v>
      </c>
      <c r="K12" s="47">
        <f t="shared" si="1"/>
        <v>0.41370223978919629</v>
      </c>
      <c r="L12" s="47">
        <f t="shared" si="2"/>
        <v>0.58629776021080371</v>
      </c>
    </row>
    <row r="13" spans="1:12" x14ac:dyDescent="0.15">
      <c r="A13" s="49"/>
      <c r="B13" s="44"/>
      <c r="C13" s="48"/>
      <c r="D13" s="48"/>
      <c r="E13" s="48"/>
      <c r="F13" s="44"/>
      <c r="G13" s="44"/>
      <c r="H13" s="44"/>
      <c r="I13" s="44"/>
      <c r="J13" s="124" t="s">
        <v>1497</v>
      </c>
      <c r="K13" s="86">
        <f>AVERAGE(K3:K12)</f>
        <v>0.60772265499903544</v>
      </c>
      <c r="L13" s="86">
        <f>AVERAGE(L3:L12)</f>
        <v>0.39227734500096462</v>
      </c>
    </row>
    <row r="14" spans="1:12" ht="75" x14ac:dyDescent="0.15">
      <c r="A14" s="50" t="s">
        <v>1307</v>
      </c>
      <c r="B14" s="42" t="s">
        <v>205</v>
      </c>
      <c r="C14" s="42" t="s">
        <v>1310</v>
      </c>
      <c r="D14" s="42" t="s">
        <v>1311</v>
      </c>
      <c r="E14" s="42" t="s">
        <v>1322</v>
      </c>
      <c r="F14" s="51" t="s">
        <v>1326</v>
      </c>
      <c r="G14" s="43" t="s">
        <v>1308</v>
      </c>
      <c r="H14" s="43" t="s">
        <v>1309</v>
      </c>
      <c r="I14" s="43" t="s">
        <v>1319</v>
      </c>
      <c r="J14" s="42" t="s">
        <v>1320</v>
      </c>
      <c r="K14" s="42" t="s">
        <v>1312</v>
      </c>
      <c r="L14" s="42" t="s">
        <v>1313</v>
      </c>
    </row>
    <row r="15" spans="1:12" x14ac:dyDescent="0.15">
      <c r="A15" s="49" t="s">
        <v>1299</v>
      </c>
      <c r="B15" s="44" t="s">
        <v>1317</v>
      </c>
      <c r="C15" s="48">
        <v>0</v>
      </c>
      <c r="D15" s="48">
        <v>37</v>
      </c>
      <c r="E15" s="48" t="s">
        <v>45</v>
      </c>
      <c r="F15" s="52">
        <v>18.41</v>
      </c>
      <c r="G15" s="44">
        <v>1164</v>
      </c>
      <c r="H15" s="44">
        <f>1555-G15</f>
        <v>391</v>
      </c>
      <c r="I15" s="44">
        <v>0</v>
      </c>
      <c r="J15" s="53">
        <v>1</v>
      </c>
      <c r="K15" s="53">
        <v>0.75</v>
      </c>
      <c r="L15" s="53">
        <v>0.25</v>
      </c>
    </row>
    <row r="16" spans="1:12" x14ac:dyDescent="0.15">
      <c r="A16" s="49" t="s">
        <v>1305</v>
      </c>
      <c r="B16" s="44" t="s">
        <v>1318</v>
      </c>
      <c r="C16" s="48">
        <v>-12.1</v>
      </c>
      <c r="D16" s="48">
        <v>6.17</v>
      </c>
      <c r="E16" s="48" t="s">
        <v>45</v>
      </c>
      <c r="F16" s="52">
        <v>5.23</v>
      </c>
      <c r="G16" s="44">
        <v>1139</v>
      </c>
      <c r="H16" s="44">
        <f>1555-G16-37</f>
        <v>379</v>
      </c>
      <c r="I16" s="44">
        <v>37</v>
      </c>
      <c r="J16" s="47">
        <f>(1555-37)/1555</f>
        <v>0.97620578778135048</v>
      </c>
      <c r="K16" s="53">
        <v>0.75</v>
      </c>
      <c r="L16" s="53">
        <v>0.25</v>
      </c>
    </row>
    <row r="17" spans="1:12" x14ac:dyDescent="0.15">
      <c r="A17" s="49" t="s">
        <v>1306</v>
      </c>
      <c r="B17" s="44" t="s">
        <v>1318</v>
      </c>
      <c r="C17" s="48">
        <v>0</v>
      </c>
      <c r="D17" s="48">
        <v>25.33</v>
      </c>
      <c r="E17" s="48" t="s">
        <v>45</v>
      </c>
      <c r="F17" s="52">
        <v>15.4842</v>
      </c>
      <c r="G17" s="44">
        <v>1139</v>
      </c>
      <c r="H17" s="44">
        <f>1555-G17-37</f>
        <v>379</v>
      </c>
      <c r="I17" s="44">
        <v>37</v>
      </c>
      <c r="J17" s="47">
        <f>(1555-37)/1555</f>
        <v>0.97620578778135048</v>
      </c>
      <c r="K17" s="53">
        <v>0.75</v>
      </c>
      <c r="L17" s="53">
        <v>0.25</v>
      </c>
    </row>
    <row r="20" spans="1:12" x14ac:dyDescent="0.2">
      <c r="A20" s="161"/>
    </row>
    <row r="21" spans="1:12" x14ac:dyDescent="0.15">
      <c r="A21" s="9"/>
    </row>
    <row r="22" spans="1:12" x14ac:dyDescent="0.15">
      <c r="A22" s="9"/>
    </row>
    <row r="23" spans="1:12" x14ac:dyDescent="0.15">
      <c r="A23" s="9"/>
    </row>
    <row r="24" spans="1:12" x14ac:dyDescent="0.15">
      <c r="A24" s="9"/>
    </row>
    <row r="25" spans="1:12" x14ac:dyDescent="0.15">
      <c r="A25" s="9"/>
    </row>
    <row r="26" spans="1:12" x14ac:dyDescent="0.15">
      <c r="A26" s="9"/>
    </row>
    <row r="27" spans="1:12" x14ac:dyDescent="0.15">
      <c r="A27" s="9"/>
    </row>
    <row r="28" spans="1:12" x14ac:dyDescent="0.15">
      <c r="A28" s="49"/>
    </row>
    <row r="29" spans="1:12" x14ac:dyDescent="0.15">
      <c r="A29" s="49"/>
    </row>
    <row r="30" spans="1:12" x14ac:dyDescent="0.15">
      <c r="A30" s="49"/>
    </row>
    <row r="31" spans="1:12" x14ac:dyDescent="0.15">
      <c r="A31" s="49"/>
    </row>
    <row r="32" spans="1:12" x14ac:dyDescent="0.15">
      <c r="A32" s="49"/>
    </row>
    <row r="33" spans="1:1" x14ac:dyDescent="0.15">
      <c r="A33" s="49"/>
    </row>
  </sheetData>
  <conditionalFormatting sqref="A1:B1">
    <cfRule type="duplicateValues" dxfId="4" priority="8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94"/>
  <sheetViews>
    <sheetView zoomScaleNormal="100" workbookViewId="0"/>
  </sheetViews>
  <sheetFormatPr baseColWidth="10" defaultColWidth="9.1640625" defaultRowHeight="14" x14ac:dyDescent="0.2"/>
  <cols>
    <col min="1" max="1" width="11.5" style="126" customWidth="1"/>
    <col min="2" max="2" width="30.83203125" style="126" bestFit="1" customWidth="1"/>
    <col min="3" max="3" width="41.6640625" style="126" customWidth="1"/>
    <col min="4" max="4" width="53.5" style="126" customWidth="1"/>
    <col min="5" max="6" width="9.1640625" style="139"/>
    <col min="7" max="16384" width="9.1640625" style="126"/>
  </cols>
  <sheetData>
    <row r="1" spans="1:6" x14ac:dyDescent="0.2">
      <c r="A1" s="133" t="s">
        <v>1800</v>
      </c>
    </row>
    <row r="2" spans="1:6" ht="30" x14ac:dyDescent="0.2">
      <c r="A2" s="134" t="s">
        <v>207</v>
      </c>
      <c r="B2" s="134" t="s">
        <v>210</v>
      </c>
      <c r="C2" s="134" t="s">
        <v>879</v>
      </c>
      <c r="D2" s="134" t="s">
        <v>880</v>
      </c>
      <c r="E2" s="140" t="s">
        <v>1509</v>
      </c>
      <c r="F2" s="140" t="s">
        <v>1510</v>
      </c>
    </row>
    <row r="3" spans="1:6" ht="45" x14ac:dyDescent="0.2">
      <c r="A3" s="135" t="s">
        <v>11</v>
      </c>
      <c r="B3" s="135" t="s">
        <v>881</v>
      </c>
      <c r="C3" s="109" t="s">
        <v>882</v>
      </c>
      <c r="D3" s="135" t="s">
        <v>883</v>
      </c>
      <c r="E3" s="141">
        <v>1</v>
      </c>
      <c r="F3" s="141">
        <v>0</v>
      </c>
    </row>
    <row r="4" spans="1:6" ht="30" x14ac:dyDescent="0.2">
      <c r="A4" s="135" t="s">
        <v>11</v>
      </c>
      <c r="B4" s="135" t="s">
        <v>1259</v>
      </c>
      <c r="C4" s="135" t="s">
        <v>1655</v>
      </c>
      <c r="D4" s="135" t="s">
        <v>1697</v>
      </c>
      <c r="E4" s="141">
        <v>0</v>
      </c>
      <c r="F4" s="141">
        <v>0</v>
      </c>
    </row>
    <row r="5" spans="1:6" ht="30" x14ac:dyDescent="0.2">
      <c r="A5" s="135" t="s">
        <v>16</v>
      </c>
      <c r="B5" s="135" t="s">
        <v>884</v>
      </c>
      <c r="C5" s="109" t="s">
        <v>885</v>
      </c>
      <c r="D5" s="135" t="s">
        <v>1533</v>
      </c>
      <c r="E5" s="141">
        <v>0</v>
      </c>
      <c r="F5" s="141">
        <v>1</v>
      </c>
    </row>
    <row r="6" spans="1:6" ht="30" x14ac:dyDescent="0.2">
      <c r="A6" s="135" t="s">
        <v>16</v>
      </c>
      <c r="B6" s="135" t="s">
        <v>887</v>
      </c>
      <c r="C6" s="109" t="s">
        <v>885</v>
      </c>
      <c r="D6" s="135" t="s">
        <v>1532</v>
      </c>
      <c r="E6" s="141">
        <v>0</v>
      </c>
      <c r="F6" s="141">
        <v>1</v>
      </c>
    </row>
    <row r="7" spans="1:6" ht="30" x14ac:dyDescent="0.2">
      <c r="A7" s="135" t="s">
        <v>16</v>
      </c>
      <c r="B7" s="135" t="s">
        <v>1261</v>
      </c>
      <c r="C7" s="135" t="s">
        <v>1673</v>
      </c>
      <c r="D7" s="135" t="s">
        <v>1674</v>
      </c>
      <c r="E7" s="141" t="s">
        <v>1728</v>
      </c>
      <c r="F7" s="141"/>
    </row>
    <row r="8" spans="1:6" ht="30" x14ac:dyDescent="0.2">
      <c r="A8" s="135" t="s">
        <v>16</v>
      </c>
      <c r="B8" s="135" t="s">
        <v>1262</v>
      </c>
      <c r="C8" s="135" t="s">
        <v>1673</v>
      </c>
      <c r="D8" s="135" t="s">
        <v>1674</v>
      </c>
      <c r="E8" s="141" t="s">
        <v>1728</v>
      </c>
      <c r="F8" s="141"/>
    </row>
    <row r="9" spans="1:6" ht="45" x14ac:dyDescent="0.2">
      <c r="A9" s="135" t="s">
        <v>20</v>
      </c>
      <c r="B9" s="135" t="s">
        <v>889</v>
      </c>
      <c r="C9" s="109" t="s">
        <v>1797</v>
      </c>
      <c r="D9" s="135" t="s">
        <v>1796</v>
      </c>
      <c r="E9" s="141">
        <v>0</v>
      </c>
      <c r="F9" s="141">
        <v>1</v>
      </c>
    </row>
    <row r="10" spans="1:6" ht="30" x14ac:dyDescent="0.2">
      <c r="A10" s="135" t="s">
        <v>20</v>
      </c>
      <c r="B10" s="135" t="s">
        <v>888</v>
      </c>
      <c r="C10" s="109" t="s">
        <v>1535</v>
      </c>
      <c r="D10" s="135" t="s">
        <v>1534</v>
      </c>
      <c r="E10" s="141">
        <v>0</v>
      </c>
      <c r="F10" s="141">
        <v>1</v>
      </c>
    </row>
    <row r="11" spans="1:6" ht="30" x14ac:dyDescent="0.2">
      <c r="A11" s="135" t="s">
        <v>21</v>
      </c>
      <c r="B11" s="109" t="s">
        <v>1546</v>
      </c>
      <c r="C11" s="109" t="s">
        <v>891</v>
      </c>
      <c r="D11" s="135" t="s">
        <v>1547</v>
      </c>
      <c r="E11" s="141">
        <v>0</v>
      </c>
      <c r="F11" s="141">
        <v>1</v>
      </c>
    </row>
    <row r="12" spans="1:6" ht="30" x14ac:dyDescent="0.2">
      <c r="A12" s="135" t="s">
        <v>21</v>
      </c>
      <c r="B12" s="109" t="s">
        <v>1543</v>
      </c>
      <c r="C12" s="109" t="s">
        <v>892</v>
      </c>
      <c r="D12" s="135" t="s">
        <v>1548</v>
      </c>
      <c r="E12" s="141">
        <v>0</v>
      </c>
      <c r="F12" s="141">
        <v>1</v>
      </c>
    </row>
    <row r="13" spans="1:6" ht="30" x14ac:dyDescent="0.2">
      <c r="A13" s="135" t="s">
        <v>21</v>
      </c>
      <c r="B13" s="109" t="s">
        <v>1544</v>
      </c>
      <c r="C13" s="109" t="s">
        <v>890</v>
      </c>
      <c r="D13" s="135" t="s">
        <v>1545</v>
      </c>
      <c r="E13" s="141">
        <v>1</v>
      </c>
      <c r="F13" s="141">
        <v>0</v>
      </c>
    </row>
    <row r="14" spans="1:6" ht="30" x14ac:dyDescent="0.2">
      <c r="A14" s="135" t="s">
        <v>23</v>
      </c>
      <c r="B14" s="135" t="s">
        <v>901</v>
      </c>
      <c r="C14" s="109" t="s">
        <v>896</v>
      </c>
      <c r="D14" s="135" t="s">
        <v>1550</v>
      </c>
      <c r="E14" s="141">
        <v>0</v>
      </c>
      <c r="F14" s="141">
        <v>1</v>
      </c>
    </row>
    <row r="15" spans="1:6" ht="30" x14ac:dyDescent="0.2">
      <c r="A15" s="135" t="s">
        <v>23</v>
      </c>
      <c r="B15" s="135" t="s">
        <v>899</v>
      </c>
      <c r="C15" s="109" t="s">
        <v>896</v>
      </c>
      <c r="D15" s="135" t="s">
        <v>1550</v>
      </c>
      <c r="E15" s="141">
        <v>0</v>
      </c>
      <c r="F15" s="141">
        <v>1</v>
      </c>
    </row>
    <row r="16" spans="1:6" ht="30" x14ac:dyDescent="0.2">
      <c r="A16" s="135" t="s">
        <v>23</v>
      </c>
      <c r="B16" s="135" t="s">
        <v>900</v>
      </c>
      <c r="C16" s="109" t="s">
        <v>896</v>
      </c>
      <c r="D16" s="135" t="s">
        <v>1550</v>
      </c>
      <c r="E16" s="141">
        <v>0</v>
      </c>
      <c r="F16" s="141">
        <v>1</v>
      </c>
    </row>
    <row r="17" spans="1:6" ht="30" x14ac:dyDescent="0.2">
      <c r="A17" s="135" t="s">
        <v>23</v>
      </c>
      <c r="B17" s="135" t="s">
        <v>897</v>
      </c>
      <c r="C17" s="109" t="s">
        <v>896</v>
      </c>
      <c r="D17" s="135" t="s">
        <v>1550</v>
      </c>
      <c r="E17" s="141">
        <v>0</v>
      </c>
      <c r="F17" s="141">
        <v>1</v>
      </c>
    </row>
    <row r="18" spans="1:6" ht="30" x14ac:dyDescent="0.2">
      <c r="A18" s="135" t="s">
        <v>23</v>
      </c>
      <c r="B18" s="135" t="s">
        <v>898</v>
      </c>
      <c r="C18" s="109" t="s">
        <v>894</v>
      </c>
      <c r="D18" s="135" t="s">
        <v>1551</v>
      </c>
      <c r="E18" s="141">
        <v>0</v>
      </c>
      <c r="F18" s="141">
        <v>0</v>
      </c>
    </row>
    <row r="19" spans="1:6" ht="30" x14ac:dyDescent="0.2">
      <c r="A19" s="135" t="s">
        <v>23</v>
      </c>
      <c r="B19" s="135" t="s">
        <v>895</v>
      </c>
      <c r="C19" s="109" t="s">
        <v>896</v>
      </c>
      <c r="D19" s="135" t="s">
        <v>1549</v>
      </c>
      <c r="E19" s="141">
        <v>0</v>
      </c>
      <c r="F19" s="141">
        <v>1</v>
      </c>
    </row>
    <row r="20" spans="1:6" ht="30" x14ac:dyDescent="0.2">
      <c r="A20" s="135" t="s">
        <v>23</v>
      </c>
      <c r="B20" s="135" t="s">
        <v>893</v>
      </c>
      <c r="C20" s="109" t="s">
        <v>894</v>
      </c>
      <c r="D20" s="135" t="s">
        <v>1552</v>
      </c>
      <c r="E20" s="141">
        <v>1</v>
      </c>
      <c r="F20" s="141">
        <v>0</v>
      </c>
    </row>
    <row r="21" spans="1:6" ht="45" x14ac:dyDescent="0.2">
      <c r="A21" s="135" t="s">
        <v>23</v>
      </c>
      <c r="B21" s="135" t="s">
        <v>1263</v>
      </c>
      <c r="C21" s="135" t="s">
        <v>1675</v>
      </c>
      <c r="D21" s="135" t="s">
        <v>1710</v>
      </c>
      <c r="E21" s="141">
        <v>0</v>
      </c>
      <c r="F21" s="141">
        <v>0</v>
      </c>
    </row>
    <row r="22" spans="1:6" ht="30" x14ac:dyDescent="0.2">
      <c r="A22" s="135" t="s">
        <v>29</v>
      </c>
      <c r="B22" s="135" t="s">
        <v>1264</v>
      </c>
      <c r="C22" s="135" t="s">
        <v>1683</v>
      </c>
      <c r="D22" s="135" t="s">
        <v>1723</v>
      </c>
      <c r="E22" s="141">
        <v>0</v>
      </c>
      <c r="F22" s="141">
        <v>0</v>
      </c>
    </row>
    <row r="23" spans="1:6" ht="30" x14ac:dyDescent="0.2">
      <c r="A23" s="135" t="s">
        <v>6</v>
      </c>
      <c r="B23" s="135" t="s">
        <v>902</v>
      </c>
      <c r="C23" s="109" t="s">
        <v>903</v>
      </c>
      <c r="D23" s="109" t="s">
        <v>1553</v>
      </c>
      <c r="E23" s="141">
        <v>1</v>
      </c>
      <c r="F23" s="141">
        <v>0</v>
      </c>
    </row>
    <row r="24" spans="1:6" ht="30" x14ac:dyDescent="0.2">
      <c r="A24" s="135" t="s">
        <v>6</v>
      </c>
      <c r="B24" s="135" t="s">
        <v>913</v>
      </c>
      <c r="C24" s="109" t="s">
        <v>903</v>
      </c>
      <c r="D24" s="109" t="s">
        <v>1554</v>
      </c>
      <c r="E24" s="141">
        <v>0</v>
      </c>
      <c r="F24" s="141">
        <v>1</v>
      </c>
    </row>
    <row r="25" spans="1:6" ht="30" x14ac:dyDescent="0.2">
      <c r="A25" s="135" t="s">
        <v>6</v>
      </c>
      <c r="B25" s="135" t="s">
        <v>904</v>
      </c>
      <c r="C25" s="109" t="s">
        <v>903</v>
      </c>
      <c r="D25" s="109" t="s">
        <v>1554</v>
      </c>
      <c r="E25" s="141">
        <v>0</v>
      </c>
      <c r="F25" s="141">
        <v>1</v>
      </c>
    </row>
    <row r="26" spans="1:6" ht="32.25" customHeight="1" x14ac:dyDescent="0.2">
      <c r="A26" s="135" t="s">
        <v>6</v>
      </c>
      <c r="B26" s="135" t="s">
        <v>905</v>
      </c>
      <c r="C26" s="109" t="s">
        <v>906</v>
      </c>
      <c r="D26" s="135" t="s">
        <v>1555</v>
      </c>
      <c r="E26" s="141">
        <v>0</v>
      </c>
      <c r="F26" s="141">
        <v>1</v>
      </c>
    </row>
    <row r="27" spans="1:6" ht="30.75" customHeight="1" x14ac:dyDescent="0.2">
      <c r="A27" s="135" t="s">
        <v>6</v>
      </c>
      <c r="B27" s="135" t="s">
        <v>907</v>
      </c>
      <c r="C27" s="109" t="s">
        <v>903</v>
      </c>
      <c r="D27" s="109" t="s">
        <v>1554</v>
      </c>
      <c r="E27" s="141">
        <v>0</v>
      </c>
      <c r="F27" s="141">
        <v>1</v>
      </c>
    </row>
    <row r="28" spans="1:6" ht="30" x14ac:dyDescent="0.2">
      <c r="A28" s="135" t="s">
        <v>6</v>
      </c>
      <c r="B28" s="135" t="s">
        <v>908</v>
      </c>
      <c r="C28" s="109" t="s">
        <v>903</v>
      </c>
      <c r="D28" s="109" t="s">
        <v>1554</v>
      </c>
      <c r="E28" s="141">
        <v>0</v>
      </c>
      <c r="F28" s="141">
        <v>1</v>
      </c>
    </row>
    <row r="29" spans="1:6" ht="30" x14ac:dyDescent="0.2">
      <c r="A29" s="135" t="s">
        <v>6</v>
      </c>
      <c r="B29" s="135" t="s">
        <v>910</v>
      </c>
      <c r="C29" s="109" t="s">
        <v>911</v>
      </c>
      <c r="D29" s="135" t="s">
        <v>1556</v>
      </c>
      <c r="E29" s="141">
        <v>0</v>
      </c>
      <c r="F29" s="141">
        <v>1</v>
      </c>
    </row>
    <row r="30" spans="1:6" ht="30" x14ac:dyDescent="0.2">
      <c r="A30" s="135" t="s">
        <v>6</v>
      </c>
      <c r="B30" s="135" t="s">
        <v>912</v>
      </c>
      <c r="C30" s="109" t="s">
        <v>903</v>
      </c>
      <c r="D30" s="109" t="s">
        <v>1553</v>
      </c>
      <c r="E30" s="141">
        <v>1</v>
      </c>
      <c r="F30" s="141">
        <v>0</v>
      </c>
    </row>
    <row r="31" spans="1:6" ht="30" x14ac:dyDescent="0.2">
      <c r="A31" s="135" t="s">
        <v>6</v>
      </c>
      <c r="B31" s="135" t="s">
        <v>1266</v>
      </c>
      <c r="C31" s="135" t="s">
        <v>1689</v>
      </c>
      <c r="D31" s="135" t="s">
        <v>1725</v>
      </c>
      <c r="E31" s="141">
        <v>0</v>
      </c>
      <c r="F31" s="141">
        <v>0</v>
      </c>
    </row>
    <row r="32" spans="1:6" ht="30" x14ac:dyDescent="0.2">
      <c r="A32" s="135" t="s">
        <v>6</v>
      </c>
      <c r="B32" s="135" t="s">
        <v>1265</v>
      </c>
      <c r="C32" s="135" t="s">
        <v>1690</v>
      </c>
      <c r="D32" s="135" t="s">
        <v>1691</v>
      </c>
      <c r="E32" s="141">
        <v>0</v>
      </c>
      <c r="F32" s="141">
        <v>0</v>
      </c>
    </row>
    <row r="33" spans="1:6" ht="30" x14ac:dyDescent="0.2">
      <c r="A33" s="135" t="s">
        <v>9</v>
      </c>
      <c r="B33" s="135" t="s">
        <v>925</v>
      </c>
      <c r="C33" s="135" t="s">
        <v>915</v>
      </c>
      <c r="D33" s="135" t="s">
        <v>1557</v>
      </c>
      <c r="E33" s="141">
        <v>0</v>
      </c>
      <c r="F33" s="141">
        <v>1</v>
      </c>
    </row>
    <row r="34" spans="1:6" ht="30" x14ac:dyDescent="0.2">
      <c r="A34" s="135" t="s">
        <v>9</v>
      </c>
      <c r="B34" s="135" t="s">
        <v>914</v>
      </c>
      <c r="C34" s="135" t="s">
        <v>915</v>
      </c>
      <c r="D34" s="135" t="s">
        <v>1557</v>
      </c>
      <c r="E34" s="141">
        <v>0</v>
      </c>
      <c r="F34" s="141">
        <v>1</v>
      </c>
    </row>
    <row r="35" spans="1:6" ht="72.75" customHeight="1" x14ac:dyDescent="0.2">
      <c r="A35" s="135" t="s">
        <v>9</v>
      </c>
      <c r="B35" s="135" t="s">
        <v>916</v>
      </c>
      <c r="C35" s="109" t="s">
        <v>917</v>
      </c>
      <c r="D35" s="135" t="s">
        <v>1558</v>
      </c>
      <c r="E35" s="141">
        <v>0</v>
      </c>
      <c r="F35" s="141">
        <v>1</v>
      </c>
    </row>
    <row r="36" spans="1:6" ht="30" x14ac:dyDescent="0.2">
      <c r="A36" s="135" t="s">
        <v>9</v>
      </c>
      <c r="B36" s="135" t="s">
        <v>918</v>
      </c>
      <c r="C36" s="135" t="s">
        <v>919</v>
      </c>
      <c r="D36" s="109" t="s">
        <v>920</v>
      </c>
      <c r="E36" s="141">
        <v>1</v>
      </c>
      <c r="F36" s="141">
        <v>0</v>
      </c>
    </row>
    <row r="37" spans="1:6" ht="30" x14ac:dyDescent="0.2">
      <c r="A37" s="135" t="s">
        <v>9</v>
      </c>
      <c r="B37" s="135" t="s">
        <v>921</v>
      </c>
      <c r="C37" s="109" t="s">
        <v>919</v>
      </c>
      <c r="D37" s="135" t="s">
        <v>922</v>
      </c>
      <c r="E37" s="141">
        <v>0</v>
      </c>
      <c r="F37" s="141">
        <v>1</v>
      </c>
    </row>
    <row r="38" spans="1:6" ht="30" x14ac:dyDescent="0.2">
      <c r="A38" s="135" t="s">
        <v>9</v>
      </c>
      <c r="B38" s="135" t="s">
        <v>923</v>
      </c>
      <c r="C38" s="109" t="s">
        <v>919</v>
      </c>
      <c r="D38" s="135" t="s">
        <v>922</v>
      </c>
      <c r="E38" s="141">
        <v>0</v>
      </c>
      <c r="F38" s="141">
        <v>1</v>
      </c>
    </row>
    <row r="39" spans="1:6" ht="46.5" customHeight="1" x14ac:dyDescent="0.2">
      <c r="A39" s="135" t="s">
        <v>9</v>
      </c>
      <c r="B39" s="135" t="s">
        <v>924</v>
      </c>
      <c r="C39" s="109" t="s">
        <v>919</v>
      </c>
      <c r="D39" s="135" t="s">
        <v>922</v>
      </c>
      <c r="E39" s="141">
        <v>0</v>
      </c>
      <c r="F39" s="141">
        <v>1</v>
      </c>
    </row>
    <row r="40" spans="1:6" ht="30" x14ac:dyDescent="0.2">
      <c r="A40" s="135" t="s">
        <v>9</v>
      </c>
      <c r="B40" s="135" t="s">
        <v>1267</v>
      </c>
      <c r="C40" s="135" t="s">
        <v>1677</v>
      </c>
      <c r="D40" s="135" t="s">
        <v>1716</v>
      </c>
      <c r="E40" s="141">
        <v>0</v>
      </c>
      <c r="F40" s="141">
        <v>1</v>
      </c>
    </row>
    <row r="41" spans="1:6" ht="30" x14ac:dyDescent="0.2">
      <c r="A41" s="135" t="s">
        <v>9</v>
      </c>
      <c r="B41" s="135" t="s">
        <v>1715</v>
      </c>
      <c r="C41" s="135" t="s">
        <v>919</v>
      </c>
      <c r="D41" s="135" t="s">
        <v>1678</v>
      </c>
      <c r="E41" s="141">
        <v>0</v>
      </c>
      <c r="F41" s="141">
        <v>1</v>
      </c>
    </row>
    <row r="42" spans="1:6" ht="30" x14ac:dyDescent="0.2">
      <c r="A42" s="135" t="s">
        <v>32</v>
      </c>
      <c r="B42" s="135" t="s">
        <v>1718</v>
      </c>
      <c r="C42" s="135" t="s">
        <v>1680</v>
      </c>
      <c r="D42" s="135" t="s">
        <v>1719</v>
      </c>
      <c r="E42" s="141">
        <v>0</v>
      </c>
      <c r="F42" s="141">
        <v>1</v>
      </c>
    </row>
    <row r="43" spans="1:6" ht="45" x14ac:dyDescent="0.2">
      <c r="A43" s="135" t="s">
        <v>33</v>
      </c>
      <c r="B43" s="135" t="s">
        <v>926</v>
      </c>
      <c r="C43" s="109" t="s">
        <v>927</v>
      </c>
      <c r="D43" s="109" t="s">
        <v>1559</v>
      </c>
      <c r="E43" s="141">
        <v>1</v>
      </c>
      <c r="F43" s="141">
        <v>0</v>
      </c>
    </row>
    <row r="44" spans="1:6" ht="30" x14ac:dyDescent="0.2">
      <c r="A44" s="135" t="s">
        <v>36</v>
      </c>
      <c r="B44" s="135" t="s">
        <v>928</v>
      </c>
      <c r="C44" s="109" t="s">
        <v>929</v>
      </c>
      <c r="D44" s="109" t="s">
        <v>1560</v>
      </c>
      <c r="E44" s="141">
        <v>0</v>
      </c>
      <c r="F44" s="141">
        <v>0</v>
      </c>
    </row>
    <row r="45" spans="1:6" ht="75" x14ac:dyDescent="0.2">
      <c r="A45" s="135" t="s">
        <v>46</v>
      </c>
      <c r="B45" s="135" t="s">
        <v>933</v>
      </c>
      <c r="C45" s="109" t="s">
        <v>1561</v>
      </c>
      <c r="D45" s="109" t="s">
        <v>1562</v>
      </c>
      <c r="E45" s="141">
        <v>1</v>
      </c>
      <c r="F45" s="141">
        <v>1</v>
      </c>
    </row>
    <row r="46" spans="1:6" ht="60" x14ac:dyDescent="0.2">
      <c r="A46" s="135" t="s">
        <v>46</v>
      </c>
      <c r="B46" s="135" t="s">
        <v>933</v>
      </c>
      <c r="C46" s="109" t="s">
        <v>1739</v>
      </c>
      <c r="D46" s="109" t="s">
        <v>1738</v>
      </c>
      <c r="E46" s="141" t="s">
        <v>44</v>
      </c>
      <c r="F46" s="141"/>
    </row>
    <row r="47" spans="1:6" ht="30" x14ac:dyDescent="0.2">
      <c r="A47" s="135" t="s">
        <v>46</v>
      </c>
      <c r="B47" s="135" t="s">
        <v>934</v>
      </c>
      <c r="C47" s="109" t="s">
        <v>931</v>
      </c>
      <c r="D47" s="135" t="s">
        <v>1563</v>
      </c>
      <c r="E47" s="141">
        <v>0</v>
      </c>
      <c r="F47" s="141">
        <v>0</v>
      </c>
    </row>
    <row r="48" spans="1:6" ht="30" x14ac:dyDescent="0.2">
      <c r="A48" s="135" t="s">
        <v>46</v>
      </c>
      <c r="B48" s="135" t="s">
        <v>932</v>
      </c>
      <c r="C48" s="109" t="s">
        <v>931</v>
      </c>
      <c r="D48" s="109" t="s">
        <v>1564</v>
      </c>
      <c r="E48" s="141">
        <v>1</v>
      </c>
      <c r="F48" s="141">
        <v>0</v>
      </c>
    </row>
    <row r="49" spans="1:6" ht="30" x14ac:dyDescent="0.2">
      <c r="A49" s="135" t="s">
        <v>46</v>
      </c>
      <c r="B49" s="135" t="s">
        <v>930</v>
      </c>
      <c r="C49" s="109" t="s">
        <v>931</v>
      </c>
      <c r="D49" s="135" t="s">
        <v>1563</v>
      </c>
      <c r="E49" s="141">
        <v>0</v>
      </c>
      <c r="F49" s="141">
        <v>0</v>
      </c>
    </row>
    <row r="50" spans="1:6" ht="45" x14ac:dyDescent="0.2">
      <c r="A50" s="135" t="s">
        <v>46</v>
      </c>
      <c r="B50" s="135" t="s">
        <v>935</v>
      </c>
      <c r="C50" s="109" t="s">
        <v>1565</v>
      </c>
      <c r="D50" s="109" t="s">
        <v>1564</v>
      </c>
      <c r="E50" s="141">
        <v>1</v>
      </c>
      <c r="F50" s="141">
        <v>0</v>
      </c>
    </row>
    <row r="51" spans="1:6" ht="30" x14ac:dyDescent="0.2">
      <c r="A51" s="135" t="s">
        <v>59</v>
      </c>
      <c r="B51" s="135" t="s">
        <v>936</v>
      </c>
      <c r="C51" s="109" t="s">
        <v>937</v>
      </c>
      <c r="D51" s="109" t="s">
        <v>938</v>
      </c>
      <c r="E51" s="141">
        <v>1</v>
      </c>
      <c r="F51" s="141">
        <v>0</v>
      </c>
    </row>
    <row r="52" spans="1:6" ht="30" x14ac:dyDescent="0.2">
      <c r="A52" s="135" t="s">
        <v>62</v>
      </c>
      <c r="B52" s="135" t="s">
        <v>1653</v>
      </c>
      <c r="C52" s="135" t="s">
        <v>1696</v>
      </c>
      <c r="D52" s="135" t="s">
        <v>1654</v>
      </c>
      <c r="E52" s="141" t="s">
        <v>1728</v>
      </c>
      <c r="F52" s="141"/>
    </row>
    <row r="53" spans="1:6" ht="45" x14ac:dyDescent="0.2">
      <c r="A53" s="135" t="s">
        <v>63</v>
      </c>
      <c r="B53" s="135" t="s">
        <v>1270</v>
      </c>
      <c r="C53" s="135" t="s">
        <v>1692</v>
      </c>
      <c r="D53" s="135" t="s">
        <v>1724</v>
      </c>
      <c r="E53" s="141">
        <v>0</v>
      </c>
      <c r="F53" s="141">
        <v>0</v>
      </c>
    </row>
    <row r="54" spans="1:6" ht="30" x14ac:dyDescent="0.2">
      <c r="A54" s="135" t="s">
        <v>70</v>
      </c>
      <c r="B54" s="135" t="s">
        <v>939</v>
      </c>
      <c r="C54" s="109" t="s">
        <v>940</v>
      </c>
      <c r="D54" s="135" t="s">
        <v>1566</v>
      </c>
      <c r="E54" s="141">
        <v>0</v>
      </c>
      <c r="F54" s="141">
        <v>1</v>
      </c>
    </row>
    <row r="55" spans="1:6" ht="30" x14ac:dyDescent="0.2">
      <c r="A55" s="109" t="s">
        <v>74</v>
      </c>
      <c r="B55" s="109" t="s">
        <v>941</v>
      </c>
      <c r="C55" s="109" t="s">
        <v>942</v>
      </c>
      <c r="D55" s="109" t="s">
        <v>1567</v>
      </c>
      <c r="E55" s="141">
        <v>0</v>
      </c>
      <c r="F55" s="141">
        <v>1</v>
      </c>
    </row>
    <row r="56" spans="1:6" ht="30" x14ac:dyDescent="0.2">
      <c r="A56" s="135" t="s">
        <v>78</v>
      </c>
      <c r="B56" s="135" t="s">
        <v>1272</v>
      </c>
      <c r="C56" s="135" t="s">
        <v>1671</v>
      </c>
      <c r="D56" s="135" t="s">
        <v>1705</v>
      </c>
      <c r="E56" s="141">
        <v>0</v>
      </c>
      <c r="F56" s="141">
        <v>1</v>
      </c>
    </row>
    <row r="57" spans="1:6" ht="45" x14ac:dyDescent="0.2">
      <c r="A57" s="135" t="s">
        <v>80</v>
      </c>
      <c r="B57" s="135" t="s">
        <v>1570</v>
      </c>
      <c r="C57" s="135" t="s">
        <v>943</v>
      </c>
      <c r="D57" s="109" t="s">
        <v>1569</v>
      </c>
      <c r="E57" s="141">
        <v>1</v>
      </c>
      <c r="F57" s="141">
        <v>0</v>
      </c>
    </row>
    <row r="58" spans="1:6" ht="45" x14ac:dyDescent="0.2">
      <c r="A58" s="135" t="s">
        <v>80</v>
      </c>
      <c r="B58" s="135" t="s">
        <v>1568</v>
      </c>
      <c r="C58" s="135" t="s">
        <v>943</v>
      </c>
      <c r="D58" s="109" t="s">
        <v>1571</v>
      </c>
      <c r="E58" s="141">
        <v>0</v>
      </c>
      <c r="F58" s="141">
        <v>0</v>
      </c>
    </row>
    <row r="59" spans="1:6" ht="30" x14ac:dyDescent="0.2">
      <c r="A59" s="135" t="s">
        <v>82</v>
      </c>
      <c r="B59" s="135" t="s">
        <v>945</v>
      </c>
      <c r="C59" s="109" t="s">
        <v>946</v>
      </c>
      <c r="D59" s="109" t="s">
        <v>1572</v>
      </c>
      <c r="E59" s="141">
        <v>1</v>
      </c>
      <c r="F59" s="141">
        <v>0</v>
      </c>
    </row>
    <row r="60" spans="1:6" ht="30" x14ac:dyDescent="0.2">
      <c r="A60" s="135" t="s">
        <v>86</v>
      </c>
      <c r="B60" s="135" t="s">
        <v>947</v>
      </c>
      <c r="C60" s="109" t="s">
        <v>948</v>
      </c>
      <c r="D60" s="109" t="s">
        <v>1573</v>
      </c>
      <c r="E60" s="141">
        <v>0</v>
      </c>
      <c r="F60" s="141">
        <v>0</v>
      </c>
    </row>
    <row r="61" spans="1:6" ht="30" x14ac:dyDescent="0.2">
      <c r="A61" s="135" t="s">
        <v>88</v>
      </c>
      <c r="B61" s="135" t="s">
        <v>951</v>
      </c>
      <c r="C61" s="109" t="s">
        <v>950</v>
      </c>
      <c r="D61" s="109" t="s">
        <v>1574</v>
      </c>
      <c r="E61" s="141">
        <v>0</v>
      </c>
      <c r="F61" s="141">
        <v>0</v>
      </c>
    </row>
    <row r="62" spans="1:6" ht="30" x14ac:dyDescent="0.2">
      <c r="A62" s="135" t="s">
        <v>88</v>
      </c>
      <c r="B62" s="135" t="s">
        <v>953</v>
      </c>
      <c r="C62" s="109" t="s">
        <v>954</v>
      </c>
      <c r="D62" s="135" t="s">
        <v>886</v>
      </c>
      <c r="E62" s="141">
        <v>0</v>
      </c>
      <c r="F62" s="141">
        <v>1</v>
      </c>
    </row>
    <row r="63" spans="1:6" ht="30" x14ac:dyDescent="0.2">
      <c r="A63" s="135" t="s">
        <v>88</v>
      </c>
      <c r="B63" s="135" t="s">
        <v>949</v>
      </c>
      <c r="C63" s="109" t="s">
        <v>950</v>
      </c>
      <c r="D63" s="109" t="s">
        <v>1575</v>
      </c>
      <c r="E63" s="141">
        <v>1</v>
      </c>
      <c r="F63" s="141">
        <v>0</v>
      </c>
    </row>
    <row r="64" spans="1:6" s="143" customFormat="1" ht="30" x14ac:dyDescent="0.2">
      <c r="A64" s="135" t="s">
        <v>88</v>
      </c>
      <c r="B64" s="135" t="s">
        <v>952</v>
      </c>
      <c r="C64" s="109" t="s">
        <v>950</v>
      </c>
      <c r="D64" s="109" t="s">
        <v>1576</v>
      </c>
      <c r="E64" s="141">
        <v>1</v>
      </c>
      <c r="F64" s="141">
        <v>0</v>
      </c>
    </row>
    <row r="65" spans="1:6" ht="30" x14ac:dyDescent="0.2">
      <c r="A65" s="135" t="s">
        <v>90</v>
      </c>
      <c r="B65" s="135" t="s">
        <v>1184</v>
      </c>
      <c r="C65" s="109" t="s">
        <v>1582</v>
      </c>
      <c r="D65" s="109" t="s">
        <v>1581</v>
      </c>
      <c r="E65" s="141">
        <v>1</v>
      </c>
      <c r="F65" s="141">
        <v>0</v>
      </c>
    </row>
    <row r="66" spans="1:6" ht="45" x14ac:dyDescent="0.2">
      <c r="A66" s="135" t="s">
        <v>90</v>
      </c>
      <c r="B66" s="135" t="s">
        <v>960</v>
      </c>
      <c r="C66" s="109" t="s">
        <v>1580</v>
      </c>
      <c r="D66" s="109" t="s">
        <v>1577</v>
      </c>
      <c r="E66" s="141">
        <v>1</v>
      </c>
      <c r="F66" s="141">
        <v>0</v>
      </c>
    </row>
    <row r="67" spans="1:6" ht="30" x14ac:dyDescent="0.2">
      <c r="A67" s="135" t="s">
        <v>90</v>
      </c>
      <c r="B67" s="135" t="s">
        <v>964</v>
      </c>
      <c r="C67" s="109" t="s">
        <v>965</v>
      </c>
      <c r="D67" s="109" t="s">
        <v>1578</v>
      </c>
      <c r="E67" s="141">
        <v>1</v>
      </c>
      <c r="F67" s="141">
        <v>0</v>
      </c>
    </row>
    <row r="68" spans="1:6" ht="45" x14ac:dyDescent="0.2">
      <c r="A68" s="135" t="s">
        <v>90</v>
      </c>
      <c r="B68" s="135" t="s">
        <v>959</v>
      </c>
      <c r="C68" s="109" t="s">
        <v>1579</v>
      </c>
      <c r="D68" s="109" t="s">
        <v>1578</v>
      </c>
      <c r="E68" s="141">
        <v>1</v>
      </c>
      <c r="F68" s="141">
        <v>0</v>
      </c>
    </row>
    <row r="69" spans="1:6" ht="30" x14ac:dyDescent="0.2">
      <c r="A69" s="135" t="s">
        <v>90</v>
      </c>
      <c r="B69" s="135" t="s">
        <v>957</v>
      </c>
      <c r="C69" s="109" t="s">
        <v>958</v>
      </c>
      <c r="D69" s="135" t="s">
        <v>1584</v>
      </c>
      <c r="E69" s="141">
        <v>0</v>
      </c>
      <c r="F69" s="141">
        <v>1</v>
      </c>
    </row>
    <row r="70" spans="1:6" ht="30" x14ac:dyDescent="0.2">
      <c r="A70" s="135" t="s">
        <v>90</v>
      </c>
      <c r="B70" s="135" t="s">
        <v>955</v>
      </c>
      <c r="C70" s="109" t="s">
        <v>956</v>
      </c>
      <c r="D70" s="109" t="s">
        <v>1583</v>
      </c>
      <c r="E70" s="141">
        <v>1</v>
      </c>
      <c r="F70" s="141">
        <v>0</v>
      </c>
    </row>
    <row r="71" spans="1:6" ht="30" x14ac:dyDescent="0.2">
      <c r="A71" s="135" t="s">
        <v>90</v>
      </c>
      <c r="B71" s="135" t="s">
        <v>1273</v>
      </c>
      <c r="C71" s="109" t="s">
        <v>1734</v>
      </c>
      <c r="D71" s="109" t="s">
        <v>1735</v>
      </c>
      <c r="E71" s="141">
        <v>0</v>
      </c>
      <c r="F71" s="141">
        <v>0</v>
      </c>
    </row>
    <row r="72" spans="1:6" ht="30" x14ac:dyDescent="0.2">
      <c r="A72" s="135" t="s">
        <v>90</v>
      </c>
      <c r="B72" s="135" t="s">
        <v>961</v>
      </c>
      <c r="C72" s="109" t="s">
        <v>962</v>
      </c>
      <c r="D72" s="109" t="s">
        <v>963</v>
      </c>
      <c r="E72" s="141">
        <v>1</v>
      </c>
      <c r="F72" s="141">
        <v>0</v>
      </c>
    </row>
    <row r="73" spans="1:6" ht="45" x14ac:dyDescent="0.2">
      <c r="A73" s="135" t="s">
        <v>90</v>
      </c>
      <c r="B73" s="135" t="s">
        <v>1274</v>
      </c>
      <c r="C73" s="135" t="s">
        <v>1714</v>
      </c>
      <c r="D73" s="135" t="s">
        <v>1713</v>
      </c>
      <c r="E73" s="141">
        <v>0</v>
      </c>
      <c r="F73" s="141">
        <v>1</v>
      </c>
    </row>
    <row r="74" spans="1:6" ht="45" x14ac:dyDescent="0.2">
      <c r="A74" s="135" t="s">
        <v>94</v>
      </c>
      <c r="B74" s="135" t="s">
        <v>1181</v>
      </c>
      <c r="C74" s="109" t="s">
        <v>1506</v>
      </c>
      <c r="D74" s="109" t="s">
        <v>1507</v>
      </c>
      <c r="E74" s="141">
        <v>0</v>
      </c>
      <c r="F74" s="141">
        <v>0</v>
      </c>
    </row>
    <row r="75" spans="1:6" ht="30" x14ac:dyDescent="0.2">
      <c r="A75" s="135" t="s">
        <v>94</v>
      </c>
      <c r="B75" s="135" t="s">
        <v>1181</v>
      </c>
      <c r="C75" s="109" t="s">
        <v>1511</v>
      </c>
      <c r="D75" s="109" t="s">
        <v>1529</v>
      </c>
      <c r="E75" s="141" t="s">
        <v>1728</v>
      </c>
      <c r="F75" s="141"/>
    </row>
    <row r="76" spans="1:6" ht="30" x14ac:dyDescent="0.2">
      <c r="A76" s="135" t="s">
        <v>94</v>
      </c>
      <c r="B76" s="135" t="s">
        <v>966</v>
      </c>
      <c r="C76" s="109" t="s">
        <v>967</v>
      </c>
      <c r="D76" s="109" t="s">
        <v>1585</v>
      </c>
      <c r="E76" s="141">
        <v>1</v>
      </c>
      <c r="F76" s="141">
        <v>0</v>
      </c>
    </row>
    <row r="77" spans="1:6" ht="45" x14ac:dyDescent="0.2">
      <c r="A77" s="135" t="s">
        <v>94</v>
      </c>
      <c r="B77" s="135" t="s">
        <v>1182</v>
      </c>
      <c r="C77" s="109" t="s">
        <v>1506</v>
      </c>
      <c r="D77" s="109" t="s">
        <v>1508</v>
      </c>
      <c r="E77" s="141">
        <v>1</v>
      </c>
      <c r="F77" s="141">
        <v>0</v>
      </c>
    </row>
    <row r="78" spans="1:6" ht="30" x14ac:dyDescent="0.2">
      <c r="A78" s="135" t="s">
        <v>94</v>
      </c>
      <c r="B78" s="135" t="s">
        <v>1182</v>
      </c>
      <c r="C78" s="109" t="s">
        <v>1511</v>
      </c>
      <c r="D78" s="109" t="s">
        <v>1530</v>
      </c>
      <c r="E78" s="141" t="s">
        <v>1728</v>
      </c>
      <c r="F78" s="141"/>
    </row>
    <row r="79" spans="1:6" ht="45" x14ac:dyDescent="0.2">
      <c r="A79" s="136" t="s">
        <v>95</v>
      </c>
      <c r="B79" s="136" t="s">
        <v>968</v>
      </c>
      <c r="C79" s="137" t="s">
        <v>969</v>
      </c>
      <c r="D79" s="136" t="s">
        <v>1586</v>
      </c>
      <c r="E79" s="142">
        <v>0</v>
      </c>
      <c r="F79" s="142">
        <v>1</v>
      </c>
    </row>
    <row r="80" spans="1:6" ht="60" x14ac:dyDescent="0.2">
      <c r="A80" s="135" t="s">
        <v>96</v>
      </c>
      <c r="B80" s="135" t="s">
        <v>1453</v>
      </c>
      <c r="C80" s="138" t="s">
        <v>1587</v>
      </c>
      <c r="D80" s="109" t="s">
        <v>1588</v>
      </c>
      <c r="E80" s="141">
        <v>1</v>
      </c>
      <c r="F80" s="141">
        <v>0</v>
      </c>
    </row>
    <row r="81" spans="1:6" ht="60" x14ac:dyDescent="0.2">
      <c r="A81" s="135" t="s">
        <v>96</v>
      </c>
      <c r="B81" s="135" t="s">
        <v>1712</v>
      </c>
      <c r="C81" s="135" t="s">
        <v>1676</v>
      </c>
      <c r="D81" s="135" t="s">
        <v>1711</v>
      </c>
      <c r="E81" s="141">
        <v>0</v>
      </c>
      <c r="F81" s="141">
        <v>0</v>
      </c>
    </row>
    <row r="82" spans="1:6" ht="45" x14ac:dyDescent="0.2">
      <c r="A82" s="135" t="s">
        <v>97</v>
      </c>
      <c r="B82" s="135" t="s">
        <v>970</v>
      </c>
      <c r="C82" s="138" t="s">
        <v>1726</v>
      </c>
      <c r="D82" s="109" t="s">
        <v>1727</v>
      </c>
      <c r="E82" s="141" t="s">
        <v>1729</v>
      </c>
      <c r="F82" s="141"/>
    </row>
    <row r="83" spans="1:6" ht="30" x14ac:dyDescent="0.2">
      <c r="A83" s="135" t="s">
        <v>100</v>
      </c>
      <c r="B83" s="135" t="s">
        <v>971</v>
      </c>
      <c r="C83" s="109" t="s">
        <v>972</v>
      </c>
      <c r="D83" s="135" t="s">
        <v>1589</v>
      </c>
      <c r="E83" s="141">
        <v>0</v>
      </c>
      <c r="F83" s="141">
        <v>1</v>
      </c>
    </row>
    <row r="84" spans="1:6" ht="30" x14ac:dyDescent="0.2">
      <c r="A84" s="135" t="s">
        <v>100</v>
      </c>
      <c r="B84" s="135" t="s">
        <v>973</v>
      </c>
      <c r="C84" s="109" t="s">
        <v>974</v>
      </c>
      <c r="D84" s="109" t="s">
        <v>1590</v>
      </c>
      <c r="E84" s="141">
        <v>1</v>
      </c>
      <c r="F84" s="141">
        <v>0</v>
      </c>
    </row>
    <row r="85" spans="1:6" ht="150" x14ac:dyDescent="0.2">
      <c r="A85" s="135" t="s">
        <v>100</v>
      </c>
      <c r="B85" s="135" t="s">
        <v>1275</v>
      </c>
      <c r="C85" s="135" t="s">
        <v>1666</v>
      </c>
      <c r="D85" s="135" t="s">
        <v>1702</v>
      </c>
      <c r="E85" s="141">
        <v>0</v>
      </c>
      <c r="F85" s="141">
        <v>0</v>
      </c>
    </row>
    <row r="86" spans="1:6" ht="30" x14ac:dyDescent="0.2">
      <c r="A86" s="135" t="s">
        <v>101</v>
      </c>
      <c r="B86" s="135" t="s">
        <v>977</v>
      </c>
      <c r="C86" s="109" t="s">
        <v>978</v>
      </c>
      <c r="D86" s="135" t="s">
        <v>1592</v>
      </c>
      <c r="E86" s="141">
        <v>0</v>
      </c>
      <c r="F86" s="141">
        <v>1</v>
      </c>
    </row>
    <row r="87" spans="1:6" ht="30" x14ac:dyDescent="0.2">
      <c r="A87" s="135" t="s">
        <v>101</v>
      </c>
      <c r="B87" s="135" t="s">
        <v>975</v>
      </c>
      <c r="C87" s="109" t="s">
        <v>976</v>
      </c>
      <c r="D87" s="109" t="s">
        <v>1591</v>
      </c>
      <c r="E87" s="141">
        <v>1</v>
      </c>
      <c r="F87" s="141">
        <v>0</v>
      </c>
    </row>
    <row r="88" spans="1:6" ht="30" x14ac:dyDescent="0.2">
      <c r="A88" s="135" t="s">
        <v>101</v>
      </c>
      <c r="B88" s="135" t="s">
        <v>979</v>
      </c>
      <c r="C88" s="109" t="s">
        <v>980</v>
      </c>
      <c r="D88" s="135" t="s">
        <v>1592</v>
      </c>
      <c r="E88" s="141">
        <v>0</v>
      </c>
      <c r="F88" s="141">
        <v>1</v>
      </c>
    </row>
    <row r="89" spans="1:6" ht="45" x14ac:dyDescent="0.2">
      <c r="A89" s="135" t="s">
        <v>102</v>
      </c>
      <c r="B89" s="135" t="s">
        <v>1276</v>
      </c>
      <c r="C89" s="135" t="s">
        <v>1664</v>
      </c>
      <c r="D89" s="135" t="s">
        <v>1700</v>
      </c>
      <c r="E89" s="141">
        <v>0</v>
      </c>
      <c r="F89" s="141">
        <v>0</v>
      </c>
    </row>
    <row r="90" spans="1:6" ht="30" x14ac:dyDescent="0.2">
      <c r="A90" s="135" t="s">
        <v>106</v>
      </c>
      <c r="B90" s="135" t="s">
        <v>1593</v>
      </c>
      <c r="C90" s="109" t="s">
        <v>1594</v>
      </c>
      <c r="D90" s="109" t="s">
        <v>1595</v>
      </c>
      <c r="E90" s="141">
        <v>0</v>
      </c>
      <c r="F90" s="141">
        <v>0</v>
      </c>
    </row>
    <row r="91" spans="1:6" ht="45" x14ac:dyDescent="0.2">
      <c r="A91" s="135" t="s">
        <v>106</v>
      </c>
      <c r="B91" s="135" t="s">
        <v>1708</v>
      </c>
      <c r="C91" s="135" t="s">
        <v>1672</v>
      </c>
      <c r="D91" s="135" t="s">
        <v>1709</v>
      </c>
      <c r="E91" s="141">
        <v>0</v>
      </c>
      <c r="F91" s="141">
        <v>1</v>
      </c>
    </row>
    <row r="92" spans="1:6" ht="45" x14ac:dyDescent="0.2">
      <c r="A92" s="135" t="s">
        <v>107</v>
      </c>
      <c r="B92" s="135" t="s">
        <v>981</v>
      </c>
      <c r="C92" s="109" t="s">
        <v>982</v>
      </c>
      <c r="D92" s="109" t="s">
        <v>1596</v>
      </c>
      <c r="E92" s="141">
        <v>0</v>
      </c>
      <c r="F92" s="141">
        <v>0</v>
      </c>
    </row>
    <row r="93" spans="1:6" ht="57" customHeight="1" x14ac:dyDescent="0.2">
      <c r="A93" s="135" t="s">
        <v>107</v>
      </c>
      <c r="B93" s="135" t="s">
        <v>983</v>
      </c>
      <c r="C93" s="109" t="s">
        <v>984</v>
      </c>
      <c r="D93" s="109" t="s">
        <v>1597</v>
      </c>
      <c r="E93" s="141">
        <v>0</v>
      </c>
      <c r="F93" s="141">
        <v>0</v>
      </c>
    </row>
    <row r="94" spans="1:6" ht="30" x14ac:dyDescent="0.2">
      <c r="A94" s="109" t="s">
        <v>108</v>
      </c>
      <c r="B94" s="135" t="s">
        <v>985</v>
      </c>
      <c r="C94" s="109" t="s">
        <v>986</v>
      </c>
      <c r="D94" s="109" t="s">
        <v>1598</v>
      </c>
      <c r="E94" s="141">
        <v>1</v>
      </c>
      <c r="F94" s="141">
        <v>0</v>
      </c>
    </row>
    <row r="95" spans="1:6" ht="30" x14ac:dyDescent="0.2">
      <c r="A95" s="135" t="s">
        <v>109</v>
      </c>
      <c r="B95" s="135" t="s">
        <v>987</v>
      </c>
      <c r="C95" s="109" t="s">
        <v>996</v>
      </c>
      <c r="D95" s="109" t="s">
        <v>988</v>
      </c>
      <c r="E95" s="141">
        <v>0</v>
      </c>
      <c r="F95" s="141">
        <v>1</v>
      </c>
    </row>
    <row r="96" spans="1:6" ht="30" x14ac:dyDescent="0.2">
      <c r="A96" s="135" t="s">
        <v>109</v>
      </c>
      <c r="B96" s="135" t="s">
        <v>989</v>
      </c>
      <c r="C96" s="109" t="s">
        <v>990</v>
      </c>
      <c r="D96" s="109" t="s">
        <v>991</v>
      </c>
      <c r="E96" s="141">
        <v>0</v>
      </c>
      <c r="F96" s="141">
        <v>1</v>
      </c>
    </row>
    <row r="97" spans="1:6" ht="30" x14ac:dyDescent="0.2">
      <c r="A97" s="135" t="s">
        <v>109</v>
      </c>
      <c r="B97" s="135" t="s">
        <v>992</v>
      </c>
      <c r="C97" s="109" t="s">
        <v>993</v>
      </c>
      <c r="D97" s="109" t="s">
        <v>994</v>
      </c>
      <c r="E97" s="141">
        <v>0</v>
      </c>
      <c r="F97" s="141">
        <v>0</v>
      </c>
    </row>
    <row r="98" spans="1:6" ht="30" x14ac:dyDescent="0.2">
      <c r="A98" s="135" t="s">
        <v>109</v>
      </c>
      <c r="B98" s="135" t="s">
        <v>995</v>
      </c>
      <c r="C98" s="109" t="s">
        <v>996</v>
      </c>
      <c r="D98" s="109" t="s">
        <v>997</v>
      </c>
      <c r="E98" s="141">
        <v>0</v>
      </c>
      <c r="F98" s="141">
        <v>1</v>
      </c>
    </row>
    <row r="99" spans="1:6" ht="120" x14ac:dyDescent="0.2">
      <c r="A99" s="135" t="s">
        <v>109</v>
      </c>
      <c r="B99" s="135" t="s">
        <v>1277</v>
      </c>
      <c r="C99" s="135" t="s">
        <v>1661</v>
      </c>
      <c r="D99" s="135" t="s">
        <v>1662</v>
      </c>
      <c r="E99" s="141">
        <v>0</v>
      </c>
      <c r="F99" s="141">
        <v>1</v>
      </c>
    </row>
    <row r="100" spans="1:6" ht="30" x14ac:dyDescent="0.2">
      <c r="A100" s="135" t="s">
        <v>111</v>
      </c>
      <c r="B100" s="135" t="s">
        <v>998</v>
      </c>
      <c r="C100" s="135" t="s">
        <v>999</v>
      </c>
      <c r="D100" s="109" t="s">
        <v>1599</v>
      </c>
      <c r="E100" s="141">
        <v>0</v>
      </c>
      <c r="F100" s="141">
        <v>1</v>
      </c>
    </row>
    <row r="101" spans="1:6" ht="30" x14ac:dyDescent="0.2">
      <c r="A101" s="135" t="s">
        <v>112</v>
      </c>
      <c r="B101" s="135" t="s">
        <v>1001</v>
      </c>
      <c r="C101" s="109" t="s">
        <v>1002</v>
      </c>
      <c r="D101" s="109" t="s">
        <v>1000</v>
      </c>
      <c r="E101" s="141">
        <v>0</v>
      </c>
      <c r="F101" s="141">
        <v>1</v>
      </c>
    </row>
    <row r="102" spans="1:6" ht="30" x14ac:dyDescent="0.2">
      <c r="A102" s="135" t="s">
        <v>112</v>
      </c>
      <c r="B102" s="135" t="s">
        <v>1003</v>
      </c>
      <c r="C102" s="109" t="s">
        <v>1002</v>
      </c>
      <c r="D102" s="109" t="s">
        <v>1000</v>
      </c>
      <c r="E102" s="141">
        <v>0</v>
      </c>
      <c r="F102" s="141">
        <v>1</v>
      </c>
    </row>
    <row r="103" spans="1:6" ht="30" x14ac:dyDescent="0.2">
      <c r="A103" s="135" t="s">
        <v>114</v>
      </c>
      <c r="B103" s="135" t="s">
        <v>1600</v>
      </c>
      <c r="C103" s="109" t="s">
        <v>1004</v>
      </c>
      <c r="D103" s="109" t="s">
        <v>1012</v>
      </c>
      <c r="E103" s="141">
        <v>1</v>
      </c>
      <c r="F103" s="141">
        <v>0</v>
      </c>
    </row>
    <row r="104" spans="1:6" ht="30" x14ac:dyDescent="0.2">
      <c r="A104" s="135" t="s">
        <v>114</v>
      </c>
      <c r="B104" s="135" t="s">
        <v>1601</v>
      </c>
      <c r="C104" s="109" t="s">
        <v>1004</v>
      </c>
      <c r="D104" s="109" t="s">
        <v>1008</v>
      </c>
      <c r="E104" s="141">
        <v>0</v>
      </c>
      <c r="F104" s="141">
        <v>1</v>
      </c>
    </row>
    <row r="105" spans="1:6" ht="30" x14ac:dyDescent="0.2">
      <c r="A105" s="135" t="s">
        <v>114</v>
      </c>
      <c r="B105" s="135" t="s">
        <v>1602</v>
      </c>
      <c r="C105" s="109" t="s">
        <v>1004</v>
      </c>
      <c r="D105" s="109" t="s">
        <v>1005</v>
      </c>
      <c r="E105" s="141">
        <v>0</v>
      </c>
      <c r="F105" s="141">
        <v>1</v>
      </c>
    </row>
    <row r="106" spans="1:6" ht="30" x14ac:dyDescent="0.2">
      <c r="A106" s="135" t="s">
        <v>114</v>
      </c>
      <c r="B106" s="135" t="s">
        <v>1603</v>
      </c>
      <c r="C106" s="109" t="s">
        <v>1004</v>
      </c>
      <c r="D106" s="109" t="s">
        <v>1007</v>
      </c>
      <c r="E106" s="141">
        <v>1</v>
      </c>
      <c r="F106" s="141">
        <v>0</v>
      </c>
    </row>
    <row r="107" spans="1:6" ht="30" x14ac:dyDescent="0.2">
      <c r="A107" s="135" t="s">
        <v>114</v>
      </c>
      <c r="B107" s="135" t="s">
        <v>1604</v>
      </c>
      <c r="C107" s="109" t="s">
        <v>1004</v>
      </c>
      <c r="D107" s="109" t="s">
        <v>1010</v>
      </c>
      <c r="E107" s="141">
        <v>1</v>
      </c>
      <c r="F107" s="141">
        <v>0</v>
      </c>
    </row>
    <row r="108" spans="1:6" ht="45" x14ac:dyDescent="0.2">
      <c r="A108" s="135" t="s">
        <v>114</v>
      </c>
      <c r="B108" s="135" t="s">
        <v>1278</v>
      </c>
      <c r="C108" s="135" t="s">
        <v>1647</v>
      </c>
      <c r="D108" s="135" t="s">
        <v>1693</v>
      </c>
      <c r="E108" s="141">
        <v>0</v>
      </c>
      <c r="F108" s="141">
        <v>1</v>
      </c>
    </row>
    <row r="109" spans="1:6" ht="30" x14ac:dyDescent="0.2">
      <c r="A109" s="135" t="s">
        <v>116</v>
      </c>
      <c r="B109" s="135" t="s">
        <v>1684</v>
      </c>
      <c r="C109" s="109" t="s">
        <v>1013</v>
      </c>
      <c r="D109" s="109" t="s">
        <v>1605</v>
      </c>
      <c r="E109" s="141">
        <v>1</v>
      </c>
      <c r="F109" s="141">
        <v>0</v>
      </c>
    </row>
    <row r="110" spans="1:6" ht="30" x14ac:dyDescent="0.2">
      <c r="A110" s="135" t="s">
        <v>117</v>
      </c>
      <c r="B110" s="135" t="s">
        <v>1014</v>
      </c>
      <c r="C110" s="109" t="s">
        <v>1015</v>
      </c>
      <c r="D110" s="135" t="s">
        <v>1016</v>
      </c>
      <c r="E110" s="141">
        <v>1</v>
      </c>
      <c r="F110" s="141">
        <v>0</v>
      </c>
    </row>
    <row r="111" spans="1:6" ht="30" x14ac:dyDescent="0.2">
      <c r="A111" s="135" t="s">
        <v>118</v>
      </c>
      <c r="B111" s="135" t="s">
        <v>1017</v>
      </c>
      <c r="C111" s="109" t="s">
        <v>1018</v>
      </c>
      <c r="D111" s="135" t="s">
        <v>1606</v>
      </c>
      <c r="E111" s="141">
        <v>1</v>
      </c>
      <c r="F111" s="141">
        <v>0</v>
      </c>
    </row>
    <row r="112" spans="1:6" ht="60" x14ac:dyDescent="0.2">
      <c r="A112" s="135" t="s">
        <v>119</v>
      </c>
      <c r="B112" s="135" t="s">
        <v>1019</v>
      </c>
      <c r="C112" s="109" t="s">
        <v>1748</v>
      </c>
      <c r="D112" s="109" t="s">
        <v>1749</v>
      </c>
      <c r="E112" s="141">
        <v>1</v>
      </c>
      <c r="F112" s="141">
        <v>0</v>
      </c>
    </row>
    <row r="113" spans="1:6" ht="30" x14ac:dyDescent="0.2">
      <c r="A113" s="135" t="s">
        <v>120</v>
      </c>
      <c r="B113" s="135" t="s">
        <v>1279</v>
      </c>
      <c r="C113" s="135" t="s">
        <v>1663</v>
      </c>
      <c r="D113" s="135" t="s">
        <v>1699</v>
      </c>
      <c r="E113" s="141">
        <v>0</v>
      </c>
      <c r="F113" s="141">
        <v>0</v>
      </c>
    </row>
    <row r="114" spans="1:6" ht="42.75" customHeight="1" x14ac:dyDescent="0.2">
      <c r="A114" s="135" t="s">
        <v>121</v>
      </c>
      <c r="B114" s="135" t="s">
        <v>1021</v>
      </c>
      <c r="C114" s="109" t="s">
        <v>1608</v>
      </c>
      <c r="D114" s="109" t="s">
        <v>1609</v>
      </c>
      <c r="E114" s="141">
        <v>1</v>
      </c>
      <c r="F114" s="141">
        <v>0</v>
      </c>
    </row>
    <row r="115" spans="1:6" ht="30" x14ac:dyDescent="0.2">
      <c r="A115" s="135" t="s">
        <v>121</v>
      </c>
      <c r="B115" s="135" t="s">
        <v>1021</v>
      </c>
      <c r="C115" s="109" t="s">
        <v>1022</v>
      </c>
      <c r="D115" s="109" t="s">
        <v>1023</v>
      </c>
      <c r="E115" s="141" t="s">
        <v>1728</v>
      </c>
      <c r="F115" s="141"/>
    </row>
    <row r="116" spans="1:6" ht="75" x14ac:dyDescent="0.2">
      <c r="A116" s="135" t="s">
        <v>121</v>
      </c>
      <c r="B116" s="135" t="s">
        <v>1020</v>
      </c>
      <c r="C116" s="135" t="s">
        <v>1607</v>
      </c>
      <c r="D116" s="109" t="s">
        <v>1610</v>
      </c>
      <c r="E116" s="141">
        <v>1</v>
      </c>
      <c r="F116" s="141">
        <v>0</v>
      </c>
    </row>
    <row r="117" spans="1:6" ht="45" x14ac:dyDescent="0.2">
      <c r="A117" s="135" t="s">
        <v>121</v>
      </c>
      <c r="B117" s="135" t="s">
        <v>1280</v>
      </c>
      <c r="C117" s="135" t="s">
        <v>1670</v>
      </c>
      <c r="D117" s="135" t="s">
        <v>1669</v>
      </c>
      <c r="E117" s="141" t="s">
        <v>1728</v>
      </c>
      <c r="F117" s="141"/>
    </row>
    <row r="118" spans="1:6" ht="45" x14ac:dyDescent="0.2">
      <c r="A118" s="135" t="s">
        <v>126</v>
      </c>
      <c r="B118" s="135" t="s">
        <v>1024</v>
      </c>
      <c r="C118" s="109" t="s">
        <v>1611</v>
      </c>
      <c r="D118" s="109" t="s">
        <v>1791</v>
      </c>
      <c r="E118" s="141">
        <v>0</v>
      </c>
      <c r="F118" s="141">
        <v>0</v>
      </c>
    </row>
    <row r="119" spans="1:6" ht="30" x14ac:dyDescent="0.2">
      <c r="A119" s="135" t="s">
        <v>126</v>
      </c>
      <c r="B119" s="135" t="s">
        <v>1024</v>
      </c>
      <c r="C119" s="135" t="s">
        <v>1025</v>
      </c>
      <c r="D119" s="109" t="s">
        <v>1792</v>
      </c>
      <c r="E119" s="141" t="s">
        <v>1728</v>
      </c>
      <c r="F119" s="141"/>
    </row>
    <row r="120" spans="1:6" ht="30" x14ac:dyDescent="0.2">
      <c r="A120" s="135" t="s">
        <v>126</v>
      </c>
      <c r="B120" s="135" t="s">
        <v>1026</v>
      </c>
      <c r="C120" s="109" t="s">
        <v>1027</v>
      </c>
      <c r="D120" s="109" t="s">
        <v>1028</v>
      </c>
      <c r="E120" s="141">
        <v>0</v>
      </c>
      <c r="F120" s="141">
        <v>0</v>
      </c>
    </row>
    <row r="121" spans="1:6" ht="30" x14ac:dyDescent="0.2">
      <c r="A121" s="135" t="s">
        <v>126</v>
      </c>
      <c r="B121" s="135" t="s">
        <v>1281</v>
      </c>
      <c r="C121" s="135" t="s">
        <v>1648</v>
      </c>
      <c r="D121" s="135" t="s">
        <v>1730</v>
      </c>
      <c r="E121" s="141" t="s">
        <v>1728</v>
      </c>
      <c r="F121" s="141"/>
    </row>
    <row r="122" spans="1:6" ht="30" x14ac:dyDescent="0.2">
      <c r="A122" s="135" t="s">
        <v>126</v>
      </c>
      <c r="B122" s="135" t="s">
        <v>1281</v>
      </c>
      <c r="C122" s="135" t="s">
        <v>1649</v>
      </c>
      <c r="D122" s="135" t="s">
        <v>1650</v>
      </c>
      <c r="E122" s="141">
        <v>0</v>
      </c>
      <c r="F122" s="141">
        <v>0</v>
      </c>
    </row>
    <row r="123" spans="1:6" ht="45" x14ac:dyDescent="0.2">
      <c r="A123" s="135" t="s">
        <v>126</v>
      </c>
      <c r="B123" s="135" t="s">
        <v>1282</v>
      </c>
      <c r="C123" s="135" t="s">
        <v>1651</v>
      </c>
      <c r="D123" s="135" t="s">
        <v>1652</v>
      </c>
      <c r="E123" s="141">
        <v>0</v>
      </c>
      <c r="F123" s="141">
        <v>0</v>
      </c>
    </row>
    <row r="124" spans="1:6" ht="30" x14ac:dyDescent="0.2">
      <c r="A124" s="135" t="s">
        <v>130</v>
      </c>
      <c r="B124" s="135" t="s">
        <v>1029</v>
      </c>
      <c r="C124" s="109" t="s">
        <v>1030</v>
      </c>
      <c r="D124" s="109" t="s">
        <v>1612</v>
      </c>
      <c r="E124" s="141">
        <v>0</v>
      </c>
      <c r="F124" s="141">
        <v>1</v>
      </c>
    </row>
    <row r="125" spans="1:6" ht="30" x14ac:dyDescent="0.2">
      <c r="A125" s="135" t="s">
        <v>132</v>
      </c>
      <c r="B125" s="135" t="s">
        <v>1031</v>
      </c>
      <c r="C125" s="109" t="s">
        <v>1032</v>
      </c>
      <c r="D125" s="109" t="s">
        <v>1613</v>
      </c>
      <c r="E125" s="141">
        <v>0</v>
      </c>
      <c r="F125" s="141">
        <v>1</v>
      </c>
    </row>
    <row r="126" spans="1:6" ht="30" x14ac:dyDescent="0.2">
      <c r="A126" s="135" t="s">
        <v>132</v>
      </c>
      <c r="B126" s="135" t="s">
        <v>1033</v>
      </c>
      <c r="C126" s="109" t="s">
        <v>1034</v>
      </c>
      <c r="D126" s="109" t="s">
        <v>1035</v>
      </c>
      <c r="E126" s="141">
        <v>0</v>
      </c>
      <c r="F126" s="141">
        <v>0</v>
      </c>
    </row>
    <row r="127" spans="1:6" ht="30" x14ac:dyDescent="0.2">
      <c r="A127" s="135" t="s">
        <v>132</v>
      </c>
      <c r="B127" s="135" t="s">
        <v>1283</v>
      </c>
      <c r="C127" s="135" t="s">
        <v>1665</v>
      </c>
      <c r="D127" s="135" t="s">
        <v>1701</v>
      </c>
      <c r="E127" s="141">
        <v>0</v>
      </c>
      <c r="F127" s="141">
        <v>0</v>
      </c>
    </row>
    <row r="128" spans="1:6" ht="45" x14ac:dyDescent="0.2">
      <c r="A128" s="135" t="s">
        <v>135</v>
      </c>
      <c r="B128" s="135" t="s">
        <v>1036</v>
      </c>
      <c r="C128" s="109" t="s">
        <v>1037</v>
      </c>
      <c r="D128" s="109" t="s">
        <v>1614</v>
      </c>
      <c r="E128" s="141" t="s">
        <v>1728</v>
      </c>
      <c r="F128" s="141"/>
    </row>
    <row r="129" spans="1:6" ht="45" x14ac:dyDescent="0.2">
      <c r="A129" s="135" t="s">
        <v>138</v>
      </c>
      <c r="B129" s="135" t="s">
        <v>1038</v>
      </c>
      <c r="C129" s="109" t="s">
        <v>1039</v>
      </c>
      <c r="D129" s="109" t="s">
        <v>1615</v>
      </c>
      <c r="E129" s="141">
        <v>0</v>
      </c>
      <c r="F129" s="141">
        <v>0</v>
      </c>
    </row>
    <row r="130" spans="1:6" ht="30" x14ac:dyDescent="0.2">
      <c r="A130" s="135" t="s">
        <v>138</v>
      </c>
      <c r="B130" s="135" t="s">
        <v>1040</v>
      </c>
      <c r="C130" s="109" t="s">
        <v>1041</v>
      </c>
      <c r="D130" s="109" t="s">
        <v>1616</v>
      </c>
      <c r="E130" s="141">
        <v>0</v>
      </c>
      <c r="F130" s="141">
        <v>1</v>
      </c>
    </row>
    <row r="131" spans="1:6" ht="30" x14ac:dyDescent="0.2">
      <c r="A131" s="135" t="s">
        <v>139</v>
      </c>
      <c r="B131" s="135" t="s">
        <v>1042</v>
      </c>
      <c r="C131" s="109" t="s">
        <v>1043</v>
      </c>
      <c r="D131" s="109" t="s">
        <v>1044</v>
      </c>
      <c r="E131" s="141">
        <v>1</v>
      </c>
      <c r="F131" s="141">
        <v>0</v>
      </c>
    </row>
    <row r="132" spans="1:6" ht="30" x14ac:dyDescent="0.2">
      <c r="A132" s="135" t="s">
        <v>146</v>
      </c>
      <c r="B132" s="135" t="s">
        <v>1617</v>
      </c>
      <c r="C132" s="109" t="s">
        <v>1045</v>
      </c>
      <c r="D132" s="109" t="s">
        <v>1618</v>
      </c>
      <c r="E132" s="141">
        <v>0</v>
      </c>
      <c r="F132" s="141">
        <v>0</v>
      </c>
    </row>
    <row r="133" spans="1:6" ht="30" x14ac:dyDescent="0.2">
      <c r="A133" s="135" t="s">
        <v>146</v>
      </c>
      <c r="B133" s="135" t="s">
        <v>1720</v>
      </c>
      <c r="C133" s="135" t="s">
        <v>1045</v>
      </c>
      <c r="D133" s="135" t="s">
        <v>1721</v>
      </c>
      <c r="E133" s="141">
        <v>0</v>
      </c>
      <c r="F133" s="141">
        <v>1</v>
      </c>
    </row>
    <row r="134" spans="1:6" ht="30" x14ac:dyDescent="0.2">
      <c r="A134" s="135" t="s">
        <v>147</v>
      </c>
      <c r="B134" s="135" t="s">
        <v>1046</v>
      </c>
      <c r="C134" s="109" t="s">
        <v>1047</v>
      </c>
      <c r="D134" s="109" t="s">
        <v>1048</v>
      </c>
      <c r="E134" s="141">
        <v>0</v>
      </c>
      <c r="F134" s="141">
        <v>1</v>
      </c>
    </row>
    <row r="135" spans="1:6" ht="30" x14ac:dyDescent="0.2">
      <c r="A135" s="135" t="s">
        <v>147</v>
      </c>
      <c r="B135" s="135" t="s">
        <v>1052</v>
      </c>
      <c r="C135" s="109" t="s">
        <v>1047</v>
      </c>
      <c r="D135" s="109" t="s">
        <v>1048</v>
      </c>
      <c r="E135" s="141">
        <v>0</v>
      </c>
      <c r="F135" s="141">
        <v>1</v>
      </c>
    </row>
    <row r="136" spans="1:6" ht="30" x14ac:dyDescent="0.2">
      <c r="A136" s="135" t="s">
        <v>147</v>
      </c>
      <c r="B136" s="135" t="s">
        <v>1049</v>
      </c>
      <c r="C136" s="109" t="s">
        <v>1047</v>
      </c>
      <c r="D136" s="135" t="s">
        <v>1050</v>
      </c>
      <c r="E136" s="141">
        <v>0</v>
      </c>
      <c r="F136" s="141">
        <v>0</v>
      </c>
    </row>
    <row r="137" spans="1:6" ht="78" customHeight="1" x14ac:dyDescent="0.2">
      <c r="A137" s="135" t="s">
        <v>147</v>
      </c>
      <c r="B137" s="135" t="s">
        <v>1051</v>
      </c>
      <c r="C137" s="109" t="s">
        <v>1047</v>
      </c>
      <c r="D137" s="135" t="s">
        <v>1050</v>
      </c>
      <c r="E137" s="141">
        <v>0</v>
      </c>
      <c r="F137" s="141">
        <v>0</v>
      </c>
    </row>
    <row r="138" spans="1:6" ht="45" x14ac:dyDescent="0.2">
      <c r="A138" s="135" t="s">
        <v>148</v>
      </c>
      <c r="B138" s="135" t="s">
        <v>1619</v>
      </c>
      <c r="C138" s="109" t="s">
        <v>1053</v>
      </c>
      <c r="D138" s="135" t="s">
        <v>1620</v>
      </c>
      <c r="E138" s="141">
        <v>0</v>
      </c>
      <c r="F138" s="141">
        <v>1</v>
      </c>
    </row>
    <row r="139" spans="1:6" ht="30" x14ac:dyDescent="0.2">
      <c r="A139" s="135" t="s">
        <v>151</v>
      </c>
      <c r="B139" s="135" t="s">
        <v>1058</v>
      </c>
      <c r="C139" s="109" t="s">
        <v>1059</v>
      </c>
      <c r="D139" s="109" t="s">
        <v>1621</v>
      </c>
      <c r="E139" s="141">
        <v>0</v>
      </c>
      <c r="F139" s="141">
        <v>1</v>
      </c>
    </row>
    <row r="140" spans="1:6" ht="45" x14ac:dyDescent="0.2">
      <c r="A140" s="135" t="s">
        <v>151</v>
      </c>
      <c r="B140" s="135" t="s">
        <v>1056</v>
      </c>
      <c r="C140" s="109" t="s">
        <v>1057</v>
      </c>
      <c r="D140" s="109" t="s">
        <v>1622</v>
      </c>
      <c r="E140" s="141">
        <v>1</v>
      </c>
      <c r="F140" s="141">
        <v>0</v>
      </c>
    </row>
    <row r="141" spans="1:6" ht="45" x14ac:dyDescent="0.2">
      <c r="A141" s="135" t="s">
        <v>151</v>
      </c>
      <c r="B141" s="135" t="s">
        <v>1060</v>
      </c>
      <c r="C141" s="109" t="s">
        <v>1061</v>
      </c>
      <c r="D141" s="109" t="s">
        <v>1623</v>
      </c>
      <c r="E141" s="141">
        <v>0</v>
      </c>
      <c r="F141" s="141">
        <v>1</v>
      </c>
    </row>
    <row r="142" spans="1:6" ht="30" x14ac:dyDescent="0.2">
      <c r="A142" s="135" t="s">
        <v>151</v>
      </c>
      <c r="B142" s="135" t="s">
        <v>1054</v>
      </c>
      <c r="C142" s="109" t="s">
        <v>1055</v>
      </c>
      <c r="D142" s="109" t="s">
        <v>1624</v>
      </c>
      <c r="E142" s="141">
        <v>0</v>
      </c>
      <c r="F142" s="141">
        <v>1</v>
      </c>
    </row>
    <row r="143" spans="1:6" ht="30" x14ac:dyDescent="0.2">
      <c r="A143" s="135" t="s">
        <v>151</v>
      </c>
      <c r="B143" s="135" t="s">
        <v>1284</v>
      </c>
      <c r="C143" s="135" t="s">
        <v>1706</v>
      </c>
      <c r="D143" s="135" t="s">
        <v>1707</v>
      </c>
      <c r="E143" s="141">
        <v>0</v>
      </c>
      <c r="F143" s="141">
        <v>1</v>
      </c>
    </row>
    <row r="144" spans="1:6" ht="30" x14ac:dyDescent="0.2">
      <c r="A144" s="135" t="s">
        <v>155</v>
      </c>
      <c r="B144" s="135" t="s">
        <v>1062</v>
      </c>
      <c r="C144" s="109" t="s">
        <v>1063</v>
      </c>
      <c r="D144" s="109" t="s">
        <v>1064</v>
      </c>
      <c r="E144" s="141">
        <v>0</v>
      </c>
      <c r="F144" s="141">
        <v>0</v>
      </c>
    </row>
    <row r="145" spans="1:6" ht="30" x14ac:dyDescent="0.2">
      <c r="A145" s="135" t="s">
        <v>155</v>
      </c>
      <c r="B145" s="135" t="s">
        <v>1065</v>
      </c>
      <c r="C145" s="109" t="s">
        <v>1066</v>
      </c>
      <c r="D145" s="109" t="s">
        <v>1625</v>
      </c>
      <c r="E145" s="141">
        <v>0</v>
      </c>
      <c r="F145" s="141">
        <v>0</v>
      </c>
    </row>
    <row r="146" spans="1:6" ht="30" x14ac:dyDescent="0.2">
      <c r="A146" s="135" t="s">
        <v>156</v>
      </c>
      <c r="B146" s="135" t="s">
        <v>1067</v>
      </c>
      <c r="C146" s="109" t="s">
        <v>1068</v>
      </c>
      <c r="D146" s="109" t="s">
        <v>1626</v>
      </c>
      <c r="E146" s="141">
        <v>1</v>
      </c>
      <c r="F146" s="141">
        <v>0</v>
      </c>
    </row>
    <row r="147" spans="1:6" ht="30" x14ac:dyDescent="0.2">
      <c r="A147" s="135" t="s">
        <v>156</v>
      </c>
      <c r="B147" s="135" t="s">
        <v>1694</v>
      </c>
      <c r="C147" s="135" t="s">
        <v>1068</v>
      </c>
      <c r="D147" s="135" t="s">
        <v>1695</v>
      </c>
      <c r="E147" s="141">
        <v>0</v>
      </c>
      <c r="F147" s="141">
        <v>0</v>
      </c>
    </row>
    <row r="148" spans="1:6" ht="30" x14ac:dyDescent="0.2">
      <c r="A148" s="135" t="s">
        <v>157</v>
      </c>
      <c r="B148" s="135" t="s">
        <v>1069</v>
      </c>
      <c r="C148" s="109" t="s">
        <v>1070</v>
      </c>
      <c r="D148" s="109" t="s">
        <v>1627</v>
      </c>
      <c r="E148" s="141">
        <v>1</v>
      </c>
      <c r="F148" s="141">
        <v>0</v>
      </c>
    </row>
    <row r="149" spans="1:6" ht="30" x14ac:dyDescent="0.2">
      <c r="A149" s="135" t="s">
        <v>158</v>
      </c>
      <c r="B149" s="135" t="s">
        <v>1071</v>
      </c>
      <c r="C149" s="109" t="s">
        <v>1072</v>
      </c>
      <c r="D149" s="109" t="s">
        <v>1628</v>
      </c>
      <c r="E149" s="141">
        <v>1</v>
      </c>
      <c r="F149" s="141">
        <v>0</v>
      </c>
    </row>
    <row r="150" spans="1:6" ht="30" x14ac:dyDescent="0.2">
      <c r="A150" s="135" t="s">
        <v>158</v>
      </c>
      <c r="B150" s="135" t="s">
        <v>1073</v>
      </c>
      <c r="C150" s="109" t="s">
        <v>1074</v>
      </c>
      <c r="D150" s="109" t="s">
        <v>1075</v>
      </c>
      <c r="E150" s="141">
        <v>1</v>
      </c>
      <c r="F150" s="141">
        <v>0</v>
      </c>
    </row>
    <row r="151" spans="1:6" ht="30" x14ac:dyDescent="0.2">
      <c r="A151" s="135" t="s">
        <v>158</v>
      </c>
      <c r="B151" s="135" t="s">
        <v>1076</v>
      </c>
      <c r="C151" s="109" t="s">
        <v>1629</v>
      </c>
      <c r="D151" s="109" t="s">
        <v>1077</v>
      </c>
      <c r="E151" s="141">
        <v>0</v>
      </c>
      <c r="F151" s="141">
        <v>1</v>
      </c>
    </row>
    <row r="152" spans="1:6" ht="30" x14ac:dyDescent="0.2">
      <c r="A152" s="135" t="s">
        <v>158</v>
      </c>
      <c r="B152" s="135" t="s">
        <v>1078</v>
      </c>
      <c r="C152" s="109" t="s">
        <v>1079</v>
      </c>
      <c r="D152" s="109" t="s">
        <v>1080</v>
      </c>
      <c r="E152" s="141">
        <v>0</v>
      </c>
      <c r="F152" s="141">
        <v>1</v>
      </c>
    </row>
    <row r="153" spans="1:6" ht="30" x14ac:dyDescent="0.2">
      <c r="A153" s="135" t="s">
        <v>158</v>
      </c>
      <c r="B153" s="135" t="s">
        <v>1081</v>
      </c>
      <c r="C153" s="109" t="s">
        <v>1082</v>
      </c>
      <c r="D153" s="109" t="s">
        <v>1083</v>
      </c>
      <c r="E153" s="141">
        <v>0</v>
      </c>
      <c r="F153" s="141">
        <v>0</v>
      </c>
    </row>
    <row r="154" spans="1:6" ht="30" x14ac:dyDescent="0.2">
      <c r="A154" s="135" t="s">
        <v>158</v>
      </c>
      <c r="B154" s="135" t="s">
        <v>1084</v>
      </c>
      <c r="C154" s="109" t="s">
        <v>1085</v>
      </c>
      <c r="D154" s="109" t="s">
        <v>1086</v>
      </c>
      <c r="E154" s="141">
        <v>0</v>
      </c>
      <c r="F154" s="141">
        <v>0</v>
      </c>
    </row>
    <row r="155" spans="1:6" ht="45" x14ac:dyDescent="0.2">
      <c r="A155" s="135" t="s">
        <v>158</v>
      </c>
      <c r="B155" s="135" t="s">
        <v>1087</v>
      </c>
      <c r="C155" s="109" t="s">
        <v>1088</v>
      </c>
      <c r="D155" s="109" t="s">
        <v>1630</v>
      </c>
      <c r="E155" s="141">
        <v>1</v>
      </c>
      <c r="F155" s="141">
        <v>0</v>
      </c>
    </row>
    <row r="156" spans="1:6" ht="30" x14ac:dyDescent="0.2">
      <c r="A156" s="135" t="s">
        <v>158</v>
      </c>
      <c r="B156" s="135" t="s">
        <v>1089</v>
      </c>
      <c r="C156" s="109" t="s">
        <v>1090</v>
      </c>
      <c r="D156" s="109" t="s">
        <v>1631</v>
      </c>
      <c r="E156" s="141">
        <v>0</v>
      </c>
      <c r="F156" s="141">
        <v>1</v>
      </c>
    </row>
    <row r="157" spans="1:6" ht="30" x14ac:dyDescent="0.2">
      <c r="A157" s="109" t="s">
        <v>161</v>
      </c>
      <c r="B157" s="135" t="s">
        <v>1091</v>
      </c>
      <c r="C157" s="109" t="s">
        <v>1092</v>
      </c>
      <c r="D157" s="109" t="s">
        <v>1632</v>
      </c>
      <c r="E157" s="141">
        <v>1</v>
      </c>
      <c r="F157" s="141">
        <v>0</v>
      </c>
    </row>
    <row r="158" spans="1:6" ht="30" x14ac:dyDescent="0.2">
      <c r="A158" s="109" t="s">
        <v>161</v>
      </c>
      <c r="B158" s="135" t="s">
        <v>1093</v>
      </c>
      <c r="C158" s="109" t="s">
        <v>1092</v>
      </c>
      <c r="D158" s="109" t="s">
        <v>1633</v>
      </c>
      <c r="E158" s="141">
        <v>0</v>
      </c>
      <c r="F158" s="141">
        <v>1</v>
      </c>
    </row>
    <row r="159" spans="1:6" ht="30" x14ac:dyDescent="0.2">
      <c r="A159" s="109" t="s">
        <v>162</v>
      </c>
      <c r="B159" s="135" t="s">
        <v>1094</v>
      </c>
      <c r="C159" s="109" t="s">
        <v>1095</v>
      </c>
      <c r="D159" s="109" t="s">
        <v>1634</v>
      </c>
      <c r="E159" s="141">
        <v>0</v>
      </c>
      <c r="F159" s="141">
        <v>1</v>
      </c>
    </row>
    <row r="160" spans="1:6" ht="60" x14ac:dyDescent="0.2">
      <c r="A160" s="109" t="s">
        <v>163</v>
      </c>
      <c r="B160" s="135" t="s">
        <v>1096</v>
      </c>
      <c r="C160" s="109" t="s">
        <v>1636</v>
      </c>
      <c r="D160" s="109" t="s">
        <v>1635</v>
      </c>
      <c r="E160" s="141">
        <v>0</v>
      </c>
      <c r="F160" s="141">
        <v>0</v>
      </c>
    </row>
    <row r="161" spans="1:6" ht="30" x14ac:dyDescent="0.2">
      <c r="A161" s="135" t="s">
        <v>164</v>
      </c>
      <c r="B161" s="135" t="s">
        <v>1097</v>
      </c>
      <c r="C161" s="109" t="s">
        <v>1098</v>
      </c>
      <c r="D161" s="109" t="s">
        <v>1639</v>
      </c>
      <c r="E161" s="141">
        <v>0</v>
      </c>
      <c r="F161" s="141">
        <v>0</v>
      </c>
    </row>
    <row r="162" spans="1:6" ht="30" x14ac:dyDescent="0.2">
      <c r="A162" s="109" t="s">
        <v>164</v>
      </c>
      <c r="B162" s="135" t="s">
        <v>1099</v>
      </c>
      <c r="C162" s="135" t="s">
        <v>1100</v>
      </c>
      <c r="D162" s="109" t="s">
        <v>1637</v>
      </c>
      <c r="E162" s="141">
        <v>1</v>
      </c>
      <c r="F162" s="141">
        <v>0</v>
      </c>
    </row>
    <row r="163" spans="1:6" ht="30" x14ac:dyDescent="0.2">
      <c r="A163" s="109" t="s">
        <v>164</v>
      </c>
      <c r="B163" s="135" t="s">
        <v>1101</v>
      </c>
      <c r="C163" s="109" t="s">
        <v>1102</v>
      </c>
      <c r="D163" s="109" t="s">
        <v>1638</v>
      </c>
      <c r="E163" s="141">
        <v>0</v>
      </c>
      <c r="F163" s="141">
        <v>1</v>
      </c>
    </row>
    <row r="164" spans="1:6" ht="30" x14ac:dyDescent="0.2">
      <c r="A164" s="135" t="s">
        <v>164</v>
      </c>
      <c r="B164" s="135" t="s">
        <v>1285</v>
      </c>
      <c r="C164" s="135" t="s">
        <v>1679</v>
      </c>
      <c r="D164" s="135" t="s">
        <v>1717</v>
      </c>
      <c r="E164" s="141">
        <v>0</v>
      </c>
      <c r="F164" s="141">
        <v>1</v>
      </c>
    </row>
    <row r="165" spans="1:6" ht="30" x14ac:dyDescent="0.2">
      <c r="A165" s="109" t="s">
        <v>167</v>
      </c>
      <c r="B165" s="135" t="s">
        <v>1103</v>
      </c>
      <c r="C165" s="109" t="s">
        <v>1104</v>
      </c>
      <c r="D165" s="109" t="s">
        <v>1640</v>
      </c>
      <c r="E165" s="141">
        <v>0</v>
      </c>
      <c r="F165" s="141">
        <v>1</v>
      </c>
    </row>
    <row r="166" spans="1:6" ht="30" x14ac:dyDescent="0.2">
      <c r="A166" s="109" t="s">
        <v>173</v>
      </c>
      <c r="B166" s="135" t="s">
        <v>1105</v>
      </c>
      <c r="C166" s="109" t="s">
        <v>1106</v>
      </c>
      <c r="D166" s="109" t="s">
        <v>1107</v>
      </c>
      <c r="E166" s="141">
        <v>0</v>
      </c>
      <c r="F166" s="141">
        <v>1</v>
      </c>
    </row>
    <row r="167" spans="1:6" ht="75" x14ac:dyDescent="0.2">
      <c r="A167" s="109" t="s">
        <v>177</v>
      </c>
      <c r="B167" s="135" t="s">
        <v>1108</v>
      </c>
      <c r="C167" s="109" t="s">
        <v>1641</v>
      </c>
      <c r="D167" s="109" t="s">
        <v>1642</v>
      </c>
      <c r="E167" s="141">
        <v>0</v>
      </c>
      <c r="F167" s="141">
        <v>0</v>
      </c>
    </row>
    <row r="168" spans="1:6" ht="90" x14ac:dyDescent="0.2">
      <c r="A168" s="109" t="s">
        <v>177</v>
      </c>
      <c r="B168" s="135" t="s">
        <v>1111</v>
      </c>
      <c r="C168" s="109" t="s">
        <v>1112</v>
      </c>
      <c r="D168" s="109" t="s">
        <v>1113</v>
      </c>
      <c r="E168" s="141">
        <v>0</v>
      </c>
      <c r="F168" s="141">
        <v>0</v>
      </c>
    </row>
    <row r="169" spans="1:6" ht="30" x14ac:dyDescent="0.2">
      <c r="A169" s="109" t="s">
        <v>177</v>
      </c>
      <c r="B169" s="135" t="s">
        <v>1114</v>
      </c>
      <c r="C169" s="109" t="s">
        <v>1109</v>
      </c>
      <c r="D169" s="109" t="s">
        <v>1110</v>
      </c>
      <c r="E169" s="141">
        <v>0</v>
      </c>
      <c r="F169" s="141">
        <v>1</v>
      </c>
    </row>
    <row r="170" spans="1:6" ht="15" x14ac:dyDescent="0.2">
      <c r="A170" s="109" t="s">
        <v>188</v>
      </c>
      <c r="B170" s="135" t="s">
        <v>1287</v>
      </c>
      <c r="C170" s="109" t="s">
        <v>1732</v>
      </c>
      <c r="D170" s="109" t="s">
        <v>1731</v>
      </c>
      <c r="E170" s="141">
        <v>0</v>
      </c>
      <c r="F170" s="141">
        <v>1</v>
      </c>
    </row>
    <row r="171" spans="1:6" ht="30" x14ac:dyDescent="0.2">
      <c r="A171" s="109" t="s">
        <v>188</v>
      </c>
      <c r="B171" s="135" t="s">
        <v>1288</v>
      </c>
      <c r="C171" s="135" t="s">
        <v>1126</v>
      </c>
      <c r="D171" s="109" t="s">
        <v>1731</v>
      </c>
      <c r="E171" s="141">
        <v>0</v>
      </c>
      <c r="F171" s="141">
        <v>1</v>
      </c>
    </row>
    <row r="172" spans="1:6" ht="30" x14ac:dyDescent="0.2">
      <c r="A172" s="109" t="s">
        <v>189</v>
      </c>
      <c r="B172" s="135" t="s">
        <v>1289</v>
      </c>
      <c r="C172" s="135" t="s">
        <v>1126</v>
      </c>
      <c r="D172" s="109" t="s">
        <v>1731</v>
      </c>
      <c r="E172" s="141">
        <v>0</v>
      </c>
      <c r="F172" s="141">
        <v>1</v>
      </c>
    </row>
    <row r="173" spans="1:6" ht="30" x14ac:dyDescent="0.2">
      <c r="A173" s="109" t="s">
        <v>189</v>
      </c>
      <c r="B173" s="135" t="s">
        <v>1290</v>
      </c>
      <c r="C173" s="135" t="s">
        <v>1126</v>
      </c>
      <c r="D173" s="109" t="s">
        <v>1731</v>
      </c>
      <c r="E173" s="141">
        <v>0</v>
      </c>
      <c r="F173" s="141">
        <v>1</v>
      </c>
    </row>
    <row r="174" spans="1:6" ht="30" x14ac:dyDescent="0.2">
      <c r="A174" s="109" t="s">
        <v>189</v>
      </c>
      <c r="B174" s="135" t="s">
        <v>1291</v>
      </c>
      <c r="C174" s="135" t="s">
        <v>1126</v>
      </c>
      <c r="D174" s="109" t="s">
        <v>1731</v>
      </c>
      <c r="E174" s="141">
        <v>0</v>
      </c>
      <c r="F174" s="141">
        <v>1</v>
      </c>
    </row>
    <row r="175" spans="1:6" ht="30" x14ac:dyDescent="0.2">
      <c r="A175" s="109" t="s">
        <v>189</v>
      </c>
      <c r="B175" s="135" t="s">
        <v>1128</v>
      </c>
      <c r="C175" s="135" t="s">
        <v>1126</v>
      </c>
      <c r="D175" s="109" t="s">
        <v>1731</v>
      </c>
      <c r="E175" s="141">
        <v>0</v>
      </c>
      <c r="F175" s="141">
        <v>1</v>
      </c>
    </row>
    <row r="176" spans="1:6" ht="60" x14ac:dyDescent="0.2">
      <c r="A176" s="109" t="s">
        <v>184</v>
      </c>
      <c r="B176" s="135" t="s">
        <v>1115</v>
      </c>
      <c r="C176" s="109" t="s">
        <v>1116</v>
      </c>
      <c r="D176" s="109" t="s">
        <v>1117</v>
      </c>
      <c r="E176" s="141">
        <v>1</v>
      </c>
      <c r="F176" s="141">
        <v>0</v>
      </c>
    </row>
    <row r="177" spans="1:6" ht="45" x14ac:dyDescent="0.2">
      <c r="A177" s="109" t="s">
        <v>184</v>
      </c>
      <c r="B177" s="135" t="s">
        <v>1118</v>
      </c>
      <c r="C177" s="109" t="s">
        <v>1119</v>
      </c>
      <c r="D177" s="109" t="s">
        <v>1117</v>
      </c>
      <c r="E177" s="141">
        <v>1</v>
      </c>
      <c r="F177" s="141">
        <v>0</v>
      </c>
    </row>
    <row r="178" spans="1:6" ht="45" x14ac:dyDescent="0.2">
      <c r="A178" s="109" t="s">
        <v>184</v>
      </c>
      <c r="B178" s="135" t="s">
        <v>1120</v>
      </c>
      <c r="C178" s="109" t="s">
        <v>1119</v>
      </c>
      <c r="D178" s="109" t="s">
        <v>1121</v>
      </c>
      <c r="E178" s="141">
        <v>0</v>
      </c>
      <c r="F178" s="141">
        <v>0</v>
      </c>
    </row>
    <row r="179" spans="1:6" ht="15" x14ac:dyDescent="0.2">
      <c r="A179" s="109" t="s">
        <v>184</v>
      </c>
      <c r="B179" s="135" t="s">
        <v>1122</v>
      </c>
      <c r="C179" s="109" t="s">
        <v>1123</v>
      </c>
      <c r="D179" s="109" t="s">
        <v>944</v>
      </c>
      <c r="E179" s="141">
        <v>1</v>
      </c>
      <c r="F179" s="141">
        <v>0</v>
      </c>
    </row>
    <row r="180" spans="1:6" ht="15" x14ac:dyDescent="0.2">
      <c r="A180" s="109" t="s">
        <v>184</v>
      </c>
      <c r="B180" s="135" t="s">
        <v>1124</v>
      </c>
      <c r="C180" s="109" t="s">
        <v>1123</v>
      </c>
      <c r="D180" s="109" t="s">
        <v>909</v>
      </c>
      <c r="E180" s="141">
        <v>0</v>
      </c>
      <c r="F180" s="141">
        <v>1</v>
      </c>
    </row>
    <row r="181" spans="1:6" ht="45" x14ac:dyDescent="0.2">
      <c r="A181" s="135" t="s">
        <v>184</v>
      </c>
      <c r="B181" s="135" t="s">
        <v>1286</v>
      </c>
      <c r="C181" s="135" t="s">
        <v>1686</v>
      </c>
      <c r="D181" s="135" t="s">
        <v>1685</v>
      </c>
      <c r="E181" s="141">
        <v>0</v>
      </c>
      <c r="F181" s="141">
        <v>1</v>
      </c>
    </row>
    <row r="182" spans="1:6" ht="30" x14ac:dyDescent="0.2">
      <c r="A182" s="135" t="s">
        <v>184</v>
      </c>
      <c r="B182" s="135" t="s">
        <v>1286</v>
      </c>
      <c r="C182" s="135" t="s">
        <v>1687</v>
      </c>
      <c r="D182" s="135" t="s">
        <v>1688</v>
      </c>
      <c r="E182" s="141" t="s">
        <v>1728</v>
      </c>
      <c r="F182" s="141"/>
    </row>
    <row r="183" spans="1:6" ht="30" x14ac:dyDescent="0.2">
      <c r="A183" s="135" t="s">
        <v>185</v>
      </c>
      <c r="B183" s="135" t="s">
        <v>1722</v>
      </c>
      <c r="C183" s="135" t="s">
        <v>1682</v>
      </c>
      <c r="D183" s="135" t="s">
        <v>1681</v>
      </c>
      <c r="E183" s="141" t="s">
        <v>1728</v>
      </c>
      <c r="F183" s="141"/>
    </row>
    <row r="184" spans="1:6" ht="30" x14ac:dyDescent="0.2">
      <c r="A184" s="109" t="s">
        <v>188</v>
      </c>
      <c r="B184" s="135" t="s">
        <v>1125</v>
      </c>
      <c r="C184" s="109" t="s">
        <v>1126</v>
      </c>
      <c r="D184" s="109" t="s">
        <v>1643</v>
      </c>
      <c r="E184" s="141">
        <v>0</v>
      </c>
      <c r="F184" s="141">
        <v>1</v>
      </c>
    </row>
    <row r="185" spans="1:6" ht="30" x14ac:dyDescent="0.2">
      <c r="A185" s="109" t="s">
        <v>188</v>
      </c>
      <c r="B185" s="135" t="s">
        <v>1127</v>
      </c>
      <c r="C185" s="109" t="s">
        <v>1126</v>
      </c>
      <c r="D185" s="109" t="s">
        <v>1643</v>
      </c>
      <c r="E185" s="141">
        <v>0</v>
      </c>
      <c r="F185" s="141">
        <v>1</v>
      </c>
    </row>
    <row r="186" spans="1:6" ht="45" x14ac:dyDescent="0.2">
      <c r="A186" s="135" t="s">
        <v>189</v>
      </c>
      <c r="B186" s="135" t="s">
        <v>1129</v>
      </c>
      <c r="C186" s="109" t="s">
        <v>1130</v>
      </c>
      <c r="D186" s="109" t="s">
        <v>1644</v>
      </c>
      <c r="E186" s="141">
        <v>0</v>
      </c>
      <c r="F186" s="141">
        <v>1</v>
      </c>
    </row>
    <row r="187" spans="1:6" ht="30" x14ac:dyDescent="0.2">
      <c r="A187" s="109" t="s">
        <v>192</v>
      </c>
      <c r="B187" s="135" t="s">
        <v>1131</v>
      </c>
      <c r="C187" s="109" t="s">
        <v>1132</v>
      </c>
      <c r="D187" s="109" t="s">
        <v>1645</v>
      </c>
      <c r="E187" s="141">
        <v>1</v>
      </c>
      <c r="F187" s="141">
        <v>0</v>
      </c>
    </row>
    <row r="188" spans="1:6" ht="30" x14ac:dyDescent="0.2">
      <c r="A188" s="135" t="s">
        <v>193</v>
      </c>
      <c r="B188" s="135" t="s">
        <v>1292</v>
      </c>
      <c r="C188" s="135" t="s">
        <v>1667</v>
      </c>
      <c r="D188" s="135" t="s">
        <v>1703</v>
      </c>
      <c r="E188" s="141">
        <v>0</v>
      </c>
      <c r="F188" s="141">
        <v>0</v>
      </c>
    </row>
    <row r="189" spans="1:6" ht="30" x14ac:dyDescent="0.2">
      <c r="A189" s="135" t="s">
        <v>193</v>
      </c>
      <c r="B189" s="135" t="s">
        <v>1294</v>
      </c>
      <c r="C189" s="135" t="s">
        <v>1668</v>
      </c>
      <c r="D189" s="135" t="s">
        <v>1704</v>
      </c>
      <c r="E189" s="141">
        <v>0</v>
      </c>
      <c r="F189" s="141">
        <v>1</v>
      </c>
    </row>
    <row r="190" spans="1:6" ht="30" x14ac:dyDescent="0.2">
      <c r="A190" s="135" t="s">
        <v>193</v>
      </c>
      <c r="B190" s="135" t="s">
        <v>1295</v>
      </c>
      <c r="C190" s="135" t="s">
        <v>1668</v>
      </c>
      <c r="D190" s="135" t="s">
        <v>1704</v>
      </c>
      <c r="E190" s="141">
        <v>0</v>
      </c>
      <c r="F190" s="141">
        <v>1</v>
      </c>
    </row>
    <row r="191" spans="1:6" ht="30" x14ac:dyDescent="0.2">
      <c r="A191" s="109" t="s">
        <v>196</v>
      </c>
      <c r="B191" s="135" t="s">
        <v>1133</v>
      </c>
      <c r="C191" s="109" t="s">
        <v>1134</v>
      </c>
      <c r="D191" s="109" t="s">
        <v>1646</v>
      </c>
      <c r="E191" s="141">
        <v>1</v>
      </c>
      <c r="F191" s="141">
        <v>0</v>
      </c>
    </row>
    <row r="192" spans="1:6" ht="30" x14ac:dyDescent="0.2">
      <c r="A192" s="135" t="s">
        <v>196</v>
      </c>
      <c r="B192" s="135" t="s">
        <v>1296</v>
      </c>
      <c r="C192" s="135" t="s">
        <v>1656</v>
      </c>
      <c r="D192" s="135" t="s">
        <v>1698</v>
      </c>
      <c r="E192" s="141" t="s">
        <v>1728</v>
      </c>
      <c r="F192" s="141"/>
    </row>
    <row r="193" spans="1:6" ht="30" x14ac:dyDescent="0.2">
      <c r="A193" s="135" t="s">
        <v>196</v>
      </c>
      <c r="B193" s="135" t="s">
        <v>1297</v>
      </c>
      <c r="C193" s="135" t="s">
        <v>1657</v>
      </c>
      <c r="D193" s="135" t="s">
        <v>1658</v>
      </c>
      <c r="E193" s="141" t="s">
        <v>1728</v>
      </c>
      <c r="F193" s="141"/>
    </row>
    <row r="194" spans="1:6" ht="30" x14ac:dyDescent="0.2">
      <c r="A194" s="135" t="s">
        <v>196</v>
      </c>
      <c r="B194" s="135" t="s">
        <v>1298</v>
      </c>
      <c r="C194" s="135" t="s">
        <v>1660</v>
      </c>
      <c r="D194" s="135" t="s">
        <v>1659</v>
      </c>
      <c r="E194" s="141" t="s">
        <v>1728</v>
      </c>
      <c r="F194" s="141"/>
    </row>
  </sheetData>
  <sortState ref="A3:G186">
    <sortCondition ref="A3:A186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69"/>
  <sheetViews>
    <sheetView workbookViewId="0"/>
  </sheetViews>
  <sheetFormatPr baseColWidth="10" defaultColWidth="12" defaultRowHeight="14" x14ac:dyDescent="0.15"/>
  <cols>
    <col min="1" max="1" width="12" style="44"/>
    <col min="2" max="2" width="6" style="44" customWidth="1"/>
    <col min="3" max="3" width="6.5" style="44" customWidth="1"/>
    <col min="4" max="4" width="6" style="44" customWidth="1"/>
    <col min="5" max="5" width="6.5" style="44" customWidth="1"/>
    <col min="6" max="6" width="6" style="44" customWidth="1"/>
    <col min="7" max="7" width="6.5" style="44" customWidth="1"/>
    <col min="8" max="8" width="6" style="44" customWidth="1"/>
    <col min="9" max="9" width="6.5" style="44" customWidth="1"/>
    <col min="10" max="10" width="6" style="44" customWidth="1"/>
    <col min="11" max="11" width="6.5" style="44" customWidth="1"/>
    <col min="12" max="12" width="7.1640625" style="44" customWidth="1"/>
    <col min="13" max="13" width="15.5" style="64" customWidth="1"/>
    <col min="14" max="16384" width="12" style="9"/>
  </cols>
  <sheetData>
    <row r="1" spans="1:13" x14ac:dyDescent="0.15">
      <c r="A1" s="2" t="s">
        <v>1501</v>
      </c>
    </row>
    <row r="2" spans="1:13" ht="45" x14ac:dyDescent="0.15">
      <c r="A2" s="67" t="s">
        <v>207</v>
      </c>
      <c r="B2" s="42" t="s">
        <v>1754</v>
      </c>
      <c r="C2" s="42" t="s">
        <v>1759</v>
      </c>
      <c r="D2" s="42" t="s">
        <v>1755</v>
      </c>
      <c r="E2" s="42" t="s">
        <v>1760</v>
      </c>
      <c r="F2" s="42" t="s">
        <v>1758</v>
      </c>
      <c r="G2" s="42" t="s">
        <v>1763</v>
      </c>
      <c r="H2" s="42" t="s">
        <v>1756</v>
      </c>
      <c r="I2" s="42" t="s">
        <v>1761</v>
      </c>
      <c r="J2" s="42" t="s">
        <v>1757</v>
      </c>
      <c r="K2" s="42" t="s">
        <v>1762</v>
      </c>
      <c r="L2" s="67" t="s">
        <v>1452</v>
      </c>
      <c r="M2" s="65" t="s">
        <v>1793</v>
      </c>
    </row>
    <row r="3" spans="1:13" x14ac:dyDescent="0.15">
      <c r="A3" s="44" t="s">
        <v>11</v>
      </c>
      <c r="B3" s="168">
        <v>3</v>
      </c>
      <c r="C3" s="44">
        <v>2</v>
      </c>
      <c r="D3" s="168">
        <v>3</v>
      </c>
      <c r="E3" s="44">
        <v>3</v>
      </c>
      <c r="F3" s="168">
        <v>10</v>
      </c>
      <c r="G3" s="44">
        <v>11</v>
      </c>
      <c r="H3" s="168">
        <v>0</v>
      </c>
      <c r="I3" s="44">
        <v>0</v>
      </c>
      <c r="J3" s="168">
        <v>0</v>
      </c>
      <c r="K3" s="44">
        <v>0</v>
      </c>
      <c r="L3" s="44">
        <v>16</v>
      </c>
      <c r="M3" s="64">
        <v>0.4375</v>
      </c>
    </row>
    <row r="4" spans="1:13" x14ac:dyDescent="0.15">
      <c r="A4" s="44" t="s">
        <v>16</v>
      </c>
      <c r="B4" s="168">
        <v>4</v>
      </c>
      <c r="C4" s="44">
        <v>3</v>
      </c>
      <c r="D4" s="168">
        <v>0</v>
      </c>
      <c r="E4" s="44">
        <v>0</v>
      </c>
      <c r="F4" s="168">
        <v>1</v>
      </c>
      <c r="G4" s="44">
        <v>2</v>
      </c>
      <c r="H4" s="168">
        <v>0</v>
      </c>
      <c r="I4" s="44">
        <v>0</v>
      </c>
      <c r="J4" s="168">
        <v>0</v>
      </c>
      <c r="K4" s="44">
        <v>0</v>
      </c>
      <c r="L4" s="44">
        <v>5</v>
      </c>
      <c r="M4" s="64">
        <v>1.8</v>
      </c>
    </row>
    <row r="5" spans="1:13" x14ac:dyDescent="0.15">
      <c r="A5" s="44" t="s">
        <v>19</v>
      </c>
      <c r="B5" s="168">
        <v>5</v>
      </c>
      <c r="C5" s="44">
        <v>5</v>
      </c>
      <c r="D5" s="168">
        <v>0</v>
      </c>
      <c r="E5" s="44">
        <v>0</v>
      </c>
      <c r="F5" s="168">
        <v>14</v>
      </c>
      <c r="G5" s="44">
        <v>14</v>
      </c>
      <c r="H5" s="168">
        <v>0</v>
      </c>
      <c r="I5" s="44">
        <v>0</v>
      </c>
      <c r="J5" s="168">
        <v>0</v>
      </c>
      <c r="K5" s="44">
        <v>0</v>
      </c>
      <c r="L5" s="44">
        <v>19</v>
      </c>
      <c r="M5" s="64">
        <v>1.2105263157894737</v>
      </c>
    </row>
    <row r="6" spans="1:13" x14ac:dyDescent="0.15">
      <c r="A6" s="44" t="s">
        <v>20</v>
      </c>
      <c r="B6" s="168">
        <v>5</v>
      </c>
      <c r="C6" s="44">
        <v>5</v>
      </c>
      <c r="D6" s="168">
        <v>9</v>
      </c>
      <c r="E6" s="44">
        <v>6</v>
      </c>
      <c r="F6" s="168">
        <v>13</v>
      </c>
      <c r="G6" s="44">
        <v>16</v>
      </c>
      <c r="H6" s="168">
        <v>0</v>
      </c>
      <c r="I6" s="44">
        <v>0</v>
      </c>
      <c r="J6" s="168">
        <v>0</v>
      </c>
      <c r="K6" s="44">
        <v>0</v>
      </c>
      <c r="L6" s="44">
        <v>27</v>
      </c>
      <c r="M6" s="64">
        <v>1.8518518518518519</v>
      </c>
    </row>
    <row r="7" spans="1:13" x14ac:dyDescent="0.15">
      <c r="A7" s="44" t="s">
        <v>21</v>
      </c>
      <c r="B7" s="168">
        <v>14</v>
      </c>
      <c r="C7" s="44">
        <v>14</v>
      </c>
      <c r="D7" s="168">
        <v>4</v>
      </c>
      <c r="E7" s="44">
        <v>6</v>
      </c>
      <c r="F7" s="168">
        <v>42</v>
      </c>
      <c r="G7" s="44">
        <v>39</v>
      </c>
      <c r="H7" s="168">
        <v>1</v>
      </c>
      <c r="I7" s="44">
        <v>2</v>
      </c>
      <c r="J7" s="168">
        <v>0</v>
      </c>
      <c r="K7" s="44">
        <v>0</v>
      </c>
      <c r="L7" s="44">
        <v>61</v>
      </c>
      <c r="M7" s="64">
        <v>0.70491803278688525</v>
      </c>
    </row>
    <row r="8" spans="1:13" x14ac:dyDescent="0.15">
      <c r="A8" s="44" t="s">
        <v>23</v>
      </c>
      <c r="B8" s="168">
        <v>15</v>
      </c>
      <c r="C8" s="44">
        <v>15</v>
      </c>
      <c r="D8" s="168">
        <v>20</v>
      </c>
      <c r="E8" s="44">
        <v>14</v>
      </c>
      <c r="F8" s="168">
        <v>11</v>
      </c>
      <c r="G8" s="44">
        <v>13</v>
      </c>
      <c r="H8" s="168">
        <v>1</v>
      </c>
      <c r="I8" s="44">
        <v>5</v>
      </c>
      <c r="J8" s="168">
        <v>0</v>
      </c>
      <c r="K8" s="44">
        <v>0</v>
      </c>
      <c r="L8" s="44">
        <v>47</v>
      </c>
      <c r="M8" s="64">
        <v>2.0851063829787235</v>
      </c>
    </row>
    <row r="9" spans="1:13" x14ac:dyDescent="0.15">
      <c r="A9" s="44" t="s">
        <v>24</v>
      </c>
      <c r="B9" s="168">
        <v>7</v>
      </c>
      <c r="C9" s="44">
        <v>5</v>
      </c>
      <c r="D9" s="168">
        <v>2</v>
      </c>
      <c r="E9" s="44">
        <v>2</v>
      </c>
      <c r="F9" s="168">
        <v>11</v>
      </c>
      <c r="G9" s="44">
        <v>13</v>
      </c>
      <c r="H9" s="168">
        <v>1</v>
      </c>
      <c r="I9" s="44">
        <v>1</v>
      </c>
      <c r="J9" s="168">
        <v>0</v>
      </c>
      <c r="K9" s="44">
        <v>0</v>
      </c>
      <c r="L9" s="44">
        <v>21</v>
      </c>
      <c r="M9" s="64">
        <v>0.47619047619047616</v>
      </c>
    </row>
    <row r="10" spans="1:13" x14ac:dyDescent="0.15">
      <c r="A10" s="44" t="s">
        <v>25</v>
      </c>
      <c r="B10" s="168">
        <v>4</v>
      </c>
      <c r="C10" s="44">
        <v>4</v>
      </c>
      <c r="D10" s="168">
        <v>0</v>
      </c>
      <c r="E10" s="44">
        <v>0</v>
      </c>
      <c r="F10" s="168">
        <v>7</v>
      </c>
      <c r="G10" s="44">
        <v>7</v>
      </c>
      <c r="H10" s="168">
        <v>0</v>
      </c>
      <c r="I10" s="44">
        <v>0</v>
      </c>
      <c r="J10" s="168">
        <v>0</v>
      </c>
      <c r="K10" s="44">
        <v>0</v>
      </c>
      <c r="L10" s="44">
        <v>11</v>
      </c>
      <c r="M10" s="64">
        <v>0.72727272727272729</v>
      </c>
    </row>
    <row r="11" spans="1:13" x14ac:dyDescent="0.15">
      <c r="A11" s="44" t="s">
        <v>27</v>
      </c>
      <c r="B11" s="168">
        <v>0</v>
      </c>
      <c r="C11" s="44">
        <v>0</v>
      </c>
      <c r="D11" s="168">
        <v>0</v>
      </c>
      <c r="E11" s="44">
        <v>0</v>
      </c>
      <c r="F11" s="168">
        <v>2</v>
      </c>
      <c r="G11" s="44">
        <v>2</v>
      </c>
      <c r="H11" s="168">
        <v>0</v>
      </c>
      <c r="I11" s="44">
        <v>0</v>
      </c>
      <c r="J11" s="168">
        <v>0</v>
      </c>
      <c r="K11" s="44">
        <v>0</v>
      </c>
      <c r="L11" s="44">
        <v>2</v>
      </c>
      <c r="M11" s="64">
        <v>0</v>
      </c>
    </row>
    <row r="12" spans="1:13" x14ac:dyDescent="0.15">
      <c r="A12" s="44" t="s">
        <v>28</v>
      </c>
      <c r="B12" s="168">
        <v>8</v>
      </c>
      <c r="C12" s="44">
        <v>8</v>
      </c>
      <c r="D12" s="168">
        <v>3</v>
      </c>
      <c r="E12" s="44">
        <v>2</v>
      </c>
      <c r="F12" s="168">
        <v>3</v>
      </c>
      <c r="G12" s="44">
        <v>3</v>
      </c>
      <c r="H12" s="168">
        <v>0</v>
      </c>
      <c r="I12" s="44">
        <v>1</v>
      </c>
      <c r="J12" s="168">
        <v>0</v>
      </c>
      <c r="K12" s="44">
        <v>0</v>
      </c>
      <c r="L12" s="44">
        <v>14</v>
      </c>
      <c r="M12" s="64">
        <v>1.9285714285714286</v>
      </c>
    </row>
    <row r="13" spans="1:13" x14ac:dyDescent="0.15">
      <c r="A13" s="44" t="s">
        <v>29</v>
      </c>
      <c r="B13" s="168">
        <v>2</v>
      </c>
      <c r="C13" s="44">
        <v>2</v>
      </c>
      <c r="D13" s="168">
        <v>3</v>
      </c>
      <c r="E13" s="44">
        <v>3</v>
      </c>
      <c r="F13" s="168">
        <v>9</v>
      </c>
      <c r="G13" s="44">
        <v>9</v>
      </c>
      <c r="H13" s="168">
        <v>0</v>
      </c>
      <c r="I13" s="44">
        <v>0</v>
      </c>
      <c r="J13" s="168">
        <v>1</v>
      </c>
      <c r="K13" s="44">
        <v>1</v>
      </c>
      <c r="L13" s="44">
        <v>15</v>
      </c>
      <c r="M13" s="64">
        <v>0.93333333333333335</v>
      </c>
    </row>
    <row r="14" spans="1:13" x14ac:dyDescent="0.15">
      <c r="A14" s="44" t="s">
        <v>30</v>
      </c>
      <c r="B14" s="168">
        <v>1</v>
      </c>
      <c r="C14" s="44">
        <v>1</v>
      </c>
      <c r="D14" s="168">
        <v>2</v>
      </c>
      <c r="E14" s="44">
        <v>1</v>
      </c>
      <c r="F14" s="168">
        <v>0</v>
      </c>
      <c r="G14" s="44">
        <v>1</v>
      </c>
      <c r="H14" s="168">
        <v>0</v>
      </c>
      <c r="I14" s="44">
        <v>0</v>
      </c>
      <c r="J14" s="168">
        <v>0</v>
      </c>
      <c r="K14" s="44">
        <v>0</v>
      </c>
      <c r="L14" s="44">
        <v>3</v>
      </c>
      <c r="M14" s="64">
        <v>2.3333333333333335</v>
      </c>
    </row>
    <row r="15" spans="1:13" x14ac:dyDescent="0.15">
      <c r="A15" s="44" t="s">
        <v>6</v>
      </c>
      <c r="B15" s="168">
        <v>12</v>
      </c>
      <c r="C15" s="44">
        <v>12</v>
      </c>
      <c r="D15" s="168">
        <v>15</v>
      </c>
      <c r="E15" s="44">
        <v>16</v>
      </c>
      <c r="F15" s="168">
        <v>3</v>
      </c>
      <c r="G15" s="44">
        <v>2</v>
      </c>
      <c r="H15" s="168">
        <v>0</v>
      </c>
      <c r="I15" s="44">
        <v>0</v>
      </c>
      <c r="J15" s="168">
        <v>4</v>
      </c>
      <c r="K15" s="44">
        <v>4</v>
      </c>
      <c r="L15" s="44">
        <v>34</v>
      </c>
      <c r="M15" s="64">
        <v>2.2941176470588234</v>
      </c>
    </row>
    <row r="16" spans="1:13" x14ac:dyDescent="0.15">
      <c r="A16" s="44" t="s">
        <v>9</v>
      </c>
      <c r="B16" s="168">
        <v>14</v>
      </c>
      <c r="C16" s="44">
        <v>14</v>
      </c>
      <c r="D16" s="168">
        <v>30</v>
      </c>
      <c r="E16" s="44">
        <v>36</v>
      </c>
      <c r="F16" s="168">
        <v>14</v>
      </c>
      <c r="G16" s="44">
        <v>7</v>
      </c>
      <c r="H16" s="168">
        <v>0</v>
      </c>
      <c r="I16" s="44">
        <v>0</v>
      </c>
      <c r="J16" s="168">
        <v>5</v>
      </c>
      <c r="K16" s="44">
        <v>6</v>
      </c>
      <c r="L16" s="44">
        <v>63</v>
      </c>
      <c r="M16" s="64">
        <v>2.1111111111111112</v>
      </c>
    </row>
    <row r="17" spans="1:13" x14ac:dyDescent="0.15">
      <c r="A17" s="44" t="s">
        <v>31</v>
      </c>
      <c r="B17" s="168">
        <v>1</v>
      </c>
      <c r="C17" s="44">
        <v>1</v>
      </c>
      <c r="D17" s="168">
        <v>5</v>
      </c>
      <c r="E17" s="44">
        <v>2</v>
      </c>
      <c r="F17" s="168">
        <v>4</v>
      </c>
      <c r="G17" s="44">
        <v>7</v>
      </c>
      <c r="H17" s="168">
        <v>0</v>
      </c>
      <c r="I17" s="44">
        <v>0</v>
      </c>
      <c r="J17" s="168">
        <v>0</v>
      </c>
      <c r="K17" s="44">
        <v>0</v>
      </c>
      <c r="L17" s="44">
        <v>10</v>
      </c>
      <c r="M17" s="64">
        <v>2.2999999999999998</v>
      </c>
    </row>
    <row r="18" spans="1:13" x14ac:dyDescent="0.15">
      <c r="A18" s="44" t="s">
        <v>32</v>
      </c>
      <c r="B18" s="168">
        <v>3</v>
      </c>
      <c r="C18" s="44">
        <v>3</v>
      </c>
      <c r="D18" s="168">
        <v>0</v>
      </c>
      <c r="E18" s="44">
        <v>0</v>
      </c>
      <c r="F18" s="168">
        <v>3</v>
      </c>
      <c r="G18" s="44">
        <v>3</v>
      </c>
      <c r="H18" s="168">
        <v>0</v>
      </c>
      <c r="I18" s="44">
        <v>0</v>
      </c>
      <c r="J18" s="168">
        <v>0</v>
      </c>
      <c r="K18" s="44">
        <v>0</v>
      </c>
      <c r="L18" s="44">
        <v>6</v>
      </c>
      <c r="M18" s="64">
        <v>0.66666666666666663</v>
      </c>
    </row>
    <row r="19" spans="1:13" x14ac:dyDescent="0.15">
      <c r="A19" s="44" t="s">
        <v>33</v>
      </c>
      <c r="B19" s="168">
        <v>5</v>
      </c>
      <c r="C19" s="44">
        <v>5</v>
      </c>
      <c r="D19" s="168">
        <v>0</v>
      </c>
      <c r="E19" s="44">
        <v>0</v>
      </c>
      <c r="F19" s="168">
        <v>22</v>
      </c>
      <c r="G19" s="44">
        <v>22</v>
      </c>
      <c r="H19" s="168">
        <v>0</v>
      </c>
      <c r="I19" s="44">
        <v>0</v>
      </c>
      <c r="J19" s="168">
        <v>0</v>
      </c>
      <c r="K19" s="44">
        <v>0</v>
      </c>
      <c r="L19" s="44">
        <v>27</v>
      </c>
      <c r="M19" s="64">
        <v>1.2592592592592593</v>
      </c>
    </row>
    <row r="20" spans="1:13" x14ac:dyDescent="0.15">
      <c r="A20" s="44" t="s">
        <v>34</v>
      </c>
      <c r="B20" s="168">
        <v>1</v>
      </c>
      <c r="C20" s="44">
        <v>1</v>
      </c>
      <c r="D20" s="168">
        <v>1</v>
      </c>
      <c r="E20" s="44">
        <v>1</v>
      </c>
      <c r="F20" s="168">
        <v>1</v>
      </c>
      <c r="G20" s="44">
        <v>1</v>
      </c>
      <c r="H20" s="168">
        <v>0</v>
      </c>
      <c r="I20" s="44">
        <v>0</v>
      </c>
      <c r="J20" s="168">
        <v>0</v>
      </c>
      <c r="K20" s="44">
        <v>0</v>
      </c>
      <c r="L20" s="44">
        <v>3</v>
      </c>
      <c r="M20" s="64">
        <v>0.66666666666666663</v>
      </c>
    </row>
    <row r="21" spans="1:13" x14ac:dyDescent="0.15">
      <c r="A21" s="44" t="s">
        <v>36</v>
      </c>
      <c r="B21" s="168">
        <v>1</v>
      </c>
      <c r="C21" s="44">
        <v>0</v>
      </c>
      <c r="D21" s="168">
        <v>4</v>
      </c>
      <c r="E21" s="44">
        <v>2</v>
      </c>
      <c r="F21" s="168">
        <v>1</v>
      </c>
      <c r="G21" s="44">
        <v>4</v>
      </c>
      <c r="H21" s="168">
        <v>0</v>
      </c>
      <c r="I21" s="44">
        <v>0</v>
      </c>
      <c r="J21" s="168">
        <v>1</v>
      </c>
      <c r="K21" s="44">
        <v>1</v>
      </c>
      <c r="L21" s="44">
        <v>7</v>
      </c>
      <c r="M21" s="64">
        <v>2</v>
      </c>
    </row>
    <row r="22" spans="1:13" x14ac:dyDescent="0.15">
      <c r="A22" s="44" t="s">
        <v>38</v>
      </c>
      <c r="B22" s="168">
        <v>1</v>
      </c>
      <c r="C22" s="44">
        <v>1</v>
      </c>
      <c r="D22" s="168">
        <v>0</v>
      </c>
      <c r="E22" s="44">
        <v>0</v>
      </c>
      <c r="F22" s="168">
        <v>2</v>
      </c>
      <c r="G22" s="44">
        <v>2</v>
      </c>
      <c r="H22" s="168">
        <v>0</v>
      </c>
      <c r="I22" s="44">
        <v>0</v>
      </c>
      <c r="J22" s="168">
        <v>0</v>
      </c>
      <c r="K22" s="44">
        <v>0</v>
      </c>
      <c r="L22" s="44">
        <v>3</v>
      </c>
      <c r="M22" s="64">
        <v>0.66666666666666663</v>
      </c>
    </row>
    <row r="23" spans="1:13" x14ac:dyDescent="0.15">
      <c r="A23" s="44" t="s">
        <v>39</v>
      </c>
      <c r="B23" s="168">
        <v>1</v>
      </c>
      <c r="C23" s="44">
        <v>1</v>
      </c>
      <c r="D23" s="168">
        <v>0</v>
      </c>
      <c r="E23" s="44">
        <v>0</v>
      </c>
      <c r="F23" s="168">
        <v>0</v>
      </c>
      <c r="G23" s="44">
        <v>0</v>
      </c>
      <c r="H23" s="168">
        <v>0</v>
      </c>
      <c r="I23" s="44">
        <v>0</v>
      </c>
      <c r="J23" s="168">
        <v>0</v>
      </c>
      <c r="K23" s="44">
        <v>0</v>
      </c>
      <c r="L23" s="44">
        <v>3</v>
      </c>
      <c r="M23" s="64">
        <v>2</v>
      </c>
    </row>
    <row r="24" spans="1:13" x14ac:dyDescent="0.15">
      <c r="A24" s="44" t="s">
        <v>40</v>
      </c>
      <c r="B24" s="168">
        <v>0</v>
      </c>
      <c r="C24" s="44">
        <v>0</v>
      </c>
      <c r="D24" s="168">
        <v>0</v>
      </c>
      <c r="E24" s="44">
        <v>0</v>
      </c>
      <c r="F24" s="168">
        <v>3</v>
      </c>
      <c r="G24" s="44">
        <v>2</v>
      </c>
      <c r="H24" s="168">
        <v>0</v>
      </c>
      <c r="I24" s="44">
        <v>1</v>
      </c>
      <c r="J24" s="168">
        <v>0</v>
      </c>
      <c r="K24" s="44">
        <v>0</v>
      </c>
      <c r="L24" s="44">
        <v>1</v>
      </c>
      <c r="M24" s="64">
        <v>0</v>
      </c>
    </row>
    <row r="25" spans="1:13" x14ac:dyDescent="0.15">
      <c r="A25" s="44" t="s">
        <v>41</v>
      </c>
      <c r="B25" s="168">
        <v>0</v>
      </c>
      <c r="C25" s="44">
        <v>0</v>
      </c>
      <c r="D25" s="168">
        <v>1</v>
      </c>
      <c r="E25" s="44">
        <v>0</v>
      </c>
      <c r="F25" s="168">
        <v>0</v>
      </c>
      <c r="G25" s="44">
        <v>1</v>
      </c>
      <c r="H25" s="168">
        <v>0</v>
      </c>
      <c r="I25" s="44">
        <v>0</v>
      </c>
      <c r="J25" s="168">
        <v>0</v>
      </c>
      <c r="K25" s="44">
        <v>0</v>
      </c>
      <c r="L25" s="44">
        <v>5</v>
      </c>
      <c r="M25" s="64">
        <v>0</v>
      </c>
    </row>
    <row r="26" spans="1:13" x14ac:dyDescent="0.15">
      <c r="A26" s="44" t="s">
        <v>42</v>
      </c>
      <c r="B26" s="168">
        <v>2</v>
      </c>
      <c r="C26" s="44">
        <v>2</v>
      </c>
      <c r="D26" s="168">
        <v>0</v>
      </c>
      <c r="E26" s="44">
        <v>0</v>
      </c>
      <c r="F26" s="168">
        <v>3</v>
      </c>
      <c r="G26" s="44">
        <v>3</v>
      </c>
      <c r="H26" s="168">
        <v>0</v>
      </c>
      <c r="I26" s="44">
        <v>0</v>
      </c>
      <c r="J26" s="168">
        <v>0</v>
      </c>
      <c r="K26" s="44">
        <v>0</v>
      </c>
      <c r="L26" s="44">
        <v>7</v>
      </c>
      <c r="M26" s="64">
        <v>0</v>
      </c>
    </row>
    <row r="27" spans="1:13" x14ac:dyDescent="0.15">
      <c r="A27" s="44" t="s">
        <v>43</v>
      </c>
      <c r="B27" s="168">
        <v>3</v>
      </c>
      <c r="C27" s="44">
        <v>3</v>
      </c>
      <c r="D27" s="168">
        <v>3</v>
      </c>
      <c r="E27" s="44">
        <v>2</v>
      </c>
      <c r="F27" s="168">
        <v>1</v>
      </c>
      <c r="G27" s="44">
        <v>2</v>
      </c>
      <c r="H27" s="168">
        <v>0</v>
      </c>
      <c r="I27" s="44">
        <v>0</v>
      </c>
      <c r="J27" s="168">
        <v>0</v>
      </c>
      <c r="K27" s="44">
        <v>0</v>
      </c>
      <c r="L27" s="44">
        <v>14</v>
      </c>
      <c r="M27" s="64">
        <v>0</v>
      </c>
    </row>
    <row r="28" spans="1:13" x14ac:dyDescent="0.15">
      <c r="A28" s="44" t="s">
        <v>46</v>
      </c>
      <c r="B28" s="168">
        <v>0</v>
      </c>
      <c r="C28" s="44">
        <v>0</v>
      </c>
      <c r="D28" s="168">
        <v>7</v>
      </c>
      <c r="E28" s="44">
        <v>2</v>
      </c>
      <c r="F28" s="168">
        <v>5</v>
      </c>
      <c r="G28" s="44">
        <v>10</v>
      </c>
      <c r="H28" s="168">
        <v>0</v>
      </c>
      <c r="I28" s="44">
        <v>0</v>
      </c>
      <c r="J28" s="168">
        <v>2</v>
      </c>
      <c r="K28" s="44">
        <v>2</v>
      </c>
      <c r="L28" s="44">
        <v>13</v>
      </c>
      <c r="M28" s="64">
        <v>2.7142857142857144</v>
      </c>
    </row>
    <row r="29" spans="1:13" x14ac:dyDescent="0.15">
      <c r="A29" s="44" t="s">
        <v>47</v>
      </c>
      <c r="B29" s="168">
        <v>2</v>
      </c>
      <c r="C29" s="44">
        <v>2</v>
      </c>
      <c r="D29" s="168">
        <v>2</v>
      </c>
      <c r="E29" s="44">
        <v>2</v>
      </c>
      <c r="F29" s="168">
        <v>9</v>
      </c>
      <c r="G29" s="44">
        <v>9</v>
      </c>
      <c r="H29" s="168">
        <v>0</v>
      </c>
      <c r="I29" s="44">
        <v>0</v>
      </c>
      <c r="J29" s="168">
        <v>0</v>
      </c>
      <c r="K29" s="44">
        <v>0</v>
      </c>
      <c r="L29" s="44">
        <v>38</v>
      </c>
      <c r="M29" s="64">
        <v>1.6153846153846154</v>
      </c>
    </row>
    <row r="30" spans="1:13" x14ac:dyDescent="0.15">
      <c r="A30" s="44" t="s">
        <v>48</v>
      </c>
      <c r="B30" s="168">
        <v>4</v>
      </c>
      <c r="C30" s="44">
        <v>4</v>
      </c>
      <c r="D30" s="168">
        <v>2</v>
      </c>
      <c r="E30" s="44">
        <v>1</v>
      </c>
      <c r="F30" s="168">
        <v>32</v>
      </c>
      <c r="G30" s="44">
        <v>33</v>
      </c>
      <c r="H30" s="168">
        <v>0</v>
      </c>
      <c r="I30" s="44">
        <v>0</v>
      </c>
      <c r="J30" s="168">
        <v>0</v>
      </c>
      <c r="K30" s="44">
        <v>0</v>
      </c>
      <c r="L30" s="44">
        <v>3</v>
      </c>
      <c r="M30" s="64">
        <v>1.1052631578947369</v>
      </c>
    </row>
    <row r="31" spans="1:13" x14ac:dyDescent="0.15">
      <c r="A31" s="44" t="s">
        <v>49</v>
      </c>
      <c r="B31" s="168">
        <v>0</v>
      </c>
      <c r="C31" s="44">
        <v>0</v>
      </c>
      <c r="D31" s="168">
        <v>0</v>
      </c>
      <c r="E31" s="44">
        <v>0</v>
      </c>
      <c r="F31" s="168">
        <v>3</v>
      </c>
      <c r="G31" s="44">
        <v>3</v>
      </c>
      <c r="H31" s="168">
        <v>0</v>
      </c>
      <c r="I31" s="44">
        <v>0</v>
      </c>
      <c r="J31" s="168">
        <v>0</v>
      </c>
      <c r="K31" s="44">
        <v>0</v>
      </c>
      <c r="L31" s="44">
        <v>1</v>
      </c>
      <c r="M31" s="64">
        <v>0</v>
      </c>
    </row>
    <row r="32" spans="1:13" x14ac:dyDescent="0.15">
      <c r="A32" s="44" t="s">
        <v>50</v>
      </c>
      <c r="B32" s="168">
        <v>0</v>
      </c>
      <c r="C32" s="44">
        <v>0</v>
      </c>
      <c r="D32" s="168">
        <v>0</v>
      </c>
      <c r="E32" s="44">
        <v>0</v>
      </c>
      <c r="F32" s="168">
        <v>1</v>
      </c>
      <c r="G32" s="44">
        <v>1</v>
      </c>
      <c r="H32" s="168">
        <v>0</v>
      </c>
      <c r="I32" s="44">
        <v>0</v>
      </c>
      <c r="J32" s="168">
        <v>0</v>
      </c>
      <c r="K32" s="44">
        <v>0</v>
      </c>
      <c r="L32" s="44">
        <v>1</v>
      </c>
      <c r="M32" s="64">
        <v>0</v>
      </c>
    </row>
    <row r="33" spans="1:13" x14ac:dyDescent="0.15">
      <c r="A33" s="44" t="s">
        <v>51</v>
      </c>
      <c r="B33" s="168">
        <v>1</v>
      </c>
      <c r="C33" s="44">
        <v>1</v>
      </c>
      <c r="D33" s="168">
        <v>0</v>
      </c>
      <c r="E33" s="44">
        <v>0</v>
      </c>
      <c r="F33" s="168">
        <v>0</v>
      </c>
      <c r="G33" s="44">
        <v>0</v>
      </c>
      <c r="H33" s="168">
        <v>0</v>
      </c>
      <c r="I33" s="44">
        <v>0</v>
      </c>
      <c r="J33" s="168">
        <v>0</v>
      </c>
      <c r="K33" s="44">
        <v>0</v>
      </c>
      <c r="L33" s="44">
        <v>5</v>
      </c>
      <c r="M33" s="64">
        <v>0</v>
      </c>
    </row>
    <row r="34" spans="1:13" x14ac:dyDescent="0.15">
      <c r="A34" s="44" t="s">
        <v>52</v>
      </c>
      <c r="B34" s="168">
        <v>0</v>
      </c>
      <c r="C34" s="44">
        <v>0</v>
      </c>
      <c r="D34" s="168">
        <v>1</v>
      </c>
      <c r="E34" s="44">
        <v>1</v>
      </c>
      <c r="F34" s="168">
        <v>4</v>
      </c>
      <c r="G34" s="44">
        <v>4</v>
      </c>
      <c r="H34" s="168">
        <v>0</v>
      </c>
      <c r="I34" s="44">
        <v>0</v>
      </c>
      <c r="J34" s="168">
        <v>0</v>
      </c>
      <c r="K34" s="44">
        <v>0</v>
      </c>
      <c r="L34" s="44">
        <v>5</v>
      </c>
      <c r="M34" s="64">
        <v>0</v>
      </c>
    </row>
    <row r="35" spans="1:13" x14ac:dyDescent="0.15">
      <c r="A35" s="44" t="s">
        <v>53</v>
      </c>
      <c r="B35" s="168">
        <v>1</v>
      </c>
      <c r="C35" s="44">
        <v>1</v>
      </c>
      <c r="D35" s="168">
        <v>1</v>
      </c>
      <c r="E35" s="44">
        <v>0</v>
      </c>
      <c r="F35" s="168">
        <v>3</v>
      </c>
      <c r="G35" s="44">
        <v>4</v>
      </c>
      <c r="H35" s="168">
        <v>0</v>
      </c>
      <c r="I35" s="44">
        <v>0</v>
      </c>
      <c r="J35" s="168">
        <v>0</v>
      </c>
      <c r="K35" s="44">
        <v>0</v>
      </c>
      <c r="L35" s="44">
        <v>3</v>
      </c>
      <c r="M35" s="64">
        <v>0</v>
      </c>
    </row>
    <row r="36" spans="1:13" x14ac:dyDescent="0.15">
      <c r="A36" s="44" t="s">
        <v>54</v>
      </c>
      <c r="B36" s="168">
        <v>0</v>
      </c>
      <c r="C36" s="44">
        <v>0</v>
      </c>
      <c r="D36" s="168">
        <v>0</v>
      </c>
      <c r="E36" s="44">
        <v>0</v>
      </c>
      <c r="F36" s="168">
        <v>3</v>
      </c>
      <c r="G36" s="44">
        <v>3</v>
      </c>
      <c r="H36" s="168">
        <v>0</v>
      </c>
      <c r="I36" s="44">
        <v>0</v>
      </c>
      <c r="J36" s="168">
        <v>0</v>
      </c>
      <c r="K36" s="44">
        <v>0</v>
      </c>
      <c r="L36" s="44">
        <v>38</v>
      </c>
      <c r="M36" s="64">
        <v>0.66666666666666663</v>
      </c>
    </row>
    <row r="37" spans="1:13" x14ac:dyDescent="0.15">
      <c r="A37" s="44" t="s">
        <v>56</v>
      </c>
      <c r="B37" s="168">
        <v>9</v>
      </c>
      <c r="C37" s="44">
        <v>9</v>
      </c>
      <c r="D37" s="168">
        <v>2</v>
      </c>
      <c r="E37" s="44">
        <v>2</v>
      </c>
      <c r="F37" s="168">
        <v>27</v>
      </c>
      <c r="G37" s="44">
        <v>27</v>
      </c>
      <c r="H37" s="168">
        <v>0</v>
      </c>
      <c r="I37" s="44">
        <v>0</v>
      </c>
      <c r="J37" s="168">
        <v>0</v>
      </c>
      <c r="K37" s="44">
        <v>0</v>
      </c>
      <c r="L37" s="44">
        <v>8</v>
      </c>
      <c r="M37" s="64">
        <v>0.21052631578947367</v>
      </c>
    </row>
    <row r="38" spans="1:13" x14ac:dyDescent="0.15">
      <c r="A38" s="44" t="s">
        <v>57</v>
      </c>
      <c r="B38" s="168">
        <v>2</v>
      </c>
      <c r="C38" s="44">
        <v>2</v>
      </c>
      <c r="D38" s="168">
        <v>0</v>
      </c>
      <c r="E38" s="44">
        <v>2</v>
      </c>
      <c r="F38" s="168">
        <v>6</v>
      </c>
      <c r="G38" s="44">
        <v>4</v>
      </c>
      <c r="H38" s="168">
        <v>0</v>
      </c>
      <c r="I38" s="44">
        <v>0</v>
      </c>
      <c r="J38" s="168">
        <v>0</v>
      </c>
      <c r="K38" s="44">
        <v>0</v>
      </c>
      <c r="L38" s="44">
        <v>11</v>
      </c>
      <c r="M38" s="64">
        <v>0.75</v>
      </c>
    </row>
    <row r="39" spans="1:13" x14ac:dyDescent="0.15">
      <c r="A39" s="44" t="s">
        <v>58</v>
      </c>
      <c r="B39" s="168">
        <v>3</v>
      </c>
      <c r="C39" s="44">
        <v>3</v>
      </c>
      <c r="D39" s="168">
        <v>0</v>
      </c>
      <c r="E39" s="44">
        <v>0</v>
      </c>
      <c r="F39" s="168">
        <v>8</v>
      </c>
      <c r="G39" s="44">
        <v>8</v>
      </c>
      <c r="H39" s="168">
        <v>0</v>
      </c>
      <c r="I39" s="44">
        <v>0</v>
      </c>
      <c r="J39" s="168">
        <v>0</v>
      </c>
      <c r="K39" s="44">
        <v>0</v>
      </c>
      <c r="L39" s="44">
        <v>33</v>
      </c>
      <c r="M39" s="64">
        <v>1.0909090909090908</v>
      </c>
    </row>
    <row r="40" spans="1:13" x14ac:dyDescent="0.15">
      <c r="A40" s="44" t="s">
        <v>59</v>
      </c>
      <c r="B40" s="168">
        <v>4</v>
      </c>
      <c r="C40" s="44">
        <v>4</v>
      </c>
      <c r="D40" s="168">
        <v>0</v>
      </c>
      <c r="E40" s="44">
        <v>2</v>
      </c>
      <c r="F40" s="168">
        <v>29</v>
      </c>
      <c r="G40" s="44">
        <v>25</v>
      </c>
      <c r="H40" s="168">
        <v>0</v>
      </c>
      <c r="I40" s="44">
        <v>2</v>
      </c>
      <c r="J40" s="168">
        <v>0</v>
      </c>
      <c r="K40" s="44">
        <v>0</v>
      </c>
      <c r="L40" s="44">
        <v>8</v>
      </c>
      <c r="M40" s="64">
        <v>1.606060606060606</v>
      </c>
    </row>
    <row r="41" spans="1:13" x14ac:dyDescent="0.15">
      <c r="A41" s="44" t="s">
        <v>60</v>
      </c>
      <c r="B41" s="168">
        <v>1</v>
      </c>
      <c r="C41" s="44">
        <v>1</v>
      </c>
      <c r="D41" s="168">
        <v>2</v>
      </c>
      <c r="E41" s="44">
        <v>1</v>
      </c>
      <c r="F41" s="168">
        <v>5</v>
      </c>
      <c r="G41" s="44">
        <v>6</v>
      </c>
      <c r="H41" s="168">
        <v>0</v>
      </c>
      <c r="I41" s="44">
        <v>0</v>
      </c>
      <c r="J41" s="168">
        <v>0</v>
      </c>
      <c r="K41" s="44">
        <v>0</v>
      </c>
      <c r="L41" s="44">
        <v>1</v>
      </c>
      <c r="M41" s="64">
        <v>1.25</v>
      </c>
    </row>
    <row r="42" spans="1:13" x14ac:dyDescent="0.15">
      <c r="A42" s="44" t="s">
        <v>61</v>
      </c>
      <c r="B42" s="168">
        <v>1</v>
      </c>
      <c r="C42" s="44">
        <v>1</v>
      </c>
      <c r="D42" s="168">
        <v>0</v>
      </c>
      <c r="E42" s="44">
        <v>0</v>
      </c>
      <c r="F42" s="168">
        <v>0</v>
      </c>
      <c r="G42" s="44">
        <v>0</v>
      </c>
      <c r="H42" s="168">
        <v>0</v>
      </c>
      <c r="I42" s="44">
        <v>0</v>
      </c>
      <c r="J42" s="168">
        <v>0</v>
      </c>
      <c r="K42" s="44">
        <v>0</v>
      </c>
      <c r="L42" s="44">
        <v>7</v>
      </c>
      <c r="M42" s="64">
        <v>2</v>
      </c>
    </row>
    <row r="43" spans="1:13" x14ac:dyDescent="0.15">
      <c r="A43" s="44" t="s">
        <v>62</v>
      </c>
      <c r="B43" s="168">
        <v>3</v>
      </c>
      <c r="C43" s="44">
        <v>3</v>
      </c>
      <c r="D43" s="168">
        <v>0</v>
      </c>
      <c r="E43" s="44">
        <v>0</v>
      </c>
      <c r="F43" s="168">
        <v>4</v>
      </c>
      <c r="G43" s="44">
        <v>4</v>
      </c>
      <c r="H43" s="168">
        <v>0</v>
      </c>
      <c r="I43" s="44">
        <v>0</v>
      </c>
      <c r="J43" s="168">
        <v>0</v>
      </c>
      <c r="K43" s="44">
        <v>0</v>
      </c>
      <c r="L43" s="44">
        <v>10</v>
      </c>
      <c r="M43" s="64">
        <v>0.7142857142857143</v>
      </c>
    </row>
    <row r="44" spans="1:13" x14ac:dyDescent="0.15">
      <c r="A44" s="44" t="s">
        <v>63</v>
      </c>
      <c r="B44" s="168">
        <v>2</v>
      </c>
      <c r="C44" s="44">
        <v>2</v>
      </c>
      <c r="D44" s="168">
        <v>0</v>
      </c>
      <c r="E44" s="44">
        <v>0</v>
      </c>
      <c r="F44" s="168">
        <v>8</v>
      </c>
      <c r="G44" s="44">
        <v>7</v>
      </c>
      <c r="H44" s="168">
        <v>0</v>
      </c>
      <c r="I44" s="44">
        <v>1</v>
      </c>
      <c r="J44" s="168">
        <v>0</v>
      </c>
      <c r="K44" s="44">
        <v>0</v>
      </c>
      <c r="L44" s="44">
        <v>6</v>
      </c>
      <c r="M44" s="64">
        <v>1.6</v>
      </c>
    </row>
    <row r="45" spans="1:13" x14ac:dyDescent="0.15">
      <c r="A45" s="44" t="s">
        <v>64</v>
      </c>
      <c r="B45" s="168">
        <v>0</v>
      </c>
      <c r="C45" s="44">
        <v>0</v>
      </c>
      <c r="D45" s="168">
        <v>0</v>
      </c>
      <c r="E45" s="44">
        <v>0</v>
      </c>
      <c r="F45" s="168">
        <v>6</v>
      </c>
      <c r="G45" s="44">
        <v>4</v>
      </c>
      <c r="H45" s="168">
        <v>0</v>
      </c>
      <c r="I45" s="44">
        <v>2</v>
      </c>
      <c r="J45" s="168">
        <v>0</v>
      </c>
      <c r="K45" s="44">
        <v>0</v>
      </c>
      <c r="L45" s="44">
        <v>13</v>
      </c>
      <c r="M45" s="64">
        <v>0.5</v>
      </c>
    </row>
    <row r="46" spans="1:13" x14ac:dyDescent="0.15">
      <c r="A46" s="44" t="s">
        <v>65</v>
      </c>
      <c r="B46" s="168">
        <v>4</v>
      </c>
      <c r="C46" s="44">
        <v>4</v>
      </c>
      <c r="D46" s="168">
        <v>1</v>
      </c>
      <c r="E46" s="44">
        <v>0</v>
      </c>
      <c r="F46" s="168">
        <v>8</v>
      </c>
      <c r="G46" s="44">
        <v>9</v>
      </c>
      <c r="H46" s="168">
        <v>0</v>
      </c>
      <c r="I46" s="44">
        <v>0</v>
      </c>
      <c r="J46" s="168">
        <v>0</v>
      </c>
      <c r="K46" s="44">
        <v>0</v>
      </c>
      <c r="L46" s="44">
        <v>17</v>
      </c>
      <c r="M46" s="64">
        <v>0.38461538461538464</v>
      </c>
    </row>
    <row r="47" spans="1:13" x14ac:dyDescent="0.15">
      <c r="A47" s="44" t="s">
        <v>66</v>
      </c>
      <c r="B47" s="168">
        <v>6</v>
      </c>
      <c r="C47" s="44">
        <v>6</v>
      </c>
      <c r="D47" s="168">
        <v>7</v>
      </c>
      <c r="E47" s="44">
        <v>5</v>
      </c>
      <c r="F47" s="168">
        <v>4</v>
      </c>
      <c r="G47" s="44">
        <v>6</v>
      </c>
      <c r="H47" s="168">
        <v>0</v>
      </c>
      <c r="I47" s="44">
        <v>0</v>
      </c>
      <c r="J47" s="168">
        <v>0</v>
      </c>
      <c r="K47" s="44">
        <v>0</v>
      </c>
      <c r="L47" s="44">
        <v>1</v>
      </c>
      <c r="M47" s="64">
        <v>1.2352941176470589</v>
      </c>
    </row>
    <row r="48" spans="1:13" x14ac:dyDescent="0.15">
      <c r="A48" s="44" t="s">
        <v>67</v>
      </c>
      <c r="B48" s="168">
        <v>0</v>
      </c>
      <c r="C48" s="44">
        <v>0</v>
      </c>
      <c r="D48" s="168">
        <v>0</v>
      </c>
      <c r="E48" s="44">
        <v>0</v>
      </c>
      <c r="F48" s="168">
        <v>1</v>
      </c>
      <c r="G48" s="44">
        <v>1</v>
      </c>
      <c r="H48" s="168">
        <v>0</v>
      </c>
      <c r="I48" s="44">
        <v>0</v>
      </c>
      <c r="J48" s="168">
        <v>0</v>
      </c>
      <c r="K48" s="44">
        <v>0</v>
      </c>
      <c r="L48" s="44">
        <v>6</v>
      </c>
      <c r="M48" s="64">
        <v>0</v>
      </c>
    </row>
    <row r="49" spans="1:13" x14ac:dyDescent="0.15">
      <c r="A49" s="44" t="s">
        <v>68</v>
      </c>
      <c r="B49" s="168">
        <v>1</v>
      </c>
      <c r="C49" s="44">
        <v>1</v>
      </c>
      <c r="D49" s="168">
        <v>0</v>
      </c>
      <c r="E49" s="44">
        <v>0</v>
      </c>
      <c r="F49" s="168">
        <v>5</v>
      </c>
      <c r="G49" s="44">
        <v>5</v>
      </c>
      <c r="H49" s="168">
        <v>0</v>
      </c>
      <c r="I49" s="44">
        <v>0</v>
      </c>
      <c r="J49" s="168">
        <v>0</v>
      </c>
      <c r="K49" s="44">
        <v>0</v>
      </c>
      <c r="L49" s="44">
        <v>2</v>
      </c>
      <c r="M49" s="64">
        <v>0.16666666666666666</v>
      </c>
    </row>
    <row r="50" spans="1:13" x14ac:dyDescent="0.15">
      <c r="A50" s="44" t="s">
        <v>69</v>
      </c>
      <c r="B50" s="168">
        <v>1</v>
      </c>
      <c r="C50" s="44">
        <v>1</v>
      </c>
      <c r="D50" s="168">
        <v>0</v>
      </c>
      <c r="E50" s="44">
        <v>0</v>
      </c>
      <c r="F50" s="168">
        <v>0</v>
      </c>
      <c r="G50" s="44">
        <v>0</v>
      </c>
      <c r="H50" s="168">
        <v>0</v>
      </c>
      <c r="I50" s="44">
        <v>0</v>
      </c>
      <c r="J50" s="168">
        <v>0</v>
      </c>
      <c r="K50" s="44">
        <v>0</v>
      </c>
      <c r="L50" s="44">
        <v>5</v>
      </c>
      <c r="M50" s="64">
        <v>1</v>
      </c>
    </row>
    <row r="51" spans="1:13" x14ac:dyDescent="0.15">
      <c r="A51" s="44" t="s">
        <v>70</v>
      </c>
      <c r="B51" s="168">
        <v>1</v>
      </c>
      <c r="C51" s="44">
        <v>1</v>
      </c>
      <c r="D51" s="168">
        <v>0</v>
      </c>
      <c r="E51" s="44">
        <v>0</v>
      </c>
      <c r="F51" s="168">
        <v>1</v>
      </c>
      <c r="G51" s="44">
        <v>1</v>
      </c>
      <c r="H51" s="168">
        <v>0</v>
      </c>
      <c r="I51" s="44">
        <v>0</v>
      </c>
      <c r="J51" s="168">
        <v>0</v>
      </c>
      <c r="K51" s="44">
        <v>0</v>
      </c>
      <c r="L51" s="44">
        <v>24</v>
      </c>
      <c r="M51" s="64">
        <v>3</v>
      </c>
    </row>
    <row r="52" spans="1:13" x14ac:dyDescent="0.15">
      <c r="A52" s="44" t="s">
        <v>71</v>
      </c>
      <c r="B52" s="168">
        <v>2</v>
      </c>
      <c r="C52" s="44">
        <v>2</v>
      </c>
      <c r="D52" s="168">
        <v>2</v>
      </c>
      <c r="E52" s="44">
        <v>2</v>
      </c>
      <c r="F52" s="168">
        <v>1</v>
      </c>
      <c r="G52" s="44">
        <v>1</v>
      </c>
      <c r="H52" s="168">
        <v>0</v>
      </c>
      <c r="I52" s="44">
        <v>0</v>
      </c>
      <c r="J52" s="168">
        <v>0</v>
      </c>
      <c r="K52" s="44">
        <v>0</v>
      </c>
      <c r="L52" s="44">
        <v>4</v>
      </c>
      <c r="M52" s="64">
        <v>0.4</v>
      </c>
    </row>
    <row r="53" spans="1:13" x14ac:dyDescent="0.15">
      <c r="A53" s="44" t="s">
        <v>72</v>
      </c>
      <c r="B53" s="168">
        <v>12</v>
      </c>
      <c r="C53" s="44">
        <v>12</v>
      </c>
      <c r="D53" s="168">
        <v>9</v>
      </c>
      <c r="E53" s="44">
        <v>5</v>
      </c>
      <c r="F53" s="168">
        <v>3</v>
      </c>
      <c r="G53" s="44">
        <v>7</v>
      </c>
      <c r="H53" s="168">
        <v>0</v>
      </c>
      <c r="I53" s="44">
        <v>0</v>
      </c>
      <c r="J53" s="168">
        <v>0</v>
      </c>
      <c r="K53" s="44">
        <v>0</v>
      </c>
      <c r="L53" s="44">
        <v>7</v>
      </c>
      <c r="M53" s="64">
        <v>1.5416666666666667</v>
      </c>
    </row>
    <row r="54" spans="1:13" x14ac:dyDescent="0.15">
      <c r="A54" s="44" t="s">
        <v>73</v>
      </c>
      <c r="B54" s="168">
        <v>1</v>
      </c>
      <c r="C54" s="44">
        <v>1</v>
      </c>
      <c r="D54" s="168">
        <v>2</v>
      </c>
      <c r="E54" s="44">
        <v>2</v>
      </c>
      <c r="F54" s="168">
        <v>1</v>
      </c>
      <c r="G54" s="44">
        <v>1</v>
      </c>
      <c r="H54" s="168">
        <v>0</v>
      </c>
      <c r="I54" s="44">
        <v>0</v>
      </c>
      <c r="J54" s="168">
        <v>0</v>
      </c>
      <c r="K54" s="44">
        <v>0</v>
      </c>
      <c r="L54" s="44">
        <v>16</v>
      </c>
      <c r="M54" s="64">
        <v>0</v>
      </c>
    </row>
    <row r="55" spans="1:13" x14ac:dyDescent="0.15">
      <c r="A55" s="44" t="s">
        <v>74</v>
      </c>
      <c r="B55" s="168">
        <v>2</v>
      </c>
      <c r="C55" s="44">
        <v>2</v>
      </c>
      <c r="D55" s="168">
        <v>2</v>
      </c>
      <c r="E55" s="44">
        <v>2</v>
      </c>
      <c r="F55" s="168">
        <v>3</v>
      </c>
      <c r="G55" s="44">
        <v>3</v>
      </c>
      <c r="H55" s="168">
        <v>0</v>
      </c>
      <c r="I55" s="44">
        <v>0</v>
      </c>
      <c r="J55" s="168">
        <v>0</v>
      </c>
      <c r="K55" s="44">
        <v>0</v>
      </c>
      <c r="L55" s="44">
        <v>12</v>
      </c>
      <c r="M55" s="64">
        <v>1</v>
      </c>
    </row>
    <row r="56" spans="1:13" x14ac:dyDescent="0.15">
      <c r="A56" s="44" t="s">
        <v>75</v>
      </c>
      <c r="B56" s="168">
        <v>4</v>
      </c>
      <c r="C56" s="44">
        <v>4</v>
      </c>
      <c r="D56" s="168">
        <v>3</v>
      </c>
      <c r="E56" s="44">
        <v>1</v>
      </c>
      <c r="F56" s="168">
        <v>9</v>
      </c>
      <c r="G56" s="44">
        <v>10</v>
      </c>
      <c r="H56" s="168">
        <v>0</v>
      </c>
      <c r="I56" s="44">
        <v>1</v>
      </c>
      <c r="J56" s="168">
        <v>0</v>
      </c>
      <c r="K56" s="44">
        <v>0</v>
      </c>
      <c r="L56" s="44">
        <v>7</v>
      </c>
      <c r="M56" s="64">
        <v>0.3125</v>
      </c>
    </row>
    <row r="57" spans="1:13" x14ac:dyDescent="0.15">
      <c r="A57" s="44" t="s">
        <v>76</v>
      </c>
      <c r="B57" s="168">
        <v>2</v>
      </c>
      <c r="C57" s="44">
        <v>2</v>
      </c>
      <c r="D57" s="168">
        <v>0</v>
      </c>
      <c r="E57" s="44">
        <v>0</v>
      </c>
      <c r="F57" s="168">
        <v>10</v>
      </c>
      <c r="G57" s="44">
        <v>10</v>
      </c>
      <c r="H57" s="168">
        <v>0</v>
      </c>
      <c r="I57" s="44">
        <v>0</v>
      </c>
      <c r="J57" s="168">
        <v>0</v>
      </c>
      <c r="K57" s="44">
        <v>0</v>
      </c>
      <c r="L57" s="44">
        <v>5</v>
      </c>
      <c r="M57" s="64">
        <v>0.25</v>
      </c>
    </row>
    <row r="58" spans="1:13" x14ac:dyDescent="0.15">
      <c r="A58" s="44" t="s">
        <v>77</v>
      </c>
      <c r="B58" s="168">
        <v>2</v>
      </c>
      <c r="C58" s="44">
        <v>2</v>
      </c>
      <c r="D58" s="168">
        <v>1</v>
      </c>
      <c r="E58" s="44">
        <v>0</v>
      </c>
      <c r="F58" s="168">
        <v>4</v>
      </c>
      <c r="G58" s="44">
        <v>5</v>
      </c>
      <c r="H58" s="168">
        <v>0</v>
      </c>
      <c r="I58" s="44">
        <v>0</v>
      </c>
      <c r="J58" s="168">
        <v>0</v>
      </c>
      <c r="K58" s="44">
        <v>0</v>
      </c>
      <c r="L58" s="44">
        <v>17</v>
      </c>
      <c r="M58" s="64">
        <v>0</v>
      </c>
    </row>
    <row r="59" spans="1:13" x14ac:dyDescent="0.15">
      <c r="A59" s="44" t="s">
        <v>78</v>
      </c>
      <c r="B59" s="168">
        <v>3</v>
      </c>
      <c r="C59" s="44">
        <v>3</v>
      </c>
      <c r="D59" s="168">
        <v>0</v>
      </c>
      <c r="E59" s="44">
        <v>0</v>
      </c>
      <c r="F59" s="168">
        <v>2</v>
      </c>
      <c r="G59" s="44">
        <v>2</v>
      </c>
      <c r="H59" s="168">
        <v>0</v>
      </c>
      <c r="I59" s="44">
        <v>0</v>
      </c>
      <c r="J59" s="168">
        <v>0</v>
      </c>
      <c r="K59" s="44">
        <v>0</v>
      </c>
      <c r="L59" s="44">
        <v>4</v>
      </c>
      <c r="M59" s="64">
        <v>0.4</v>
      </c>
    </row>
    <row r="60" spans="1:13" x14ac:dyDescent="0.15">
      <c r="A60" s="44" t="s">
        <v>79</v>
      </c>
      <c r="B60" s="168">
        <v>7</v>
      </c>
      <c r="C60" s="44">
        <v>7</v>
      </c>
      <c r="D60" s="168">
        <v>3</v>
      </c>
      <c r="E60" s="44">
        <v>2</v>
      </c>
      <c r="F60" s="168">
        <v>7</v>
      </c>
      <c r="G60" s="44">
        <v>8</v>
      </c>
      <c r="H60" s="168">
        <v>0</v>
      </c>
      <c r="I60" s="44">
        <v>0</v>
      </c>
      <c r="J60" s="168">
        <v>0</v>
      </c>
      <c r="K60" s="44">
        <v>0</v>
      </c>
      <c r="L60" s="44">
        <v>28</v>
      </c>
      <c r="M60" s="64">
        <v>0</v>
      </c>
    </row>
    <row r="61" spans="1:13" x14ac:dyDescent="0.15">
      <c r="A61" s="44" t="s">
        <v>80</v>
      </c>
      <c r="B61" s="168">
        <v>0</v>
      </c>
      <c r="C61" s="44">
        <v>0</v>
      </c>
      <c r="D61" s="168">
        <v>1</v>
      </c>
      <c r="E61" s="44">
        <v>1</v>
      </c>
      <c r="F61" s="168">
        <v>2</v>
      </c>
      <c r="G61" s="44">
        <v>2</v>
      </c>
      <c r="H61" s="168">
        <v>1</v>
      </c>
      <c r="I61" s="44">
        <v>1</v>
      </c>
      <c r="J61" s="168">
        <v>0</v>
      </c>
      <c r="K61" s="44">
        <v>0</v>
      </c>
      <c r="L61" s="44">
        <v>4</v>
      </c>
      <c r="M61" s="64">
        <v>1</v>
      </c>
    </row>
    <row r="62" spans="1:13" x14ac:dyDescent="0.15">
      <c r="A62" s="44" t="s">
        <v>81</v>
      </c>
      <c r="B62" s="168">
        <v>13</v>
      </c>
      <c r="C62" s="44">
        <v>13</v>
      </c>
      <c r="D62" s="168">
        <v>4</v>
      </c>
      <c r="E62" s="44">
        <v>4</v>
      </c>
      <c r="F62" s="168">
        <v>11</v>
      </c>
      <c r="G62" s="44">
        <v>10</v>
      </c>
      <c r="H62" s="168">
        <v>0</v>
      </c>
      <c r="I62" s="44">
        <v>1</v>
      </c>
      <c r="J62" s="168">
        <v>0</v>
      </c>
      <c r="K62" s="44">
        <v>0</v>
      </c>
      <c r="L62" s="44">
        <v>12</v>
      </c>
      <c r="M62" s="64">
        <v>3.5714285714285712E-2</v>
      </c>
    </row>
    <row r="63" spans="1:13" x14ac:dyDescent="0.15">
      <c r="A63" s="44" t="s">
        <v>82</v>
      </c>
      <c r="B63" s="168">
        <v>1</v>
      </c>
      <c r="C63" s="44">
        <v>1</v>
      </c>
      <c r="D63" s="168">
        <v>0</v>
      </c>
      <c r="E63" s="44">
        <v>0</v>
      </c>
      <c r="F63" s="168">
        <v>3</v>
      </c>
      <c r="G63" s="44">
        <v>3</v>
      </c>
      <c r="H63" s="168">
        <v>0</v>
      </c>
      <c r="I63" s="44">
        <v>0</v>
      </c>
      <c r="J63" s="168">
        <v>0</v>
      </c>
      <c r="K63" s="44">
        <v>0</v>
      </c>
      <c r="L63" s="44">
        <v>1</v>
      </c>
      <c r="M63" s="64">
        <v>0.75</v>
      </c>
    </row>
    <row r="64" spans="1:13" x14ac:dyDescent="0.15">
      <c r="A64" s="44" t="s">
        <v>83</v>
      </c>
      <c r="B64" s="168">
        <v>2</v>
      </c>
      <c r="C64" s="44">
        <v>2</v>
      </c>
      <c r="D64" s="168">
        <v>0</v>
      </c>
      <c r="E64" s="44">
        <v>1</v>
      </c>
      <c r="F64" s="168">
        <v>10</v>
      </c>
      <c r="G64" s="44">
        <v>9</v>
      </c>
      <c r="H64" s="168">
        <v>0</v>
      </c>
      <c r="I64" s="44">
        <v>0</v>
      </c>
      <c r="J64" s="168">
        <v>0</v>
      </c>
      <c r="K64" s="44">
        <v>0</v>
      </c>
      <c r="L64" s="44">
        <v>3</v>
      </c>
      <c r="M64" s="64">
        <v>1.75</v>
      </c>
    </row>
    <row r="65" spans="1:13" x14ac:dyDescent="0.15">
      <c r="A65" s="44" t="s">
        <v>84</v>
      </c>
      <c r="B65" s="168">
        <v>0</v>
      </c>
      <c r="C65" s="44">
        <v>0</v>
      </c>
      <c r="D65" s="168">
        <v>0</v>
      </c>
      <c r="E65" s="44">
        <v>0</v>
      </c>
      <c r="F65" s="168">
        <v>1</v>
      </c>
      <c r="G65" s="44">
        <v>1</v>
      </c>
      <c r="H65" s="168">
        <v>0</v>
      </c>
      <c r="I65" s="44">
        <v>0</v>
      </c>
      <c r="J65" s="168">
        <v>0</v>
      </c>
      <c r="K65" s="44">
        <v>0</v>
      </c>
      <c r="L65" s="44">
        <v>11</v>
      </c>
      <c r="M65" s="64">
        <v>1</v>
      </c>
    </row>
    <row r="66" spans="1:13" x14ac:dyDescent="0.15">
      <c r="A66" s="44" t="s">
        <v>85</v>
      </c>
      <c r="B66" s="168">
        <v>0</v>
      </c>
      <c r="C66" s="44">
        <v>0</v>
      </c>
      <c r="D66" s="168">
        <v>2</v>
      </c>
      <c r="E66" s="44">
        <v>1</v>
      </c>
      <c r="F66" s="168">
        <v>1</v>
      </c>
      <c r="G66" s="44">
        <v>2</v>
      </c>
      <c r="H66" s="168">
        <v>0</v>
      </c>
      <c r="I66" s="44">
        <v>0</v>
      </c>
      <c r="J66" s="168">
        <v>0</v>
      </c>
      <c r="K66" s="44">
        <v>0</v>
      </c>
      <c r="L66" s="44">
        <v>3</v>
      </c>
      <c r="M66" s="64">
        <v>1.6666666666666667</v>
      </c>
    </row>
    <row r="67" spans="1:13" x14ac:dyDescent="0.15">
      <c r="A67" s="44" t="s">
        <v>86</v>
      </c>
      <c r="B67" s="168">
        <v>2</v>
      </c>
      <c r="C67" s="44">
        <v>2</v>
      </c>
      <c r="D67" s="168">
        <v>1</v>
      </c>
      <c r="E67" s="44">
        <v>1</v>
      </c>
      <c r="F67" s="168">
        <v>8</v>
      </c>
      <c r="G67" s="44">
        <v>8</v>
      </c>
      <c r="H67" s="168">
        <v>0</v>
      </c>
      <c r="I67" s="44">
        <v>0</v>
      </c>
      <c r="J67" s="168">
        <v>0</v>
      </c>
      <c r="K67" s="44">
        <v>0</v>
      </c>
      <c r="L67" s="44">
        <v>7</v>
      </c>
      <c r="M67" s="64">
        <v>0.27272727272727271</v>
      </c>
    </row>
    <row r="68" spans="1:13" x14ac:dyDescent="0.15">
      <c r="A68" s="44" t="s">
        <v>87</v>
      </c>
      <c r="B68" s="168">
        <v>2</v>
      </c>
      <c r="C68" s="44">
        <v>2</v>
      </c>
      <c r="D68" s="168">
        <v>0</v>
      </c>
      <c r="E68" s="44">
        <v>0</v>
      </c>
      <c r="F68" s="168">
        <v>1</v>
      </c>
      <c r="G68" s="44">
        <v>1</v>
      </c>
      <c r="H68" s="168">
        <v>0</v>
      </c>
      <c r="I68" s="44">
        <v>0</v>
      </c>
      <c r="J68" s="168">
        <v>0</v>
      </c>
      <c r="K68" s="44">
        <v>0</v>
      </c>
      <c r="L68" s="44">
        <v>14</v>
      </c>
      <c r="M68" s="64">
        <v>0.66666666666666663</v>
      </c>
    </row>
    <row r="69" spans="1:13" x14ac:dyDescent="0.15">
      <c r="A69" s="44" t="s">
        <v>88</v>
      </c>
      <c r="B69" s="168">
        <v>2</v>
      </c>
      <c r="C69" s="44">
        <v>2</v>
      </c>
      <c r="D69" s="168">
        <v>0</v>
      </c>
      <c r="E69" s="44">
        <v>0</v>
      </c>
      <c r="F69" s="168">
        <v>3</v>
      </c>
      <c r="G69" s="44">
        <v>2</v>
      </c>
      <c r="H69" s="168">
        <v>2</v>
      </c>
      <c r="I69" s="44">
        <v>3</v>
      </c>
      <c r="J69" s="168">
        <v>0</v>
      </c>
      <c r="K69" s="44">
        <v>0</v>
      </c>
      <c r="L69" s="44">
        <v>18</v>
      </c>
      <c r="M69" s="64">
        <v>2.7142857142857144</v>
      </c>
    </row>
    <row r="70" spans="1:13" x14ac:dyDescent="0.15">
      <c r="A70" s="44" t="s">
        <v>89</v>
      </c>
      <c r="B70" s="168">
        <v>10</v>
      </c>
      <c r="C70" s="44">
        <v>10</v>
      </c>
      <c r="D70" s="168">
        <v>1</v>
      </c>
      <c r="E70" s="44">
        <v>1</v>
      </c>
      <c r="F70" s="168">
        <v>3</v>
      </c>
      <c r="G70" s="44">
        <v>3</v>
      </c>
      <c r="H70" s="168">
        <v>0</v>
      </c>
      <c r="I70" s="44">
        <v>0</v>
      </c>
      <c r="J70" s="168">
        <v>0</v>
      </c>
      <c r="K70" s="44">
        <v>0</v>
      </c>
      <c r="L70" s="44">
        <v>3</v>
      </c>
      <c r="M70" s="64">
        <v>0</v>
      </c>
    </row>
    <row r="71" spans="1:13" x14ac:dyDescent="0.15">
      <c r="A71" s="44" t="s">
        <v>90</v>
      </c>
      <c r="B71" s="168">
        <v>4</v>
      </c>
      <c r="C71" s="44">
        <v>3</v>
      </c>
      <c r="D71" s="168">
        <v>0</v>
      </c>
      <c r="E71" s="44">
        <v>0</v>
      </c>
      <c r="F71" s="168">
        <v>13</v>
      </c>
      <c r="G71" s="44">
        <v>11</v>
      </c>
      <c r="H71" s="168">
        <v>1</v>
      </c>
      <c r="I71" s="44">
        <v>1</v>
      </c>
      <c r="J71" s="168">
        <v>0</v>
      </c>
      <c r="K71" s="44">
        <v>3</v>
      </c>
      <c r="L71" s="44">
        <v>2</v>
      </c>
      <c r="M71" s="64">
        <v>2.3333333333333335</v>
      </c>
    </row>
    <row r="72" spans="1:13" x14ac:dyDescent="0.15">
      <c r="A72" s="44" t="s">
        <v>91</v>
      </c>
      <c r="B72" s="168">
        <v>0</v>
      </c>
      <c r="C72" s="44">
        <v>0</v>
      </c>
      <c r="D72" s="168">
        <v>0</v>
      </c>
      <c r="E72" s="44">
        <v>0</v>
      </c>
      <c r="F72" s="168">
        <v>3</v>
      </c>
      <c r="G72" s="44">
        <v>3</v>
      </c>
      <c r="H72" s="168">
        <v>0</v>
      </c>
      <c r="I72" s="44">
        <v>0</v>
      </c>
      <c r="J72" s="168">
        <v>0</v>
      </c>
      <c r="K72" s="44">
        <v>0</v>
      </c>
      <c r="L72" s="44">
        <v>1</v>
      </c>
      <c r="M72" s="64">
        <v>2</v>
      </c>
    </row>
    <row r="73" spans="1:13" x14ac:dyDescent="0.15">
      <c r="A73" s="44" t="s">
        <v>92</v>
      </c>
      <c r="B73" s="168">
        <v>0</v>
      </c>
      <c r="C73" s="44">
        <v>0</v>
      </c>
      <c r="D73" s="168">
        <v>0</v>
      </c>
      <c r="E73" s="44">
        <v>0</v>
      </c>
      <c r="F73" s="168">
        <v>2</v>
      </c>
      <c r="G73" s="44">
        <v>2</v>
      </c>
      <c r="H73" s="168">
        <v>0</v>
      </c>
      <c r="I73" s="44">
        <v>0</v>
      </c>
      <c r="J73" s="168">
        <v>0</v>
      </c>
      <c r="K73" s="44">
        <v>0</v>
      </c>
      <c r="L73" s="44">
        <v>4</v>
      </c>
      <c r="M73" s="64">
        <v>0</v>
      </c>
    </row>
    <row r="74" spans="1:13" x14ac:dyDescent="0.15">
      <c r="A74" s="44" t="s">
        <v>93</v>
      </c>
      <c r="B74" s="168">
        <v>0</v>
      </c>
      <c r="C74" s="44">
        <v>0</v>
      </c>
      <c r="D74" s="168">
        <v>0</v>
      </c>
      <c r="E74" s="44">
        <v>0</v>
      </c>
      <c r="F74" s="168">
        <v>1</v>
      </c>
      <c r="G74" s="44">
        <v>1</v>
      </c>
      <c r="H74" s="168">
        <v>0</v>
      </c>
      <c r="I74" s="44">
        <v>0</v>
      </c>
      <c r="J74" s="168">
        <v>0</v>
      </c>
      <c r="K74" s="44">
        <v>0</v>
      </c>
      <c r="L74" s="44">
        <v>3</v>
      </c>
      <c r="M74" s="64">
        <v>1</v>
      </c>
    </row>
    <row r="75" spans="1:13" x14ac:dyDescent="0.15">
      <c r="A75" s="44" t="s">
        <v>94</v>
      </c>
      <c r="B75" s="168">
        <v>1</v>
      </c>
      <c r="C75" s="44">
        <v>0</v>
      </c>
      <c r="D75" s="168">
        <v>0</v>
      </c>
      <c r="E75" s="44">
        <v>0</v>
      </c>
      <c r="F75" s="168">
        <v>2</v>
      </c>
      <c r="G75" s="44">
        <v>1</v>
      </c>
      <c r="H75" s="168">
        <v>0</v>
      </c>
      <c r="I75" s="44">
        <v>0</v>
      </c>
      <c r="J75" s="168">
        <v>1</v>
      </c>
      <c r="K75" s="44">
        <v>3</v>
      </c>
      <c r="L75" s="44">
        <v>8</v>
      </c>
      <c r="M75" s="64">
        <v>3.25</v>
      </c>
    </row>
    <row r="76" spans="1:13" x14ac:dyDescent="0.15">
      <c r="A76" s="44" t="s">
        <v>95</v>
      </c>
      <c r="B76" s="168">
        <v>1</v>
      </c>
      <c r="C76" s="44">
        <v>1</v>
      </c>
      <c r="D76" s="168">
        <v>0</v>
      </c>
      <c r="E76" s="44">
        <v>0</v>
      </c>
      <c r="F76" s="168">
        <v>2</v>
      </c>
      <c r="G76" s="44">
        <v>2</v>
      </c>
      <c r="H76" s="168">
        <v>0</v>
      </c>
      <c r="I76" s="44">
        <v>0</v>
      </c>
      <c r="J76" s="168">
        <v>0</v>
      </c>
      <c r="K76" s="44">
        <v>0</v>
      </c>
      <c r="L76" s="44">
        <v>2</v>
      </c>
      <c r="M76" s="64">
        <v>1.6666666666666667</v>
      </c>
    </row>
    <row r="77" spans="1:13" x14ac:dyDescent="0.15">
      <c r="A77" s="44" t="s">
        <v>96</v>
      </c>
      <c r="B77" s="168">
        <v>5</v>
      </c>
      <c r="C77" s="44">
        <v>5</v>
      </c>
      <c r="D77" s="168">
        <v>0</v>
      </c>
      <c r="E77" s="44">
        <v>0</v>
      </c>
      <c r="F77" s="168">
        <v>3</v>
      </c>
      <c r="G77" s="44">
        <v>3</v>
      </c>
      <c r="H77" s="168">
        <v>0</v>
      </c>
      <c r="I77" s="44">
        <v>0</v>
      </c>
      <c r="J77" s="168">
        <v>0</v>
      </c>
      <c r="K77" s="44">
        <v>0</v>
      </c>
      <c r="L77" s="44">
        <v>8</v>
      </c>
      <c r="M77" s="64">
        <v>2</v>
      </c>
    </row>
    <row r="78" spans="1:13" x14ac:dyDescent="0.15">
      <c r="A78" s="44" t="s">
        <v>97</v>
      </c>
      <c r="B78" s="168">
        <v>0</v>
      </c>
      <c r="C78" s="44">
        <v>0</v>
      </c>
      <c r="D78" s="168">
        <v>0</v>
      </c>
      <c r="E78" s="44">
        <v>0</v>
      </c>
      <c r="F78" s="168">
        <v>1</v>
      </c>
      <c r="G78" s="44">
        <v>1</v>
      </c>
      <c r="H78" s="168">
        <v>1</v>
      </c>
      <c r="I78" s="44">
        <v>1</v>
      </c>
      <c r="J78" s="168">
        <v>0</v>
      </c>
      <c r="K78" s="44">
        <v>0</v>
      </c>
      <c r="L78" s="44">
        <v>9</v>
      </c>
      <c r="M78" s="64">
        <v>1.5</v>
      </c>
    </row>
    <row r="79" spans="1:13" x14ac:dyDescent="0.15">
      <c r="A79" s="44" t="s">
        <v>99</v>
      </c>
      <c r="B79" s="168">
        <v>0</v>
      </c>
      <c r="C79" s="44">
        <v>0</v>
      </c>
      <c r="D79" s="168">
        <v>1</v>
      </c>
      <c r="E79" s="44">
        <v>1</v>
      </c>
      <c r="F79" s="168">
        <v>7</v>
      </c>
      <c r="G79" s="44">
        <v>7</v>
      </c>
      <c r="H79" s="168">
        <v>0</v>
      </c>
      <c r="I79" s="44">
        <v>0</v>
      </c>
      <c r="J79" s="168">
        <v>0</v>
      </c>
      <c r="K79" s="44">
        <v>0</v>
      </c>
      <c r="L79" s="44">
        <v>4</v>
      </c>
      <c r="M79" s="64">
        <v>0.125</v>
      </c>
    </row>
    <row r="80" spans="1:13" x14ac:dyDescent="0.15">
      <c r="A80" s="44" t="s">
        <v>100</v>
      </c>
      <c r="B80" s="168">
        <v>2</v>
      </c>
      <c r="C80" s="44">
        <v>2</v>
      </c>
      <c r="D80" s="168">
        <v>0</v>
      </c>
      <c r="E80" s="44">
        <v>0</v>
      </c>
      <c r="F80" s="168">
        <v>7</v>
      </c>
      <c r="G80" s="44">
        <v>7</v>
      </c>
      <c r="H80" s="168">
        <v>0</v>
      </c>
      <c r="I80" s="44">
        <v>0</v>
      </c>
      <c r="J80" s="168">
        <v>0</v>
      </c>
      <c r="K80" s="44">
        <v>0</v>
      </c>
      <c r="L80" s="44">
        <v>6</v>
      </c>
      <c r="M80" s="64">
        <v>2</v>
      </c>
    </row>
    <row r="81" spans="1:13" x14ac:dyDescent="0.15">
      <c r="A81" s="44" t="s">
        <v>101</v>
      </c>
      <c r="B81" s="168">
        <v>0</v>
      </c>
      <c r="C81" s="44">
        <v>0</v>
      </c>
      <c r="D81" s="168">
        <v>0</v>
      </c>
      <c r="E81" s="44">
        <v>0</v>
      </c>
      <c r="F81" s="168">
        <v>4</v>
      </c>
      <c r="G81" s="44">
        <v>4</v>
      </c>
      <c r="H81" s="168">
        <v>0</v>
      </c>
      <c r="I81" s="44">
        <v>0</v>
      </c>
      <c r="J81" s="168">
        <v>0</v>
      </c>
      <c r="K81" s="44">
        <v>0</v>
      </c>
      <c r="L81" s="44">
        <v>7</v>
      </c>
      <c r="M81" s="64">
        <v>2.5</v>
      </c>
    </row>
    <row r="82" spans="1:13" x14ac:dyDescent="0.15">
      <c r="A82" s="44" t="s">
        <v>102</v>
      </c>
      <c r="B82" s="168">
        <v>1</v>
      </c>
      <c r="C82" s="44">
        <v>1</v>
      </c>
      <c r="D82" s="168">
        <v>1</v>
      </c>
      <c r="E82" s="44">
        <v>0</v>
      </c>
      <c r="F82" s="168">
        <v>4</v>
      </c>
      <c r="G82" s="44">
        <v>5</v>
      </c>
      <c r="H82" s="168">
        <v>0</v>
      </c>
      <c r="I82" s="44">
        <v>0</v>
      </c>
      <c r="J82" s="168">
        <v>0</v>
      </c>
      <c r="K82" s="44">
        <v>0</v>
      </c>
      <c r="L82" s="44">
        <v>1</v>
      </c>
      <c r="M82" s="64">
        <v>1.3333333333333333</v>
      </c>
    </row>
    <row r="83" spans="1:13" x14ac:dyDescent="0.15">
      <c r="A83" s="44" t="s">
        <v>103</v>
      </c>
      <c r="B83" s="168">
        <v>2</v>
      </c>
      <c r="C83" s="44">
        <v>2</v>
      </c>
      <c r="D83" s="168">
        <v>0</v>
      </c>
      <c r="E83" s="44">
        <v>0</v>
      </c>
      <c r="F83" s="168">
        <v>5</v>
      </c>
      <c r="G83" s="44">
        <v>5</v>
      </c>
      <c r="H83" s="168">
        <v>0</v>
      </c>
      <c r="I83" s="44">
        <v>0</v>
      </c>
      <c r="J83" s="168">
        <v>0</v>
      </c>
      <c r="K83" s="44">
        <v>0</v>
      </c>
      <c r="L83" s="44">
        <v>3</v>
      </c>
      <c r="M83" s="64">
        <v>2.4285714285714284</v>
      </c>
    </row>
    <row r="84" spans="1:13" x14ac:dyDescent="0.15">
      <c r="A84" s="44" t="s">
        <v>104</v>
      </c>
      <c r="B84" s="168">
        <v>0</v>
      </c>
      <c r="C84" s="44">
        <v>0</v>
      </c>
      <c r="D84" s="168">
        <v>0</v>
      </c>
      <c r="E84" s="44">
        <v>0</v>
      </c>
      <c r="F84" s="168">
        <v>1</v>
      </c>
      <c r="G84" s="44">
        <v>1</v>
      </c>
      <c r="H84" s="168">
        <v>0</v>
      </c>
      <c r="I84" s="44">
        <v>0</v>
      </c>
      <c r="J84" s="168">
        <v>0</v>
      </c>
      <c r="K84" s="44">
        <v>0</v>
      </c>
      <c r="L84" s="44">
        <v>11</v>
      </c>
      <c r="M84" s="64">
        <v>2</v>
      </c>
    </row>
    <row r="85" spans="1:13" x14ac:dyDescent="0.15">
      <c r="A85" s="44" t="s">
        <v>106</v>
      </c>
      <c r="B85" s="168">
        <v>2</v>
      </c>
      <c r="C85" s="44">
        <v>2</v>
      </c>
      <c r="D85" s="168">
        <v>1</v>
      </c>
      <c r="E85" s="44">
        <v>0</v>
      </c>
      <c r="F85" s="168">
        <v>0</v>
      </c>
      <c r="G85" s="44">
        <v>1</v>
      </c>
      <c r="H85" s="168">
        <v>0</v>
      </c>
      <c r="I85" s="44">
        <v>0</v>
      </c>
      <c r="J85" s="168">
        <v>0</v>
      </c>
      <c r="K85" s="44">
        <v>0</v>
      </c>
      <c r="L85" s="44">
        <v>5</v>
      </c>
      <c r="M85" s="64">
        <v>2.3333333333333335</v>
      </c>
    </row>
    <row r="86" spans="1:13" x14ac:dyDescent="0.15">
      <c r="A86" s="44" t="s">
        <v>107</v>
      </c>
      <c r="B86" s="168">
        <v>3</v>
      </c>
      <c r="C86" s="44">
        <v>3</v>
      </c>
      <c r="D86" s="168">
        <v>0</v>
      </c>
      <c r="E86" s="44">
        <v>0</v>
      </c>
      <c r="F86" s="168">
        <v>7</v>
      </c>
      <c r="G86" s="44">
        <v>8</v>
      </c>
      <c r="H86" s="168">
        <v>1</v>
      </c>
      <c r="I86" s="44">
        <v>0</v>
      </c>
      <c r="J86" s="168">
        <v>0</v>
      </c>
      <c r="K86" s="44">
        <v>0</v>
      </c>
      <c r="L86" s="44">
        <v>6</v>
      </c>
      <c r="M86" s="64">
        <v>1.9090909090909092</v>
      </c>
    </row>
    <row r="87" spans="1:13" x14ac:dyDescent="0.15">
      <c r="A87" s="44" t="s">
        <v>108</v>
      </c>
      <c r="B87" s="168">
        <v>0</v>
      </c>
      <c r="C87" s="44">
        <v>0</v>
      </c>
      <c r="D87" s="168">
        <v>0</v>
      </c>
      <c r="E87" s="44">
        <v>0</v>
      </c>
      <c r="F87" s="168">
        <v>4</v>
      </c>
      <c r="G87" s="44">
        <v>4</v>
      </c>
      <c r="H87" s="168">
        <v>0</v>
      </c>
      <c r="I87" s="44">
        <v>0</v>
      </c>
      <c r="J87" s="168">
        <v>1</v>
      </c>
      <c r="K87" s="44">
        <v>1</v>
      </c>
      <c r="L87" s="44">
        <v>6</v>
      </c>
      <c r="M87" s="64">
        <v>1.8</v>
      </c>
    </row>
    <row r="88" spans="1:13" x14ac:dyDescent="0.15">
      <c r="A88" s="44" t="s">
        <v>109</v>
      </c>
      <c r="B88" s="168">
        <v>3</v>
      </c>
      <c r="C88" s="44">
        <v>3</v>
      </c>
      <c r="D88" s="168">
        <v>1</v>
      </c>
      <c r="E88" s="44">
        <v>1</v>
      </c>
      <c r="F88" s="168">
        <v>2</v>
      </c>
      <c r="G88" s="44">
        <v>2</v>
      </c>
      <c r="H88" s="168">
        <v>0</v>
      </c>
      <c r="I88" s="44">
        <v>0</v>
      </c>
      <c r="J88" s="168">
        <v>0</v>
      </c>
      <c r="K88" s="44">
        <v>0</v>
      </c>
      <c r="L88" s="44">
        <v>5</v>
      </c>
      <c r="M88" s="64">
        <v>3</v>
      </c>
    </row>
    <row r="89" spans="1:13" x14ac:dyDescent="0.15">
      <c r="A89" s="44" t="s">
        <v>110</v>
      </c>
      <c r="B89" s="168">
        <v>1</v>
      </c>
      <c r="C89" s="44">
        <v>1</v>
      </c>
      <c r="D89" s="168">
        <v>2</v>
      </c>
      <c r="E89" s="44">
        <v>2</v>
      </c>
      <c r="F89" s="168">
        <v>3</v>
      </c>
      <c r="G89" s="44">
        <v>2</v>
      </c>
      <c r="H89" s="168">
        <v>0</v>
      </c>
      <c r="I89" s="44">
        <v>1</v>
      </c>
      <c r="J89" s="168">
        <v>0</v>
      </c>
      <c r="K89" s="44">
        <v>0</v>
      </c>
      <c r="L89" s="44">
        <v>17</v>
      </c>
      <c r="M89" s="64">
        <v>1.1666666666666667</v>
      </c>
    </row>
    <row r="90" spans="1:13" x14ac:dyDescent="0.15">
      <c r="A90" s="44" t="s">
        <v>111</v>
      </c>
      <c r="B90" s="168">
        <v>1</v>
      </c>
      <c r="C90" s="44">
        <v>1</v>
      </c>
      <c r="D90" s="168">
        <v>2</v>
      </c>
      <c r="E90" s="44">
        <v>2</v>
      </c>
      <c r="F90" s="168">
        <v>2</v>
      </c>
      <c r="G90" s="44">
        <v>2</v>
      </c>
      <c r="H90" s="168">
        <v>0</v>
      </c>
      <c r="I90" s="44">
        <v>0</v>
      </c>
      <c r="J90" s="168">
        <v>0</v>
      </c>
      <c r="K90" s="44">
        <v>0</v>
      </c>
      <c r="L90" s="44">
        <v>12</v>
      </c>
      <c r="M90" s="64">
        <v>2.2000000000000002</v>
      </c>
    </row>
    <row r="91" spans="1:13" x14ac:dyDescent="0.15">
      <c r="A91" s="44" t="s">
        <v>112</v>
      </c>
      <c r="B91" s="168">
        <v>3</v>
      </c>
      <c r="C91" s="44">
        <v>3</v>
      </c>
      <c r="D91" s="168">
        <v>5</v>
      </c>
      <c r="E91" s="44">
        <v>3</v>
      </c>
      <c r="F91" s="168">
        <v>9</v>
      </c>
      <c r="G91" s="44">
        <v>10</v>
      </c>
      <c r="H91" s="168">
        <v>0</v>
      </c>
      <c r="I91" s="44">
        <v>0</v>
      </c>
      <c r="J91" s="168">
        <v>0</v>
      </c>
      <c r="K91" s="44">
        <v>1</v>
      </c>
      <c r="L91" s="44">
        <v>17</v>
      </c>
      <c r="M91" s="64">
        <v>1.8235294117647058</v>
      </c>
    </row>
    <row r="92" spans="1:13" x14ac:dyDescent="0.15">
      <c r="A92" s="44" t="s">
        <v>113</v>
      </c>
      <c r="B92" s="168">
        <v>1</v>
      </c>
      <c r="C92" s="44">
        <v>1</v>
      </c>
      <c r="D92" s="168">
        <v>0</v>
      </c>
      <c r="E92" s="44">
        <v>0</v>
      </c>
      <c r="F92" s="168">
        <v>0</v>
      </c>
      <c r="G92" s="44">
        <v>0</v>
      </c>
      <c r="H92" s="168">
        <v>0</v>
      </c>
      <c r="I92" s="44">
        <v>0</v>
      </c>
      <c r="J92" s="168">
        <v>0</v>
      </c>
      <c r="K92" s="44">
        <v>0</v>
      </c>
      <c r="L92" s="44">
        <v>19</v>
      </c>
      <c r="M92" s="64">
        <v>0</v>
      </c>
    </row>
    <row r="93" spans="1:13" x14ac:dyDescent="0.15">
      <c r="A93" s="44" t="s">
        <v>114</v>
      </c>
      <c r="B93" s="168">
        <v>4</v>
      </c>
      <c r="C93" s="44">
        <v>4</v>
      </c>
      <c r="D93" s="168">
        <v>5</v>
      </c>
      <c r="E93" s="44">
        <v>2</v>
      </c>
      <c r="F93" s="168">
        <v>0</v>
      </c>
      <c r="G93" s="44">
        <v>3</v>
      </c>
      <c r="H93" s="168">
        <v>1</v>
      </c>
      <c r="I93" s="44">
        <v>1</v>
      </c>
      <c r="J93" s="168">
        <v>2</v>
      </c>
      <c r="K93" s="44">
        <v>2</v>
      </c>
      <c r="L93" s="44">
        <v>9</v>
      </c>
      <c r="M93" s="64">
        <v>2.75</v>
      </c>
    </row>
    <row r="94" spans="1:13" x14ac:dyDescent="0.15">
      <c r="A94" s="44" t="s">
        <v>115</v>
      </c>
      <c r="B94" s="168">
        <v>2</v>
      </c>
      <c r="C94" s="44">
        <v>2</v>
      </c>
      <c r="D94" s="168">
        <v>0</v>
      </c>
      <c r="E94" s="44">
        <v>0</v>
      </c>
      <c r="F94" s="168">
        <v>15</v>
      </c>
      <c r="G94" s="44">
        <v>14</v>
      </c>
      <c r="H94" s="168">
        <v>0</v>
      </c>
      <c r="I94" s="44">
        <v>0</v>
      </c>
      <c r="J94" s="168">
        <v>0</v>
      </c>
      <c r="K94" s="44">
        <v>1</v>
      </c>
      <c r="L94" s="44">
        <v>2</v>
      </c>
      <c r="M94" s="64">
        <v>2.1176470588235294</v>
      </c>
    </row>
    <row r="95" spans="1:13" x14ac:dyDescent="0.15">
      <c r="A95" s="44" t="s">
        <v>116</v>
      </c>
      <c r="B95" s="168">
        <v>4</v>
      </c>
      <c r="C95" s="44">
        <v>4</v>
      </c>
      <c r="D95" s="168">
        <v>0</v>
      </c>
      <c r="E95" s="44">
        <v>0</v>
      </c>
      <c r="F95" s="168">
        <v>15</v>
      </c>
      <c r="G95" s="44">
        <v>15</v>
      </c>
      <c r="H95" s="168">
        <v>0</v>
      </c>
      <c r="I95" s="44">
        <v>0</v>
      </c>
      <c r="J95" s="168">
        <v>0</v>
      </c>
      <c r="K95" s="44">
        <v>0</v>
      </c>
      <c r="L95" s="44">
        <v>2</v>
      </c>
      <c r="M95" s="64">
        <v>0.52631578947368418</v>
      </c>
    </row>
    <row r="96" spans="1:13" x14ac:dyDescent="0.15">
      <c r="A96" s="44" t="s">
        <v>117</v>
      </c>
      <c r="B96" s="168">
        <v>0</v>
      </c>
      <c r="C96" s="44">
        <v>0</v>
      </c>
      <c r="D96" s="168">
        <v>0</v>
      </c>
      <c r="E96" s="44">
        <v>0</v>
      </c>
      <c r="F96" s="168">
        <v>9</v>
      </c>
      <c r="G96" s="44">
        <v>9</v>
      </c>
      <c r="H96" s="168">
        <v>0</v>
      </c>
      <c r="I96" s="44">
        <v>0</v>
      </c>
      <c r="J96" s="168">
        <v>0</v>
      </c>
      <c r="K96" s="44">
        <v>0</v>
      </c>
      <c r="L96" s="44">
        <v>24</v>
      </c>
      <c r="M96" s="64">
        <v>1.7777777777777777</v>
      </c>
    </row>
    <row r="97" spans="1:13" x14ac:dyDescent="0.15">
      <c r="A97" s="44" t="s">
        <v>118</v>
      </c>
      <c r="B97" s="168">
        <v>0</v>
      </c>
      <c r="C97" s="44">
        <v>0</v>
      </c>
      <c r="D97" s="168">
        <v>0</v>
      </c>
      <c r="E97" s="44">
        <v>0</v>
      </c>
      <c r="F97" s="168">
        <v>2</v>
      </c>
      <c r="G97" s="44">
        <v>2</v>
      </c>
      <c r="H97" s="168">
        <v>0</v>
      </c>
      <c r="I97" s="44">
        <v>0</v>
      </c>
      <c r="J97" s="168">
        <v>0</v>
      </c>
      <c r="K97" s="44">
        <v>0</v>
      </c>
      <c r="L97" s="44">
        <v>7</v>
      </c>
      <c r="M97" s="64">
        <v>1.5</v>
      </c>
    </row>
    <row r="98" spans="1:13" x14ac:dyDescent="0.15">
      <c r="A98" s="44" t="s">
        <v>119</v>
      </c>
      <c r="B98" s="168">
        <v>0</v>
      </c>
      <c r="C98" s="44">
        <v>0</v>
      </c>
      <c r="D98" s="168">
        <v>0</v>
      </c>
      <c r="E98" s="44">
        <v>0</v>
      </c>
      <c r="F98" s="168">
        <v>1</v>
      </c>
      <c r="G98" s="44">
        <v>1</v>
      </c>
      <c r="H98" s="168">
        <v>1</v>
      </c>
      <c r="I98" s="44">
        <v>1</v>
      </c>
      <c r="J98" s="168">
        <v>0</v>
      </c>
      <c r="K98" s="44">
        <v>0</v>
      </c>
      <c r="L98" s="44">
        <v>6</v>
      </c>
      <c r="M98" s="64">
        <v>1</v>
      </c>
    </row>
    <row r="99" spans="1:13" x14ac:dyDescent="0.15">
      <c r="A99" s="44" t="s">
        <v>120</v>
      </c>
      <c r="B99" s="168">
        <v>8</v>
      </c>
      <c r="C99" s="44">
        <v>8</v>
      </c>
      <c r="D99" s="168">
        <v>1</v>
      </c>
      <c r="E99" s="44">
        <v>2</v>
      </c>
      <c r="F99" s="168">
        <v>15</v>
      </c>
      <c r="G99" s="44">
        <v>14</v>
      </c>
      <c r="H99" s="168">
        <v>0</v>
      </c>
      <c r="I99" s="44">
        <v>0</v>
      </c>
      <c r="J99" s="168">
        <v>0</v>
      </c>
      <c r="K99" s="44">
        <v>0</v>
      </c>
      <c r="L99" s="44">
        <v>1</v>
      </c>
      <c r="M99" s="64">
        <v>0.16666666666666666</v>
      </c>
    </row>
    <row r="100" spans="1:13" x14ac:dyDescent="0.15">
      <c r="A100" s="44" t="s">
        <v>121</v>
      </c>
      <c r="B100" s="168">
        <v>1</v>
      </c>
      <c r="C100" s="44">
        <v>1</v>
      </c>
      <c r="D100" s="168">
        <v>5</v>
      </c>
      <c r="E100" s="44">
        <v>2</v>
      </c>
      <c r="F100" s="168">
        <v>1</v>
      </c>
      <c r="G100" s="44">
        <v>4</v>
      </c>
      <c r="H100" s="168">
        <v>0</v>
      </c>
      <c r="I100" s="44">
        <v>0</v>
      </c>
      <c r="J100" s="168">
        <v>0</v>
      </c>
      <c r="K100" s="44">
        <v>0</v>
      </c>
      <c r="L100" s="44">
        <v>23</v>
      </c>
      <c r="M100" s="64">
        <v>2.8571428571428572</v>
      </c>
    </row>
    <row r="101" spans="1:13" x14ac:dyDescent="0.15">
      <c r="A101" s="44" t="s">
        <v>122</v>
      </c>
      <c r="B101" s="168">
        <v>0</v>
      </c>
      <c r="C101" s="44">
        <v>0</v>
      </c>
      <c r="D101" s="168">
        <v>5</v>
      </c>
      <c r="E101" s="44">
        <v>4</v>
      </c>
      <c r="F101" s="168">
        <v>1</v>
      </c>
      <c r="G101" s="44">
        <v>2</v>
      </c>
      <c r="H101" s="168">
        <v>0</v>
      </c>
      <c r="I101" s="44">
        <v>0</v>
      </c>
      <c r="J101" s="168">
        <v>0</v>
      </c>
      <c r="K101" s="44">
        <v>0</v>
      </c>
      <c r="L101" s="44">
        <v>14</v>
      </c>
      <c r="M101" s="64">
        <v>2</v>
      </c>
    </row>
    <row r="102" spans="1:13" x14ac:dyDescent="0.15">
      <c r="A102" s="44" t="s">
        <v>123</v>
      </c>
      <c r="B102" s="168">
        <v>0</v>
      </c>
      <c r="C102" s="44">
        <v>0</v>
      </c>
      <c r="D102" s="168">
        <v>0</v>
      </c>
      <c r="E102" s="44">
        <v>0</v>
      </c>
      <c r="F102" s="168">
        <v>1</v>
      </c>
      <c r="G102" s="44">
        <v>1</v>
      </c>
      <c r="H102" s="168">
        <v>0</v>
      </c>
      <c r="I102" s="44">
        <v>0</v>
      </c>
      <c r="J102" s="168">
        <v>0</v>
      </c>
      <c r="K102" s="44">
        <v>0</v>
      </c>
      <c r="L102" s="44">
        <v>9</v>
      </c>
      <c r="M102" s="64">
        <v>0</v>
      </c>
    </row>
    <row r="103" spans="1:13" x14ac:dyDescent="0.15">
      <c r="A103" s="44" t="s">
        <v>124</v>
      </c>
      <c r="B103" s="168">
        <v>7</v>
      </c>
      <c r="C103" s="44">
        <v>7</v>
      </c>
      <c r="D103" s="168">
        <v>1</v>
      </c>
      <c r="E103" s="44">
        <v>2</v>
      </c>
      <c r="F103" s="168">
        <v>15</v>
      </c>
      <c r="G103" s="44">
        <v>14</v>
      </c>
      <c r="H103" s="168">
        <v>0</v>
      </c>
      <c r="I103" s="44">
        <v>0</v>
      </c>
      <c r="J103" s="168">
        <v>0</v>
      </c>
      <c r="K103" s="44">
        <v>0</v>
      </c>
      <c r="L103" s="44">
        <v>11</v>
      </c>
      <c r="M103" s="64">
        <v>0.52173913043478259</v>
      </c>
    </row>
    <row r="104" spans="1:13" x14ac:dyDescent="0.15">
      <c r="A104" s="44" t="s">
        <v>125</v>
      </c>
      <c r="B104" s="168">
        <v>5</v>
      </c>
      <c r="C104" s="44">
        <v>4</v>
      </c>
      <c r="D104" s="168">
        <v>6</v>
      </c>
      <c r="E104" s="44">
        <v>5</v>
      </c>
      <c r="F104" s="168">
        <v>3</v>
      </c>
      <c r="G104" s="44">
        <v>4</v>
      </c>
      <c r="H104" s="168">
        <v>0</v>
      </c>
      <c r="I104" s="44">
        <v>1</v>
      </c>
      <c r="J104" s="168">
        <v>0</v>
      </c>
      <c r="K104" s="44">
        <v>0</v>
      </c>
      <c r="L104" s="44">
        <v>2</v>
      </c>
      <c r="M104" s="64">
        <v>1.7857142857142858</v>
      </c>
    </row>
    <row r="105" spans="1:13" x14ac:dyDescent="0.15">
      <c r="A105" s="44" t="s">
        <v>126</v>
      </c>
      <c r="B105" s="168">
        <v>4</v>
      </c>
      <c r="C105" s="44">
        <v>4</v>
      </c>
      <c r="D105" s="168">
        <v>1</v>
      </c>
      <c r="E105" s="44">
        <v>1</v>
      </c>
      <c r="F105" s="168">
        <v>4</v>
      </c>
      <c r="G105" s="44">
        <v>4</v>
      </c>
      <c r="H105" s="168">
        <v>0</v>
      </c>
      <c r="I105" s="44">
        <v>0</v>
      </c>
      <c r="J105" s="168">
        <v>0</v>
      </c>
      <c r="K105" s="44">
        <v>0</v>
      </c>
      <c r="L105" s="44">
        <v>2</v>
      </c>
      <c r="M105" s="64">
        <v>2.5555555555555554</v>
      </c>
    </row>
    <row r="106" spans="1:13" x14ac:dyDescent="0.15">
      <c r="A106" s="44" t="s">
        <v>127</v>
      </c>
      <c r="B106" s="168">
        <v>2</v>
      </c>
      <c r="C106" s="44">
        <v>2</v>
      </c>
      <c r="D106" s="168">
        <v>0</v>
      </c>
      <c r="E106" s="44">
        <v>0</v>
      </c>
      <c r="F106" s="168">
        <v>9</v>
      </c>
      <c r="G106" s="44">
        <v>9</v>
      </c>
      <c r="H106" s="168">
        <v>0</v>
      </c>
      <c r="I106" s="44">
        <v>0</v>
      </c>
      <c r="J106" s="168">
        <v>0</v>
      </c>
      <c r="K106" s="44">
        <v>0</v>
      </c>
      <c r="L106" s="44">
        <v>11</v>
      </c>
      <c r="M106" s="64">
        <v>1.5454545454545454</v>
      </c>
    </row>
    <row r="107" spans="1:13" x14ac:dyDescent="0.15">
      <c r="A107" s="44" t="s">
        <v>128</v>
      </c>
      <c r="B107" s="168">
        <v>0</v>
      </c>
      <c r="C107" s="44">
        <v>0</v>
      </c>
      <c r="D107" s="168">
        <v>1</v>
      </c>
      <c r="E107" s="44">
        <v>1</v>
      </c>
      <c r="F107" s="168">
        <v>1</v>
      </c>
      <c r="G107" s="44">
        <v>1</v>
      </c>
      <c r="H107" s="168">
        <v>0</v>
      </c>
      <c r="I107" s="44">
        <v>0</v>
      </c>
      <c r="J107" s="168">
        <v>0</v>
      </c>
      <c r="K107" s="44">
        <v>0</v>
      </c>
      <c r="L107" s="44">
        <v>10</v>
      </c>
      <c r="M107" s="64">
        <v>0</v>
      </c>
    </row>
    <row r="108" spans="1:13" x14ac:dyDescent="0.15">
      <c r="A108" s="44" t="s">
        <v>129</v>
      </c>
      <c r="B108" s="168">
        <v>1</v>
      </c>
      <c r="C108" s="44">
        <v>1</v>
      </c>
      <c r="D108" s="168">
        <v>0</v>
      </c>
      <c r="E108" s="44">
        <v>0</v>
      </c>
      <c r="F108" s="168">
        <v>1</v>
      </c>
      <c r="G108" s="44">
        <v>1</v>
      </c>
      <c r="H108" s="168">
        <v>0</v>
      </c>
      <c r="I108" s="44">
        <v>0</v>
      </c>
      <c r="J108" s="168">
        <v>0</v>
      </c>
      <c r="K108" s="44">
        <v>0</v>
      </c>
      <c r="L108" s="44">
        <v>15</v>
      </c>
      <c r="M108" s="64">
        <v>1.5</v>
      </c>
    </row>
    <row r="109" spans="1:13" x14ac:dyDescent="0.15">
      <c r="A109" s="44" t="s">
        <v>130</v>
      </c>
      <c r="B109" s="168">
        <v>2</v>
      </c>
      <c r="C109" s="44">
        <v>2</v>
      </c>
      <c r="D109" s="168">
        <v>1</v>
      </c>
      <c r="E109" s="44">
        <v>3</v>
      </c>
      <c r="F109" s="168">
        <v>8</v>
      </c>
      <c r="G109" s="44">
        <v>5</v>
      </c>
      <c r="H109" s="168">
        <v>0</v>
      </c>
      <c r="I109" s="44">
        <v>1</v>
      </c>
      <c r="J109" s="168">
        <v>0</v>
      </c>
      <c r="K109" s="44">
        <v>0</v>
      </c>
      <c r="L109" s="44">
        <v>8</v>
      </c>
      <c r="M109" s="64">
        <v>1.0909090909090908</v>
      </c>
    </row>
    <row r="110" spans="1:13" x14ac:dyDescent="0.15">
      <c r="A110" s="44" t="s">
        <v>131</v>
      </c>
      <c r="B110" s="168">
        <v>5</v>
      </c>
      <c r="C110" s="44">
        <v>5</v>
      </c>
      <c r="D110" s="168">
        <v>0</v>
      </c>
      <c r="E110" s="44">
        <v>0</v>
      </c>
      <c r="F110" s="168">
        <v>5</v>
      </c>
      <c r="G110" s="44">
        <v>5</v>
      </c>
      <c r="H110" s="168">
        <v>0</v>
      </c>
      <c r="I110" s="44">
        <v>0</v>
      </c>
      <c r="J110" s="168">
        <v>0</v>
      </c>
      <c r="K110" s="44">
        <v>0</v>
      </c>
      <c r="L110" s="44">
        <v>32</v>
      </c>
      <c r="M110" s="64">
        <v>0.2</v>
      </c>
    </row>
    <row r="111" spans="1:13" x14ac:dyDescent="0.15">
      <c r="A111" s="44" t="s">
        <v>132</v>
      </c>
      <c r="B111" s="168">
        <v>11</v>
      </c>
      <c r="C111" s="44">
        <v>11</v>
      </c>
      <c r="D111" s="168">
        <v>3</v>
      </c>
      <c r="E111" s="44">
        <v>1</v>
      </c>
      <c r="F111" s="168">
        <v>1</v>
      </c>
      <c r="G111" s="44">
        <v>3</v>
      </c>
      <c r="H111" s="168">
        <v>0</v>
      </c>
      <c r="I111" s="44">
        <v>0</v>
      </c>
      <c r="J111" s="168">
        <v>0</v>
      </c>
      <c r="K111" s="44">
        <v>0</v>
      </c>
      <c r="L111" s="44">
        <v>9</v>
      </c>
      <c r="M111" s="64">
        <v>2.1333333333333333</v>
      </c>
    </row>
    <row r="112" spans="1:13" x14ac:dyDescent="0.15">
      <c r="A112" s="44" t="s">
        <v>133</v>
      </c>
      <c r="B112" s="168">
        <v>4</v>
      </c>
      <c r="C112" s="44">
        <v>4</v>
      </c>
      <c r="D112" s="168">
        <v>0</v>
      </c>
      <c r="E112" s="44">
        <v>0</v>
      </c>
      <c r="F112" s="168">
        <v>4</v>
      </c>
      <c r="G112" s="44">
        <v>4</v>
      </c>
      <c r="H112" s="168">
        <v>0</v>
      </c>
      <c r="I112" s="44">
        <v>0</v>
      </c>
      <c r="J112" s="168">
        <v>0</v>
      </c>
      <c r="K112" s="44">
        <v>0</v>
      </c>
      <c r="L112" s="44">
        <v>11</v>
      </c>
      <c r="M112" s="64">
        <v>0</v>
      </c>
    </row>
    <row r="113" spans="1:13" x14ac:dyDescent="0.15">
      <c r="A113" s="44" t="s">
        <v>134</v>
      </c>
      <c r="B113" s="168">
        <v>9</v>
      </c>
      <c r="C113" s="44">
        <v>8</v>
      </c>
      <c r="D113" s="168">
        <v>0</v>
      </c>
      <c r="E113" s="44">
        <v>0</v>
      </c>
      <c r="F113" s="168">
        <v>23</v>
      </c>
      <c r="G113" s="44">
        <v>24</v>
      </c>
      <c r="H113" s="168">
        <v>0</v>
      </c>
      <c r="I113" s="44">
        <v>0</v>
      </c>
      <c r="J113" s="168">
        <v>0</v>
      </c>
      <c r="K113" s="44">
        <v>0</v>
      </c>
      <c r="L113" s="44">
        <v>2</v>
      </c>
      <c r="M113" s="64">
        <v>0.125</v>
      </c>
    </row>
    <row r="114" spans="1:13" x14ac:dyDescent="0.15">
      <c r="A114" s="44" t="s">
        <v>135</v>
      </c>
      <c r="B114" s="168">
        <v>2</v>
      </c>
      <c r="C114" s="44">
        <v>2</v>
      </c>
      <c r="D114" s="168">
        <v>1</v>
      </c>
      <c r="E114" s="44">
        <v>0</v>
      </c>
      <c r="F114" s="168">
        <v>6</v>
      </c>
      <c r="G114" s="44">
        <v>7</v>
      </c>
      <c r="H114" s="168">
        <v>0</v>
      </c>
      <c r="I114" s="44">
        <v>0</v>
      </c>
      <c r="J114" s="168">
        <v>0</v>
      </c>
      <c r="K114" s="44">
        <v>0</v>
      </c>
      <c r="L114" s="44">
        <v>3</v>
      </c>
      <c r="M114" s="64">
        <v>0.44444444444444442</v>
      </c>
    </row>
    <row r="115" spans="1:13" x14ac:dyDescent="0.15">
      <c r="A115" s="44" t="s">
        <v>138</v>
      </c>
      <c r="B115" s="168">
        <v>2</v>
      </c>
      <c r="C115" s="44">
        <v>1</v>
      </c>
      <c r="D115" s="168">
        <v>0</v>
      </c>
      <c r="E115" s="44">
        <v>0</v>
      </c>
      <c r="F115" s="168">
        <v>9</v>
      </c>
      <c r="G115" s="44">
        <v>8</v>
      </c>
      <c r="H115" s="168">
        <v>0</v>
      </c>
      <c r="I115" s="44">
        <v>2</v>
      </c>
      <c r="J115" s="168">
        <v>0</v>
      </c>
      <c r="K115" s="44">
        <v>0</v>
      </c>
      <c r="L115" s="44">
        <v>16</v>
      </c>
      <c r="M115" s="64">
        <v>1.6363636363636365</v>
      </c>
    </row>
    <row r="116" spans="1:13" x14ac:dyDescent="0.15">
      <c r="A116" s="44" t="s">
        <v>139</v>
      </c>
      <c r="B116" s="168">
        <v>0</v>
      </c>
      <c r="C116" s="44">
        <v>0</v>
      </c>
      <c r="D116" s="168">
        <v>0</v>
      </c>
      <c r="E116" s="44">
        <v>0</v>
      </c>
      <c r="F116" s="168">
        <v>2</v>
      </c>
      <c r="G116" s="44">
        <v>2</v>
      </c>
      <c r="H116" s="168">
        <v>0</v>
      </c>
      <c r="I116" s="44">
        <v>0</v>
      </c>
      <c r="J116" s="168">
        <v>0</v>
      </c>
      <c r="K116" s="44">
        <v>0</v>
      </c>
      <c r="L116" s="44">
        <v>2</v>
      </c>
      <c r="M116" s="64">
        <v>2.5</v>
      </c>
    </row>
    <row r="117" spans="1:13" x14ac:dyDescent="0.15">
      <c r="A117" s="44" t="s">
        <v>141</v>
      </c>
      <c r="B117" s="168">
        <v>0</v>
      </c>
      <c r="C117" s="44">
        <v>0</v>
      </c>
      <c r="D117" s="168">
        <v>0</v>
      </c>
      <c r="E117" s="44">
        <v>0</v>
      </c>
      <c r="F117" s="168">
        <v>3</v>
      </c>
      <c r="G117" s="44">
        <v>3</v>
      </c>
      <c r="H117" s="168">
        <v>0</v>
      </c>
      <c r="I117" s="44">
        <v>0</v>
      </c>
      <c r="J117" s="168">
        <v>0</v>
      </c>
      <c r="K117" s="44">
        <v>0</v>
      </c>
      <c r="L117" s="44">
        <v>13</v>
      </c>
      <c r="M117" s="64">
        <v>1.3333333333333333</v>
      </c>
    </row>
    <row r="118" spans="1:13" x14ac:dyDescent="0.15">
      <c r="A118" s="44" t="s">
        <v>142</v>
      </c>
      <c r="B118" s="168">
        <v>2</v>
      </c>
      <c r="C118" s="44">
        <v>2</v>
      </c>
      <c r="D118" s="168">
        <v>0</v>
      </c>
      <c r="E118" s="44">
        <v>0</v>
      </c>
      <c r="F118" s="168">
        <v>14</v>
      </c>
      <c r="G118" s="44">
        <v>14</v>
      </c>
      <c r="H118" s="168">
        <v>0</v>
      </c>
      <c r="I118" s="44">
        <v>0</v>
      </c>
      <c r="J118" s="168">
        <v>0</v>
      </c>
      <c r="K118" s="44">
        <v>0</v>
      </c>
      <c r="L118" s="44">
        <v>1</v>
      </c>
      <c r="M118" s="64">
        <v>0.625</v>
      </c>
    </row>
    <row r="119" spans="1:13" x14ac:dyDescent="0.15">
      <c r="A119" s="44" t="s">
        <v>144</v>
      </c>
      <c r="B119" s="168">
        <v>0</v>
      </c>
      <c r="C119" s="44">
        <v>0</v>
      </c>
      <c r="D119" s="168">
        <v>0</v>
      </c>
      <c r="E119" s="44">
        <v>0</v>
      </c>
      <c r="F119" s="168">
        <v>2</v>
      </c>
      <c r="G119" s="44">
        <v>2</v>
      </c>
      <c r="H119" s="168">
        <v>0</v>
      </c>
      <c r="I119" s="44">
        <v>0</v>
      </c>
      <c r="J119" s="168">
        <v>0</v>
      </c>
      <c r="K119" s="44">
        <v>0</v>
      </c>
      <c r="L119" s="44">
        <v>5</v>
      </c>
      <c r="M119" s="64">
        <v>2</v>
      </c>
    </row>
    <row r="120" spans="1:13" x14ac:dyDescent="0.15">
      <c r="A120" s="44" t="s">
        <v>145</v>
      </c>
      <c r="B120" s="168">
        <v>0</v>
      </c>
      <c r="C120" s="44">
        <v>0</v>
      </c>
      <c r="D120" s="168">
        <v>9</v>
      </c>
      <c r="E120" s="44">
        <v>4</v>
      </c>
      <c r="F120" s="168">
        <v>4</v>
      </c>
      <c r="G120" s="44">
        <v>8</v>
      </c>
      <c r="H120" s="168">
        <v>0</v>
      </c>
      <c r="I120" s="44">
        <v>1</v>
      </c>
      <c r="J120" s="168">
        <v>0</v>
      </c>
      <c r="K120" s="44">
        <v>0</v>
      </c>
      <c r="L120" s="44">
        <v>6</v>
      </c>
      <c r="M120" s="64">
        <v>2.1538461538461537</v>
      </c>
    </row>
    <row r="121" spans="1:13" x14ac:dyDescent="0.15">
      <c r="A121" s="44" t="s">
        <v>146</v>
      </c>
      <c r="B121" s="168">
        <v>1</v>
      </c>
      <c r="C121" s="44">
        <v>1</v>
      </c>
      <c r="D121" s="168">
        <v>0</v>
      </c>
      <c r="E121" s="44">
        <v>0</v>
      </c>
      <c r="F121" s="168">
        <v>0</v>
      </c>
      <c r="G121" s="44">
        <v>0</v>
      </c>
      <c r="H121" s="168">
        <v>0</v>
      </c>
      <c r="I121" s="44">
        <v>0</v>
      </c>
      <c r="J121" s="168">
        <v>0</v>
      </c>
      <c r="K121" s="44">
        <v>0</v>
      </c>
      <c r="L121" s="44">
        <v>7</v>
      </c>
      <c r="M121" s="64">
        <v>2</v>
      </c>
    </row>
    <row r="122" spans="1:13" x14ac:dyDescent="0.15">
      <c r="A122" s="44" t="s">
        <v>147</v>
      </c>
      <c r="B122" s="168">
        <v>3</v>
      </c>
      <c r="C122" s="44">
        <v>2</v>
      </c>
      <c r="D122" s="168">
        <v>1</v>
      </c>
      <c r="E122" s="44">
        <v>1</v>
      </c>
      <c r="F122" s="168">
        <v>1</v>
      </c>
      <c r="G122" s="44">
        <v>2</v>
      </c>
      <c r="H122" s="168">
        <v>0</v>
      </c>
      <c r="I122" s="44">
        <v>0</v>
      </c>
      <c r="J122" s="168">
        <v>0</v>
      </c>
      <c r="K122" s="44">
        <v>0</v>
      </c>
      <c r="L122" s="44">
        <v>38</v>
      </c>
      <c r="M122" s="64">
        <v>2.6</v>
      </c>
    </row>
    <row r="123" spans="1:13" x14ac:dyDescent="0.15">
      <c r="A123" s="44" t="s">
        <v>148</v>
      </c>
      <c r="B123" s="168">
        <v>2</v>
      </c>
      <c r="C123" s="44">
        <v>2</v>
      </c>
      <c r="D123" s="168">
        <v>1</v>
      </c>
      <c r="E123" s="44">
        <v>1</v>
      </c>
      <c r="F123" s="168">
        <v>2</v>
      </c>
      <c r="G123" s="44">
        <v>1</v>
      </c>
      <c r="H123" s="168">
        <v>0</v>
      </c>
      <c r="I123" s="44">
        <v>1</v>
      </c>
      <c r="J123" s="168">
        <v>1</v>
      </c>
      <c r="K123" s="44">
        <v>1</v>
      </c>
      <c r="L123" s="44">
        <v>10</v>
      </c>
      <c r="M123" s="64">
        <v>1</v>
      </c>
    </row>
    <row r="124" spans="1:13" x14ac:dyDescent="0.15">
      <c r="A124" s="44" t="s">
        <v>149</v>
      </c>
      <c r="B124" s="168">
        <v>1</v>
      </c>
      <c r="C124" s="44">
        <v>1</v>
      </c>
      <c r="D124" s="168">
        <v>1</v>
      </c>
      <c r="E124" s="44">
        <v>1</v>
      </c>
      <c r="F124" s="168">
        <v>5</v>
      </c>
      <c r="G124" s="44">
        <v>5</v>
      </c>
      <c r="H124" s="168">
        <v>0</v>
      </c>
      <c r="I124" s="44">
        <v>0</v>
      </c>
      <c r="J124" s="168">
        <v>0</v>
      </c>
      <c r="K124" s="44">
        <v>0</v>
      </c>
      <c r="L124" s="44">
        <v>14</v>
      </c>
      <c r="M124" s="64">
        <v>1.5714285714285714</v>
      </c>
    </row>
    <row r="125" spans="1:13" x14ac:dyDescent="0.15">
      <c r="A125" s="44" t="s">
        <v>150</v>
      </c>
      <c r="B125" s="168">
        <v>13</v>
      </c>
      <c r="C125" s="44">
        <v>12</v>
      </c>
      <c r="D125" s="168">
        <v>0</v>
      </c>
      <c r="E125" s="44">
        <v>0</v>
      </c>
      <c r="F125" s="168">
        <v>25</v>
      </c>
      <c r="G125" s="44">
        <v>26</v>
      </c>
      <c r="H125" s="168">
        <v>0</v>
      </c>
      <c r="I125" s="44">
        <v>0</v>
      </c>
      <c r="J125" s="168">
        <v>0</v>
      </c>
      <c r="K125" s="44">
        <v>0</v>
      </c>
      <c r="L125" s="44">
        <v>3</v>
      </c>
      <c r="M125" s="64">
        <v>0.5</v>
      </c>
    </row>
    <row r="126" spans="1:13" x14ac:dyDescent="0.15">
      <c r="A126" s="44" t="s">
        <v>151</v>
      </c>
      <c r="B126" s="168">
        <v>3</v>
      </c>
      <c r="C126" s="44">
        <v>4</v>
      </c>
      <c r="D126" s="168">
        <v>0</v>
      </c>
      <c r="E126" s="44">
        <v>0</v>
      </c>
      <c r="F126" s="168">
        <v>7</v>
      </c>
      <c r="G126" s="44">
        <v>6</v>
      </c>
      <c r="H126" s="168">
        <v>0</v>
      </c>
      <c r="I126" s="44">
        <v>0</v>
      </c>
      <c r="J126" s="168">
        <v>0</v>
      </c>
      <c r="K126" s="44">
        <v>0</v>
      </c>
      <c r="L126" s="44">
        <v>29</v>
      </c>
      <c r="M126" s="64">
        <v>2.5</v>
      </c>
    </row>
    <row r="127" spans="1:13" x14ac:dyDescent="0.15">
      <c r="A127" s="44" t="s">
        <v>152</v>
      </c>
      <c r="B127" s="168">
        <v>4</v>
      </c>
      <c r="C127" s="44">
        <v>4</v>
      </c>
      <c r="D127" s="168">
        <v>2</v>
      </c>
      <c r="E127" s="44">
        <v>2</v>
      </c>
      <c r="F127" s="168">
        <v>8</v>
      </c>
      <c r="G127" s="44">
        <v>8</v>
      </c>
      <c r="H127" s="168">
        <v>0</v>
      </c>
      <c r="I127" s="44">
        <v>0</v>
      </c>
      <c r="J127" s="168">
        <v>0</v>
      </c>
      <c r="K127" s="44">
        <v>0</v>
      </c>
      <c r="L127" s="44">
        <v>24</v>
      </c>
      <c r="M127" s="64">
        <v>1</v>
      </c>
    </row>
    <row r="128" spans="1:13" x14ac:dyDescent="0.15">
      <c r="A128" s="44" t="s">
        <v>154</v>
      </c>
      <c r="B128" s="168">
        <v>1</v>
      </c>
      <c r="C128" s="44">
        <v>1</v>
      </c>
      <c r="D128" s="168">
        <v>0</v>
      </c>
      <c r="E128" s="44">
        <v>0</v>
      </c>
      <c r="F128" s="168">
        <v>2</v>
      </c>
      <c r="G128" s="44">
        <v>2</v>
      </c>
      <c r="H128" s="168">
        <v>0</v>
      </c>
      <c r="I128" s="44">
        <v>0</v>
      </c>
      <c r="J128" s="168">
        <v>0</v>
      </c>
      <c r="K128" s="44">
        <v>0</v>
      </c>
      <c r="L128" s="44">
        <v>4</v>
      </c>
      <c r="M128" s="64">
        <v>0.66666666666666663</v>
      </c>
    </row>
    <row r="129" spans="1:13" x14ac:dyDescent="0.15">
      <c r="A129" s="44" t="s">
        <v>155</v>
      </c>
      <c r="B129" s="168">
        <v>1</v>
      </c>
      <c r="C129" s="44">
        <v>1</v>
      </c>
      <c r="D129" s="168">
        <v>3</v>
      </c>
      <c r="E129" s="44">
        <v>3</v>
      </c>
      <c r="F129" s="168">
        <v>25</v>
      </c>
      <c r="G129" s="44">
        <v>25</v>
      </c>
      <c r="H129" s="168">
        <v>0</v>
      </c>
      <c r="I129" s="44">
        <v>0</v>
      </c>
      <c r="J129" s="168">
        <v>0</v>
      </c>
      <c r="K129" s="44">
        <v>0</v>
      </c>
      <c r="L129" s="44">
        <v>20</v>
      </c>
      <c r="M129" s="64">
        <v>1.8620689655172413</v>
      </c>
    </row>
    <row r="130" spans="1:13" x14ac:dyDescent="0.15">
      <c r="A130" s="44" t="s">
        <v>156</v>
      </c>
      <c r="B130" s="168">
        <v>2</v>
      </c>
      <c r="C130" s="44">
        <v>2</v>
      </c>
      <c r="D130" s="168">
        <v>0</v>
      </c>
      <c r="E130" s="44">
        <v>1</v>
      </c>
      <c r="F130" s="168">
        <v>22</v>
      </c>
      <c r="G130" s="44">
        <v>21</v>
      </c>
      <c r="H130" s="168">
        <v>0</v>
      </c>
      <c r="I130" s="44">
        <v>0</v>
      </c>
      <c r="J130" s="168">
        <v>0</v>
      </c>
      <c r="K130" s="44">
        <v>0</v>
      </c>
      <c r="L130" s="44">
        <v>8</v>
      </c>
      <c r="M130" s="64">
        <v>1.5416666666666667</v>
      </c>
    </row>
    <row r="131" spans="1:13" x14ac:dyDescent="0.15">
      <c r="A131" s="44" t="s">
        <v>157</v>
      </c>
      <c r="B131" s="168">
        <v>1</v>
      </c>
      <c r="C131" s="44">
        <v>1</v>
      </c>
      <c r="D131" s="168">
        <v>0</v>
      </c>
      <c r="E131" s="44">
        <v>0</v>
      </c>
      <c r="F131" s="168">
        <v>2</v>
      </c>
      <c r="G131" s="44">
        <v>2</v>
      </c>
      <c r="H131" s="168">
        <v>0</v>
      </c>
      <c r="I131" s="44">
        <v>0</v>
      </c>
      <c r="J131" s="168">
        <v>1</v>
      </c>
      <c r="K131" s="44">
        <v>1</v>
      </c>
      <c r="L131" s="44">
        <v>2</v>
      </c>
      <c r="M131" s="64">
        <v>1.25</v>
      </c>
    </row>
    <row r="132" spans="1:13" x14ac:dyDescent="0.15">
      <c r="A132" s="44" t="s">
        <v>158</v>
      </c>
      <c r="B132" s="168">
        <v>2</v>
      </c>
      <c r="C132" s="44">
        <v>2</v>
      </c>
      <c r="D132" s="168">
        <v>0</v>
      </c>
      <c r="E132" s="44">
        <v>0</v>
      </c>
      <c r="F132" s="168">
        <v>16</v>
      </c>
      <c r="G132" s="44">
        <v>15</v>
      </c>
      <c r="H132" s="168">
        <v>2</v>
      </c>
      <c r="I132" s="44">
        <v>3</v>
      </c>
      <c r="J132" s="168">
        <v>0</v>
      </c>
      <c r="K132" s="44">
        <v>0</v>
      </c>
      <c r="L132" s="44">
        <v>1</v>
      </c>
      <c r="M132" s="64">
        <v>2.4500000000000002</v>
      </c>
    </row>
    <row r="133" spans="1:13" x14ac:dyDescent="0.15">
      <c r="A133" s="44" t="s">
        <v>159</v>
      </c>
      <c r="B133" s="168">
        <v>4</v>
      </c>
      <c r="C133" s="44">
        <v>4</v>
      </c>
      <c r="D133" s="168">
        <v>0</v>
      </c>
      <c r="E133" s="44">
        <v>0</v>
      </c>
      <c r="F133" s="168">
        <v>4</v>
      </c>
      <c r="G133" s="44">
        <v>4</v>
      </c>
      <c r="H133" s="168">
        <v>0</v>
      </c>
      <c r="I133" s="44">
        <v>0</v>
      </c>
      <c r="J133" s="168">
        <v>0</v>
      </c>
      <c r="K133" s="44">
        <v>0</v>
      </c>
      <c r="L133" s="44">
        <v>1</v>
      </c>
      <c r="M133" s="64">
        <v>1.125</v>
      </c>
    </row>
    <row r="134" spans="1:13" x14ac:dyDescent="0.15">
      <c r="A134" s="44" t="s">
        <v>161</v>
      </c>
      <c r="B134" s="168">
        <v>2</v>
      </c>
      <c r="C134" s="44">
        <v>1</v>
      </c>
      <c r="D134" s="168">
        <v>0</v>
      </c>
      <c r="E134" s="44">
        <v>0</v>
      </c>
      <c r="F134" s="168">
        <v>0</v>
      </c>
      <c r="G134" s="44">
        <v>1</v>
      </c>
      <c r="H134" s="168">
        <v>0</v>
      </c>
      <c r="I134" s="44">
        <v>0</v>
      </c>
      <c r="J134" s="168">
        <v>0</v>
      </c>
      <c r="K134" s="44">
        <v>0</v>
      </c>
      <c r="L134" s="44">
        <v>8</v>
      </c>
      <c r="M134" s="64">
        <v>3</v>
      </c>
    </row>
    <row r="135" spans="1:13" x14ac:dyDescent="0.15">
      <c r="A135" s="44" t="s">
        <v>162</v>
      </c>
      <c r="B135" s="168">
        <v>0</v>
      </c>
      <c r="C135" s="44">
        <v>0</v>
      </c>
      <c r="D135" s="168">
        <v>1</v>
      </c>
      <c r="E135" s="44">
        <v>1</v>
      </c>
      <c r="F135" s="168">
        <v>0</v>
      </c>
      <c r="G135" s="44">
        <v>0</v>
      </c>
      <c r="H135" s="168">
        <v>0</v>
      </c>
      <c r="I135" s="44">
        <v>0</v>
      </c>
      <c r="J135" s="168">
        <v>0</v>
      </c>
      <c r="K135" s="44">
        <v>0</v>
      </c>
      <c r="L135" s="44">
        <v>1</v>
      </c>
      <c r="M135" s="64">
        <v>3</v>
      </c>
    </row>
    <row r="136" spans="1:13" x14ac:dyDescent="0.15">
      <c r="A136" s="44" t="s">
        <v>163</v>
      </c>
      <c r="B136" s="168">
        <v>1</v>
      </c>
      <c r="C136" s="44">
        <v>1</v>
      </c>
      <c r="D136" s="168">
        <v>0</v>
      </c>
      <c r="E136" s="44">
        <v>0</v>
      </c>
      <c r="F136" s="168">
        <v>0</v>
      </c>
      <c r="G136" s="44">
        <v>0</v>
      </c>
      <c r="H136" s="168">
        <v>0</v>
      </c>
      <c r="I136" s="44">
        <v>0</v>
      </c>
      <c r="J136" s="168">
        <v>0</v>
      </c>
      <c r="K136" s="44">
        <v>0</v>
      </c>
      <c r="L136" s="44">
        <v>4</v>
      </c>
      <c r="M136" s="64">
        <v>3</v>
      </c>
    </row>
    <row r="137" spans="1:13" x14ac:dyDescent="0.15">
      <c r="A137" s="44" t="s">
        <v>164</v>
      </c>
      <c r="B137" s="168">
        <v>4</v>
      </c>
      <c r="C137" s="44">
        <v>4</v>
      </c>
      <c r="D137" s="168">
        <v>0</v>
      </c>
      <c r="E137" s="44">
        <v>0</v>
      </c>
      <c r="F137" s="168">
        <v>3</v>
      </c>
      <c r="G137" s="44">
        <v>2</v>
      </c>
      <c r="H137" s="168">
        <v>1</v>
      </c>
      <c r="I137" s="44">
        <v>0</v>
      </c>
      <c r="J137" s="168">
        <v>0</v>
      </c>
      <c r="K137" s="44">
        <v>2</v>
      </c>
      <c r="L137" s="44">
        <v>33</v>
      </c>
      <c r="M137" s="64">
        <v>1.75</v>
      </c>
    </row>
    <row r="138" spans="1:13" x14ac:dyDescent="0.15">
      <c r="A138" s="44" t="s">
        <v>165</v>
      </c>
      <c r="B138" s="168">
        <v>0</v>
      </c>
      <c r="C138" s="44">
        <v>0</v>
      </c>
      <c r="D138" s="168">
        <v>0</v>
      </c>
      <c r="E138" s="44">
        <v>0</v>
      </c>
      <c r="F138" s="168">
        <v>1</v>
      </c>
      <c r="G138" s="44">
        <v>1</v>
      </c>
      <c r="H138" s="168">
        <v>0</v>
      </c>
      <c r="I138" s="44">
        <v>0</v>
      </c>
      <c r="J138" s="168">
        <v>0</v>
      </c>
      <c r="K138" s="44">
        <v>0</v>
      </c>
      <c r="L138" s="44">
        <v>2</v>
      </c>
      <c r="M138" s="64">
        <v>1</v>
      </c>
    </row>
    <row r="139" spans="1:13" x14ac:dyDescent="0.15">
      <c r="A139" s="44" t="s">
        <v>166</v>
      </c>
      <c r="B139" s="168">
        <v>0</v>
      </c>
      <c r="C139" s="44">
        <v>0</v>
      </c>
      <c r="D139" s="168">
        <v>0</v>
      </c>
      <c r="E139" s="44">
        <v>0</v>
      </c>
      <c r="F139" s="168">
        <v>4</v>
      </c>
      <c r="G139" s="44">
        <v>4</v>
      </c>
      <c r="H139" s="168">
        <v>0</v>
      </c>
      <c r="I139" s="44">
        <v>0</v>
      </c>
      <c r="J139" s="168">
        <v>0</v>
      </c>
      <c r="K139" s="44">
        <v>0</v>
      </c>
      <c r="L139" s="44">
        <v>2</v>
      </c>
      <c r="M139" s="64">
        <v>0</v>
      </c>
    </row>
    <row r="140" spans="1:13" x14ac:dyDescent="0.15">
      <c r="A140" s="44" t="s">
        <v>167</v>
      </c>
      <c r="B140" s="168">
        <v>15</v>
      </c>
      <c r="C140" s="44">
        <v>15</v>
      </c>
      <c r="D140" s="168">
        <v>7</v>
      </c>
      <c r="E140" s="44">
        <v>5</v>
      </c>
      <c r="F140" s="168">
        <v>11</v>
      </c>
      <c r="G140" s="44">
        <v>13</v>
      </c>
      <c r="H140" s="168">
        <v>0</v>
      </c>
      <c r="I140" s="44">
        <v>0</v>
      </c>
      <c r="J140" s="168">
        <v>0</v>
      </c>
      <c r="K140" s="44">
        <v>0</v>
      </c>
      <c r="L140" s="44">
        <v>2</v>
      </c>
      <c r="M140" s="64">
        <v>0.15151515151515152</v>
      </c>
    </row>
    <row r="141" spans="1:13" x14ac:dyDescent="0.15">
      <c r="A141" s="44" t="s">
        <v>168</v>
      </c>
      <c r="B141" s="168">
        <v>1</v>
      </c>
      <c r="C141" s="44">
        <v>1</v>
      </c>
      <c r="D141" s="168">
        <v>0</v>
      </c>
      <c r="E141" s="44">
        <v>0</v>
      </c>
      <c r="F141" s="168">
        <v>1</v>
      </c>
      <c r="G141" s="44">
        <v>0</v>
      </c>
      <c r="H141" s="168">
        <v>0</v>
      </c>
      <c r="I141" s="44">
        <v>1</v>
      </c>
      <c r="J141" s="168">
        <v>0</v>
      </c>
      <c r="K141" s="44">
        <v>0</v>
      </c>
      <c r="L141" s="44">
        <v>1</v>
      </c>
      <c r="M141" s="64">
        <v>1</v>
      </c>
    </row>
    <row r="142" spans="1:13" x14ac:dyDescent="0.15">
      <c r="A142" s="44" t="s">
        <v>169</v>
      </c>
      <c r="B142" s="168">
        <v>0</v>
      </c>
      <c r="C142" s="44">
        <v>0</v>
      </c>
      <c r="D142" s="168">
        <v>0</v>
      </c>
      <c r="E142" s="44">
        <v>0</v>
      </c>
      <c r="F142" s="168">
        <v>2</v>
      </c>
      <c r="G142" s="44">
        <v>2</v>
      </c>
      <c r="H142" s="168">
        <v>0</v>
      </c>
      <c r="I142" s="44">
        <v>0</v>
      </c>
      <c r="J142" s="168">
        <v>0</v>
      </c>
      <c r="K142" s="44">
        <v>0</v>
      </c>
      <c r="L142" s="44">
        <v>2</v>
      </c>
      <c r="M142" s="64">
        <v>2</v>
      </c>
    </row>
    <row r="143" spans="1:13" x14ac:dyDescent="0.15">
      <c r="A143" s="44" t="s">
        <v>170</v>
      </c>
      <c r="B143" s="168">
        <v>1</v>
      </c>
      <c r="C143" s="44">
        <v>1</v>
      </c>
      <c r="D143" s="168">
        <v>0</v>
      </c>
      <c r="E143" s="44">
        <v>0</v>
      </c>
      <c r="F143" s="168">
        <v>1</v>
      </c>
      <c r="G143" s="44">
        <v>1</v>
      </c>
      <c r="H143" s="168">
        <v>0</v>
      </c>
      <c r="I143" s="44">
        <v>0</v>
      </c>
      <c r="J143" s="168">
        <v>0</v>
      </c>
      <c r="K143" s="44">
        <v>0</v>
      </c>
      <c r="L143" s="44">
        <v>7</v>
      </c>
      <c r="M143" s="64">
        <v>0.5</v>
      </c>
    </row>
    <row r="144" spans="1:13" x14ac:dyDescent="0.15">
      <c r="A144" s="44" t="s">
        <v>171</v>
      </c>
      <c r="B144" s="168">
        <v>0</v>
      </c>
      <c r="C144" s="44">
        <v>0</v>
      </c>
      <c r="D144" s="168">
        <v>0</v>
      </c>
      <c r="E144" s="44">
        <v>1</v>
      </c>
      <c r="F144" s="168">
        <v>1</v>
      </c>
      <c r="G144" s="44">
        <v>0</v>
      </c>
      <c r="H144" s="168">
        <v>0</v>
      </c>
      <c r="I144" s="44">
        <v>0</v>
      </c>
      <c r="J144" s="168">
        <v>0</v>
      </c>
      <c r="K144" s="44">
        <v>0</v>
      </c>
      <c r="L144" s="44">
        <v>1</v>
      </c>
      <c r="M144" s="64">
        <v>0</v>
      </c>
    </row>
    <row r="145" spans="1:13" x14ac:dyDescent="0.15">
      <c r="A145" s="44" t="s">
        <v>172</v>
      </c>
      <c r="B145" s="168">
        <v>0</v>
      </c>
      <c r="C145" s="44">
        <v>0</v>
      </c>
      <c r="D145" s="168">
        <v>0</v>
      </c>
      <c r="E145" s="44">
        <v>0</v>
      </c>
      <c r="F145" s="168">
        <v>2</v>
      </c>
      <c r="G145" s="44">
        <v>2</v>
      </c>
      <c r="H145" s="168">
        <v>0</v>
      </c>
      <c r="I145" s="44">
        <v>0</v>
      </c>
      <c r="J145" s="168">
        <v>0</v>
      </c>
      <c r="K145" s="44">
        <v>0</v>
      </c>
      <c r="L145" s="44">
        <v>2</v>
      </c>
      <c r="M145" s="64">
        <v>0</v>
      </c>
    </row>
    <row r="146" spans="1:13" x14ac:dyDescent="0.15">
      <c r="A146" s="44" t="s">
        <v>173</v>
      </c>
      <c r="B146" s="168">
        <v>1</v>
      </c>
      <c r="C146" s="44">
        <v>1</v>
      </c>
      <c r="D146" s="168">
        <v>1</v>
      </c>
      <c r="E146" s="44">
        <v>1</v>
      </c>
      <c r="F146" s="168">
        <v>5</v>
      </c>
      <c r="G146" s="44">
        <v>5</v>
      </c>
      <c r="H146" s="168">
        <v>0</v>
      </c>
      <c r="I146" s="44">
        <v>0</v>
      </c>
      <c r="J146" s="168">
        <v>0</v>
      </c>
      <c r="K146" s="44">
        <v>0</v>
      </c>
      <c r="L146" s="44">
        <v>4</v>
      </c>
      <c r="M146" s="64">
        <v>2</v>
      </c>
    </row>
    <row r="147" spans="1:13" x14ac:dyDescent="0.15">
      <c r="A147" s="44" t="s">
        <v>174</v>
      </c>
      <c r="B147" s="168">
        <v>1</v>
      </c>
      <c r="C147" s="44">
        <v>1</v>
      </c>
      <c r="D147" s="168">
        <v>0</v>
      </c>
      <c r="E147" s="44">
        <v>0</v>
      </c>
      <c r="F147" s="168">
        <v>0</v>
      </c>
      <c r="G147" s="44">
        <v>0</v>
      </c>
      <c r="H147" s="168">
        <v>0</v>
      </c>
      <c r="I147" s="44">
        <v>0</v>
      </c>
      <c r="J147" s="168">
        <v>0</v>
      </c>
      <c r="K147" s="44">
        <v>0</v>
      </c>
      <c r="L147" s="44">
        <v>6</v>
      </c>
      <c r="M147" s="64">
        <v>3</v>
      </c>
    </row>
    <row r="148" spans="1:13" x14ac:dyDescent="0.15">
      <c r="A148" s="44" t="s">
        <v>175</v>
      </c>
      <c r="B148" s="168">
        <v>0</v>
      </c>
      <c r="C148" s="44">
        <v>0</v>
      </c>
      <c r="D148" s="168">
        <v>2</v>
      </c>
      <c r="E148" s="44">
        <v>0</v>
      </c>
      <c r="F148" s="168">
        <v>0</v>
      </c>
      <c r="G148" s="44">
        <v>2</v>
      </c>
      <c r="H148" s="168">
        <v>0</v>
      </c>
      <c r="I148" s="44">
        <v>0</v>
      </c>
      <c r="J148" s="168">
        <v>0</v>
      </c>
      <c r="K148" s="44">
        <v>0</v>
      </c>
      <c r="L148" s="44">
        <v>3</v>
      </c>
      <c r="M148" s="64">
        <v>1.5</v>
      </c>
    </row>
    <row r="149" spans="1:13" x14ac:dyDescent="0.15">
      <c r="A149" s="44" t="s">
        <v>176</v>
      </c>
      <c r="B149" s="168">
        <v>1</v>
      </c>
      <c r="C149" s="44">
        <v>1</v>
      </c>
      <c r="D149" s="168">
        <v>0</v>
      </c>
      <c r="E149" s="44">
        <v>0</v>
      </c>
      <c r="F149" s="168">
        <v>3</v>
      </c>
      <c r="G149" s="44">
        <v>3</v>
      </c>
      <c r="H149" s="168">
        <v>0</v>
      </c>
      <c r="I149" s="44">
        <v>0</v>
      </c>
      <c r="J149" s="168">
        <v>0</v>
      </c>
      <c r="K149" s="44">
        <v>0</v>
      </c>
      <c r="L149" s="44">
        <v>6</v>
      </c>
      <c r="M149" s="64">
        <v>0</v>
      </c>
    </row>
    <row r="150" spans="1:13" x14ac:dyDescent="0.15">
      <c r="A150" s="44" t="s">
        <v>177</v>
      </c>
      <c r="B150" s="168">
        <v>3</v>
      </c>
      <c r="C150" s="44">
        <v>2</v>
      </c>
      <c r="D150" s="168">
        <v>0</v>
      </c>
      <c r="E150" s="44">
        <v>0</v>
      </c>
      <c r="F150" s="168">
        <v>3</v>
      </c>
      <c r="G150" s="44">
        <v>4</v>
      </c>
      <c r="H150" s="168">
        <v>0</v>
      </c>
      <c r="I150" s="44">
        <v>0</v>
      </c>
      <c r="J150" s="168">
        <v>0</v>
      </c>
      <c r="K150" s="44">
        <v>0</v>
      </c>
      <c r="L150" s="44">
        <v>1</v>
      </c>
      <c r="M150" s="64">
        <v>2.3333333333333335</v>
      </c>
    </row>
    <row r="151" spans="1:13" x14ac:dyDescent="0.15">
      <c r="A151" s="44" t="s">
        <v>178</v>
      </c>
      <c r="B151" s="168">
        <v>0</v>
      </c>
      <c r="C151" s="44">
        <v>0</v>
      </c>
      <c r="D151" s="168">
        <v>0</v>
      </c>
      <c r="E151" s="44">
        <v>0</v>
      </c>
      <c r="F151" s="168">
        <v>3</v>
      </c>
      <c r="G151" s="44">
        <v>3</v>
      </c>
      <c r="H151" s="168">
        <v>0</v>
      </c>
      <c r="I151" s="44">
        <v>0</v>
      </c>
      <c r="J151" s="168">
        <v>0</v>
      </c>
      <c r="K151" s="44">
        <v>0</v>
      </c>
      <c r="L151" s="44">
        <v>7</v>
      </c>
      <c r="M151" s="64">
        <v>1</v>
      </c>
    </row>
    <row r="152" spans="1:13" x14ac:dyDescent="0.15">
      <c r="A152" s="44" t="s">
        <v>179</v>
      </c>
      <c r="B152" s="168">
        <v>0</v>
      </c>
      <c r="C152" s="44">
        <v>0</v>
      </c>
      <c r="D152" s="168">
        <v>0</v>
      </c>
      <c r="E152" s="44">
        <v>0</v>
      </c>
      <c r="F152" s="168">
        <v>6</v>
      </c>
      <c r="G152" s="44">
        <v>6</v>
      </c>
      <c r="H152" s="168">
        <v>0</v>
      </c>
      <c r="I152" s="44">
        <v>0</v>
      </c>
      <c r="J152" s="168">
        <v>0</v>
      </c>
      <c r="K152" s="44">
        <v>0</v>
      </c>
      <c r="L152" s="44">
        <v>4</v>
      </c>
      <c r="M152" s="64">
        <v>2</v>
      </c>
    </row>
    <row r="153" spans="1:13" x14ac:dyDescent="0.15">
      <c r="A153" s="44" t="s">
        <v>180</v>
      </c>
      <c r="B153" s="168">
        <v>0</v>
      </c>
      <c r="C153" s="44">
        <v>0</v>
      </c>
      <c r="D153" s="168">
        <v>0</v>
      </c>
      <c r="E153" s="44">
        <v>0</v>
      </c>
      <c r="F153" s="168">
        <v>1</v>
      </c>
      <c r="G153" s="44">
        <v>1</v>
      </c>
      <c r="H153" s="168">
        <v>0</v>
      </c>
      <c r="I153" s="44">
        <v>0</v>
      </c>
      <c r="J153" s="168">
        <v>0</v>
      </c>
      <c r="K153" s="44">
        <v>0</v>
      </c>
      <c r="L153" s="44">
        <v>7</v>
      </c>
      <c r="M153" s="64">
        <v>0</v>
      </c>
    </row>
    <row r="154" spans="1:13" x14ac:dyDescent="0.15">
      <c r="A154" s="44" t="s">
        <v>181</v>
      </c>
      <c r="B154" s="168">
        <v>2</v>
      </c>
      <c r="C154" s="44">
        <v>2</v>
      </c>
      <c r="D154" s="168">
        <v>1</v>
      </c>
      <c r="E154" s="44">
        <v>1</v>
      </c>
      <c r="F154" s="168">
        <v>4</v>
      </c>
      <c r="G154" s="44">
        <v>4</v>
      </c>
      <c r="H154" s="168">
        <v>0</v>
      </c>
      <c r="I154" s="44">
        <v>0</v>
      </c>
      <c r="J154" s="168">
        <v>0</v>
      </c>
      <c r="K154" s="44">
        <v>0</v>
      </c>
      <c r="L154" s="44">
        <v>17</v>
      </c>
      <c r="M154" s="64">
        <v>0.8571428571428571</v>
      </c>
    </row>
    <row r="155" spans="1:13" x14ac:dyDescent="0.15">
      <c r="A155" s="44" t="s">
        <v>183</v>
      </c>
      <c r="B155" s="168">
        <v>1</v>
      </c>
      <c r="C155" s="44">
        <v>1</v>
      </c>
      <c r="D155" s="168">
        <v>0</v>
      </c>
      <c r="E155" s="44">
        <v>0</v>
      </c>
      <c r="F155" s="168">
        <v>3</v>
      </c>
      <c r="G155" s="44">
        <v>3</v>
      </c>
      <c r="H155" s="168">
        <v>0</v>
      </c>
      <c r="I155" s="44">
        <v>0</v>
      </c>
      <c r="J155" s="168">
        <v>0</v>
      </c>
      <c r="K155" s="44">
        <v>0</v>
      </c>
      <c r="L155" s="44">
        <v>7</v>
      </c>
      <c r="M155" s="64">
        <v>2</v>
      </c>
    </row>
    <row r="156" spans="1:13" x14ac:dyDescent="0.15">
      <c r="A156" s="44" t="s">
        <v>184</v>
      </c>
      <c r="B156" s="168">
        <v>1</v>
      </c>
      <c r="C156" s="44">
        <v>1</v>
      </c>
      <c r="D156" s="168">
        <v>0</v>
      </c>
      <c r="E156" s="44">
        <v>0</v>
      </c>
      <c r="F156" s="168">
        <v>2</v>
      </c>
      <c r="G156" s="44">
        <v>2</v>
      </c>
      <c r="H156" s="168">
        <v>4</v>
      </c>
      <c r="I156" s="44">
        <v>4</v>
      </c>
      <c r="J156" s="168">
        <v>0</v>
      </c>
      <c r="K156" s="44">
        <v>0</v>
      </c>
      <c r="L156" s="44">
        <v>12</v>
      </c>
      <c r="M156" s="64">
        <v>3.7142857142857144</v>
      </c>
    </row>
    <row r="157" spans="1:13" x14ac:dyDescent="0.15">
      <c r="A157" s="44" t="s">
        <v>185</v>
      </c>
      <c r="B157" s="168">
        <v>5</v>
      </c>
      <c r="C157" s="44">
        <v>5</v>
      </c>
      <c r="D157" s="168">
        <v>1</v>
      </c>
      <c r="E157" s="44">
        <v>1</v>
      </c>
      <c r="F157" s="168">
        <v>11</v>
      </c>
      <c r="G157" s="44">
        <v>11</v>
      </c>
      <c r="H157" s="168">
        <v>0</v>
      </c>
      <c r="I157" s="44">
        <v>0</v>
      </c>
      <c r="J157" s="168">
        <v>0</v>
      </c>
      <c r="K157" s="44">
        <v>0</v>
      </c>
      <c r="L157" s="44">
        <v>21</v>
      </c>
      <c r="M157" s="64">
        <v>0.23529411764705882</v>
      </c>
    </row>
    <row r="158" spans="1:13" x14ac:dyDescent="0.15">
      <c r="A158" s="44" t="s">
        <v>187</v>
      </c>
      <c r="B158" s="168">
        <v>1</v>
      </c>
      <c r="C158" s="44">
        <v>1</v>
      </c>
      <c r="D158" s="168">
        <v>0</v>
      </c>
      <c r="E158" s="44">
        <v>0</v>
      </c>
      <c r="F158" s="168">
        <v>6</v>
      </c>
      <c r="G158" s="44">
        <v>6</v>
      </c>
      <c r="H158" s="168">
        <v>0</v>
      </c>
      <c r="I158" s="44">
        <v>0</v>
      </c>
      <c r="J158" s="168">
        <v>0</v>
      </c>
      <c r="K158" s="44">
        <v>0</v>
      </c>
      <c r="L158" s="44">
        <v>3</v>
      </c>
      <c r="M158" s="64">
        <v>0.14285714285714285</v>
      </c>
    </row>
    <row r="159" spans="1:13" x14ac:dyDescent="0.15">
      <c r="A159" s="44" t="s">
        <v>188</v>
      </c>
      <c r="B159" s="168">
        <v>4</v>
      </c>
      <c r="C159" s="44">
        <v>4</v>
      </c>
      <c r="D159" s="168">
        <v>0</v>
      </c>
      <c r="E159" s="44">
        <v>0</v>
      </c>
      <c r="F159" s="168">
        <v>8</v>
      </c>
      <c r="G159" s="44">
        <v>8</v>
      </c>
      <c r="H159" s="168">
        <v>0</v>
      </c>
      <c r="I159" s="44">
        <v>0</v>
      </c>
      <c r="J159" s="168">
        <v>0</v>
      </c>
      <c r="K159" s="44">
        <v>0</v>
      </c>
      <c r="L159" s="44">
        <v>2</v>
      </c>
      <c r="M159" s="64">
        <v>1</v>
      </c>
    </row>
    <row r="160" spans="1:13" x14ac:dyDescent="0.15">
      <c r="A160" s="44" t="s">
        <v>189</v>
      </c>
      <c r="B160" s="168">
        <v>5</v>
      </c>
      <c r="C160" s="44">
        <v>5</v>
      </c>
      <c r="D160" s="168">
        <v>1</v>
      </c>
      <c r="E160" s="44">
        <v>1</v>
      </c>
      <c r="F160" s="168">
        <v>15</v>
      </c>
      <c r="G160" s="44">
        <v>15</v>
      </c>
      <c r="H160" s="168">
        <v>0</v>
      </c>
      <c r="I160" s="44">
        <v>0</v>
      </c>
      <c r="J160" s="168">
        <v>0</v>
      </c>
      <c r="K160" s="44">
        <v>0</v>
      </c>
      <c r="L160" s="44">
        <v>4</v>
      </c>
      <c r="M160" s="64">
        <v>1.8095238095238095</v>
      </c>
    </row>
    <row r="161" spans="1:13" x14ac:dyDescent="0.15">
      <c r="A161" s="44" t="s">
        <v>190</v>
      </c>
      <c r="B161" s="168">
        <v>1</v>
      </c>
      <c r="C161" s="44">
        <v>1</v>
      </c>
      <c r="D161" s="168">
        <v>0</v>
      </c>
      <c r="E161" s="44">
        <v>0</v>
      </c>
      <c r="F161" s="168">
        <v>2</v>
      </c>
      <c r="G161" s="44">
        <v>2</v>
      </c>
      <c r="H161" s="168">
        <v>0</v>
      </c>
      <c r="I161" s="44">
        <v>0</v>
      </c>
      <c r="J161" s="168">
        <v>0</v>
      </c>
      <c r="K161" s="44">
        <v>0</v>
      </c>
      <c r="L161" s="44">
        <v>18</v>
      </c>
      <c r="M161" s="64">
        <v>1.3333333333333333</v>
      </c>
    </row>
    <row r="162" spans="1:13" x14ac:dyDescent="0.15">
      <c r="A162" s="44" t="s">
        <v>191</v>
      </c>
      <c r="B162" s="168">
        <v>0</v>
      </c>
      <c r="C162" s="44">
        <v>0</v>
      </c>
      <c r="D162" s="168">
        <v>1</v>
      </c>
      <c r="E162" s="44">
        <v>1</v>
      </c>
      <c r="F162" s="168">
        <v>1</v>
      </c>
      <c r="G162" s="44">
        <v>1</v>
      </c>
      <c r="H162" s="168">
        <v>0</v>
      </c>
      <c r="I162" s="44">
        <v>0</v>
      </c>
      <c r="J162" s="168">
        <v>0</v>
      </c>
      <c r="K162" s="44">
        <v>0</v>
      </c>
      <c r="L162" s="44">
        <v>2</v>
      </c>
      <c r="M162" s="64">
        <v>1.5</v>
      </c>
    </row>
    <row r="163" spans="1:13" x14ac:dyDescent="0.15">
      <c r="A163" s="44" t="s">
        <v>192</v>
      </c>
      <c r="B163" s="168">
        <v>0</v>
      </c>
      <c r="C163" s="44">
        <v>0</v>
      </c>
      <c r="D163" s="168">
        <v>0</v>
      </c>
      <c r="E163" s="44">
        <v>0</v>
      </c>
      <c r="F163" s="168">
        <v>4</v>
      </c>
      <c r="G163" s="44">
        <v>4</v>
      </c>
      <c r="H163" s="168">
        <v>0</v>
      </c>
      <c r="I163" s="44">
        <v>0</v>
      </c>
      <c r="J163" s="168">
        <v>0</v>
      </c>
      <c r="K163" s="44">
        <v>0</v>
      </c>
      <c r="L163" s="44">
        <v>2</v>
      </c>
      <c r="M163" s="64">
        <v>1.75</v>
      </c>
    </row>
    <row r="164" spans="1:13" x14ac:dyDescent="0.15">
      <c r="A164" s="44" t="s">
        <v>193</v>
      </c>
      <c r="B164" s="168">
        <v>6</v>
      </c>
      <c r="C164" s="44">
        <v>6</v>
      </c>
      <c r="D164" s="168">
        <v>4</v>
      </c>
      <c r="E164" s="44">
        <v>3</v>
      </c>
      <c r="F164" s="168">
        <v>8</v>
      </c>
      <c r="G164" s="44">
        <v>7</v>
      </c>
      <c r="H164" s="168">
        <v>0</v>
      </c>
      <c r="I164" s="44">
        <v>2</v>
      </c>
      <c r="J164" s="168">
        <v>0</v>
      </c>
      <c r="K164" s="44">
        <v>0</v>
      </c>
      <c r="L164" s="44">
        <v>13</v>
      </c>
      <c r="M164" s="64">
        <v>0.77777777777777779</v>
      </c>
    </row>
    <row r="165" spans="1:13" x14ac:dyDescent="0.15">
      <c r="A165" s="44" t="s">
        <v>194</v>
      </c>
      <c r="B165" s="168">
        <v>0</v>
      </c>
      <c r="C165" s="44">
        <v>0</v>
      </c>
      <c r="D165" s="168">
        <v>0</v>
      </c>
      <c r="E165" s="44">
        <v>0</v>
      </c>
      <c r="F165" s="168">
        <v>2</v>
      </c>
      <c r="G165" s="44">
        <v>2</v>
      </c>
      <c r="H165" s="168">
        <v>0</v>
      </c>
      <c r="I165" s="44">
        <v>0</v>
      </c>
      <c r="J165" s="168">
        <v>0</v>
      </c>
      <c r="K165" s="44">
        <v>0</v>
      </c>
      <c r="L165" s="44">
        <v>1</v>
      </c>
      <c r="M165" s="64">
        <v>1.5</v>
      </c>
    </row>
    <row r="166" spans="1:13" x14ac:dyDescent="0.15">
      <c r="A166" s="66" t="s">
        <v>195</v>
      </c>
      <c r="B166" s="168">
        <v>0</v>
      </c>
      <c r="C166" s="44">
        <v>0</v>
      </c>
      <c r="D166" s="168">
        <v>1</v>
      </c>
      <c r="E166" s="44">
        <v>1</v>
      </c>
      <c r="F166" s="168">
        <v>1</v>
      </c>
      <c r="G166" s="44">
        <v>1</v>
      </c>
      <c r="H166" s="168">
        <v>0</v>
      </c>
      <c r="I166" s="44">
        <v>0</v>
      </c>
      <c r="J166" s="168">
        <v>0</v>
      </c>
      <c r="K166" s="44">
        <v>0</v>
      </c>
      <c r="L166" s="44">
        <v>1</v>
      </c>
      <c r="M166" s="64">
        <v>0</v>
      </c>
    </row>
    <row r="167" spans="1:13" x14ac:dyDescent="0.15">
      <c r="A167" s="44" t="s">
        <v>196</v>
      </c>
      <c r="B167" s="168">
        <v>5</v>
      </c>
      <c r="C167" s="44">
        <v>5</v>
      </c>
      <c r="D167" s="168">
        <v>2</v>
      </c>
      <c r="E167" s="44">
        <v>0</v>
      </c>
      <c r="F167" s="168">
        <v>6</v>
      </c>
      <c r="G167" s="44">
        <v>8</v>
      </c>
      <c r="H167" s="168">
        <v>0</v>
      </c>
      <c r="I167" s="44">
        <v>0</v>
      </c>
      <c r="J167" s="168">
        <v>0</v>
      </c>
      <c r="K167" s="44">
        <v>0</v>
      </c>
      <c r="L167" s="44">
        <v>1</v>
      </c>
      <c r="M167" s="64">
        <v>0.53846153846153844</v>
      </c>
    </row>
    <row r="168" spans="1:13" x14ac:dyDescent="0.15">
      <c r="A168" s="44" t="s">
        <v>197</v>
      </c>
      <c r="B168" s="168">
        <v>0</v>
      </c>
      <c r="C168" s="44">
        <v>0</v>
      </c>
      <c r="D168" s="168">
        <v>0</v>
      </c>
      <c r="E168" s="44">
        <v>0</v>
      </c>
      <c r="F168" s="168">
        <v>1</v>
      </c>
      <c r="G168" s="44">
        <v>1</v>
      </c>
      <c r="H168" s="168">
        <v>0</v>
      </c>
      <c r="I168" s="44">
        <v>0</v>
      </c>
      <c r="J168" s="168">
        <v>0</v>
      </c>
      <c r="K168" s="44">
        <v>0</v>
      </c>
      <c r="L168" s="44">
        <v>1</v>
      </c>
      <c r="M168" s="64">
        <v>0</v>
      </c>
    </row>
    <row r="169" spans="1:13" ht="33" customHeight="1" x14ac:dyDescent="0.15">
      <c r="A169" s="205" t="s">
        <v>1794</v>
      </c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</row>
  </sheetData>
  <mergeCells count="1">
    <mergeCell ref="A169:M169"/>
  </mergeCells>
  <conditionalFormatting sqref="A169:A1048576 A2:A165">
    <cfRule type="duplicateValues" dxfId="3" priority="26"/>
  </conditionalFormatting>
  <conditionalFormatting sqref="A169 A104:A165">
    <cfRule type="duplicateValues" dxfId="2" priority="28"/>
  </conditionalFormatting>
  <conditionalFormatting sqref="A1:A1048576">
    <cfRule type="duplicateValues" dxfId="1" priority="31"/>
  </conditionalFormatting>
  <conditionalFormatting sqref="A1">
    <cfRule type="duplicateValues" dxfId="0" priority="6"/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94"/>
  <sheetViews>
    <sheetView zoomScaleNormal="100" workbookViewId="0">
      <pane ySplit="2" topLeftCell="A3" activePane="bottomLeft" state="frozen"/>
      <selection pane="bottomLeft"/>
    </sheetView>
  </sheetViews>
  <sheetFormatPr baseColWidth="10" defaultColWidth="9.1640625" defaultRowHeight="14" x14ac:dyDescent="0.15"/>
  <cols>
    <col min="1" max="1" width="14.1640625" style="54" customWidth="1"/>
    <col min="2" max="2" width="12" style="54" customWidth="1"/>
    <col min="3" max="3" width="26.5" style="6" customWidth="1"/>
    <col min="4" max="4" width="16.83203125" style="6" bestFit="1" customWidth="1"/>
    <col min="5" max="5" width="10.5" style="54" customWidth="1"/>
    <col min="6" max="6" width="9.6640625" style="6" customWidth="1"/>
    <col min="7" max="7" width="10" style="6" customWidth="1"/>
    <col min="8" max="15" width="3.5" style="6" customWidth="1"/>
    <col min="16" max="16" width="31.5" style="6" customWidth="1"/>
    <col min="17" max="17" width="27.83203125" style="6" customWidth="1"/>
    <col min="18" max="16384" width="9.1640625" style="6"/>
  </cols>
  <sheetData>
    <row r="1" spans="1:19" ht="15" thickBot="1" x14ac:dyDescent="0.2">
      <c r="A1" s="68" t="s">
        <v>1502</v>
      </c>
    </row>
    <row r="2" spans="1:19" ht="96.75" customHeight="1" thickBot="1" x14ac:dyDescent="0.2">
      <c r="A2" s="69" t="s">
        <v>1989</v>
      </c>
      <c r="B2" s="70" t="s">
        <v>1990</v>
      </c>
      <c r="C2" s="71" t="s">
        <v>1437</v>
      </c>
      <c r="D2" s="71" t="s">
        <v>1991</v>
      </c>
      <c r="E2" s="70" t="s">
        <v>1336</v>
      </c>
      <c r="F2" s="71" t="s">
        <v>1418</v>
      </c>
      <c r="G2" s="173" t="s">
        <v>1992</v>
      </c>
      <c r="H2" s="178" t="s">
        <v>1388</v>
      </c>
      <c r="I2" s="72" t="s">
        <v>1389</v>
      </c>
      <c r="J2" s="72" t="s">
        <v>1390</v>
      </c>
      <c r="K2" s="72" t="s">
        <v>1391</v>
      </c>
      <c r="L2" s="72" t="s">
        <v>1393</v>
      </c>
      <c r="M2" s="72" t="s">
        <v>1392</v>
      </c>
      <c r="N2" s="72" t="s">
        <v>1435</v>
      </c>
      <c r="O2" s="72" t="s">
        <v>1436</v>
      </c>
      <c r="P2" s="71" t="s">
        <v>1993</v>
      </c>
      <c r="Q2" s="85"/>
    </row>
    <row r="3" spans="1:19" ht="15" x14ac:dyDescent="0.15">
      <c r="A3" s="206" t="s">
        <v>1337</v>
      </c>
      <c r="B3" s="206" t="s">
        <v>1383</v>
      </c>
      <c r="C3" s="209" t="s">
        <v>1454</v>
      </c>
      <c r="D3" s="212" t="s">
        <v>1338</v>
      </c>
      <c r="E3" s="206" t="s">
        <v>45</v>
      </c>
      <c r="F3" s="73" t="s">
        <v>1399</v>
      </c>
      <c r="G3" s="174" t="s">
        <v>1396</v>
      </c>
      <c r="H3" s="179"/>
      <c r="I3" s="75"/>
      <c r="J3" s="75"/>
      <c r="K3" s="75"/>
      <c r="L3" s="75"/>
      <c r="M3" s="75"/>
      <c r="N3" s="75"/>
      <c r="O3" s="75"/>
      <c r="P3" s="74"/>
    </row>
    <row r="4" spans="1:19" ht="15" x14ac:dyDescent="0.15">
      <c r="A4" s="207"/>
      <c r="B4" s="207"/>
      <c r="C4" s="210"/>
      <c r="D4" s="213"/>
      <c r="E4" s="207"/>
      <c r="F4" s="73" t="s">
        <v>1419</v>
      </c>
      <c r="G4" s="174" t="s">
        <v>1401</v>
      </c>
      <c r="H4" s="179"/>
      <c r="I4" s="75"/>
      <c r="J4" s="75"/>
      <c r="K4" s="75"/>
      <c r="L4" s="75" t="s">
        <v>206</v>
      </c>
      <c r="M4" s="75"/>
      <c r="N4" s="75"/>
      <c r="O4" s="75"/>
      <c r="P4" s="74" t="s">
        <v>1394</v>
      </c>
    </row>
    <row r="5" spans="1:19" ht="16" thickBot="1" x14ac:dyDescent="0.2">
      <c r="A5" s="208"/>
      <c r="B5" s="208"/>
      <c r="C5" s="211"/>
      <c r="D5" s="214"/>
      <c r="E5" s="208"/>
      <c r="F5" s="76" t="s">
        <v>1417</v>
      </c>
      <c r="G5" s="175" t="s">
        <v>1410</v>
      </c>
      <c r="H5" s="180"/>
      <c r="I5" s="78"/>
      <c r="J5" s="78"/>
      <c r="K5" s="78"/>
      <c r="L5" s="78"/>
      <c r="M5" s="78"/>
      <c r="N5" s="78"/>
      <c r="O5" s="78"/>
      <c r="P5" s="77" t="s">
        <v>1395</v>
      </c>
    </row>
    <row r="6" spans="1:19" ht="15" x14ac:dyDescent="0.15">
      <c r="A6" s="206">
        <v>757710</v>
      </c>
      <c r="B6" s="206" t="s">
        <v>1385</v>
      </c>
      <c r="C6" s="209" t="s">
        <v>1981</v>
      </c>
      <c r="D6" s="212" t="s">
        <v>1342</v>
      </c>
      <c r="E6" s="206" t="s">
        <v>45</v>
      </c>
      <c r="F6" s="73" t="s">
        <v>1399</v>
      </c>
      <c r="G6" s="174" t="s">
        <v>1396</v>
      </c>
      <c r="H6" s="179"/>
      <c r="I6" s="75"/>
      <c r="J6" s="75"/>
      <c r="K6" s="75"/>
      <c r="L6" s="75"/>
      <c r="M6" s="75"/>
      <c r="N6" s="75"/>
      <c r="O6" s="75"/>
      <c r="P6" s="74"/>
      <c r="R6" s="80"/>
    </row>
    <row r="7" spans="1:19" ht="15" x14ac:dyDescent="0.15">
      <c r="A7" s="207"/>
      <c r="B7" s="207"/>
      <c r="C7" s="210"/>
      <c r="D7" s="213"/>
      <c r="E7" s="207"/>
      <c r="F7" s="73" t="s">
        <v>1419</v>
      </c>
      <c r="G7" s="174" t="s">
        <v>1396</v>
      </c>
      <c r="H7" s="179"/>
      <c r="I7" s="75"/>
      <c r="J7" s="75"/>
      <c r="K7" s="75"/>
      <c r="L7" s="75"/>
      <c r="M7" s="75"/>
      <c r="N7" s="75"/>
      <c r="O7" s="75"/>
      <c r="P7" s="74"/>
      <c r="R7" s="80"/>
    </row>
    <row r="8" spans="1:19" ht="16" thickBot="1" x14ac:dyDescent="0.2">
      <c r="A8" s="208"/>
      <c r="B8" s="208"/>
      <c r="C8" s="211"/>
      <c r="D8" s="214"/>
      <c r="E8" s="208"/>
      <c r="F8" s="76" t="s">
        <v>1417</v>
      </c>
      <c r="G8" s="175" t="s">
        <v>1396</v>
      </c>
      <c r="H8" s="180"/>
      <c r="I8" s="78"/>
      <c r="J8" s="78"/>
      <c r="K8" s="78"/>
      <c r="L8" s="78"/>
      <c r="M8" s="78"/>
      <c r="N8" s="78"/>
      <c r="O8" s="78"/>
      <c r="P8" s="77"/>
    </row>
    <row r="9" spans="1:19" ht="15" x14ac:dyDescent="0.15">
      <c r="A9" s="206" t="s">
        <v>1344</v>
      </c>
      <c r="B9" s="206" t="s">
        <v>1383</v>
      </c>
      <c r="C9" s="209" t="s">
        <v>1982</v>
      </c>
      <c r="D9" s="212" t="s">
        <v>1345</v>
      </c>
      <c r="E9" s="206" t="s">
        <v>45</v>
      </c>
      <c r="F9" s="73" t="s">
        <v>1399</v>
      </c>
      <c r="G9" s="174" t="s">
        <v>1396</v>
      </c>
      <c r="H9" s="179"/>
      <c r="I9" s="75"/>
      <c r="J9" s="75"/>
      <c r="K9" s="75"/>
      <c r="L9" s="75"/>
      <c r="M9" s="75"/>
      <c r="N9" s="75"/>
      <c r="O9" s="75"/>
      <c r="P9" s="74" t="s">
        <v>1346</v>
      </c>
    </row>
    <row r="10" spans="1:19" ht="15" x14ac:dyDescent="0.15">
      <c r="A10" s="207"/>
      <c r="B10" s="207"/>
      <c r="C10" s="210"/>
      <c r="D10" s="213"/>
      <c r="E10" s="207"/>
      <c r="F10" s="73" t="s">
        <v>1419</v>
      </c>
      <c r="G10" s="174" t="s">
        <v>1403</v>
      </c>
      <c r="H10" s="179"/>
      <c r="I10" s="75"/>
      <c r="J10" s="75"/>
      <c r="K10" s="75"/>
      <c r="L10" s="75"/>
      <c r="M10" s="75"/>
      <c r="N10" s="75"/>
      <c r="O10" s="75"/>
      <c r="P10" s="74" t="s">
        <v>1415</v>
      </c>
    </row>
    <row r="11" spans="1:19" ht="16" thickBot="1" x14ac:dyDescent="0.2">
      <c r="A11" s="208"/>
      <c r="B11" s="208"/>
      <c r="C11" s="211"/>
      <c r="D11" s="214"/>
      <c r="E11" s="208"/>
      <c r="F11" s="76" t="s">
        <v>1417</v>
      </c>
      <c r="G11" s="176" t="s">
        <v>1396</v>
      </c>
      <c r="H11" s="180"/>
      <c r="I11" s="78"/>
      <c r="J11" s="78"/>
      <c r="K11" s="78"/>
      <c r="L11" s="78"/>
      <c r="M11" s="78"/>
      <c r="N11" s="78"/>
      <c r="O11" s="78"/>
      <c r="P11" s="77"/>
    </row>
    <row r="12" spans="1:19" ht="15" x14ac:dyDescent="0.15">
      <c r="A12" s="206">
        <v>4182</v>
      </c>
      <c r="B12" s="206" t="s">
        <v>1384</v>
      </c>
      <c r="C12" s="215" t="s">
        <v>1983</v>
      </c>
      <c r="D12" s="206" t="s">
        <v>1414</v>
      </c>
      <c r="E12" s="206" t="s">
        <v>1343</v>
      </c>
      <c r="F12" s="73" t="s">
        <v>1399</v>
      </c>
      <c r="G12" s="174" t="s">
        <v>1396</v>
      </c>
      <c r="H12" s="179"/>
      <c r="I12" s="75"/>
      <c r="J12" s="75" t="s">
        <v>206</v>
      </c>
      <c r="K12" s="75"/>
      <c r="L12" s="75"/>
      <c r="M12" s="75"/>
      <c r="N12" s="75" t="s">
        <v>206</v>
      </c>
      <c r="O12" s="75" t="s">
        <v>206</v>
      </c>
      <c r="P12" s="74" t="s">
        <v>1422</v>
      </c>
      <c r="R12" s="1"/>
      <c r="S12" s="1"/>
    </row>
    <row r="13" spans="1:19" ht="15" customHeight="1" x14ac:dyDescent="0.15">
      <c r="A13" s="207"/>
      <c r="B13" s="207"/>
      <c r="C13" s="216"/>
      <c r="D13" s="207"/>
      <c r="E13" s="207"/>
      <c r="F13" s="73" t="s">
        <v>1419</v>
      </c>
      <c r="G13" s="174" t="s">
        <v>1402</v>
      </c>
      <c r="H13" s="179" t="s">
        <v>206</v>
      </c>
      <c r="I13" s="75"/>
      <c r="J13" s="75"/>
      <c r="K13" s="75"/>
      <c r="L13" s="75"/>
      <c r="M13" s="75"/>
      <c r="N13" s="75"/>
      <c r="O13" s="75"/>
      <c r="P13" s="74"/>
    </row>
    <row r="14" spans="1:19" ht="15.75" customHeight="1" thickBot="1" x14ac:dyDescent="0.2">
      <c r="A14" s="208"/>
      <c r="B14" s="208"/>
      <c r="C14" s="217"/>
      <c r="D14" s="208"/>
      <c r="E14" s="208"/>
      <c r="F14" s="76" t="s">
        <v>1417</v>
      </c>
      <c r="G14" s="176" t="s">
        <v>1400</v>
      </c>
      <c r="H14" s="180"/>
      <c r="I14" s="78" t="s">
        <v>206</v>
      </c>
      <c r="J14" s="78" t="s">
        <v>206</v>
      </c>
      <c r="K14" s="78"/>
      <c r="L14" s="78"/>
      <c r="M14" s="78"/>
      <c r="N14" s="78"/>
      <c r="O14" s="78"/>
      <c r="P14" s="77" t="s">
        <v>1395</v>
      </c>
    </row>
    <row r="15" spans="1:19" ht="15" x14ac:dyDescent="0.15">
      <c r="A15" s="206" t="s">
        <v>1347</v>
      </c>
      <c r="B15" s="206" t="s">
        <v>1386</v>
      </c>
      <c r="C15" s="209" t="s">
        <v>1984</v>
      </c>
      <c r="D15" s="212" t="s">
        <v>1348</v>
      </c>
      <c r="E15" s="206" t="s">
        <v>1349</v>
      </c>
      <c r="F15" s="73" t="s">
        <v>1399</v>
      </c>
      <c r="G15" s="174" t="s">
        <v>1396</v>
      </c>
      <c r="H15" s="179"/>
      <c r="I15" s="75"/>
      <c r="J15" s="75"/>
      <c r="K15" s="75" t="s">
        <v>206</v>
      </c>
      <c r="L15" s="75"/>
      <c r="M15" s="75"/>
      <c r="N15" s="75"/>
      <c r="O15" s="75"/>
      <c r="P15" s="74"/>
    </row>
    <row r="16" spans="1:19" ht="15" x14ac:dyDescent="0.15">
      <c r="A16" s="207"/>
      <c r="B16" s="207"/>
      <c r="C16" s="210"/>
      <c r="D16" s="213"/>
      <c r="E16" s="207"/>
      <c r="F16" s="73" t="s">
        <v>1419</v>
      </c>
      <c r="G16" s="174" t="s">
        <v>1396</v>
      </c>
      <c r="H16" s="179"/>
      <c r="I16" s="75"/>
      <c r="J16" s="75"/>
      <c r="K16" s="75"/>
      <c r="L16" s="75"/>
      <c r="M16" s="75" t="s">
        <v>206</v>
      </c>
      <c r="N16" s="75"/>
      <c r="O16" s="75"/>
      <c r="P16" s="74"/>
    </row>
    <row r="17" spans="1:19" ht="16" thickBot="1" x14ac:dyDescent="0.2">
      <c r="A17" s="208"/>
      <c r="B17" s="208"/>
      <c r="C17" s="211"/>
      <c r="D17" s="214"/>
      <c r="E17" s="208"/>
      <c r="F17" s="76" t="s">
        <v>1417</v>
      </c>
      <c r="G17" s="176" t="s">
        <v>1410</v>
      </c>
      <c r="H17" s="180"/>
      <c r="I17" s="78"/>
      <c r="J17" s="78"/>
      <c r="K17" s="78"/>
      <c r="L17" s="78"/>
      <c r="M17" s="78" t="s">
        <v>206</v>
      </c>
      <c r="N17" s="78" t="s">
        <v>206</v>
      </c>
      <c r="O17" s="78"/>
      <c r="P17" s="77" t="s">
        <v>1431</v>
      </c>
    </row>
    <row r="18" spans="1:19" ht="15" x14ac:dyDescent="0.15">
      <c r="A18" s="206" t="s">
        <v>1339</v>
      </c>
      <c r="B18" s="206" t="s">
        <v>1384</v>
      </c>
      <c r="C18" s="209" t="s">
        <v>1985</v>
      </c>
      <c r="D18" s="212" t="s">
        <v>1340</v>
      </c>
      <c r="E18" s="206" t="s">
        <v>1341</v>
      </c>
      <c r="F18" s="73" t="s">
        <v>1399</v>
      </c>
      <c r="G18" s="174" t="s">
        <v>1397</v>
      </c>
      <c r="H18" s="179"/>
      <c r="I18" s="75"/>
      <c r="J18" s="75"/>
      <c r="K18" s="75"/>
      <c r="L18" s="75"/>
      <c r="M18" s="75" t="s">
        <v>206</v>
      </c>
      <c r="N18" s="75"/>
      <c r="O18" s="75"/>
      <c r="P18" s="74"/>
      <c r="R18" s="1"/>
      <c r="S18" s="1"/>
    </row>
    <row r="19" spans="1:19" ht="15" x14ac:dyDescent="0.15">
      <c r="A19" s="207"/>
      <c r="B19" s="207"/>
      <c r="C19" s="210"/>
      <c r="D19" s="213"/>
      <c r="E19" s="207"/>
      <c r="F19" s="73" t="s">
        <v>1419</v>
      </c>
      <c r="G19" s="174" t="s">
        <v>1402</v>
      </c>
      <c r="H19" s="179"/>
      <c r="I19" s="75"/>
      <c r="J19" s="75"/>
      <c r="K19" s="75"/>
      <c r="L19" s="75" t="s">
        <v>206</v>
      </c>
      <c r="M19" s="75"/>
      <c r="N19" s="75"/>
      <c r="O19" s="75"/>
      <c r="P19" s="74" t="s">
        <v>1413</v>
      </c>
      <c r="R19" s="80"/>
      <c r="S19" s="1"/>
    </row>
    <row r="20" spans="1:19" ht="16" thickBot="1" x14ac:dyDescent="0.2">
      <c r="A20" s="208"/>
      <c r="B20" s="208"/>
      <c r="C20" s="211"/>
      <c r="D20" s="214"/>
      <c r="E20" s="208"/>
      <c r="F20" s="76" t="s">
        <v>1417</v>
      </c>
      <c r="G20" s="176" t="s">
        <v>1396</v>
      </c>
      <c r="H20" s="180"/>
      <c r="I20" s="78" t="s">
        <v>206</v>
      </c>
      <c r="J20" s="78"/>
      <c r="K20" s="78"/>
      <c r="L20" s="78"/>
      <c r="M20" s="78"/>
      <c r="N20" s="78"/>
      <c r="O20" s="78"/>
      <c r="P20" s="77"/>
      <c r="R20" s="80"/>
      <c r="S20" s="1"/>
    </row>
    <row r="21" spans="1:19" ht="15" x14ac:dyDescent="0.15">
      <c r="A21" s="206" t="s">
        <v>1350</v>
      </c>
      <c r="B21" s="206" t="s">
        <v>1387</v>
      </c>
      <c r="C21" s="209" t="s">
        <v>1986</v>
      </c>
      <c r="D21" s="212" t="s">
        <v>1351</v>
      </c>
      <c r="E21" s="206" t="s">
        <v>45</v>
      </c>
      <c r="F21" s="73" t="s">
        <v>1399</v>
      </c>
      <c r="G21" s="174" t="s">
        <v>1768</v>
      </c>
      <c r="H21" s="179"/>
      <c r="I21" s="75"/>
      <c r="J21" s="75"/>
      <c r="K21" s="75"/>
      <c r="L21" s="75"/>
      <c r="M21" s="75"/>
      <c r="N21" s="75" t="s">
        <v>206</v>
      </c>
      <c r="O21" s="75"/>
      <c r="P21" s="74"/>
    </row>
    <row r="22" spans="1:19" ht="15" x14ac:dyDescent="0.15">
      <c r="A22" s="207"/>
      <c r="B22" s="207"/>
      <c r="C22" s="210"/>
      <c r="D22" s="213"/>
      <c r="E22" s="207"/>
      <c r="F22" s="73" t="s">
        <v>1419</v>
      </c>
      <c r="G22" s="174" t="s">
        <v>1769</v>
      </c>
      <c r="H22" s="179"/>
      <c r="I22" s="75"/>
      <c r="J22" s="75"/>
      <c r="K22" s="75"/>
      <c r="L22" s="75"/>
      <c r="M22" s="75"/>
      <c r="N22" s="75"/>
      <c r="O22" s="75"/>
      <c r="P22" s="74"/>
    </row>
    <row r="23" spans="1:19" ht="16" thickBot="1" x14ac:dyDescent="0.2">
      <c r="A23" s="208"/>
      <c r="B23" s="208"/>
      <c r="C23" s="211"/>
      <c r="D23" s="214"/>
      <c r="E23" s="208"/>
      <c r="F23" s="76" t="s">
        <v>1417</v>
      </c>
      <c r="G23" s="176" t="s">
        <v>1396</v>
      </c>
      <c r="H23" s="180"/>
      <c r="I23" s="78"/>
      <c r="J23" s="78"/>
      <c r="K23" s="78"/>
      <c r="L23" s="78"/>
      <c r="M23" s="78"/>
      <c r="N23" s="78"/>
      <c r="O23" s="78"/>
      <c r="P23" s="77"/>
    </row>
    <row r="24" spans="1:19" ht="15" x14ac:dyDescent="0.15">
      <c r="A24" s="206" t="s">
        <v>1352</v>
      </c>
      <c r="B24" s="206" t="s">
        <v>1387</v>
      </c>
      <c r="C24" s="209" t="s">
        <v>1455</v>
      </c>
      <c r="D24" s="212" t="s">
        <v>1353</v>
      </c>
      <c r="E24" s="206" t="s">
        <v>45</v>
      </c>
      <c r="F24" s="73" t="s">
        <v>1399</v>
      </c>
      <c r="G24" s="174" t="s">
        <v>1396</v>
      </c>
      <c r="H24" s="179"/>
      <c r="I24" s="75"/>
      <c r="J24" s="75"/>
      <c r="K24" s="75"/>
      <c r="L24" s="75"/>
      <c r="M24" s="75"/>
      <c r="N24" s="75"/>
      <c r="O24" s="75"/>
      <c r="P24" s="74"/>
    </row>
    <row r="25" spans="1:19" ht="15" x14ac:dyDescent="0.15">
      <c r="A25" s="207"/>
      <c r="B25" s="207"/>
      <c r="C25" s="210"/>
      <c r="D25" s="213"/>
      <c r="E25" s="207"/>
      <c r="F25" s="73" t="s">
        <v>1419</v>
      </c>
      <c r="G25" s="174" t="s">
        <v>1404</v>
      </c>
      <c r="H25" s="179"/>
      <c r="I25" s="75"/>
      <c r="J25" s="75"/>
      <c r="K25" s="75"/>
      <c r="L25" s="75"/>
      <c r="M25" s="75"/>
      <c r="N25" s="75"/>
      <c r="O25" s="75"/>
      <c r="P25" s="74"/>
    </row>
    <row r="26" spans="1:19" ht="16" thickBot="1" x14ac:dyDescent="0.2">
      <c r="A26" s="208"/>
      <c r="B26" s="208"/>
      <c r="C26" s="211"/>
      <c r="D26" s="214"/>
      <c r="E26" s="208"/>
      <c r="F26" s="76" t="s">
        <v>1417</v>
      </c>
      <c r="G26" s="175" t="s">
        <v>1396</v>
      </c>
      <c r="H26" s="180"/>
      <c r="I26" s="78"/>
      <c r="J26" s="78"/>
      <c r="K26" s="78"/>
      <c r="L26" s="78"/>
      <c r="M26" s="78"/>
      <c r="N26" s="78"/>
      <c r="O26" s="78"/>
      <c r="P26" s="77"/>
    </row>
    <row r="27" spans="1:19" ht="15" x14ac:dyDescent="0.15">
      <c r="A27" s="206">
        <v>737662</v>
      </c>
      <c r="B27" s="206" t="s">
        <v>1385</v>
      </c>
      <c r="C27" s="209" t="s">
        <v>1456</v>
      </c>
      <c r="D27" s="212" t="s">
        <v>1354</v>
      </c>
      <c r="E27" s="206" t="s">
        <v>45</v>
      </c>
      <c r="F27" s="73" t="s">
        <v>1399</v>
      </c>
      <c r="G27" s="174" t="s">
        <v>1396</v>
      </c>
      <c r="H27" s="179"/>
      <c r="I27" s="75"/>
      <c r="J27" s="75"/>
      <c r="K27" s="75"/>
      <c r="L27" s="75"/>
      <c r="M27" s="75"/>
      <c r="N27" s="75"/>
      <c r="O27" s="75"/>
      <c r="P27" s="74"/>
    </row>
    <row r="28" spans="1:19" ht="15" x14ac:dyDescent="0.15">
      <c r="A28" s="207"/>
      <c r="B28" s="207"/>
      <c r="C28" s="210"/>
      <c r="D28" s="213"/>
      <c r="E28" s="207"/>
      <c r="F28" s="73" t="s">
        <v>1419</v>
      </c>
      <c r="G28" s="174" t="s">
        <v>1396</v>
      </c>
      <c r="H28" s="179" t="s">
        <v>206</v>
      </c>
      <c r="I28" s="75"/>
      <c r="J28" s="75"/>
      <c r="K28" s="75"/>
      <c r="L28" s="75"/>
      <c r="M28" s="75"/>
      <c r="N28" s="75"/>
      <c r="O28" s="75"/>
      <c r="P28" s="74"/>
    </row>
    <row r="29" spans="1:19" ht="16" thickBot="1" x14ac:dyDescent="0.2">
      <c r="A29" s="208"/>
      <c r="B29" s="208"/>
      <c r="C29" s="211"/>
      <c r="D29" s="214"/>
      <c r="E29" s="208"/>
      <c r="F29" s="76" t="s">
        <v>1417</v>
      </c>
      <c r="G29" s="175" t="s">
        <v>1402</v>
      </c>
      <c r="H29" s="180"/>
      <c r="I29" s="78"/>
      <c r="J29" s="78" t="s">
        <v>206</v>
      </c>
      <c r="K29" s="78" t="s">
        <v>206</v>
      </c>
      <c r="L29" s="78"/>
      <c r="M29" s="78" t="s">
        <v>1416</v>
      </c>
      <c r="N29" s="78" t="s">
        <v>206</v>
      </c>
      <c r="O29" s="78"/>
      <c r="P29" s="77" t="s">
        <v>1432</v>
      </c>
    </row>
    <row r="30" spans="1:19" ht="15" x14ac:dyDescent="0.15">
      <c r="A30" s="206" t="s">
        <v>1355</v>
      </c>
      <c r="B30" s="206" t="s">
        <v>1385</v>
      </c>
      <c r="C30" s="209" t="s">
        <v>1457</v>
      </c>
      <c r="D30" s="212" t="s">
        <v>1356</v>
      </c>
      <c r="E30" s="206" t="s">
        <v>45</v>
      </c>
      <c r="F30" s="73" t="s">
        <v>1399</v>
      </c>
      <c r="G30" s="174" t="s">
        <v>1396</v>
      </c>
      <c r="H30" s="179"/>
      <c r="I30" s="75"/>
      <c r="J30" s="75"/>
      <c r="K30" s="75"/>
      <c r="L30" s="75"/>
      <c r="M30" s="75"/>
      <c r="N30" s="75"/>
      <c r="O30" s="75"/>
      <c r="P30" s="74"/>
    </row>
    <row r="31" spans="1:19" ht="15" x14ac:dyDescent="0.15">
      <c r="A31" s="207"/>
      <c r="B31" s="207"/>
      <c r="C31" s="210"/>
      <c r="D31" s="213"/>
      <c r="E31" s="207"/>
      <c r="F31" s="73" t="s">
        <v>1419</v>
      </c>
      <c r="G31" s="174" t="s">
        <v>1396</v>
      </c>
      <c r="H31" s="179"/>
      <c r="I31" s="75"/>
      <c r="J31" s="75"/>
      <c r="K31" s="75"/>
      <c r="L31" s="75"/>
      <c r="M31" s="75"/>
      <c r="N31" s="75"/>
      <c r="O31" s="75"/>
      <c r="P31" s="74"/>
    </row>
    <row r="32" spans="1:19" ht="16" thickBot="1" x14ac:dyDescent="0.2">
      <c r="A32" s="208"/>
      <c r="B32" s="208"/>
      <c r="C32" s="211"/>
      <c r="D32" s="214"/>
      <c r="E32" s="208"/>
      <c r="F32" s="76" t="s">
        <v>1417</v>
      </c>
      <c r="G32" s="176" t="s">
        <v>1396</v>
      </c>
      <c r="H32" s="180"/>
      <c r="I32" s="78"/>
      <c r="J32" s="78"/>
      <c r="K32" s="78"/>
      <c r="L32" s="78"/>
      <c r="M32" s="78"/>
      <c r="N32" s="78"/>
      <c r="O32" s="78"/>
      <c r="P32" s="77"/>
    </row>
    <row r="33" spans="1:16" ht="15.75" customHeight="1" x14ac:dyDescent="0.15">
      <c r="A33" s="206" t="s">
        <v>1765</v>
      </c>
      <c r="B33" s="206" t="s">
        <v>1766</v>
      </c>
      <c r="C33" s="209" t="s">
        <v>1764</v>
      </c>
      <c r="D33" s="169" t="s">
        <v>1767</v>
      </c>
      <c r="E33" s="191" t="s">
        <v>45</v>
      </c>
      <c r="F33" s="81" t="s">
        <v>1399</v>
      </c>
      <c r="G33" s="172" t="s">
        <v>1396</v>
      </c>
      <c r="H33" s="181"/>
      <c r="I33" s="83"/>
      <c r="J33" s="83"/>
      <c r="K33" s="83"/>
      <c r="L33" s="83"/>
      <c r="M33" s="83"/>
      <c r="N33" s="83"/>
      <c r="O33" s="83"/>
      <c r="P33" s="82"/>
    </row>
    <row r="34" spans="1:16" ht="15" x14ac:dyDescent="0.15">
      <c r="A34" s="207"/>
      <c r="B34" s="207"/>
      <c r="C34" s="210"/>
      <c r="D34" s="170"/>
      <c r="E34" s="192"/>
      <c r="F34" s="73" t="s">
        <v>1419</v>
      </c>
      <c r="G34" s="4" t="s">
        <v>1403</v>
      </c>
      <c r="H34" s="179"/>
      <c r="I34" s="75"/>
      <c r="J34" s="75"/>
      <c r="K34" s="75"/>
      <c r="L34" s="75"/>
      <c r="M34" s="75"/>
      <c r="N34" s="75"/>
      <c r="O34" s="75"/>
      <c r="P34" s="74"/>
    </row>
    <row r="35" spans="1:16" ht="16" thickBot="1" x14ac:dyDescent="0.2">
      <c r="A35" s="208"/>
      <c r="B35" s="208"/>
      <c r="C35" s="211"/>
      <c r="D35" s="171"/>
      <c r="E35" s="193"/>
      <c r="F35" s="76" t="s">
        <v>1417</v>
      </c>
      <c r="G35" s="176" t="s">
        <v>1396</v>
      </c>
      <c r="H35" s="180"/>
      <c r="I35" s="78"/>
      <c r="J35" s="78"/>
      <c r="K35" s="78"/>
      <c r="L35" s="78"/>
      <c r="M35" s="78"/>
      <c r="N35" s="78"/>
      <c r="O35" s="78"/>
      <c r="P35" s="77"/>
    </row>
    <row r="36" spans="1:16" ht="15" x14ac:dyDescent="0.15">
      <c r="A36" s="207" t="s">
        <v>1357</v>
      </c>
      <c r="B36" s="207" t="s">
        <v>1766</v>
      </c>
      <c r="C36" s="210" t="s">
        <v>1458</v>
      </c>
      <c r="D36" s="213" t="s">
        <v>1358</v>
      </c>
      <c r="E36" s="207" t="s">
        <v>45</v>
      </c>
      <c r="F36" s="73" t="s">
        <v>1399</v>
      </c>
      <c r="G36" s="174" t="s">
        <v>1396</v>
      </c>
      <c r="H36" s="179"/>
      <c r="I36" s="75"/>
      <c r="J36" s="75"/>
      <c r="K36" s="75"/>
      <c r="L36" s="75"/>
      <c r="M36" s="75"/>
      <c r="N36" s="75"/>
      <c r="O36" s="75"/>
      <c r="P36" s="74"/>
    </row>
    <row r="37" spans="1:16" ht="15" x14ac:dyDescent="0.15">
      <c r="A37" s="207"/>
      <c r="B37" s="207"/>
      <c r="C37" s="210"/>
      <c r="D37" s="213"/>
      <c r="E37" s="207"/>
      <c r="F37" s="73" t="s">
        <v>1419</v>
      </c>
      <c r="G37" s="174" t="s">
        <v>1406</v>
      </c>
      <c r="H37" s="179"/>
      <c r="I37" s="75"/>
      <c r="J37" s="75" t="s">
        <v>206</v>
      </c>
      <c r="K37" s="75"/>
      <c r="L37" s="75"/>
      <c r="M37" s="75" t="s">
        <v>1416</v>
      </c>
      <c r="N37" s="75"/>
      <c r="O37" s="75"/>
      <c r="P37" s="74"/>
    </row>
    <row r="38" spans="1:16" ht="16" thickBot="1" x14ac:dyDescent="0.2">
      <c r="A38" s="208"/>
      <c r="B38" s="208"/>
      <c r="C38" s="211"/>
      <c r="D38" s="214"/>
      <c r="E38" s="208"/>
      <c r="F38" s="76" t="s">
        <v>1417</v>
      </c>
      <c r="G38" s="175" t="s">
        <v>45</v>
      </c>
      <c r="H38" s="180"/>
      <c r="I38" s="78"/>
      <c r="J38" s="78"/>
      <c r="K38" s="78"/>
      <c r="L38" s="78"/>
      <c r="M38" s="78"/>
      <c r="N38" s="78"/>
      <c r="O38" s="78"/>
      <c r="P38" s="77"/>
    </row>
    <row r="39" spans="1:16" ht="15" x14ac:dyDescent="0.15">
      <c r="A39" s="206">
        <v>478874</v>
      </c>
      <c r="B39" s="206" t="s">
        <v>1385</v>
      </c>
      <c r="C39" s="209" t="s">
        <v>1459</v>
      </c>
      <c r="D39" s="212" t="s">
        <v>1359</v>
      </c>
      <c r="E39" s="206" t="s">
        <v>45</v>
      </c>
      <c r="F39" s="73" t="s">
        <v>1399</v>
      </c>
      <c r="G39" s="174" t="s">
        <v>1396</v>
      </c>
      <c r="H39" s="179"/>
      <c r="I39" s="75"/>
      <c r="J39" s="75"/>
      <c r="K39" s="75"/>
      <c r="L39" s="75"/>
      <c r="M39" s="75"/>
      <c r="N39" s="75"/>
      <c r="O39" s="75"/>
      <c r="P39" s="74"/>
    </row>
    <row r="40" spans="1:16" ht="15" x14ac:dyDescent="0.15">
      <c r="A40" s="207"/>
      <c r="B40" s="207"/>
      <c r="C40" s="210"/>
      <c r="D40" s="213"/>
      <c r="E40" s="207"/>
      <c r="F40" s="73" t="s">
        <v>1419</v>
      </c>
      <c r="G40" s="174" t="s">
        <v>1400</v>
      </c>
      <c r="H40" s="179"/>
      <c r="I40" s="75"/>
      <c r="J40" s="75"/>
      <c r="K40" s="75"/>
      <c r="L40" s="75"/>
      <c r="M40" s="75"/>
      <c r="N40" s="75"/>
      <c r="O40" s="75"/>
      <c r="P40" s="74"/>
    </row>
    <row r="41" spans="1:16" ht="16" thickBot="1" x14ac:dyDescent="0.2">
      <c r="A41" s="208"/>
      <c r="B41" s="208"/>
      <c r="C41" s="211"/>
      <c r="D41" s="214"/>
      <c r="E41" s="208"/>
      <c r="F41" s="76" t="s">
        <v>1417</v>
      </c>
      <c r="G41" s="175" t="s">
        <v>1396</v>
      </c>
      <c r="H41" s="180"/>
      <c r="I41" s="78"/>
      <c r="J41" s="78"/>
      <c r="K41" s="78"/>
      <c r="L41" s="78"/>
      <c r="M41" s="78"/>
      <c r="N41" s="78"/>
      <c r="O41" s="78"/>
      <c r="P41" s="77" t="s">
        <v>1395</v>
      </c>
    </row>
    <row r="42" spans="1:16" ht="15" x14ac:dyDescent="0.15">
      <c r="A42" s="206" t="s">
        <v>1360</v>
      </c>
      <c r="B42" s="206" t="s">
        <v>1383</v>
      </c>
      <c r="C42" s="209" t="s">
        <v>1460</v>
      </c>
      <c r="D42" s="212" t="s">
        <v>1361</v>
      </c>
      <c r="E42" s="206" t="s">
        <v>45</v>
      </c>
      <c r="F42" s="73" t="s">
        <v>1399</v>
      </c>
      <c r="G42" s="174" t="s">
        <v>1396</v>
      </c>
      <c r="H42" s="179"/>
      <c r="I42" s="75"/>
      <c r="J42" s="75"/>
      <c r="K42" s="75"/>
      <c r="L42" s="75"/>
      <c r="M42" s="75"/>
      <c r="N42" s="75"/>
      <c r="O42" s="75"/>
      <c r="P42" s="74"/>
    </row>
    <row r="43" spans="1:16" ht="15" x14ac:dyDescent="0.15">
      <c r="A43" s="207"/>
      <c r="B43" s="207"/>
      <c r="C43" s="210"/>
      <c r="D43" s="213"/>
      <c r="E43" s="207"/>
      <c r="F43" s="73" t="s">
        <v>1419</v>
      </c>
      <c r="G43" s="174" t="s">
        <v>1770</v>
      </c>
      <c r="H43" s="179"/>
      <c r="I43" s="75"/>
      <c r="J43" s="75"/>
      <c r="K43" s="75"/>
      <c r="L43" s="75"/>
      <c r="M43" s="75"/>
      <c r="N43" s="75"/>
      <c r="O43" s="75"/>
      <c r="P43" s="74" t="s">
        <v>1421</v>
      </c>
    </row>
    <row r="44" spans="1:16" ht="16" thickBot="1" x14ac:dyDescent="0.2">
      <c r="A44" s="208"/>
      <c r="B44" s="208"/>
      <c r="C44" s="211"/>
      <c r="D44" s="214"/>
      <c r="E44" s="208"/>
      <c r="F44" s="76" t="s">
        <v>1417</v>
      </c>
      <c r="G44" s="175" t="s">
        <v>1402</v>
      </c>
      <c r="H44" s="180"/>
      <c r="I44" s="78"/>
      <c r="J44" s="78" t="s">
        <v>206</v>
      </c>
      <c r="K44" s="78"/>
      <c r="L44" s="78"/>
      <c r="M44" s="78"/>
      <c r="N44" s="78"/>
      <c r="O44" s="78"/>
      <c r="P44" s="77" t="s">
        <v>1422</v>
      </c>
    </row>
    <row r="45" spans="1:16" ht="15" x14ac:dyDescent="0.15">
      <c r="A45" s="206">
        <v>521736</v>
      </c>
      <c r="B45" s="206" t="s">
        <v>1771</v>
      </c>
      <c r="C45" s="209" t="s">
        <v>1460</v>
      </c>
      <c r="D45" s="212" t="s">
        <v>1362</v>
      </c>
      <c r="E45" s="206" t="s">
        <v>45</v>
      </c>
      <c r="F45" s="81" t="s">
        <v>1399</v>
      </c>
      <c r="G45" s="177" t="s">
        <v>1396</v>
      </c>
      <c r="H45" s="181"/>
      <c r="I45" s="83"/>
      <c r="J45" s="83"/>
      <c r="K45" s="83"/>
      <c r="L45" s="83"/>
      <c r="M45" s="83"/>
      <c r="N45" s="83"/>
      <c r="O45" s="83"/>
      <c r="P45" s="82" t="s">
        <v>1363</v>
      </c>
    </row>
    <row r="46" spans="1:16" ht="15" x14ac:dyDescent="0.15">
      <c r="A46" s="207"/>
      <c r="B46" s="207"/>
      <c r="C46" s="210"/>
      <c r="D46" s="213"/>
      <c r="E46" s="207"/>
      <c r="F46" s="73" t="s">
        <v>1419</v>
      </c>
      <c r="G46" s="174" t="s">
        <v>1400</v>
      </c>
      <c r="H46" s="179"/>
      <c r="I46" s="75"/>
      <c r="J46" s="75"/>
      <c r="K46" s="75"/>
      <c r="L46" s="75"/>
      <c r="M46" s="75"/>
      <c r="N46" s="75"/>
      <c r="O46" s="75"/>
      <c r="P46" s="74" t="s">
        <v>1423</v>
      </c>
    </row>
    <row r="47" spans="1:16" ht="16" thickBot="1" x14ac:dyDescent="0.2">
      <c r="A47" s="208"/>
      <c r="B47" s="208"/>
      <c r="C47" s="211"/>
      <c r="D47" s="214"/>
      <c r="E47" s="208"/>
      <c r="F47" s="76" t="s">
        <v>1417</v>
      </c>
      <c r="G47" s="176" t="s">
        <v>1402</v>
      </c>
      <c r="H47" s="180"/>
      <c r="I47" s="78"/>
      <c r="J47" s="78"/>
      <c r="K47" s="78"/>
      <c r="L47" s="78"/>
      <c r="M47" s="78"/>
      <c r="N47" s="78"/>
      <c r="O47" s="78"/>
      <c r="P47" s="77" t="s">
        <v>1424</v>
      </c>
    </row>
    <row r="48" spans="1:16" ht="15" x14ac:dyDescent="0.15">
      <c r="A48" s="207">
        <v>5890</v>
      </c>
      <c r="B48" s="206" t="s">
        <v>1385</v>
      </c>
      <c r="C48" s="210" t="s">
        <v>1461</v>
      </c>
      <c r="D48" s="213" t="s">
        <v>1364</v>
      </c>
      <c r="E48" s="207" t="s">
        <v>45</v>
      </c>
      <c r="F48" s="73" t="s">
        <v>1399</v>
      </c>
      <c r="G48" s="174" t="s">
        <v>1425</v>
      </c>
      <c r="H48" s="179"/>
      <c r="I48" s="75"/>
      <c r="J48" s="75"/>
      <c r="K48" s="75"/>
      <c r="L48" s="75"/>
      <c r="M48" s="75"/>
      <c r="N48" s="75"/>
      <c r="O48" s="75"/>
      <c r="P48" s="74"/>
    </row>
    <row r="49" spans="1:16" ht="15" x14ac:dyDescent="0.15">
      <c r="A49" s="207"/>
      <c r="B49" s="207"/>
      <c r="C49" s="210"/>
      <c r="D49" s="213"/>
      <c r="E49" s="207"/>
      <c r="F49" s="73" t="s">
        <v>1419</v>
      </c>
      <c r="G49" s="174" t="s">
        <v>1396</v>
      </c>
      <c r="H49" s="179"/>
      <c r="I49" s="75"/>
      <c r="J49" s="75"/>
      <c r="K49" s="75"/>
      <c r="L49" s="75"/>
      <c r="M49" s="75"/>
      <c r="N49" s="75"/>
      <c r="O49" s="75"/>
      <c r="P49" s="74"/>
    </row>
    <row r="50" spans="1:16" ht="16" thickBot="1" x14ac:dyDescent="0.2">
      <c r="A50" s="208"/>
      <c r="B50" s="208"/>
      <c r="C50" s="211"/>
      <c r="D50" s="214"/>
      <c r="E50" s="208"/>
      <c r="F50" s="76" t="s">
        <v>1417</v>
      </c>
      <c r="G50" s="175" t="s">
        <v>1396</v>
      </c>
      <c r="H50" s="180"/>
      <c r="I50" s="78"/>
      <c r="J50" s="78"/>
      <c r="K50" s="78"/>
      <c r="L50" s="78"/>
      <c r="M50" s="78"/>
      <c r="N50" s="78"/>
      <c r="O50" s="78"/>
      <c r="P50" s="79"/>
    </row>
    <row r="51" spans="1:16" ht="15" x14ac:dyDescent="0.15">
      <c r="A51" s="206">
        <v>6032</v>
      </c>
      <c r="B51" s="206" t="s">
        <v>1383</v>
      </c>
      <c r="C51" s="209" t="s">
        <v>1462</v>
      </c>
      <c r="D51" s="212" t="s">
        <v>1365</v>
      </c>
      <c r="E51" s="206" t="s">
        <v>45</v>
      </c>
      <c r="F51" s="73" t="s">
        <v>1399</v>
      </c>
      <c r="G51" s="174" t="s">
        <v>1396</v>
      </c>
      <c r="H51" s="179"/>
      <c r="I51" s="75"/>
      <c r="J51" s="75"/>
      <c r="K51" s="75"/>
      <c r="L51" s="75"/>
      <c r="M51" s="75"/>
      <c r="N51" s="75"/>
      <c r="O51" s="75"/>
      <c r="P51" s="74"/>
    </row>
    <row r="52" spans="1:16" ht="15" x14ac:dyDescent="0.15">
      <c r="A52" s="207"/>
      <c r="B52" s="207"/>
      <c r="C52" s="210"/>
      <c r="D52" s="213"/>
      <c r="E52" s="207"/>
      <c r="F52" s="73" t="s">
        <v>1419</v>
      </c>
      <c r="G52" s="174" t="s">
        <v>1408</v>
      </c>
      <c r="H52" s="179"/>
      <c r="I52" s="75"/>
      <c r="J52" s="75" t="s">
        <v>206</v>
      </c>
      <c r="K52" s="75"/>
      <c r="L52" s="75"/>
      <c r="M52" s="75"/>
      <c r="N52" s="75"/>
      <c r="O52" s="75"/>
      <c r="P52" s="74" t="s">
        <v>1395</v>
      </c>
    </row>
    <row r="53" spans="1:16" ht="16" thickBot="1" x14ac:dyDescent="0.2">
      <c r="A53" s="208"/>
      <c r="B53" s="208"/>
      <c r="C53" s="211"/>
      <c r="D53" s="214"/>
      <c r="E53" s="208"/>
      <c r="F53" s="76" t="s">
        <v>1417</v>
      </c>
      <c r="G53" s="175" t="s">
        <v>1396</v>
      </c>
      <c r="H53" s="180"/>
      <c r="I53" s="78"/>
      <c r="J53" s="78"/>
      <c r="K53" s="78" t="s">
        <v>206</v>
      </c>
      <c r="L53" s="78"/>
      <c r="M53" s="78" t="s">
        <v>1426</v>
      </c>
      <c r="N53" s="78" t="s">
        <v>206</v>
      </c>
      <c r="O53" s="78"/>
      <c r="P53" s="77" t="s">
        <v>1433</v>
      </c>
    </row>
    <row r="54" spans="1:16" ht="15" x14ac:dyDescent="0.15">
      <c r="A54" s="206" t="s">
        <v>1366</v>
      </c>
      <c r="B54" s="206" t="s">
        <v>1387</v>
      </c>
      <c r="C54" s="209" t="s">
        <v>1462</v>
      </c>
      <c r="D54" s="212" t="s">
        <v>1367</v>
      </c>
      <c r="E54" s="206" t="s">
        <v>45</v>
      </c>
      <c r="F54" s="73" t="s">
        <v>1399</v>
      </c>
      <c r="G54" s="174" t="s">
        <v>1396</v>
      </c>
      <c r="H54" s="179"/>
      <c r="I54" s="75"/>
      <c r="J54" s="75"/>
      <c r="K54" s="75"/>
      <c r="L54" s="75"/>
      <c r="M54" s="75"/>
      <c r="N54" s="75"/>
      <c r="O54" s="75"/>
      <c r="P54" s="74"/>
    </row>
    <row r="55" spans="1:16" ht="15" x14ac:dyDescent="0.15">
      <c r="A55" s="207"/>
      <c r="B55" s="207"/>
      <c r="C55" s="210"/>
      <c r="D55" s="213"/>
      <c r="E55" s="207"/>
      <c r="F55" s="73" t="s">
        <v>1419</v>
      </c>
      <c r="G55" s="174" t="s">
        <v>1407</v>
      </c>
      <c r="H55" s="179"/>
      <c r="I55" s="75"/>
      <c r="J55" s="75" t="s">
        <v>1426</v>
      </c>
      <c r="K55" s="75"/>
      <c r="L55" s="75"/>
      <c r="M55" s="75" t="s">
        <v>1416</v>
      </c>
      <c r="N55" s="75"/>
      <c r="O55" s="75"/>
      <c r="P55" s="74"/>
    </row>
    <row r="56" spans="1:16" ht="16" thickBot="1" x14ac:dyDescent="0.2">
      <c r="A56" s="208"/>
      <c r="B56" s="208"/>
      <c r="C56" s="211"/>
      <c r="D56" s="214"/>
      <c r="E56" s="208"/>
      <c r="F56" s="76" t="s">
        <v>1417</v>
      </c>
      <c r="G56" s="175" t="s">
        <v>45</v>
      </c>
      <c r="H56" s="180"/>
      <c r="I56" s="78"/>
      <c r="J56" s="78"/>
      <c r="K56" s="78"/>
      <c r="L56" s="78"/>
      <c r="M56" s="78"/>
      <c r="N56" s="78"/>
      <c r="O56" s="78"/>
      <c r="P56" s="77"/>
    </row>
    <row r="57" spans="1:16" ht="15" customHeight="1" x14ac:dyDescent="0.15">
      <c r="A57" s="206" t="s">
        <v>1268</v>
      </c>
      <c r="B57" s="206" t="s">
        <v>1384</v>
      </c>
      <c r="C57" s="215" t="s">
        <v>1474</v>
      </c>
      <c r="D57" s="206" t="s">
        <v>1476</v>
      </c>
      <c r="E57" s="206" t="s">
        <v>1477</v>
      </c>
      <c r="F57" s="73" t="s">
        <v>1399</v>
      </c>
      <c r="G57" s="177" t="s">
        <v>1396</v>
      </c>
      <c r="H57" s="181"/>
      <c r="I57" s="83" t="s">
        <v>206</v>
      </c>
      <c r="J57" s="83"/>
      <c r="K57" s="83"/>
      <c r="L57" s="83"/>
      <c r="M57" s="83"/>
      <c r="N57" s="83"/>
      <c r="O57" s="83"/>
      <c r="P57" s="82" t="s">
        <v>1478</v>
      </c>
    </row>
    <row r="58" spans="1:16" ht="15" customHeight="1" x14ac:dyDescent="0.15">
      <c r="A58" s="207"/>
      <c r="B58" s="207"/>
      <c r="C58" s="216"/>
      <c r="D58" s="207"/>
      <c r="E58" s="207"/>
      <c r="F58" s="73" t="s">
        <v>1419</v>
      </c>
      <c r="G58" s="174" t="s">
        <v>1396</v>
      </c>
      <c r="H58" s="179"/>
      <c r="I58" s="75"/>
      <c r="J58" s="75"/>
      <c r="K58" s="75"/>
      <c r="L58" s="75"/>
      <c r="M58" s="75"/>
      <c r="N58" s="75"/>
      <c r="O58" s="75"/>
      <c r="P58" s="74" t="s">
        <v>1479</v>
      </c>
    </row>
    <row r="59" spans="1:16" ht="15.75" customHeight="1" thickBot="1" x14ac:dyDescent="0.2">
      <c r="A59" s="208"/>
      <c r="B59" s="208"/>
      <c r="C59" s="217"/>
      <c r="D59" s="208"/>
      <c r="E59" s="208"/>
      <c r="F59" s="76" t="s">
        <v>1417</v>
      </c>
      <c r="G59" s="175" t="s">
        <v>1396</v>
      </c>
      <c r="H59" s="180"/>
      <c r="I59" s="78"/>
      <c r="J59" s="78"/>
      <c r="K59" s="78"/>
      <c r="L59" s="78"/>
      <c r="M59" s="78"/>
      <c r="N59" s="78"/>
      <c r="O59" s="78"/>
      <c r="P59" s="77"/>
    </row>
    <row r="60" spans="1:16" ht="15" customHeight="1" x14ac:dyDescent="0.15">
      <c r="A60" s="206">
        <v>4946</v>
      </c>
      <c r="B60" s="207" t="s">
        <v>1383</v>
      </c>
      <c r="C60" s="215" t="s">
        <v>1475</v>
      </c>
      <c r="D60" s="206" t="s">
        <v>1480</v>
      </c>
      <c r="E60" s="206" t="s">
        <v>45</v>
      </c>
      <c r="F60" s="73" t="s">
        <v>1399</v>
      </c>
      <c r="G60" s="177" t="s">
        <v>1396</v>
      </c>
      <c r="H60" s="181"/>
      <c r="I60" s="83"/>
      <c r="J60" s="83"/>
      <c r="K60" s="83"/>
      <c r="L60" s="83"/>
      <c r="M60" s="83"/>
      <c r="N60" s="83"/>
      <c r="O60" s="83"/>
      <c r="P60" s="82"/>
    </row>
    <row r="61" spans="1:16" ht="15" customHeight="1" x14ac:dyDescent="0.15">
      <c r="A61" s="207"/>
      <c r="B61" s="207"/>
      <c r="C61" s="216"/>
      <c r="D61" s="207"/>
      <c r="E61" s="207"/>
      <c r="F61" s="73" t="s">
        <v>1419</v>
      </c>
      <c r="G61" s="174" t="s">
        <v>1481</v>
      </c>
      <c r="H61" s="179"/>
      <c r="I61" s="75" t="s">
        <v>206</v>
      </c>
      <c r="J61" s="75"/>
      <c r="K61" s="75"/>
      <c r="L61" s="75" t="s">
        <v>206</v>
      </c>
      <c r="M61" s="75"/>
      <c r="N61" s="75"/>
      <c r="O61" s="75" t="s">
        <v>206</v>
      </c>
      <c r="P61" s="74"/>
    </row>
    <row r="62" spans="1:16" ht="15.75" customHeight="1" thickBot="1" x14ac:dyDescent="0.2">
      <c r="A62" s="208"/>
      <c r="B62" s="208"/>
      <c r="C62" s="217"/>
      <c r="D62" s="208"/>
      <c r="E62" s="208"/>
      <c r="F62" s="76" t="s">
        <v>1417</v>
      </c>
      <c r="G62" s="175" t="s">
        <v>1396</v>
      </c>
      <c r="H62" s="180"/>
      <c r="I62" s="78" t="s">
        <v>206</v>
      </c>
      <c r="J62" s="78"/>
      <c r="K62" s="78"/>
      <c r="L62" s="78"/>
      <c r="M62" s="78"/>
      <c r="N62" s="78"/>
      <c r="O62" s="78"/>
      <c r="P62" s="77" t="s">
        <v>1478</v>
      </c>
    </row>
    <row r="63" spans="1:16" ht="15" x14ac:dyDescent="0.15">
      <c r="A63" s="207" t="s">
        <v>1376</v>
      </c>
      <c r="B63" s="207" t="s">
        <v>1383</v>
      </c>
      <c r="C63" s="210" t="s">
        <v>1466</v>
      </c>
      <c r="D63" s="213" t="s">
        <v>1377</v>
      </c>
      <c r="E63" s="207" t="s">
        <v>45</v>
      </c>
      <c r="F63" s="73" t="s">
        <v>1399</v>
      </c>
      <c r="G63" s="174" t="s">
        <v>1396</v>
      </c>
      <c r="H63" s="179"/>
      <c r="I63" s="75"/>
      <c r="J63" s="75"/>
      <c r="K63" s="75"/>
      <c r="L63" s="75"/>
      <c r="M63" s="75"/>
      <c r="N63" s="75"/>
      <c r="O63" s="75"/>
      <c r="P63" s="74"/>
    </row>
    <row r="64" spans="1:16" ht="15" x14ac:dyDescent="0.15">
      <c r="A64" s="207"/>
      <c r="B64" s="207"/>
      <c r="C64" s="210"/>
      <c r="D64" s="213"/>
      <c r="E64" s="207"/>
      <c r="F64" s="73" t="s">
        <v>1419</v>
      </c>
      <c r="G64" s="174" t="s">
        <v>1396</v>
      </c>
      <c r="H64" s="179"/>
      <c r="I64" s="75"/>
      <c r="J64" s="75"/>
      <c r="K64" s="75"/>
      <c r="L64" s="75"/>
      <c r="M64" s="75"/>
      <c r="N64" s="75"/>
      <c r="O64" s="75" t="s">
        <v>206</v>
      </c>
      <c r="P64" s="74" t="s">
        <v>1434</v>
      </c>
    </row>
    <row r="65" spans="1:16" ht="16" thickBot="1" x14ac:dyDescent="0.2">
      <c r="A65" s="208"/>
      <c r="B65" s="208"/>
      <c r="C65" s="211"/>
      <c r="D65" s="214"/>
      <c r="E65" s="208"/>
      <c r="F65" s="76" t="s">
        <v>1417</v>
      </c>
      <c r="G65" s="175" t="s">
        <v>1411</v>
      </c>
      <c r="H65" s="180" t="s">
        <v>206</v>
      </c>
      <c r="I65" s="78"/>
      <c r="J65" s="78"/>
      <c r="K65" s="78"/>
      <c r="L65" s="78" t="s">
        <v>206</v>
      </c>
      <c r="M65" s="78"/>
      <c r="N65" s="78"/>
      <c r="O65" s="78"/>
      <c r="P65" s="77" t="s">
        <v>1395</v>
      </c>
    </row>
    <row r="66" spans="1:16" ht="15" x14ac:dyDescent="0.15">
      <c r="A66" s="206" t="s">
        <v>1368</v>
      </c>
      <c r="B66" s="206" t="s">
        <v>1427</v>
      </c>
      <c r="C66" s="209" t="s">
        <v>1463</v>
      </c>
      <c r="D66" s="212" t="s">
        <v>1369</v>
      </c>
      <c r="E66" s="206" t="s">
        <v>1370</v>
      </c>
      <c r="F66" s="73" t="s">
        <v>1399</v>
      </c>
      <c r="G66" s="174" t="s">
        <v>1396</v>
      </c>
      <c r="H66" s="179"/>
      <c r="I66" s="75"/>
      <c r="J66" s="75"/>
      <c r="K66" s="75"/>
      <c r="L66" s="75"/>
      <c r="M66" s="75"/>
      <c r="N66" s="75"/>
      <c r="O66" s="75"/>
      <c r="P66" s="74"/>
    </row>
    <row r="67" spans="1:16" ht="15" x14ac:dyDescent="0.15">
      <c r="A67" s="207"/>
      <c r="B67" s="207"/>
      <c r="C67" s="210"/>
      <c r="D67" s="213"/>
      <c r="E67" s="207"/>
      <c r="F67" s="73" t="s">
        <v>1419</v>
      </c>
      <c r="G67" s="174" t="s">
        <v>1409</v>
      </c>
      <c r="H67" s="179"/>
      <c r="I67" s="75"/>
      <c r="J67" s="75"/>
      <c r="K67" s="75"/>
      <c r="L67" s="75"/>
      <c r="M67" s="75"/>
      <c r="N67" s="75"/>
      <c r="O67" s="75"/>
      <c r="P67" s="74" t="s">
        <v>1395</v>
      </c>
    </row>
    <row r="68" spans="1:16" ht="16" thickBot="1" x14ac:dyDescent="0.2">
      <c r="A68" s="208"/>
      <c r="B68" s="208"/>
      <c r="C68" s="211"/>
      <c r="D68" s="214"/>
      <c r="E68" s="208"/>
      <c r="F68" s="76" t="s">
        <v>1417</v>
      </c>
      <c r="G68" s="175" t="s">
        <v>1396</v>
      </c>
      <c r="H68" s="180"/>
      <c r="I68" s="78"/>
      <c r="J68" s="78" t="s">
        <v>206</v>
      </c>
      <c r="K68" s="78"/>
      <c r="L68" s="78"/>
      <c r="M68" s="78"/>
      <c r="N68" s="78"/>
      <c r="O68" s="78"/>
      <c r="P68" s="77"/>
    </row>
    <row r="69" spans="1:16" ht="15" x14ac:dyDescent="0.15">
      <c r="A69" s="206" t="s">
        <v>1371</v>
      </c>
      <c r="B69" s="206" t="s">
        <v>1384</v>
      </c>
      <c r="C69" s="209" t="s">
        <v>1464</v>
      </c>
      <c r="D69" s="212" t="s">
        <v>1372</v>
      </c>
      <c r="E69" s="206" t="s">
        <v>1341</v>
      </c>
      <c r="F69" s="73" t="s">
        <v>1399</v>
      </c>
      <c r="G69" s="174" t="s">
        <v>1396</v>
      </c>
      <c r="H69" s="179"/>
      <c r="I69" s="75"/>
      <c r="J69" s="75"/>
      <c r="K69" s="75"/>
      <c r="L69" s="75"/>
      <c r="M69" s="75"/>
      <c r="N69" s="75"/>
      <c r="O69" s="75"/>
      <c r="P69" s="74"/>
    </row>
    <row r="70" spans="1:16" ht="15" x14ac:dyDescent="0.15">
      <c r="A70" s="207"/>
      <c r="B70" s="207"/>
      <c r="C70" s="210"/>
      <c r="D70" s="213"/>
      <c r="E70" s="207"/>
      <c r="F70" s="73" t="s">
        <v>1419</v>
      </c>
      <c r="G70" s="174" t="s">
        <v>1396</v>
      </c>
      <c r="H70" s="179"/>
      <c r="I70" s="75"/>
      <c r="J70" s="75"/>
      <c r="K70" s="75"/>
      <c r="L70" s="75"/>
      <c r="M70" s="75"/>
      <c r="N70" s="75"/>
      <c r="O70" s="75"/>
      <c r="P70" s="74" t="s">
        <v>1428</v>
      </c>
    </row>
    <row r="71" spans="1:16" ht="16" thickBot="1" x14ac:dyDescent="0.2">
      <c r="A71" s="208"/>
      <c r="B71" s="208"/>
      <c r="C71" s="211"/>
      <c r="D71" s="214"/>
      <c r="E71" s="208"/>
      <c r="F71" s="76" t="s">
        <v>1417</v>
      </c>
      <c r="G71" s="175" t="s">
        <v>1402</v>
      </c>
      <c r="H71" s="180"/>
      <c r="I71" s="78"/>
      <c r="J71" s="78"/>
      <c r="K71" s="78"/>
      <c r="L71" s="78"/>
      <c r="M71" s="78"/>
      <c r="N71" s="78"/>
      <c r="O71" s="78"/>
      <c r="P71" s="77"/>
    </row>
    <row r="72" spans="1:16" ht="15" x14ac:dyDescent="0.15">
      <c r="A72" s="206" t="s">
        <v>1373</v>
      </c>
      <c r="B72" s="206" t="s">
        <v>1384</v>
      </c>
      <c r="C72" s="209" t="s">
        <v>1465</v>
      </c>
      <c r="D72" s="212" t="s">
        <v>1374</v>
      </c>
      <c r="E72" s="206" t="s">
        <v>1375</v>
      </c>
      <c r="F72" s="73" t="s">
        <v>1399</v>
      </c>
      <c r="G72" s="174" t="s">
        <v>1396</v>
      </c>
      <c r="H72" s="179"/>
      <c r="I72" s="75"/>
      <c r="J72" s="75"/>
      <c r="K72" s="75"/>
      <c r="L72" s="75"/>
      <c r="M72" s="75"/>
      <c r="N72" s="75"/>
      <c r="O72" s="75" t="s">
        <v>206</v>
      </c>
      <c r="P72" s="74"/>
    </row>
    <row r="73" spans="1:16" ht="15" x14ac:dyDescent="0.15">
      <c r="A73" s="207"/>
      <c r="B73" s="207"/>
      <c r="C73" s="210"/>
      <c r="D73" s="213"/>
      <c r="E73" s="207"/>
      <c r="F73" s="73" t="s">
        <v>1419</v>
      </c>
      <c r="G73" s="174" t="s">
        <v>1396</v>
      </c>
      <c r="H73" s="179"/>
      <c r="I73" s="75"/>
      <c r="J73" s="75"/>
      <c r="K73" s="75"/>
      <c r="L73" s="75"/>
      <c r="M73" s="75" t="s">
        <v>1416</v>
      </c>
      <c r="N73" s="75"/>
      <c r="O73" s="75"/>
      <c r="P73" s="74" t="s">
        <v>1429</v>
      </c>
    </row>
    <row r="74" spans="1:16" ht="16" thickBot="1" x14ac:dyDescent="0.2">
      <c r="A74" s="208"/>
      <c r="B74" s="208"/>
      <c r="C74" s="211"/>
      <c r="D74" s="214"/>
      <c r="E74" s="208"/>
      <c r="F74" s="76" t="s">
        <v>1417</v>
      </c>
      <c r="G74" s="176" t="s">
        <v>1396</v>
      </c>
      <c r="H74" s="180"/>
      <c r="I74" s="78"/>
      <c r="J74" s="78"/>
      <c r="K74" s="78"/>
      <c r="L74" s="78"/>
      <c r="M74" s="78"/>
      <c r="N74" s="78"/>
      <c r="O74" s="78"/>
      <c r="P74" s="77"/>
    </row>
    <row r="75" spans="1:16" ht="15" x14ac:dyDescent="0.15">
      <c r="A75" s="206" t="s">
        <v>1378</v>
      </c>
      <c r="B75" s="206" t="s">
        <v>1386</v>
      </c>
      <c r="C75" s="209" t="s">
        <v>1467</v>
      </c>
      <c r="D75" s="212" t="s">
        <v>1379</v>
      </c>
      <c r="E75" s="206" t="s">
        <v>1380</v>
      </c>
      <c r="F75" s="73" t="s">
        <v>1399</v>
      </c>
      <c r="G75" s="174" t="s">
        <v>1396</v>
      </c>
      <c r="H75" s="179"/>
      <c r="I75" s="75"/>
      <c r="J75" s="75"/>
      <c r="K75" s="75"/>
      <c r="L75" s="75" t="s">
        <v>206</v>
      </c>
      <c r="M75" s="75"/>
      <c r="N75" s="75"/>
      <c r="O75" s="75"/>
      <c r="P75" s="74"/>
    </row>
    <row r="76" spans="1:16" ht="15" x14ac:dyDescent="0.15">
      <c r="A76" s="207"/>
      <c r="B76" s="207"/>
      <c r="C76" s="210"/>
      <c r="D76" s="213"/>
      <c r="E76" s="207"/>
      <c r="F76" s="73" t="s">
        <v>1419</v>
      </c>
      <c r="G76" s="174" t="s">
        <v>1405</v>
      </c>
      <c r="H76" s="179"/>
      <c r="I76" s="75"/>
      <c r="J76" s="75"/>
      <c r="K76" s="75"/>
      <c r="L76" s="75"/>
      <c r="M76" s="75"/>
      <c r="N76" s="75"/>
      <c r="O76" s="75"/>
      <c r="P76" s="74"/>
    </row>
    <row r="77" spans="1:16" ht="16" thickBot="1" x14ac:dyDescent="0.2">
      <c r="A77" s="208"/>
      <c r="B77" s="208"/>
      <c r="C77" s="211"/>
      <c r="D77" s="214"/>
      <c r="E77" s="208"/>
      <c r="F77" s="76" t="s">
        <v>1417</v>
      </c>
      <c r="G77" s="175" t="s">
        <v>1396</v>
      </c>
      <c r="H77" s="180"/>
      <c r="I77" s="78"/>
      <c r="J77" s="78"/>
      <c r="K77" s="78"/>
      <c r="L77" s="78"/>
      <c r="M77" s="78"/>
      <c r="N77" s="78"/>
      <c r="O77" s="78"/>
      <c r="P77" s="77"/>
    </row>
    <row r="78" spans="1:16" ht="15" x14ac:dyDescent="0.15">
      <c r="A78" s="206">
        <v>2808</v>
      </c>
      <c r="B78" s="206" t="s">
        <v>1386</v>
      </c>
      <c r="C78" s="209" t="s">
        <v>1468</v>
      </c>
      <c r="D78" s="212" t="s">
        <v>1381</v>
      </c>
      <c r="E78" s="206" t="s">
        <v>1370</v>
      </c>
      <c r="F78" s="73" t="s">
        <v>1399</v>
      </c>
      <c r="G78" s="174" t="s">
        <v>1396</v>
      </c>
      <c r="H78" s="179"/>
      <c r="I78" s="75"/>
      <c r="J78" s="75"/>
      <c r="K78" s="75"/>
      <c r="L78" s="75"/>
      <c r="M78" s="75"/>
      <c r="N78" s="75"/>
      <c r="O78" s="75"/>
      <c r="P78" s="74" t="s">
        <v>1421</v>
      </c>
    </row>
    <row r="79" spans="1:16" ht="15" x14ac:dyDescent="0.15">
      <c r="A79" s="207"/>
      <c r="B79" s="207"/>
      <c r="C79" s="210"/>
      <c r="D79" s="213"/>
      <c r="E79" s="207"/>
      <c r="F79" s="73" t="s">
        <v>1419</v>
      </c>
      <c r="G79" s="174" t="s">
        <v>1396</v>
      </c>
      <c r="H79" s="179"/>
      <c r="I79" s="75"/>
      <c r="J79" s="75"/>
      <c r="K79" s="75"/>
      <c r="L79" s="75"/>
      <c r="M79" s="75"/>
      <c r="N79" s="75"/>
      <c r="O79" s="75"/>
      <c r="P79" s="74"/>
    </row>
    <row r="80" spans="1:16" ht="16" thickBot="1" x14ac:dyDescent="0.2">
      <c r="A80" s="208"/>
      <c r="B80" s="208"/>
      <c r="C80" s="211"/>
      <c r="D80" s="214"/>
      <c r="E80" s="208"/>
      <c r="F80" s="76" t="s">
        <v>1417</v>
      </c>
      <c r="G80" s="176" t="s">
        <v>1412</v>
      </c>
      <c r="H80" s="180"/>
      <c r="I80" s="78"/>
      <c r="J80" s="78"/>
      <c r="K80" s="78"/>
      <c r="L80" s="78" t="s">
        <v>1416</v>
      </c>
      <c r="M80" s="78" t="s">
        <v>1416</v>
      </c>
      <c r="N80" s="78" t="s">
        <v>206</v>
      </c>
      <c r="O80" s="78"/>
      <c r="P80" s="77" t="s">
        <v>1430</v>
      </c>
    </row>
    <row r="81" spans="1:16" ht="15" x14ac:dyDescent="0.15">
      <c r="A81" s="206">
        <v>3647</v>
      </c>
      <c r="B81" s="206" t="s">
        <v>1384</v>
      </c>
      <c r="C81" s="209" t="s">
        <v>1469</v>
      </c>
      <c r="D81" s="212" t="s">
        <v>1382</v>
      </c>
      <c r="E81" s="206" t="s">
        <v>1341</v>
      </c>
      <c r="F81" s="73" t="s">
        <v>1399</v>
      </c>
      <c r="G81" s="174" t="s">
        <v>1396</v>
      </c>
      <c r="H81" s="179"/>
      <c r="I81" s="75"/>
      <c r="J81" s="75"/>
      <c r="K81" s="75"/>
      <c r="L81" s="75"/>
      <c r="M81" s="75"/>
      <c r="N81" s="75"/>
      <c r="O81" s="75"/>
      <c r="P81" s="74" t="s">
        <v>1420</v>
      </c>
    </row>
    <row r="82" spans="1:16" ht="15" x14ac:dyDescent="0.15">
      <c r="A82" s="207"/>
      <c r="B82" s="207"/>
      <c r="C82" s="210"/>
      <c r="D82" s="213"/>
      <c r="E82" s="207"/>
      <c r="F82" s="73" t="s">
        <v>1419</v>
      </c>
      <c r="G82" s="174" t="s">
        <v>1396</v>
      </c>
      <c r="H82" s="179"/>
      <c r="I82" s="75"/>
      <c r="J82" s="75"/>
      <c r="K82" s="75"/>
      <c r="L82" s="75"/>
      <c r="M82" s="75"/>
      <c r="N82" s="75"/>
      <c r="O82" s="75"/>
      <c r="P82" s="74"/>
    </row>
    <row r="83" spans="1:16" ht="16" thickBot="1" x14ac:dyDescent="0.2">
      <c r="A83" s="208"/>
      <c r="B83" s="208"/>
      <c r="C83" s="211"/>
      <c r="D83" s="214"/>
      <c r="E83" s="208"/>
      <c r="F83" s="76" t="s">
        <v>1417</v>
      </c>
      <c r="G83" s="175" t="s">
        <v>1396</v>
      </c>
      <c r="H83" s="180"/>
      <c r="I83" s="78"/>
      <c r="J83" s="78" t="s">
        <v>206</v>
      </c>
      <c r="K83" s="78"/>
      <c r="L83" s="78"/>
      <c r="M83" s="78"/>
      <c r="N83" s="78" t="s">
        <v>206</v>
      </c>
      <c r="O83" s="78"/>
      <c r="P83" s="77"/>
    </row>
    <row r="84" spans="1:16" ht="15" x14ac:dyDescent="0.15">
      <c r="A84" s="206">
        <v>4813</v>
      </c>
      <c r="B84" s="206" t="s">
        <v>1383</v>
      </c>
      <c r="C84" s="209" t="s">
        <v>1988</v>
      </c>
      <c r="D84" s="212" t="s">
        <v>1482</v>
      </c>
      <c r="E84" s="206" t="s">
        <v>45</v>
      </c>
      <c r="F84" s="73" t="s">
        <v>1399</v>
      </c>
      <c r="G84" s="174" t="s">
        <v>1396</v>
      </c>
      <c r="H84" s="179"/>
      <c r="I84" s="75"/>
      <c r="J84" s="75"/>
      <c r="K84" s="75"/>
      <c r="L84" s="75"/>
      <c r="M84" s="75"/>
      <c r="N84" s="75"/>
      <c r="O84" s="75"/>
      <c r="P84" s="74"/>
    </row>
    <row r="85" spans="1:16" ht="15" x14ac:dyDescent="0.15">
      <c r="A85" s="207"/>
      <c r="B85" s="207"/>
      <c r="C85" s="210"/>
      <c r="D85" s="213"/>
      <c r="E85" s="207"/>
      <c r="F85" s="73" t="s">
        <v>1419</v>
      </c>
      <c r="G85" s="174" t="s">
        <v>1396</v>
      </c>
      <c r="H85" s="179"/>
      <c r="I85" s="75"/>
      <c r="J85" s="75"/>
      <c r="K85" s="75"/>
      <c r="L85" s="75"/>
      <c r="M85" s="75"/>
      <c r="N85" s="75"/>
      <c r="O85" s="75"/>
      <c r="P85" s="74"/>
    </row>
    <row r="86" spans="1:16" ht="16" thickBot="1" x14ac:dyDescent="0.2">
      <c r="A86" s="208"/>
      <c r="B86" s="208"/>
      <c r="C86" s="211"/>
      <c r="D86" s="214"/>
      <c r="E86" s="208"/>
      <c r="F86" s="76" t="s">
        <v>1417</v>
      </c>
      <c r="G86" s="176" t="s">
        <v>1401</v>
      </c>
      <c r="H86" s="180"/>
      <c r="I86" s="78"/>
      <c r="J86" s="78"/>
      <c r="K86" s="78"/>
      <c r="L86" s="78"/>
      <c r="M86" s="78"/>
      <c r="N86" s="78"/>
      <c r="O86" s="78"/>
      <c r="P86" s="77"/>
    </row>
    <row r="87" spans="1:16" ht="15" x14ac:dyDescent="0.15">
      <c r="A87" s="206">
        <v>4702</v>
      </c>
      <c r="B87" s="206" t="s">
        <v>1772</v>
      </c>
      <c r="C87" s="209" t="s">
        <v>1987</v>
      </c>
      <c r="D87" s="212" t="s">
        <v>1773</v>
      </c>
      <c r="E87" s="206" t="s">
        <v>1774</v>
      </c>
      <c r="F87" s="73" t="s">
        <v>1399</v>
      </c>
      <c r="G87" s="174" t="s">
        <v>1425</v>
      </c>
      <c r="H87" s="179"/>
      <c r="I87" s="75"/>
      <c r="J87" s="75"/>
      <c r="K87" s="75"/>
      <c r="L87" s="75"/>
      <c r="M87" s="75"/>
      <c r="N87" s="75"/>
      <c r="O87" s="75"/>
      <c r="P87" s="74"/>
    </row>
    <row r="88" spans="1:16" ht="15" x14ac:dyDescent="0.15">
      <c r="A88" s="207"/>
      <c r="B88" s="207"/>
      <c r="C88" s="210"/>
      <c r="D88" s="213"/>
      <c r="E88" s="207"/>
      <c r="F88" s="73" t="s">
        <v>1419</v>
      </c>
      <c r="G88" s="174" t="s">
        <v>1396</v>
      </c>
      <c r="H88" s="179"/>
      <c r="I88" s="75"/>
      <c r="J88" s="75"/>
      <c r="K88" s="75"/>
      <c r="L88" s="75"/>
      <c r="M88" s="75"/>
      <c r="N88" s="75"/>
      <c r="O88" s="75"/>
      <c r="P88" s="74"/>
    </row>
    <row r="89" spans="1:16" ht="16" thickBot="1" x14ac:dyDescent="0.2">
      <c r="A89" s="208"/>
      <c r="B89" s="208"/>
      <c r="C89" s="211"/>
      <c r="D89" s="214"/>
      <c r="E89" s="208"/>
      <c r="F89" s="76" t="s">
        <v>1417</v>
      </c>
      <c r="G89" s="176" t="s">
        <v>1403</v>
      </c>
      <c r="H89" s="180"/>
      <c r="I89" s="78" t="s">
        <v>1775</v>
      </c>
      <c r="J89" s="78"/>
      <c r="K89" s="78"/>
      <c r="L89" s="78"/>
      <c r="M89" s="78" t="s">
        <v>206</v>
      </c>
      <c r="N89" s="78"/>
      <c r="O89" s="78"/>
      <c r="P89" s="77" t="s">
        <v>1776</v>
      </c>
    </row>
    <row r="90" spans="1:16" x14ac:dyDescent="0.15">
      <c r="A90" s="84" t="s">
        <v>1994</v>
      </c>
    </row>
    <row r="91" spans="1:16" x14ac:dyDescent="0.15">
      <c r="A91" s="84" t="s">
        <v>1995</v>
      </c>
    </row>
    <row r="92" spans="1:16" x14ac:dyDescent="0.15">
      <c r="A92" s="6" t="s">
        <v>1996</v>
      </c>
    </row>
    <row r="93" spans="1:16" x14ac:dyDescent="0.15">
      <c r="A93" s="84" t="s">
        <v>1997</v>
      </c>
    </row>
    <row r="94" spans="1:16" x14ac:dyDescent="0.15">
      <c r="A94" s="84" t="s">
        <v>1998</v>
      </c>
    </row>
  </sheetData>
  <mergeCells count="143">
    <mergeCell ref="B60:B62"/>
    <mergeCell ref="A75:A77"/>
    <mergeCell ref="C75:C77"/>
    <mergeCell ref="D75:D77"/>
    <mergeCell ref="E75:E77"/>
    <mergeCell ref="B75:B77"/>
    <mergeCell ref="A87:A89"/>
    <mergeCell ref="B87:B89"/>
    <mergeCell ref="C87:C89"/>
    <mergeCell ref="D87:D89"/>
    <mergeCell ref="E87:E89"/>
    <mergeCell ref="A84:A86"/>
    <mergeCell ref="B84:B86"/>
    <mergeCell ref="C84:C86"/>
    <mergeCell ref="D84:D86"/>
    <mergeCell ref="E84:E86"/>
    <mergeCell ref="E78:E80"/>
    <mergeCell ref="A81:A83"/>
    <mergeCell ref="C81:C83"/>
    <mergeCell ref="D81:D83"/>
    <mergeCell ref="E81:E83"/>
    <mergeCell ref="B78:B80"/>
    <mergeCell ref="B81:B83"/>
    <mergeCell ref="A69:A71"/>
    <mergeCell ref="D12:D14"/>
    <mergeCell ref="E18:E20"/>
    <mergeCell ref="E42:E44"/>
    <mergeCell ref="A45:A47"/>
    <mergeCell ref="C45:C47"/>
    <mergeCell ref="D45:D47"/>
    <mergeCell ref="E45:E47"/>
    <mergeCell ref="B42:B44"/>
    <mergeCell ref="B21:B23"/>
    <mergeCell ref="E24:E26"/>
    <mergeCell ref="A27:A29"/>
    <mergeCell ref="C27:C29"/>
    <mergeCell ref="D27:D29"/>
    <mergeCell ref="E27:E29"/>
    <mergeCell ref="B24:B26"/>
    <mergeCell ref="E15:E17"/>
    <mergeCell ref="A36:A38"/>
    <mergeCell ref="C36:C38"/>
    <mergeCell ref="A21:A23"/>
    <mergeCell ref="C21:C23"/>
    <mergeCell ref="D21:D23"/>
    <mergeCell ref="E21:E23"/>
    <mergeCell ref="B15:B17"/>
    <mergeCell ref="C15:C17"/>
    <mergeCell ref="E3:E5"/>
    <mergeCell ref="D3:D5"/>
    <mergeCell ref="C3:C5"/>
    <mergeCell ref="B3:B5"/>
    <mergeCell ref="A3:A5"/>
    <mergeCell ref="A18:A20"/>
    <mergeCell ref="C18:C20"/>
    <mergeCell ref="D18:D20"/>
    <mergeCell ref="A6:A8"/>
    <mergeCell ref="C6:C8"/>
    <mergeCell ref="D6:D8"/>
    <mergeCell ref="E6:E8"/>
    <mergeCell ref="B18:B20"/>
    <mergeCell ref="B6:B8"/>
    <mergeCell ref="C12:C14"/>
    <mergeCell ref="A15:A17"/>
    <mergeCell ref="A12:A14"/>
    <mergeCell ref="E12:E14"/>
    <mergeCell ref="A9:A11"/>
    <mergeCell ref="C9:C11"/>
    <mergeCell ref="D9:D11"/>
    <mergeCell ref="E9:E11"/>
    <mergeCell ref="B12:B14"/>
    <mergeCell ref="B9:B11"/>
    <mergeCell ref="D15:D17"/>
    <mergeCell ref="E39:E41"/>
    <mergeCell ref="B39:B41"/>
    <mergeCell ref="A24:A26"/>
    <mergeCell ref="C24:C26"/>
    <mergeCell ref="D24:D26"/>
    <mergeCell ref="E36:E38"/>
    <mergeCell ref="A30:A32"/>
    <mergeCell ref="C30:C32"/>
    <mergeCell ref="D30:D32"/>
    <mergeCell ref="E30:E32"/>
    <mergeCell ref="B27:B29"/>
    <mergeCell ref="A42:A44"/>
    <mergeCell ref="C42:C44"/>
    <mergeCell ref="D42:D44"/>
    <mergeCell ref="B30:B32"/>
    <mergeCell ref="B36:B38"/>
    <mergeCell ref="D36:D38"/>
    <mergeCell ref="C33:C35"/>
    <mergeCell ref="A33:A35"/>
    <mergeCell ref="B33:B35"/>
    <mergeCell ref="A39:A41"/>
    <mergeCell ref="C39:C41"/>
    <mergeCell ref="D39:D41"/>
    <mergeCell ref="B45:B47"/>
    <mergeCell ref="A48:A50"/>
    <mergeCell ref="C48:C50"/>
    <mergeCell ref="D48:D50"/>
    <mergeCell ref="E48:E50"/>
    <mergeCell ref="A51:A53"/>
    <mergeCell ref="C51:C53"/>
    <mergeCell ref="D51:D53"/>
    <mergeCell ref="E51:E53"/>
    <mergeCell ref="B48:B50"/>
    <mergeCell ref="B51:B53"/>
    <mergeCell ref="A54:A56"/>
    <mergeCell ref="C54:C56"/>
    <mergeCell ref="D54:D56"/>
    <mergeCell ref="E54:E56"/>
    <mergeCell ref="C66:C68"/>
    <mergeCell ref="D66:D68"/>
    <mergeCell ref="E66:E68"/>
    <mergeCell ref="B54:B56"/>
    <mergeCell ref="B66:B68"/>
    <mergeCell ref="A63:A65"/>
    <mergeCell ref="C63:C65"/>
    <mergeCell ref="D63:D65"/>
    <mergeCell ref="E63:E65"/>
    <mergeCell ref="B63:B65"/>
    <mergeCell ref="A66:A68"/>
    <mergeCell ref="A57:A59"/>
    <mergeCell ref="A60:A62"/>
    <mergeCell ref="C57:C59"/>
    <mergeCell ref="C60:C62"/>
    <mergeCell ref="E60:E62"/>
    <mergeCell ref="E57:E59"/>
    <mergeCell ref="D60:D62"/>
    <mergeCell ref="D57:D59"/>
    <mergeCell ref="B57:B59"/>
    <mergeCell ref="A78:A80"/>
    <mergeCell ref="C78:C80"/>
    <mergeCell ref="D78:D80"/>
    <mergeCell ref="C69:C71"/>
    <mergeCell ref="D69:D71"/>
    <mergeCell ref="E69:E71"/>
    <mergeCell ref="B69:B71"/>
    <mergeCell ref="A72:A74"/>
    <mergeCell ref="C72:C74"/>
    <mergeCell ref="D72:D74"/>
    <mergeCell ref="E72:E74"/>
    <mergeCell ref="B72:B7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3"/>
  <sheetViews>
    <sheetView tabSelected="1" workbookViewId="0"/>
  </sheetViews>
  <sheetFormatPr baseColWidth="10" defaultColWidth="9.1640625" defaultRowHeight="14" x14ac:dyDescent="0.15"/>
  <cols>
    <col min="1" max="1" width="11.6640625" style="1" customWidth="1"/>
    <col min="2" max="2" width="32" style="1" customWidth="1"/>
    <col min="3" max="3" width="29" style="1" bestFit="1" customWidth="1"/>
    <col min="4" max="6" width="8.5" style="1" customWidth="1"/>
    <col min="7" max="7" width="12.33203125" style="55" customWidth="1"/>
    <col min="8" max="8" width="11" style="55" customWidth="1"/>
    <col min="9" max="9" width="11.6640625" style="55" customWidth="1"/>
    <col min="10" max="10" width="16.6640625" style="55" customWidth="1"/>
    <col min="11" max="11" width="19" style="1" customWidth="1"/>
    <col min="12" max="13" width="14.6640625" style="1" customWidth="1"/>
    <col min="14" max="14" width="6.1640625" style="1" customWidth="1"/>
    <col min="15" max="15" width="9.1640625" style="1"/>
    <col min="16" max="16" width="9.5" style="1" bestFit="1" customWidth="1"/>
    <col min="17" max="17" width="5.5" style="1" customWidth="1"/>
    <col min="18" max="18" width="6.33203125" style="1" customWidth="1"/>
    <col min="19" max="19" width="13.6640625" style="1" customWidth="1"/>
    <col min="20" max="20" width="6.1640625" style="1" customWidth="1"/>
    <col min="21" max="21" width="9.1640625" style="1"/>
    <col min="22" max="22" width="7.5" style="1" customWidth="1"/>
    <col min="23" max="23" width="23.83203125" style="1" customWidth="1"/>
    <col min="24" max="24" width="7" style="1" customWidth="1"/>
    <col min="25" max="16384" width="9.1640625" style="1"/>
  </cols>
  <sheetData>
    <row r="1" spans="1:13" x14ac:dyDescent="0.15">
      <c r="A1" s="56" t="s">
        <v>1798</v>
      </c>
      <c r="B1" s="56"/>
    </row>
    <row r="2" spans="1:13" s="57" customFormat="1" ht="45" x14ac:dyDescent="0.15">
      <c r="A2" s="57" t="s">
        <v>207</v>
      </c>
      <c r="B2" s="57" t="s">
        <v>1512</v>
      </c>
      <c r="C2" s="57" t="s">
        <v>1179</v>
      </c>
      <c r="D2" s="57" t="s">
        <v>1438</v>
      </c>
      <c r="E2" s="57" t="s">
        <v>1439</v>
      </c>
      <c r="F2" s="57" t="s">
        <v>1440</v>
      </c>
      <c r="G2" s="128" t="s">
        <v>1180</v>
      </c>
      <c r="H2" s="128" t="s">
        <v>1449</v>
      </c>
      <c r="I2" s="128" t="s">
        <v>1186</v>
      </c>
      <c r="J2" s="43" t="s">
        <v>1183</v>
      </c>
      <c r="K2" s="57" t="s">
        <v>879</v>
      </c>
      <c r="M2" s="43"/>
    </row>
    <row r="3" spans="1:13" s="61" customFormat="1" ht="15" x14ac:dyDescent="0.15">
      <c r="A3" s="61" t="s">
        <v>75</v>
      </c>
      <c r="B3" s="61" t="s">
        <v>1448</v>
      </c>
      <c r="C3" s="61" t="s">
        <v>1271</v>
      </c>
      <c r="D3" s="61" t="s">
        <v>1442</v>
      </c>
      <c r="E3" s="61" t="s">
        <v>1242</v>
      </c>
      <c r="F3" s="61" t="s">
        <v>1242</v>
      </c>
      <c r="G3" s="127">
        <f>1/404</f>
        <v>2.4752475247524753E-3</v>
      </c>
      <c r="H3" s="129" t="s">
        <v>45</v>
      </c>
      <c r="I3" s="129">
        <f>1/(120498/2)</f>
        <v>1.6597785855366895E-5</v>
      </c>
      <c r="J3" s="62" t="s">
        <v>1242</v>
      </c>
      <c r="K3" s="61" t="s">
        <v>44</v>
      </c>
      <c r="M3" s="62"/>
    </row>
    <row r="4" spans="1:13" x14ac:dyDescent="0.15">
      <c r="A4" s="1" t="s">
        <v>88</v>
      </c>
      <c r="B4" s="1" t="s">
        <v>1250</v>
      </c>
      <c r="C4" s="1" t="s">
        <v>949</v>
      </c>
      <c r="D4" s="1" t="s">
        <v>1442</v>
      </c>
      <c r="E4" s="1" t="s">
        <v>1398</v>
      </c>
      <c r="F4" s="1" t="s">
        <v>1398</v>
      </c>
      <c r="G4" s="127">
        <v>7.4257425742574254E-3</v>
      </c>
      <c r="H4" s="127">
        <f>24/8574</f>
        <v>2.7991602519244225E-3</v>
      </c>
      <c r="I4" s="127">
        <f>(268*2)/121250</f>
        <v>4.4206185567010311E-3</v>
      </c>
      <c r="J4" s="59" t="s">
        <v>1537</v>
      </c>
      <c r="K4" s="1" t="s">
        <v>1255</v>
      </c>
    </row>
    <row r="5" spans="1:13" x14ac:dyDescent="0.15">
      <c r="A5" s="1" t="s">
        <v>88</v>
      </c>
      <c r="B5" s="1" t="s">
        <v>1250</v>
      </c>
      <c r="C5" s="1" t="s">
        <v>952</v>
      </c>
      <c r="D5" s="1" t="s">
        <v>1442</v>
      </c>
      <c r="E5" s="1" t="s">
        <v>1398</v>
      </c>
      <c r="F5" s="1" t="s">
        <v>1398</v>
      </c>
      <c r="G5" s="127">
        <f>4/404</f>
        <v>9.9009900990099011E-3</v>
      </c>
      <c r="H5" s="127">
        <f>4/8596</f>
        <v>4.6533271288971617E-4</v>
      </c>
      <c r="I5" s="127" t="s">
        <v>45</v>
      </c>
      <c r="J5" s="59" t="s">
        <v>1538</v>
      </c>
      <c r="K5" s="1" t="s">
        <v>1255</v>
      </c>
    </row>
    <row r="6" spans="1:13" x14ac:dyDescent="0.15">
      <c r="A6" s="1" t="s">
        <v>114</v>
      </c>
      <c r="B6" s="1" t="s">
        <v>1252</v>
      </c>
      <c r="C6" s="1" t="s">
        <v>1011</v>
      </c>
      <c r="D6" s="1" t="s">
        <v>1398</v>
      </c>
      <c r="E6" s="1" t="s">
        <v>1398</v>
      </c>
      <c r="F6" s="1" t="s">
        <v>1398</v>
      </c>
      <c r="G6" s="127">
        <f>1/404</f>
        <v>2.4752475247524753E-3</v>
      </c>
      <c r="H6" s="127">
        <v>3.0230000000000001E-3</v>
      </c>
      <c r="I6" s="127">
        <f>(197*2)/121382</f>
        <v>3.2459507999538645E-3</v>
      </c>
      <c r="J6" s="55" t="s">
        <v>1256</v>
      </c>
      <c r="K6" s="1" t="s">
        <v>1257</v>
      </c>
    </row>
    <row r="7" spans="1:13" x14ac:dyDescent="0.15">
      <c r="A7" s="1" t="s">
        <v>114</v>
      </c>
      <c r="B7" s="1" t="s">
        <v>1252</v>
      </c>
      <c r="C7" s="1" t="s">
        <v>1006</v>
      </c>
      <c r="D7" s="1" t="s">
        <v>1398</v>
      </c>
      <c r="E7" s="1" t="s">
        <v>1398</v>
      </c>
      <c r="F7" s="1" t="s">
        <v>1398</v>
      </c>
      <c r="G7" s="127">
        <v>7.4257425742574254E-3</v>
      </c>
      <c r="H7" s="127">
        <v>5.0000000000000001E-3</v>
      </c>
      <c r="I7" s="127">
        <v>5.5999999999999999E-3</v>
      </c>
      <c r="J7" s="55" t="s">
        <v>1332</v>
      </c>
      <c r="K7" s="1" t="s">
        <v>1257</v>
      </c>
    </row>
    <row r="8" spans="1:13" ht="15" x14ac:dyDescent="0.15">
      <c r="A8" s="1" t="s">
        <v>114</v>
      </c>
      <c r="B8" s="1" t="s">
        <v>1252</v>
      </c>
      <c r="C8" s="1" t="s">
        <v>1009</v>
      </c>
      <c r="D8" s="1" t="s">
        <v>1442</v>
      </c>
      <c r="E8" s="1" t="s">
        <v>1242</v>
      </c>
      <c r="F8" s="1" t="s">
        <v>1398</v>
      </c>
      <c r="G8" s="127">
        <v>2E-3</v>
      </c>
      <c r="H8" s="129" t="s">
        <v>45</v>
      </c>
      <c r="I8" s="127" t="s">
        <v>45</v>
      </c>
      <c r="J8" s="55" t="s">
        <v>1242</v>
      </c>
      <c r="K8" s="1" t="s">
        <v>44</v>
      </c>
    </row>
    <row r="9" spans="1:13" x14ac:dyDescent="0.15">
      <c r="A9" s="1" t="s">
        <v>157</v>
      </c>
      <c r="B9" s="1" t="s">
        <v>1251</v>
      </c>
      <c r="C9" s="1" t="s">
        <v>1069</v>
      </c>
      <c r="D9" s="1" t="s">
        <v>1398</v>
      </c>
      <c r="E9" s="1" t="s">
        <v>1398</v>
      </c>
      <c r="F9" s="1" t="s">
        <v>1398</v>
      </c>
      <c r="G9" s="127">
        <v>5.0000000000000001E-4</v>
      </c>
      <c r="H9" s="127">
        <v>4.0000000000000002E-4</v>
      </c>
      <c r="I9" s="127" t="s">
        <v>45</v>
      </c>
      <c r="J9" s="55" t="s">
        <v>1242</v>
      </c>
      <c r="K9" s="1" t="s">
        <v>44</v>
      </c>
    </row>
    <row r="10" spans="1:13" x14ac:dyDescent="0.15">
      <c r="A10" s="1" t="s">
        <v>192</v>
      </c>
      <c r="B10" s="1" t="s">
        <v>1447</v>
      </c>
      <c r="C10" s="1" t="s">
        <v>1446</v>
      </c>
      <c r="D10" s="1" t="s">
        <v>1442</v>
      </c>
      <c r="E10" s="1" t="s">
        <v>1242</v>
      </c>
      <c r="F10" s="1" t="s">
        <v>1398</v>
      </c>
      <c r="G10" s="127">
        <v>4.9504950495049506E-3</v>
      </c>
      <c r="H10" s="127">
        <f>15/2410</f>
        <v>6.2240663900414933E-3</v>
      </c>
      <c r="I10" s="127">
        <f>105/(20241/2)</f>
        <v>1.0374981473247369E-2</v>
      </c>
      <c r="J10" s="55" t="s">
        <v>1242</v>
      </c>
      <c r="K10" s="1" t="s">
        <v>44</v>
      </c>
    </row>
    <row r="11" spans="1:13" x14ac:dyDescent="0.15">
      <c r="A11" s="1" t="s">
        <v>164</v>
      </c>
      <c r="B11" s="1" t="s">
        <v>1249</v>
      </c>
      <c r="C11" s="1" t="s">
        <v>1097</v>
      </c>
      <c r="D11" s="1" t="s">
        <v>532</v>
      </c>
      <c r="E11" s="1" t="s">
        <v>1398</v>
      </c>
      <c r="F11" s="1" t="s">
        <v>1398</v>
      </c>
      <c r="G11" s="127">
        <v>6.9306930693069313E-2</v>
      </c>
      <c r="H11" s="127">
        <f>140/8460</f>
        <v>1.6548463356973995E-2</v>
      </c>
      <c r="I11" s="127">
        <f>(2437*2)/121410</f>
        <v>4.0144963347335472E-2</v>
      </c>
      <c r="J11" s="58">
        <f>1/17</f>
        <v>5.8823529411764705E-2</v>
      </c>
      <c r="K11" s="1" t="s">
        <v>1241</v>
      </c>
    </row>
    <row r="12" spans="1:13" x14ac:dyDescent="0.15">
      <c r="A12" s="1" t="s">
        <v>164</v>
      </c>
      <c r="B12" s="1" t="s">
        <v>1249</v>
      </c>
      <c r="C12" s="1" t="s">
        <v>1099</v>
      </c>
      <c r="D12" s="1" t="s">
        <v>1441</v>
      </c>
      <c r="E12" s="1" t="s">
        <v>1398</v>
      </c>
      <c r="F12" s="1" t="s">
        <v>1398</v>
      </c>
      <c r="G12" s="127">
        <v>4.4554455445544552E-2</v>
      </c>
      <c r="H12" s="127">
        <f>356/8244</f>
        <v>4.3182920912178555E-2</v>
      </c>
      <c r="I12" s="127">
        <f>(1410*2)/120530</f>
        <v>2.3396664730772423E-2</v>
      </c>
      <c r="J12" s="58">
        <f>1/44</f>
        <v>2.2727272727272728E-2</v>
      </c>
      <c r="K12" s="1" t="s">
        <v>1241</v>
      </c>
    </row>
    <row r="13" spans="1:13" x14ac:dyDescent="0.15">
      <c r="A13" s="1" t="s">
        <v>193</v>
      </c>
      <c r="B13" s="1" t="s">
        <v>1444</v>
      </c>
      <c r="C13" s="1" t="s">
        <v>1293</v>
      </c>
      <c r="D13" s="1" t="s">
        <v>1441</v>
      </c>
      <c r="E13" s="1" t="s">
        <v>1398</v>
      </c>
      <c r="F13" s="1" t="s">
        <v>1398</v>
      </c>
      <c r="G13" s="127">
        <v>2.47524752475248E-3</v>
      </c>
      <c r="H13" s="127">
        <f>3/4300</f>
        <v>6.9767441860465117E-4</v>
      </c>
      <c r="I13" s="127">
        <f>23/(121216/2)</f>
        <v>3.7948785638859558E-4</v>
      </c>
      <c r="J13" s="55" t="s">
        <v>1451</v>
      </c>
      <c r="K13" s="1" t="s">
        <v>1450</v>
      </c>
    </row>
    <row r="14" spans="1:13" x14ac:dyDescent="0.15">
      <c r="A14" s="1" t="s">
        <v>90</v>
      </c>
      <c r="B14" s="1" t="s">
        <v>1253</v>
      </c>
      <c r="C14" s="1" t="s">
        <v>1184</v>
      </c>
      <c r="D14" s="1" t="s">
        <v>1441</v>
      </c>
      <c r="E14" s="1" t="s">
        <v>1398</v>
      </c>
      <c r="F14" s="1" t="s">
        <v>1445</v>
      </c>
      <c r="G14" s="127">
        <v>1.2376237623762377E-2</v>
      </c>
      <c r="H14" s="127">
        <v>1.0999999999999999E-2</v>
      </c>
      <c r="I14" s="127">
        <v>1.2E-2</v>
      </c>
      <c r="J14" s="58">
        <f>1/51</f>
        <v>1.9607843137254902E-2</v>
      </c>
      <c r="K14" s="1" t="s">
        <v>1185</v>
      </c>
    </row>
    <row r="15" spans="1:13" x14ac:dyDescent="0.15">
      <c r="A15" s="1" t="s">
        <v>48</v>
      </c>
      <c r="B15" s="1" t="s">
        <v>1443</v>
      </c>
      <c r="C15" s="1" t="s">
        <v>1269</v>
      </c>
      <c r="D15" s="1" t="s">
        <v>520</v>
      </c>
      <c r="E15" s="1" t="s">
        <v>1398</v>
      </c>
      <c r="F15" s="1" t="s">
        <v>1242</v>
      </c>
      <c r="G15" s="127">
        <v>2.47524752475248E-3</v>
      </c>
      <c r="H15" s="127">
        <f>17/4300</f>
        <v>3.9534883720930229E-3</v>
      </c>
      <c r="I15" s="127">
        <f>140/(69218/2)</f>
        <v>4.0451905573694706E-3</v>
      </c>
      <c r="J15" s="127" t="s">
        <v>1242</v>
      </c>
      <c r="K15" s="1" t="s">
        <v>44</v>
      </c>
    </row>
    <row r="16" spans="1:13" x14ac:dyDescent="0.15">
      <c r="G16" s="127"/>
      <c r="H16" s="127"/>
      <c r="I16" s="127"/>
      <c r="J16" s="127"/>
    </row>
    <row r="17" spans="1:13" s="57" customFormat="1" ht="45" x14ac:dyDescent="0.15">
      <c r="A17" s="57" t="s">
        <v>207</v>
      </c>
      <c r="B17" s="57" t="s">
        <v>1333</v>
      </c>
      <c r="C17" s="57" t="s">
        <v>1795</v>
      </c>
      <c r="D17" s="57" t="s">
        <v>1438</v>
      </c>
      <c r="E17" s="57" t="s">
        <v>1439</v>
      </c>
      <c r="F17" s="57" t="s">
        <v>1440</v>
      </c>
      <c r="G17" s="128" t="s">
        <v>1516</v>
      </c>
      <c r="H17" s="128" t="s">
        <v>1515</v>
      </c>
      <c r="I17" s="128" t="s">
        <v>1514</v>
      </c>
      <c r="J17" s="43" t="s">
        <v>1523</v>
      </c>
      <c r="K17" s="57" t="s">
        <v>879</v>
      </c>
      <c r="M17" s="43"/>
    </row>
    <row r="18" spans="1:13" x14ac:dyDescent="0.15">
      <c r="A18" s="1" t="s">
        <v>94</v>
      </c>
      <c r="B18" s="1" t="s">
        <v>1254</v>
      </c>
      <c r="C18" s="1" t="s">
        <v>1517</v>
      </c>
      <c r="D18" s="1" t="s">
        <v>520</v>
      </c>
      <c r="E18" s="1" t="s">
        <v>1398</v>
      </c>
      <c r="F18" s="1" t="s">
        <v>1513</v>
      </c>
      <c r="G18" s="127">
        <f>92/404</f>
        <v>0.22772277227722773</v>
      </c>
      <c r="H18" s="127">
        <v>0.26700000000000002</v>
      </c>
      <c r="I18" s="127">
        <v>0.21299999999999999</v>
      </c>
      <c r="J18" s="59" t="s">
        <v>1524</v>
      </c>
      <c r="K18" s="1" t="s">
        <v>1531</v>
      </c>
      <c r="M18" s="60"/>
    </row>
    <row r="19" spans="1:13" x14ac:dyDescent="0.15">
      <c r="C19" s="1" t="s">
        <v>1518</v>
      </c>
      <c r="D19" s="1" t="s">
        <v>1398</v>
      </c>
      <c r="E19" s="1" t="s">
        <v>1398</v>
      </c>
      <c r="F19" s="1" t="s">
        <v>1513</v>
      </c>
      <c r="G19" s="127">
        <f>22/404</f>
        <v>5.4455445544554455E-2</v>
      </c>
      <c r="H19" s="127">
        <v>0.121</v>
      </c>
      <c r="I19" s="127">
        <v>6.5000000000000002E-2</v>
      </c>
      <c r="J19" s="59" t="s">
        <v>1525</v>
      </c>
    </row>
    <row r="20" spans="1:13" x14ac:dyDescent="0.15">
      <c r="C20" s="1" t="s">
        <v>1521</v>
      </c>
      <c r="G20" s="127">
        <f>7/404</f>
        <v>1.7326732673267328E-2</v>
      </c>
      <c r="H20" s="127">
        <v>2.0199999999999999E-2</v>
      </c>
      <c r="I20" s="127">
        <v>1.4200000000000001E-2</v>
      </c>
      <c r="J20" s="127" t="s">
        <v>1528</v>
      </c>
    </row>
    <row r="21" spans="1:13" x14ac:dyDescent="0.15">
      <c r="C21" s="1" t="s">
        <v>1520</v>
      </c>
      <c r="G21" s="127">
        <f>1/404</f>
        <v>2.4752475247524753E-3</v>
      </c>
      <c r="H21" s="59">
        <v>4.1999999999999997E-3</v>
      </c>
      <c r="I21" s="127">
        <v>2E-3</v>
      </c>
      <c r="J21" s="127" t="s">
        <v>1527</v>
      </c>
    </row>
    <row r="22" spans="1:13" x14ac:dyDescent="0.15">
      <c r="C22" s="1" t="s">
        <v>1519</v>
      </c>
      <c r="G22" s="127">
        <f>8/404</f>
        <v>1.9801980198019802E-2</v>
      </c>
      <c r="H22" s="127" t="s">
        <v>1522</v>
      </c>
      <c r="I22" s="127" t="s">
        <v>1522</v>
      </c>
      <c r="J22" s="127" t="s">
        <v>1526</v>
      </c>
    </row>
    <row r="23" spans="1:13" x14ac:dyDescent="0.15">
      <c r="K23" s="63"/>
    </row>
    <row r="24" spans="1:13" x14ac:dyDescent="0.15">
      <c r="K24" s="63"/>
    </row>
    <row r="28" spans="1:13" x14ac:dyDescent="0.15">
      <c r="C28" s="6"/>
      <c r="D28" s="6"/>
    </row>
    <row r="29" spans="1:13" x14ac:dyDescent="0.15">
      <c r="C29" s="6"/>
      <c r="D29" s="6"/>
    </row>
    <row r="30" spans="1:13" x14ac:dyDescent="0.15">
      <c r="C30" s="6"/>
      <c r="D30" s="6"/>
    </row>
    <row r="31" spans="1:13" x14ac:dyDescent="0.15">
      <c r="C31" s="6"/>
      <c r="D31" s="9"/>
    </row>
    <row r="32" spans="1:13" x14ac:dyDescent="0.15">
      <c r="C32" s="6"/>
      <c r="D32" s="6"/>
    </row>
    <row r="33" spans="3:4" x14ac:dyDescent="0.15">
      <c r="C33" s="6"/>
      <c r="D3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TableS1</vt:lpstr>
      <vt:lpstr>TableS2</vt:lpstr>
      <vt:lpstr>TableS3</vt:lpstr>
      <vt:lpstr>TableS7</vt:lpstr>
      <vt:lpstr>TableS8</vt:lpstr>
      <vt:lpstr>TableS9</vt:lpstr>
      <vt:lpstr>TableS10</vt:lpstr>
      <vt:lpstr>TableS11</vt:lpstr>
    </vt:vector>
  </TitlesOfParts>
  <Company>PMACS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maxwellk</dc:creator>
  <cp:lastModifiedBy>Sigve Nakken</cp:lastModifiedBy>
  <cp:lastPrinted>2015-10-26T18:44:00Z</cp:lastPrinted>
  <dcterms:created xsi:type="dcterms:W3CDTF">2015-01-12T17:25:35Z</dcterms:created>
  <dcterms:modified xsi:type="dcterms:W3CDTF">2018-10-30T21:38:49Z</dcterms:modified>
</cp:coreProperties>
</file>