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206725a8ead01479/Documentos/Nueva carpeta/Matriz/"/>
    </mc:Choice>
  </mc:AlternateContent>
  <xr:revisionPtr revIDLastSave="0" documentId="13_ncr:1_{F4E9BD26-2AF9-4E2A-A766-8206FD539AC5}" xr6:coauthVersionLast="47" xr6:coauthVersionMax="47" xr10:uidLastSave="{00000000-0000-0000-0000-000000000000}"/>
  <bookViews>
    <workbookView xWindow="-108" yWindow="-108" windowWidth="23256" windowHeight="13896" firstSheet="8" activeTab="10" xr2:uid="{00000000-000D-0000-FFFF-FFFF00000000}"/>
  </bookViews>
  <sheets>
    <sheet name="Equipo (desarrolladores)" sheetId="17" r:id="rId1"/>
    <sheet name="Equipo Administrador" sheetId="3" r:id="rId2"/>
    <sheet name="Equipo Supervisor" sheetId="1" r:id="rId3"/>
    <sheet name="Equipo Tecnico Y Auxiliar" sheetId="2" r:id="rId4"/>
    <sheet name="Mouse administrador" sheetId="4" r:id="rId5"/>
    <sheet name="teclado administrador" sheetId="5" r:id="rId6"/>
    <sheet name="Monitor administrador" sheetId="6" r:id="rId7"/>
    <sheet name="Windows 11 Pro" sheetId="7" r:id="rId8"/>
    <sheet name="Licencia de Office" sheetId="8" r:id="rId9"/>
    <sheet name="ANTIVIRUS" sheetId="9" r:id="rId10"/>
    <sheet name="SQL" sheetId="10" r:id="rId11"/>
    <sheet name="Adobe illustrator" sheetId="11" r:id="rId12"/>
    <sheet name="Servicio de internet" sheetId="12" r:id="rId13"/>
    <sheet name="Hosting y Dominio" sheetId="13" r:id="rId14"/>
    <sheet name="Visual Studio" sheetId="14" r:id="rId15"/>
    <sheet name="Windows Server" sheetId="16" r:id="rId16"/>
    <sheet name="Gestor de base de datos" sheetId="18"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8" roundtripDataChecksum="5vbB9Qw6U6lrDs05P9v40y+SDlBkNtWuQYnb1HALob4="/>
    </ext>
  </extLst>
</workbook>
</file>

<file path=xl/calcChain.xml><?xml version="1.0" encoding="utf-8"?>
<calcChain xmlns="http://schemas.openxmlformats.org/spreadsheetml/2006/main">
  <c r="E10" i="18" l="1"/>
  <c r="E9" i="18"/>
  <c r="G8" i="18"/>
  <c r="H8" i="18" s="1"/>
  <c r="H10" i="13"/>
  <c r="H9" i="13"/>
  <c r="H8" i="13"/>
  <c r="H10" i="12"/>
  <c r="H8" i="12"/>
  <c r="H9" i="12"/>
  <c r="H10" i="11"/>
  <c r="H9" i="11"/>
  <c r="H10" i="10"/>
  <c r="H9" i="10"/>
  <c r="H10" i="9"/>
  <c r="H9" i="9"/>
  <c r="H8" i="9"/>
  <c r="H9" i="7"/>
  <c r="H10" i="6"/>
  <c r="H9" i="6"/>
  <c r="H8" i="6"/>
  <c r="H10" i="5"/>
  <c r="H9" i="5"/>
  <c r="H8" i="5"/>
  <c r="H10" i="4"/>
  <c r="H9" i="4"/>
  <c r="H8" i="4"/>
  <c r="H10" i="2"/>
  <c r="H9" i="2"/>
  <c r="H8" i="2"/>
  <c r="H10" i="1"/>
  <c r="F9" i="1"/>
  <c r="G9" i="1"/>
  <c r="G8" i="1"/>
  <c r="H8" i="1"/>
  <c r="G9" i="3"/>
  <c r="H10" i="3"/>
  <c r="H8" i="3"/>
  <c r="H9" i="16"/>
  <c r="H10" i="16"/>
  <c r="E10" i="16"/>
  <c r="E9" i="16"/>
  <c r="F10" i="18" l="1"/>
  <c r="G10" i="18" s="1"/>
  <c r="H10" i="18" s="1"/>
  <c r="F9" i="18"/>
  <c r="G9" i="18" s="1"/>
  <c r="H9" i="18" s="1"/>
  <c r="E10" i="17"/>
  <c r="E9" i="17"/>
  <c r="E8" i="17"/>
  <c r="F8" i="17"/>
  <c r="G8" i="17" s="1"/>
  <c r="H8" i="17" s="1"/>
  <c r="F9" i="17" l="1"/>
  <c r="G9" i="17" s="1"/>
  <c r="H9" i="17" s="1"/>
  <c r="F10" i="17"/>
  <c r="G10" i="17" l="1"/>
  <c r="H10" i="17" s="1"/>
  <c r="G8" i="16" l="1"/>
  <c r="H8" i="16" s="1"/>
  <c r="F9" i="16" l="1"/>
  <c r="F10" i="16"/>
  <c r="G10" i="16" l="1"/>
  <c r="G9" i="16"/>
  <c r="F9" i="2" l="1"/>
  <c r="E9" i="2"/>
  <c r="E8" i="1"/>
  <c r="F8" i="1"/>
  <c r="E8" i="9" l="1"/>
  <c r="E10" i="9"/>
  <c r="E10" i="14"/>
  <c r="F10" i="14" s="1"/>
  <c r="E9" i="14"/>
  <c r="F9" i="14" s="1"/>
  <c r="E8" i="14"/>
  <c r="F8" i="14" s="1"/>
  <c r="E10" i="13"/>
  <c r="E9" i="13"/>
  <c r="E8" i="13"/>
  <c r="E10" i="12"/>
  <c r="E9" i="12"/>
  <c r="E8" i="12"/>
  <c r="E10" i="11"/>
  <c r="E9" i="11"/>
  <c r="E8" i="11"/>
  <c r="F8" i="11" s="1"/>
  <c r="E10" i="10"/>
  <c r="E9" i="10"/>
  <c r="G8" i="10"/>
  <c r="H8" i="10" s="1"/>
  <c r="E9" i="9"/>
  <c r="E10" i="8"/>
  <c r="F10" i="8" s="1"/>
  <c r="E9" i="8"/>
  <c r="F9" i="8" s="1"/>
  <c r="E8" i="8"/>
  <c r="F8" i="8" s="1"/>
  <c r="E10" i="7"/>
  <c r="F10" i="7" s="1"/>
  <c r="E9" i="7"/>
  <c r="E8" i="7"/>
  <c r="F8" i="7" s="1"/>
  <c r="E10" i="6"/>
  <c r="E9" i="6"/>
  <c r="E8" i="6"/>
  <c r="G10" i="5"/>
  <c r="F10" i="5"/>
  <c r="F9" i="5"/>
  <c r="E9" i="5"/>
  <c r="F8" i="5"/>
  <c r="E8" i="5"/>
  <c r="G8" i="5" s="1"/>
  <c r="F10" i="4"/>
  <c r="E10" i="4"/>
  <c r="F9" i="4"/>
  <c r="E9" i="4"/>
  <c r="G9" i="4" s="1"/>
  <c r="F8" i="4"/>
  <c r="E8" i="4"/>
  <c r="E10" i="3"/>
  <c r="G10" i="3" s="1"/>
  <c r="H9" i="3"/>
  <c r="E8" i="3"/>
  <c r="G8" i="3" s="1"/>
  <c r="G10" i="2"/>
  <c r="E10" i="2"/>
  <c r="E8" i="2"/>
  <c r="G8" i="2" s="1"/>
  <c r="E10" i="1"/>
  <c r="E9" i="1"/>
  <c r="H9" i="1" s="1"/>
  <c r="F8" i="9" l="1"/>
  <c r="G8" i="9" s="1"/>
  <c r="G10" i="9"/>
  <c r="F10" i="9"/>
  <c r="F8" i="6"/>
  <c r="F9" i="6"/>
  <c r="F10" i="6"/>
  <c r="F9" i="7"/>
  <c r="F9" i="9"/>
  <c r="F10" i="1"/>
  <c r="G10" i="1" s="1"/>
  <c r="G9" i="2"/>
  <c r="G8" i="4"/>
  <c r="G10" i="4"/>
  <c r="G9" i="5"/>
  <c r="G8" i="6"/>
  <c r="G10" i="6"/>
  <c r="G8" i="7"/>
  <c r="H8" i="7" s="1"/>
  <c r="G9" i="7"/>
  <c r="G10" i="7"/>
  <c r="H10" i="7" s="1"/>
  <c r="G8" i="8"/>
  <c r="H8" i="8" s="1"/>
  <c r="G9" i="8"/>
  <c r="H9" i="8" s="1"/>
  <c r="G10" i="8"/>
  <c r="H10" i="8" s="1"/>
  <c r="G9" i="9"/>
  <c r="G8" i="11"/>
  <c r="H8" i="11" s="1"/>
  <c r="G10" i="11"/>
  <c r="G9" i="12"/>
  <c r="G8" i="13"/>
  <c r="G10" i="13"/>
  <c r="G8" i="14"/>
  <c r="H8" i="14" s="1"/>
  <c r="G9" i="14"/>
  <c r="H9" i="14" s="1"/>
  <c r="G10" i="14"/>
  <c r="H10" i="14" s="1"/>
  <c r="F9" i="10"/>
  <c r="F10" i="10"/>
  <c r="F9" i="11"/>
  <c r="G9" i="11" s="1"/>
  <c r="F10" i="11"/>
  <c r="F8" i="12"/>
  <c r="F9" i="12"/>
  <c r="F10" i="12"/>
  <c r="G10" i="12" s="1"/>
  <c r="F8" i="13"/>
  <c r="F9" i="13"/>
  <c r="F10" i="13"/>
  <c r="G9" i="10" l="1"/>
  <c r="G9" i="13"/>
  <c r="G8" i="12"/>
  <c r="G10" i="10"/>
  <c r="G9" i="6"/>
</calcChain>
</file>

<file path=xl/sharedStrings.xml><?xml version="1.0" encoding="utf-8"?>
<sst xmlns="http://schemas.openxmlformats.org/spreadsheetml/2006/main" count="722" uniqueCount="397">
  <si>
    <t>CUADRO DE COTIZACIONES</t>
  </si>
  <si>
    <t xml:space="preserve">Cuadro Comparativo de Cotizaciones </t>
  </si>
  <si>
    <t xml:space="preserve">Presupuestos (a)
</t>
  </si>
  <si>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</si>
  <si>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</si>
  <si>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</si>
  <si>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</si>
  <si>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</si>
  <si>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</si>
  <si>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t>Tipo de cambio</t>
  </si>
  <si>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</si>
  <si>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</si>
  <si>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Nº 1</t>
  </si>
  <si>
    <t>ALKOSTO</t>
  </si>
  <si>
    <t>https://www.alkosto.com/computador-all-in-one-asus-238-pulgadas-m3402wfak-amd/p/4711387340455</t>
  </si>
  <si>
    <t>Computador All in One ASUS 27" Pulgadas M3702WFAK Táctil - AMD Ryzen 5 - RAM 16GB - Disco SSD 512 GB SSD - Negro</t>
  </si>
  <si>
    <t xml:space="preserve">CONTADO/CREDITO
</t>
  </si>
  <si>
    <t xml:space="preserve">AMD Ryzen 5 7520U Velocidad del Procesador 2.8 GHz 
2.8 GHz (4-core/8-thread, 2 MB cache, up to 4.3 GHz max boost) Estado Solido SSD 512 GB 
Memoria RAM
16 GB </t>
  </si>
  <si>
    <t xml:space="preserve">Nº2 </t>
  </si>
  <si>
    <t>ASUS STORE</t>
  </si>
  <si>
    <t>https://www.asusbymacman.es/asus-aio-m3702wfak-wa0270-blanco-27-all-in-one-5169.html?srsltid=AfmBOorjAtE3EvOCpVyiLmTzq_p8bZ6xrkxy7tlpNUu_iuSQJjnHkxla</t>
  </si>
  <si>
    <t>Asus AiO M3702WFAK-WA0270</t>
  </si>
  <si>
    <t>Pantalla: IPS 27" FHD 1920 x 1080 LCD 16:9 Anti-Glare / 250 nits / sRGB :100% / 75Hz / 1000:1
Procesador: AMD Ryzen 5 7520U a 4,3 GHz (caché de 2MB, 10 núcleos)
Memoria: 16GB LPDDR5-SDRAM
Almacenamiento: SSD 512GB M.2 NVMe PCIe 3.0
Gráfica: AMD Radeon Graphics
Cámara: HD de 720p (Con filtro de privacidad)
LAN: Realtek RTL8111H 10/100/1000 GbE
Audio: Altavoz / Micrófono integrados / SonicMaster
Color: Blanco
Accesorios: Ratón y teclado incluidos</t>
  </si>
  <si>
    <t>Nº 3</t>
  </si>
  <si>
    <t>CompuCentro</t>
  </si>
  <si>
    <r>
      <rPr>
        <sz val="10"/>
        <rFont val="Arial"/>
      </rPr>
      <t xml:space="preserve">
</t>
    </r>
    <r>
      <rPr>
        <u/>
        <sz val="10"/>
        <color rgb="FF1155CC"/>
        <rFont val="Arial"/>
      </rPr>
      <t>https://compucentro.co/todo-en-uno-asus-m3702wfak-ryzen-5-7520u-ram-16gb-ssd-512gb-27-pulgadas/</t>
    </r>
  </si>
  <si>
    <t>Todo en Uno ASUS M3702WFAK Ryzen 5 7520U RAM 16GB SSD 512GB 27 Pulgadas</t>
  </si>
  <si>
    <t xml:space="preserve">AMD Ryzen 5 7520U (4-core/8-thread, 2 MB cache, up to 4.3 GHz max boost).
RAM: 16GB LPDDR5 on board.
512GB M.2 NVMe PCIe 3.0 SSD.
Pantalla 27,0 pulgadas, FHD (1920 x 1080) 16:9, Vista amplia
</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</si>
  <si>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</si>
  <si>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</si>
  <si>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</si>
  <si>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</si>
  <si>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</si>
  <si>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</si>
  <si>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</si>
  <si>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</si>
  <si>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</si>
  <si>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</si>
  <si>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Falabella</t>
  </si>
  <si>
    <t>https://www.falabella.com.co/falabella-co/product/138409672/TODO-EN-UNO-ACER-AMD-RYZEN-5-5500U-SSD-512GB-RAM-16GB-LED-24-FHD/138409673</t>
  </si>
  <si>
    <t xml:space="preserve">COLOR: PLATA / NEGRO
MARCA: ACER ASPIRE
TIPO DE COMPUTADOR: TODO EN UNO
MODELO: ASPIRE C24-1100-COR585E
PROCESADOR: AMD RYZEN 5-5500U
CANTIDAD DE NUCLEOS: 6
CANTIDAD DE SUBPROCESOS: 12
VELOCIDAD BASICA DEL PROCESADOR: 2,1 GHZ
VELOCIDAD MAXIMA: 4 GHZ
GRAFICOS: AMD RADEON GRAPHICS
TIPO DE ALMACENAMIENTO DE DISCO: SSD M.2 512GB NVME GEN3 PCI-E
CAPACIDAD DE MEMORIA RAM: 16GB DDR4 3200MHZ
</t>
  </si>
  <si>
    <t>MERCADO LIBRE</t>
  </si>
  <si>
    <t>https://articulo.mercadolibre.com.co/MCO-1502436579-aio-acer-aspire-c24-amd-ryzen-5-5500u-ssd-512gb-ram-16gb-_JM</t>
  </si>
  <si>
    <t>https://giftronic04.mercadoshops.com.co/MCO-1453095557-aio-acer-238-fhd-amd-r5-5500u-ram-16gb-512gb-ssd-silver-_JM</t>
  </si>
  <si>
    <t>Características:
Referencia: C24-1100
Marca: ACER
Tipo: ALL IN ONE
Resolución Pantalla Full HD (1920x1080)
Tamaño Pantalla 23,8’ Pulgadas
Memoria RAM: 16GB DDR4 3200 MHz
Tipos de Discos que Incluye Disco Estado Solido (SSD)
Capacidad de Disco 512GB SSD
Marca del Procesador AMD
Procesador AMD RYZEN 5-5500U</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</si>
  <si>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</si>
  <si>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</si>
  <si>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Cuadro Comparativo de Cotizaciones  Administrador</t>
  </si>
  <si>
    <t>computador</t>
  </si>
  <si>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</si>
  <si>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</si>
  <si>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</si>
  <si>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</si>
  <si>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</si>
  <si>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</si>
  <si>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</si>
  <si>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</si>
  <si>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Mercado Libre</t>
  </si>
  <si>
    <t>https://articulo.mercadolibre.com.co/MCO-1480638883-servidor-lenovo-thinkserver-ts440-xeon-ram-16gb-600gbx2-sas-_JM#polycard_client=search-nordic&amp;position=1&amp;search_layout=stack&amp;type=item&amp;tracking_id=28e80c77-78df-45b0-8a0d-943d8cc98bc5nordic&amp;position=13&amp;search_layout=stack&amp;type=item&amp;tracking_id=7b11a4c0-353b-4b3f-9297-2c25f55df377</t>
  </si>
  <si>
    <t>Servidor Lenovo Thinkserver Ts440 Xeon Ram 16gb 600gbx2 Sas</t>
  </si>
  <si>
    <t>Lenovo ThinkServer TS440
Performance
Processor Intel Xeon E3-1226 v3
Media Bays Up to 2 x 5.25"
Disk Bays Up to 4 x 3.5" Fixed or
Up to 8 x 3.5" hot-swap or
Up to 8 x 2.5" hot-swap
Dimensions (W X D X H) 7.67" x 23.42" x 16.92" (194.81 mm x 594.86 mm x 429.76 mm)
Weight Starting at 61.8 lbs (28.0 kg)</t>
  </si>
  <si>
    <t>Lenovo</t>
  </si>
  <si>
    <t>https://www.tiendalenovo.es/servidor-lenovo-thinkserver-ts440-70aq001vsp</t>
  </si>
  <si>
    <t xml:space="preserve">Servidor Lenovo ThinkServer TS440 - 70AQ001VSP
</t>
  </si>
  <si>
    <t>Intel Xeon E3-1226 v3 hasta 3.7GHz, 4Gb RAM (máx. 32Gb), Sin Disco Duro (4x3.5" SATA), Intel HD Graphics P4600, DVD-RW, VGA, USB 3.0, RAID 100 (0,1,5,10,50),RJ45, serie, 2x450W HS redundantes</t>
  </si>
  <si>
    <t>Tienda KM</t>
  </si>
  <si>
    <t>https://kmilovelasco.mercadoshops.com.co/MCO-1501093779-servidor-lenovo-thinkserver-ts440-xeon-ram-16gb-12-tb-sas-_JM</t>
  </si>
  <si>
    <t xml:space="preserve">Servidor Lenovo Thinkserver Ts440 Xeon Ram 16gb 1.2 Tb Sas </t>
  </si>
  <si>
    <t>Marca        
Lenovo
Modelo        
Thinkserver TS440
Tipo de procesador        
XEON E3 1226 V3
Tamaño del disco duro        
1,2 TB
Marca del procesador        
Intel
Línea del procesador        
INTEL XEON E3 1226 V3
Modelo del procesador        
1226
15.6  Pulgadas</t>
  </si>
  <si>
    <t xml:space="preserve">(a) Se deben presentar tres (3) presupuestos cuando:   
   El valor del gasto supere el monto de pesos un mil ($ 1.000,00). 
     Se pueden presentar al menos tres (3) solicitudes de cotización (del bien o servicio a contratar) cursadas a tres o más empresas oferentes.
     La selección del proveedor se hará con el criterio del más bajo precio.
     En caso de no contar con tres (3) presupuestos, o no poder seleccionar al proveedor que ofrece menor precio, presentar este cuadro una nota de justificación siguiendo las pautas del ítem    (XX)
</t>
  </si>
  <si>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</si>
  <si>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</si>
  <si>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</si>
  <si>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</si>
  <si>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</si>
  <si>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</si>
  <si>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</si>
  <si>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</si>
  <si>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</si>
  <si>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</si>
  <si>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</si>
  <si>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</si>
  <si>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</si>
  <si>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</si>
  <si>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</si>
  <si>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</si>
  <si>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</si>
  <si>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r>
      <rPr>
        <u/>
        <sz val="10"/>
        <color rgb="FF1155CC"/>
        <rFont val="Arial"/>
      </rPr>
      <t>Mouse Alambrico Usb Logitech M110 Black Silencioso Color Negro | Cuotas sin interés</t>
    </r>
  </si>
  <si>
    <t>Mouse Alambrico Usb Logitech M110 Black Silencioso Color Negro</t>
  </si>
  <si>
    <t>Contado/Credito</t>
  </si>
  <si>
    <t>Tipo de mouse: Convencional                      Tipo de sensor: Óptico              Es inalámbrico: No                                        Resolución del sensor: 1000 dpi</t>
  </si>
  <si>
    <r>
      <rPr>
        <u/>
        <sz val="10"/>
        <color rgb="FF1155CC"/>
        <rFont val="Arial"/>
      </rPr>
      <t>Logitech M110 Silent Mouse Usb Clics 90% Más Silenciosos Negro LOGITECH | falabella.com</t>
    </r>
  </si>
  <si>
    <t>Logitech M110 Silent Mouse Usb Clics 90% Más Silenciosos Negro</t>
  </si>
  <si>
    <t>Acaba todo tu trabajo sin perder el ritmo y sin molestar a los que te rodean. Los silenciosos mouse SILENT ofrecen la misma sensación de click pero sin el ruido, reducido en más de un 90%. 1 Un fluido botón rueda completa la silenciosa experiencia. Los mouse SILENT eliminan el exceso de ruido a la vez que protegen la salud y la productividad de todos. Haz que éste sea tu último molesto click. Tu familia y tus amigos te lo agradecerán.</t>
  </si>
  <si>
    <t>Alkosto</t>
  </si>
  <si>
    <r>
      <rPr>
        <u/>
        <sz val="10"/>
        <color rgb="FF1155CC"/>
        <rFont val="Arial"/>
      </rPr>
      <t>Mouse LOGITECH Alámbrico Óptico M110 Silent Gris</t>
    </r>
  </si>
  <si>
    <t>Mouse LOGITECH Alámbrico Óptico M110 Silent Gris</t>
  </si>
  <si>
    <t>Acaba todo tu trabajo sin perder el ritmo y sin molestar a los que te rodean. El silencioso Mouse Silent de LOGITECH Gris ofrece la misma sensación de clic pero sin el ruido. Un fluido botón rueda completa la silenciosa experiencia. Los Mouse SILENT eliminan el exceso de ruido a la vez que protegen la salud y la productividad de todos.</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</si>
  <si>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</si>
  <si>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</si>
  <si>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</si>
  <si>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</si>
  <si>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</si>
  <si>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</si>
  <si>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</si>
  <si>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</si>
  <si>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</si>
  <si>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</si>
  <si>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mercadolibre</t>
  </si>
  <si>
    <t>https://www.mercadolibre.com.co/logitech-k120-teclado-usb-desempeno-agradable-y-silencioso-teclado-negro-idioma-espanol-espana/p/MCO10001436#polycard_client=search-nordic&amp;searchVariation=MCO10001436&amp;position=1&amp;search_layout=stack&amp;type=product&amp;tracking_id=c92bed1e-0538-4976-a74f-a7c47595641b&amp;wid=MCO996534720&amp;sid=search</t>
  </si>
  <si>
    <t>gamerscolombia</t>
  </si>
  <si>
    <t>https://www.gamerscolombia.com/producto/LOGITECHK120?srsltid=AfmBOopDPaEWSw2HyWODj733NLykU8mAHI8xhrr8i2R7Zb3SaGnWl2R2</t>
  </si>
  <si>
    <t>megacomputer</t>
  </si>
  <si>
    <t>https://megacomputer.com.co/producto/teclado-logitech-k120-usb/</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</si>
  <si>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</si>
  <si>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</si>
  <si>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</si>
  <si>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</si>
  <si>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</si>
  <si>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</si>
  <si>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</si>
  <si>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</si>
  <si>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</si>
  <si>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</si>
  <si>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FALABELLA</t>
  </si>
  <si>
    <t>https://www.falabella.com.co/falabella-co/product/117383622/Monitor-Samsung-24-Pulgadas-FHD-IPS-75Hz-5ms-%E2%80%93-HDMI/117383623</t>
  </si>
  <si>
    <t xml:space="preserve">Una rápida velocidad de actualización de 165 Hz
Tiempo de respuesta en su pantalla de 1 ms GTG
Tecnología IPS, para la durabilidad del monitor
Compatible con Consolas de Videojuegos
Base completamente ajustable inclinación, giro y altura
</t>
  </si>
  <si>
    <t>https://www.mercadolibre.com.co/monitor-samsung-24-pulgadas-fhd-ips-75hz-5ms-s24c310-negro-110v/p/MCO43961584#polycard_client=search-nordic&amp;searchVariation=MCO43961584&amp;position=35&amp;search_layout=stack&amp;type=product&amp;tracking_id=3c8dc1ce-2995-421c-8d51-d4836b496f1f&amp;wid=MCO2812586906&amp;sid=search</t>
  </si>
  <si>
    <t>Monitor Samsung 24 Pulgadas FHD IPS 75Hz 5ms S24C310 Negro 110V</t>
  </si>
  <si>
    <t xml:space="preserve">Tamaño de la pantalla: 24 "
Posee pantalla antirreflejo.
Tiene una resolución de 1920 px x 1080 px
Relación de aspecto de 16:9.
Panel IPS.
Su brillo es de 250cd/m².
Con conexión HDMI.
</t>
  </si>
  <si>
    <t>EXITO</t>
  </si>
  <si>
    <t>https://www.exito.com/monitor-samsung-24-pulgadas-full-hd-ls24c310ealxzl-103964340-mp/p</t>
  </si>
  <si>
    <t>Monitor Samsung 24 Pulgadas Fhd Ips 75Hz 5Ms S24c310 Hdmi</t>
  </si>
  <si>
    <t xml:space="preserve">Diseño minimalista, concentración máxima. La pantalla sin bordes de 3lados aporta una estética limpia y moderna a cualquier entorno de trabajo. En una configuración de múltiples monitores, las pantallas se alinean a la perfección para ofrecer una vista sin espacios ni distracciones.
</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</si>
  <si>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</si>
  <si>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</si>
  <si>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Cuadro Comparativo de Cotizaciones  software</t>
  </si>
  <si>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</si>
  <si>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</si>
  <si>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</si>
  <si>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</si>
  <si>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</si>
  <si>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</si>
  <si>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</si>
  <si>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</si>
  <si>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COLOMBIA KEYS</t>
  </si>
  <si>
    <t>https://colombiakeys.com/producto/windows-11-pro-retail/</t>
  </si>
  <si>
    <t>Windows 11 Pro Retail</t>
  </si>
  <si>
    <t>Activación permanente para 1 dispositivo.
Ideal para negocios y entornos profesionales.
Compatible con sistemas de 32 y 64 bits.
Clave de activación alfanumérica de 25 caracteres (XXXXX-XXXXX-XXXXX-XXXXX)
Potencia tu creatividad con herramientas avanzadas.</t>
  </si>
  <si>
    <t>REVOLUTION SOFT COLOMBIA</t>
  </si>
  <si>
    <r>
      <rPr>
        <u/>
        <sz val="10"/>
        <color rgb="FF1155CC"/>
        <rFont val="Arial"/>
      </rPr>
      <t>Compra Windows 11 PRO - Licencia Vitalicia</t>
    </r>
  </si>
  <si>
    <t xml:space="preserve">
Microsoft Windows 11 PRO - Licencia Vitalicia</t>
  </si>
  <si>
    <t>✔️ Enviamos factura de compra.
✔️ Garantía de por vida en tu licencia. 
✔️ Licencia válida para Colombia.
✔️ Licencia FPP: licencia válida para cambiarla de Pc cada vez que quieras. (solo en un Pc a la vez) y puedes reinstalarla tantas veces como necesites.
✔️ Licencia válida para empresas y particulares. (válida para pasar auditorías y para reventa).
✔️ Servicio de atención al cliente gratuito. También contarás con el soporte oficial de Microsoft.</t>
  </si>
  <si>
    <t>ACTIVATUSOFTWARE</t>
  </si>
  <si>
    <r>
      <rPr>
        <u/>
        <sz val="10"/>
        <color rgb="FF1155CC"/>
        <rFont val="Arial"/>
      </rPr>
      <t>Compra Licencia Windows 11 Pro - ActivaTuSoftware.com</t>
    </r>
  </si>
  <si>
    <t>Entrega digital inmediata: Recibe el código de activación en tu correo electrónico las 24 horas del día, todos los días del año.
Funcionalidades avanzadas: Windows 11 Pro incluye herramientas de seguridad robustas, como BitLocker y Windows Information Protection, además de soporte para escritorios virtuales y una interfaz moderna que mejora la productividad con un Menú de Inicio rediseñado y Widgets personalizables.
Compatibilidad con hardware de última generación: Optimizado para procesadores de 64 bits y soporta aplicaciones x64 y ARM64, lo que garantiza un rendimiento superior.
Ideal para entornos profesionales: Diseñado para usuarios empresariales y técnicos que necesitan características de administración avanzadas y soporte para entornos de trabajo híbridos.</t>
  </si>
  <si>
    <t>P</t>
  </si>
  <si>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</si>
  <si>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</si>
  <si>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</si>
  <si>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</si>
  <si>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</si>
  <si>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</si>
  <si>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</si>
  <si>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</si>
  <si>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</si>
  <si>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</si>
  <si>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</si>
  <si>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</si>
  <si>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</si>
  <si>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</si>
  <si>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</si>
  <si>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</si>
  <si>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</si>
  <si>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MICROSOFT</t>
  </si>
  <si>
    <t>https://signup.microsoft.com/get-started/signup?products=b8223c6c-5717-4564-8ed1-a46bf9b0e30a&amp;mproducts=CFQ7TTC0LDPB%3a0001&amp;fmproducts=CFQ7TTC0LDPB%3a0001&amp;term=P1Y&amp;billingterm=P1Y&amp;culture=es-co&amp;country=co&amp;ali=1</t>
  </si>
  <si>
    <t>Microsoft 365 Empresa Estándar</t>
  </si>
  <si>
    <t>Comience rápidamente con documentos, hojas de cálculo, presentaciones, y correo electrónico.
El trabajo desde cualquier lugar, en cualquier dispositivo
Reúnase en línea y chatee de forma segura con Microsoft Teams
Haga una copia de seguridad y comparta archivos con un terabyte de almacenamiento de almacenamiento en la nube</t>
  </si>
  <si>
    <t>TECNOZERO</t>
  </si>
  <si>
    <t>https://www.tecnozero.com/office-365/planes/</t>
  </si>
  <si>
    <t>Comience rápidamente con documentos, hojas de cálculo, presentaciones, y correo electrónico.
El trabajo desde cualquier lugar, en cualquier dispositivo
Reúnase en línea y chatee de forma segura con Microsoft Teams
Haga una copia de seguridad y comparta archivos con un terabyte de almacenamiento de almacenamiento en la nube
de Windows Server 2022 Standard Edition y adaptarlo a las necesidades de tu negocio.</t>
  </si>
  <si>
    <t>NAKIVO</t>
  </si>
  <si>
    <t>https://www.nakivo.com/es/blog/office-365-business-plans-comparison/</t>
  </si>
  <si>
    <t>Microsoft 365 Estándar Empresarial</t>
  </si>
  <si>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</si>
  <si>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</si>
  <si>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</si>
  <si>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</si>
  <si>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</si>
  <si>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</si>
  <si>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</si>
  <si>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</si>
  <si>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</si>
  <si>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</si>
  <si>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</si>
  <si>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</si>
  <si>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</si>
  <si>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</si>
  <si>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</si>
  <si>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</si>
  <si>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</si>
  <si>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KASPERSKY</t>
  </si>
  <si>
    <t>https://latam.kaspersky.com/small-business-security/small-office-security</t>
  </si>
  <si>
    <t>Kaspersky Small Office Security</t>
  </si>
  <si>
    <t>PANAMERICANA</t>
  </si>
  <si>
    <t>https://www.panamericana.com.co/kaspersky-small-office-security-7/p?skuId=591326</t>
  </si>
  <si>
    <t>Kaspersky Small Office Security 7 [Código digital]</t>
  </si>
  <si>
    <t>Kaspersky Small Office Security se diseñó específicamente para pequeñas oficinas que desean centrarse en aumentar sus ingresos mientras mantienen la tranquilidad respecto de la seguridad de TI, todo gracias a un servicio de protección asequible y confiable. 
Kaspersky Small Office Security combina la simplicidad de una protección de computadoras domésticas con funciones especiales para mantener su empresa segura cuando los empleados realizan sus labores.</t>
  </si>
  <si>
    <t>Kaspersky Small Office Security 5 Dispositivos 1 Año</t>
  </si>
  <si>
    <t>•Cobertura para 5 equipos PC
•Cobertura para 5 dispositivos móviles
•1 servidor de archivos
•5 PASSWORD MANAGERS
•5 VPN ILIMITADAS</t>
  </si>
  <si>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</si>
  <si>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</si>
  <si>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</si>
  <si>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</si>
  <si>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</si>
  <si>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</si>
  <si>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</si>
  <si>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</si>
  <si>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</si>
  <si>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</si>
  <si>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</si>
  <si>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</si>
  <si>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</si>
  <si>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</si>
  <si>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</si>
  <si>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</si>
  <si>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</si>
  <si>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Microsoft</t>
  </si>
  <si>
    <t>https://www.microsoft.com/en-us/sql-server/sql-server-2022-pricing#footnote2</t>
  </si>
  <si>
    <t>sql server</t>
  </si>
  <si>
    <t>-Licencia original 1 Pc (Serial alfanumérico de 25 dígitos).
-Enlaces oficiales de descarga.
-Instrucciones de uso.
-Certificado ID Partner distribuidor (Solicitarlo vía correo luego de la compra).</t>
  </si>
  <si>
    <t>Revolution Soft Colombia</t>
  </si>
  <si>
    <t>https://revolutionsoft.com.co/microsoft-sql-server/sql-server-2022-standard.html?id_product_attribute=0</t>
  </si>
  <si>
    <t>Licencia Microsoft SQL Server 2022 Standard Edition - 16 cores - Usuarios Ilimitados</t>
  </si>
  <si>
    <t>Licencia FPP: licencia válida para cambiarla de equipo cada vez que quieras. (solo en un equipo a la vez), puedes reinstalarla tantas veces como necesites.
Licencia válida para empresas (válida para pasar auditoría y para reventa).
 Garantía de por vida.
Licencia de por vida, compra AHORA y úsala para SIEMPRE.
Enviamos factura de compra con IVA desglosado, incluye clave de activación.
Servicio atención al cliente gratuito: el mejor soporte para nuestros clientes. También contarás con el soporte oficial de Microsoft.</t>
  </si>
  <si>
    <t>Lasus</t>
  </si>
  <si>
    <t>https://lasus.com.co/es/licencia-de-dispositivo-para-sql-server-2022-1-cal-nce-com-bas-per-1tm?srsltid=AfmBOoql2TZgvJwjgdka-j7JM9JsRXS-jojxbKUypCq3EUfwjHnZczF-5OM</t>
  </si>
  <si>
    <t>Licencia de dispositivo para SQL Server 2022</t>
  </si>
  <si>
    <t>Microsoft SQL Server es una plataforma de información preparada para la nube que ayudará a las organizaciones a conseguir análisis y perspectivas de nivel excepcional en toda la organización y permitirá crear con rapidez soluciones capaces de extenderse dentro de la red corporativa y en la nube</t>
  </si>
  <si>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</si>
  <si>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</si>
  <si>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</si>
  <si>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</si>
  <si>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</si>
  <si>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</si>
  <si>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</si>
  <si>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</si>
  <si>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</si>
  <si>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</si>
  <si>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</si>
  <si>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</si>
  <si>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</si>
  <si>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</si>
  <si>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</si>
  <si>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</si>
  <si>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</si>
  <si>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ADOBE</t>
  </si>
  <si>
    <t>https://www.adobe.com/co/creativecloud/business-plans.html?filter=illustration</t>
  </si>
  <si>
    <t>Adobe Illustrator</t>
  </si>
  <si>
    <t>Admin Console para gestionar licencias
Asistencia técnica avanzada ininterrumpida
Publicaciones de ofertas de trabajo ilimitadas con Adobe Talent
Integración de las aplicaciones de Slack y Microsoft Teams</t>
  </si>
  <si>
    <t>clics</t>
  </si>
  <si>
    <t>https://3clics.co/index.php/es/otros-softwares/adobe/licencia-adobe-ilustrator-por-1-a%C3%B1o-detail</t>
  </si>
  <si>
    <t>Licencia Adobe Ilustrator por 1 año</t>
  </si>
  <si>
    <t>-Licencia / Subscripción por 1 año para Adobe Ilustrator
-Activación con su propia cuenta de usuario
-Licencia “Business” apta para empresas
-Incluye acceso a todos los programas incluidos por el paquete.
-Para un dispositivo por licencia.</t>
  </si>
  <si>
    <t>Key hub</t>
  </si>
  <si>
    <t>https://www.keyhub.com.co/tienda/adobe-creative-cloud-1-mes/</t>
  </si>
  <si>
    <t>ADOBE CREATIVE CLOUD 1 MES</t>
  </si>
  <si>
    <t>Creacion de cuenta nueva con tus datos personales
Se activa desde el sitio oficial
Compatible con Windows/Mac
Suscripción por un 1 mes
Contiene todas las aplicaciones de Adobe
IA Generativa</t>
  </si>
  <si>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</si>
  <si>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</si>
  <si>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</si>
  <si>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</si>
  <si>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</si>
  <si>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</si>
  <si>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</si>
  <si>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</si>
  <si>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</si>
  <si>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</si>
  <si>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</si>
  <si>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</si>
  <si>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</si>
  <si>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</si>
  <si>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</si>
  <si>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</si>
  <si>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</si>
  <si>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WOM</t>
  </si>
  <si>
    <t>https://store.wom.cl/hogar/internet-fibra-optica/factibilidad-internet/#fibra-optica</t>
  </si>
  <si>
    <t>Plan Internet Fibra
Mensual
800 Megas</t>
  </si>
  <si>
    <t>Velocidad simétrica
Hasta 800 Mbps de subida y bajada
prefix icon
Contact center
24/7 disponible para ti
prefix icon
Sin letra chica
Cobros y boletas transparentes
prefix icon
Incluye instalación
Agenda la instalación GRATIS
prefix icon
WOM Life
Asistencias en salud, mascotas y hogar</t>
  </si>
  <si>
    <t>Directv</t>
  </si>
  <si>
    <t>https://www.directvla.com/co/servicios/internet</t>
  </si>
  <si>
    <t xml:space="preserve">Internet 
300 megas </t>
  </si>
  <si>
    <t>Ideal para streaming y trabajar desde casa 
Más velocidad y conexiones estables gracias a la ¡fibra óptica! 
Combinalo con DGO, nuestra plataforma streaming 
 Agrega Plataformas Streaming</t>
  </si>
  <si>
    <t>ETB</t>
  </si>
  <si>
    <t>https://etb.com/hogares/Bogota.aspx?plan=inter</t>
  </si>
  <si>
    <t>300 Mb
DE INTERNET
Punto Cableado</t>
  </si>
  <si>
    <t>300 Mbps / Velocidad de Bajada
300 Mbps / Velocidad de Subida
img benefit
Descarga una canción de 7MB en 1s (opcional)
img benefit
Descarga una juego (1GB) en 2 minutos
img benefit
Descarga una película HD (4GB) en 8 minutos</t>
  </si>
  <si>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</si>
  <si>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</si>
  <si>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</si>
  <si>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</si>
  <si>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</si>
  <si>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</si>
  <si>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</si>
  <si>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</si>
  <si>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</si>
  <si>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</si>
  <si>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</si>
  <si>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</si>
  <si>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</si>
  <si>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</si>
  <si>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</si>
  <si>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</si>
  <si>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</si>
  <si>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Colombia Latinoamerica Hosting</t>
  </si>
  <si>
    <t>https://www.hostinger.com/co/hosting-web?_gl=1*92vnox*_up*MQ..*_gs*MQ..&amp;gclid=EAIaIQobChMIhonQ1qiqjAMVUKNaBR1i3jA4EAAYAyAAEgKBnPD_BwE</t>
  </si>
  <si>
    <t>Hosting Premiun</t>
  </si>
  <si>
    <r>
      <rPr>
        <b/>
        <sz val="10"/>
        <color theme="1"/>
        <rFont val="Trebuchet MS"/>
      </rPr>
      <t xml:space="preserve">Dominio gratis     </t>
    </r>
    <r>
      <rPr>
        <sz val="10"/>
        <color theme="1"/>
        <rFont val="Trebuchet MS"/>
      </rPr>
      <t xml:space="preserve">                                     25 sitios web
Hosting administrado para WordPress
~25 000 visitas al mes
25 GB de almacenamiento SSD
400 000 archivos y directorios (inodos)
Plantillas prediseñadas gratis
Migración automática de sitios web gratis
SSL gratis e ilimitado
25 buzones: gratis durante 1 año
Copias de seguridad semanales</t>
    </r>
  </si>
  <si>
    <t>https://clientes.latinoamericahosting.com.co/store/cloud-hosting</t>
  </si>
  <si>
    <t>Hosting Web  H1</t>
  </si>
  <si>
    <r>
      <rPr>
        <sz val="10"/>
        <color theme="1"/>
        <rFont val="Trebuchet MS"/>
      </rPr>
      <t xml:space="preserve">Espacio en disco: 10 GB
Transferencia: 500 GB
CPU: 2 vCPU
RAM: 4 GB
</t>
    </r>
    <r>
      <rPr>
        <b/>
        <sz val="10"/>
        <color theme="1"/>
        <rFont val="Trebuchet MS"/>
      </rPr>
      <t>Dominios soportados: 1</t>
    </r>
    <r>
      <rPr>
        <sz val="10"/>
        <color theme="1"/>
        <rFont val="Trebuchet MS"/>
      </rPr>
      <t xml:space="preserve">
Cuentas de email: 10
Bases de datos: 2</t>
    </r>
  </si>
  <si>
    <t>HostGator</t>
  </si>
  <si>
    <t>https://www.hostgator.co/web-hosting-quiero-mi-web?gad_source=1&amp;gclid=EAIaIQobChMIhonQ1qiqjAMVUKNaBR1i3jA4EAAYBCAAEgIt6PD_BwE</t>
  </si>
  <si>
    <t>Hosting Plan Negocios</t>
  </si>
  <si>
    <t xml:space="preserve">Sitios web y dominios ilimitados
Alojamiento administrado para
WordPress
Dominio gratis
CDN gratis
Tu sitio web rapido y estable
50 GB de almacenamiento SSD
Creador de sitios con multiples
plantillas
Migración gratis e ilimitada
Certificado SSL gratis
Cuentas de correo ilimitadas
Backups diarios
</t>
  </si>
  <si>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</si>
  <si>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</si>
  <si>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</si>
  <si>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</si>
  <si>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</si>
  <si>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</si>
  <si>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</si>
  <si>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</si>
  <si>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</si>
  <si>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</si>
  <si>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</si>
  <si>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</si>
  <si>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</si>
  <si>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</si>
  <si>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</si>
  <si>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</si>
  <si>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</si>
  <si>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FRANBOX</t>
  </si>
  <si>
    <t>https://keys.franboxoriginal.com/producto/microsoft-visual-studio-profesional-2022-licencia-global-retail/</t>
  </si>
  <si>
    <t>Microsoft Visual Studio Profesional 2022 LICENCIA GLOBAL Retail</t>
  </si>
  <si>
    <t>Licencia de Microsoft Visual Studio Profesional 2022. Versión RETAIL. VALIDA PARA 1 SOLO PC
Licencia Original y económica de un solo uso: Significa que si formateas tu sistema operativo, tendrás que comprar una nueva licencia. Por el contrario, si no necesitas formatear, tu licencia siempre estará activa. 
No funciona para MAC</t>
  </si>
  <si>
    <t>MSKeyshop</t>
  </si>
  <si>
    <t>https://mskeyshop.de/es/products/visual-studio-enterprise-2017?variant=49062236193101&amp;utm_medium=product_sync&amp;utm_source=google&amp;utm_content=sag_organic&amp;utm_campaign=sag_organic&amp;srsltid=AfmBOoqlq2XscJd2njQ1T9ZYC_1EebE5ffmIrVyTHP8CF3fnyTWU8k-xnIs</t>
  </si>
  <si>
    <t>Visual Studio Empresa 2017</t>
  </si>
  <si>
    <t>Este producto no se puede activar en setup.office.com. Descárgalo desde https://visualstudio.microsoft.com/downloads/.
No hay conexión con su cuenta de Microsoft
No se puede reactivar/transferir a otra computadora
Entrega inmediata – 2 minutos
Instrucciones de activación en el correo electrónico con la clave
Activación permanente
Región: Mundial
Funciona con Windows 10 y superior
Solo funciona en PC</t>
  </si>
  <si>
    <t>Microespana</t>
  </si>
  <si>
    <t>https://microespana.com/productos/microsoft-visual-studio-professional-2019-pc/?srsltid=AfmBOorncHkulqn2Mll8Rd172cKvXtJ-yQbeEMvec0aut38hyo0eXfRau5M</t>
  </si>
  <si>
    <t>Microsoft Visual Studio Professional 2019 (PC) Licencia Digital</t>
  </si>
  <si>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</si>
  <si>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</si>
  <si>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</si>
  <si>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</si>
  <si>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</si>
  <si>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</si>
  <si>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</si>
  <si>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</si>
  <si>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</si>
  <si>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Logitech K120, Teclado Usb, Desempeño Agradable Y Silencioso Teclado Negro Idioma Español España</t>
  </si>
  <si>
    <t>Layout: QWERTY
Color del teclado: Negro
Consola de juegos compatible: PS4.
Ergonómico y apto para diversos usos.
Resiste a salpicaduras.
Contiene teclado numérico.
Tipo de teclado: membrana.
Tecla cilíndrica.
Con conector USB.
Medidas: 45cm de ancho, 15.5cm de alto y 2.35cm de profundidad.</t>
  </si>
  <si>
    <t>TECLADO LOGITECH K120 ALAMBRICO</t>
  </si>
  <si>
    <t xml:space="preserve">
- Teclas planas y silenciosas
- Tamaño normal
- Perfil plano
- Diseño resistente a derrames
- Patas ajustables y robustas
- Conexión USB Plug and Play
- Caracteres claramente marcados
- No necesita instalación de software</t>
  </si>
  <si>
    <t>Teclado Logitech K120 USB</t>
  </si>
  <si>
    <t>Diseño: resistente a salpicaduras
Perfil: plano
Incluye tecla Ñ
Teclas resistentes
Patas ajustables y robustas
Conexión: USB plug and play
Teclas fáciles de leer
Barra espaciadora curvada
Garantía: 12 meses con el fabricante</t>
  </si>
  <si>
    <t>Credito/Contado</t>
  </si>
  <si>
    <t>https://www.falabella.com.co/falabella-co/product/128595108/Antivirus-Kaspersky-Standard-5-Dispositivos-1-Ano/128595110</t>
  </si>
  <si>
    <t>Aio Acer Aspire C24-1100 C24 Amd Ryzen 5 5500u  Ssd 512gb + Ram 16gb</t>
  </si>
  <si>
    <t>Aio acer C24-1100 23,8' Fhd Amd R5-5500u  Ram 16gb 512gb Ssd Silver</t>
  </si>
  <si>
    <t>TODO EN UNO ACER C24-1100 AMD RYZEN 5-5500U SSD  512GB RAM 16GB LED 24 FHD</t>
  </si>
  <si>
    <t>Monitor HP OMEN S24C310 Gamer 23.8" Pulgadas FHD Plano Negro</t>
  </si>
  <si>
    <t>https://buhodigitalcol.com/windows-server-2025-standard/?srsltid=AfmBOophu3-eObYin_CvVbEbN112z7pWPyBd_o8kbKwSq1mWMR6LQujqHXk</t>
  </si>
  <si>
    <t>Buho Digital</t>
  </si>
  <si>
    <t>· Producto 100% Original
Tiempo de entrega : Máximo 8 horas
Atención al cliente preferencial
· Soporte Técnico en la instalacion</t>
  </si>
  <si>
    <t>Asus Portátil gaming FA506NCR-HN077 15.6´´ R7-7435HS/16GB/512GB SSD/RTX 3050</t>
  </si>
  <si>
    <t xml:space="preserve">tech inn </t>
  </si>
  <si>
    <t>https://www.tradeinn.com/techinn/es/asus-portatil-gaming-fa506ncr-hn077-15.6-r7-7435hs-16gb-512gb-ssd-rtx-3050/141678717/p?utm_source=google_products&amp;utm_medium=merchant&amp;id_producte=146256531&amp;country=co&amp;srsltid=AfmBOorZHOq8wsMStel_z9wjqXS8FFAQ9GInYfvFoS2t09_C-XIjqO9JdjI</t>
  </si>
  <si>
    <t>Color Negro
Almacenamiento SSD
512 GB
RAM 16 GB
Tipo Disco Duro SSD
Pulgadas
15.0-15.9
Idioma Teclado
Español
Gráfica Series RTX 3050
ProcesadorAMD Ryzen 7</t>
  </si>
  <si>
    <t>KTRONIX</t>
  </si>
  <si>
    <t>https://www.ktronix.com/computador-portatil-gamer-asus-tuf-156-pulgadas-fa506ncr/p/4711387567050?utm_source=google&amp;utm_medium=organic&amp;utm_campaign=Shopping-organico</t>
  </si>
  <si>
    <t>Computador Portátil Gamer ASUS TUF 15.6" Pulgadas FA506NCR - AMD Ryzen 7</t>
  </si>
  <si>
    <t>Personalízalo con la retroiluminación RGB
Teclado Optimizado para jugar
Mayor vida útil con certificación de grado Militar 810H
Carga rápida permite llevar la batería al 50% de carga en 30 minutos
Xbox Game pass por 3 meses incluido</t>
  </si>
  <si>
    <t>https://www.alkosto.com/computador-portatil-gamer-asus-tuf-156-pulgadas-fa506ncr/p/4711387567050</t>
  </si>
  <si>
    <t>Computador Portátil Gamer ASUS TUF 15.6" Pulgadas FA506NCR - AMD Ryzen 7 - RAM 16GB - Disco SSD 512 - Negro</t>
  </si>
  <si>
    <t>Windows Server 2025 is the latest iteration of Microsoft's robust server operating system, designed to meet the evolving needs of modern IT infrastructures. Building on the strong foundation of its predecessors</t>
  </si>
  <si>
    <t xml:space="preserve">
Windows Server 2025 | Standard 24 core - Microsoft Key - GLOBAL</t>
  </si>
  <si>
    <t>G2A</t>
  </si>
  <si>
    <t>https://www.g2a.com/es/windows-server-2025-standard-24-core-microsoft-key-global-i10000508375002?___currency=COP&amp;___language=es&amp;er=3a77cfd4fe3d658c2cf585fdb3f6dd7f49907c37658e19bfdf350ca763d59f8b232e01cf99bf1104b1a5a4ec7e084b37&amp;uuid=77e8d07f-f8a1-40ea-a42a-6fe0d48cd237&amp;srsltid=AfmBOoocKANRb29-4qy-jXURyJKzao3c_k9iZEY_u-vNyVefxc6E__LoTs4</t>
  </si>
  <si>
    <t>TuLicenciaOriginal</t>
  </si>
  <si>
    <t>. Visita el sitio de TuLicenciaOriginal en una nueva ventana</t>
  </si>
  <si>
    <t>https://www.tulicenciaoriginal.com/mcafee/licencia-windows-server-2025</t>
  </si>
  <si>
    <t>Licencia Windows Server 2025</t>
  </si>
  <si>
    <t>Licencia 100% Original
Serial de 25 Caracteres (XXXXX-XXXXX-XXXXX-XXXXX-XXXXX).
licencia de Por vida - No debe pagar nunca más.
Puede bajar el Office Directamente desde la página de Microsoft.
ENVÍO INSTANTÁNEO: Se envía automáticamente su Licencia, Guía y el link de Descarga desde Microsoft.</t>
  </si>
  <si>
    <t>Windows Server 2025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</si>
</sst>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 #,##0"/>
    <numFmt numFmtId="165" formatCode="[$€]#,##0.00"/>
    <numFmt numFmtId="166" formatCode="&quot;$&quot;#,##0.00"/>
    <numFmt numFmtId="167" formatCode="&quot;$&quot;#,##0"/>
    <numFmt numFmtId="168" formatCode="[$$]#,##0.00"/>
    <numFmt numFmtId="169" formatCode="[$$]#,##0"/>
  </numFmts>
  <fonts count="38">
    <font>
      <sz val="10"/>
      <color rgb="FF000000"/>
      <name val="Arial"/>
      <scheme val="minor"/>
    </font>
    <font>
      <b/>
      <sz val="12"/>
      <color theme="1"/>
      <name val="Arial"/>
    </font>
    <font>
      <sz val="10"/>
      <name val="Arial"/>
    </font>
    <font>
      <b/>
      <sz val="10"/>
      <color theme="1"/>
      <name val="Arial"/>
    </font>
    <font>
      <b/>
      <sz val="10"/>
      <color theme="1"/>
      <name val="Trebuchet MS"/>
    </font>
    <font>
      <b/>
      <u/>
      <sz val="10"/>
      <color theme="1"/>
      <name val="Trebuchet MS"/>
    </font>
    <font>
      <i/>
      <sz val="10"/>
      <color theme="1"/>
      <name val="Arial"/>
    </font>
    <font>
      <sz val="10"/>
      <color rgb="FF000000"/>
      <name val="Trebuchet MS"/>
    </font>
    <font>
      <u/>
      <sz val="10"/>
      <color rgb="FF0000FF"/>
      <name val="Arial"/>
    </font>
    <font>
      <sz val="10"/>
      <color theme="1"/>
      <name val="Trebuchet MS"/>
    </font>
    <font>
      <u/>
      <sz val="10"/>
      <color rgb="FF0000FF"/>
      <name val="Arial"/>
    </font>
    <font>
      <sz val="10"/>
      <color theme="1"/>
      <name val="Arial"/>
    </font>
    <font>
      <sz val="10"/>
      <color theme="1"/>
      <name val="Arial Narrow"/>
    </font>
    <font>
      <sz val="10"/>
      <color theme="1"/>
      <name val="Arial"/>
    </font>
    <font>
      <b/>
      <u/>
      <sz val="10"/>
      <color theme="1"/>
      <name val="Trebuchet MS"/>
    </font>
    <font>
      <u/>
      <sz val="10"/>
      <color rgb="FF0000FF"/>
      <name val="Arial"/>
    </font>
    <font>
      <b/>
      <u/>
      <sz val="10"/>
      <color theme="1"/>
      <name val="Trebuchet MS"/>
    </font>
    <font>
      <u/>
      <sz val="10"/>
      <color rgb="FF0000FF"/>
      <name val="Trebuchet MS"/>
    </font>
    <font>
      <u/>
      <sz val="10"/>
      <color rgb="FF0000FF"/>
      <name val="Arial"/>
    </font>
    <font>
      <u/>
      <sz val="10"/>
      <color rgb="FF0000FF"/>
      <name val="Trebuchet MS"/>
    </font>
    <font>
      <u/>
      <sz val="10"/>
      <color theme="10"/>
      <name val="Arial"/>
    </font>
    <font>
      <u/>
      <sz val="10"/>
      <color rgb="FF0000FF"/>
      <name val="Arial"/>
    </font>
    <font>
      <sz val="11"/>
      <color rgb="FF000000"/>
      <name val="Proxima Nova"/>
    </font>
    <font>
      <sz val="10"/>
      <color theme="1"/>
      <name val="Lato"/>
    </font>
    <font>
      <u/>
      <sz val="10"/>
      <color theme="10"/>
      <name val="Arial"/>
    </font>
    <font>
      <u/>
      <sz val="10"/>
      <color theme="10"/>
      <name val="Arial"/>
    </font>
    <font>
      <u/>
      <sz val="10"/>
      <color rgb="FF0000FF"/>
      <name val="Arial"/>
    </font>
    <font>
      <u/>
      <sz val="10"/>
      <color rgb="FF0000FF"/>
      <name val="Arial"/>
    </font>
    <font>
      <u/>
      <sz val="10"/>
      <color rgb="FF0000FF"/>
      <name val="Arial"/>
    </font>
    <font>
      <u/>
      <sz val="10"/>
      <color rgb="FF0000FF"/>
      <name val="Trebuchet MS"/>
    </font>
    <font>
      <i/>
      <sz val="8"/>
      <color theme="1"/>
      <name val="Trebuchet MS"/>
    </font>
    <font>
      <i/>
      <sz val="10"/>
      <color theme="1"/>
      <name val="Trebuchet MS"/>
    </font>
    <font>
      <i/>
      <u/>
      <sz val="8"/>
      <color theme="1"/>
      <name val="Trebuchet MS"/>
    </font>
    <font>
      <i/>
      <sz val="8"/>
      <color theme="1"/>
      <name val="Arial"/>
    </font>
    <font>
      <u/>
      <sz val="10"/>
      <color rgb="FF1155CC"/>
      <name val="Arial"/>
    </font>
    <font>
      <u/>
      <sz val="10"/>
      <color theme="10"/>
      <name val="Arial"/>
      <scheme val="minor"/>
    </font>
    <font>
      <sz val="10"/>
      <color theme="1"/>
      <name val="Trebuchet MS"/>
      <family val="2"/>
    </font>
    <font>
      <b/>
      <sz val="10"/>
      <color theme="1"/>
      <name val="Trebuchet MS"/>
      <family val="2"/>
    </font>
  </fonts>
  <fills count="7">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bottom/>
      <diagonal/>
    </border>
  </borders>
  <cellStyleXfs count="2">
    <xf numFmtId="0" fontId="0" fillId="0" borderId="0"/>
    <xf numFmtId="0" fontId="35" fillId="0" borderId="0" applyNumberFormat="0" applyFill="0" applyBorder="0" applyAlignment="0" applyProtection="0"/>
  </cellStyleXfs>
  <cellXfs count="77">
    <xf numFmtId="0" fontId="0" fillId="0" borderId="0" xfId="0"/>
    <xf numFmtId="0" fontId="3" fillId="3" borderId="4" xfId="0" applyFont="1" applyFill="1" applyBorder="1" applyAlignment="1">
      <alignment horizontal="center" vertical="center" wrapText="1"/>
    </xf>
    <xf numFmtId="0" fontId="4" fillId="0" borderId="5" xfId="0" applyFont="1" applyBorder="1" applyAlignment="1">
      <alignment horizontal="center" vertical="center" wrapText="1"/>
    </xf>
    <xf numFmtId="0" fontId="5" fillId="4" borderId="6"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0" borderId="4" xfId="0" applyFont="1" applyBorder="1" applyAlignment="1">
      <alignment horizontal="center" vertical="center" wrapText="1"/>
    </xf>
    <xf numFmtId="0" fontId="6" fillId="0" borderId="0" xfId="0" applyFont="1" applyAlignment="1">
      <alignment horizontal="center" vertical="center"/>
    </xf>
    <xf numFmtId="0" fontId="3" fillId="3" borderId="8" xfId="0" applyFont="1" applyFill="1"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7" fillId="0" borderId="9" xfId="0" applyFont="1" applyBorder="1" applyAlignment="1">
      <alignment horizontal="center" vertical="center" wrapText="1"/>
    </xf>
    <xf numFmtId="164" fontId="7" fillId="0" borderId="9" xfId="0" applyNumberFormat="1" applyFont="1" applyBorder="1" applyAlignment="1">
      <alignment horizontal="center" vertical="center" wrapText="1"/>
    </xf>
    <xf numFmtId="0" fontId="7" fillId="0" borderId="5" xfId="0" applyFont="1" applyBorder="1" applyAlignment="1">
      <alignment horizontal="center" vertical="center" wrapText="1"/>
    </xf>
    <xf numFmtId="0" fontId="9" fillId="0" borderId="3" xfId="0" applyFont="1" applyBorder="1" applyAlignment="1">
      <alignment horizontal="center" vertical="center" wrapText="1"/>
    </xf>
    <xf numFmtId="0" fontId="3" fillId="3" borderId="4" xfId="0" applyFont="1" applyFill="1" applyBorder="1" applyAlignment="1">
      <alignment horizontal="center" vertical="center"/>
    </xf>
    <xf numFmtId="0" fontId="9" fillId="0" borderId="10" xfId="0" applyFont="1" applyBorder="1" applyAlignment="1">
      <alignment horizontal="center" vertical="center" wrapText="1"/>
    </xf>
    <xf numFmtId="0" fontId="10" fillId="0" borderId="11" xfId="0" applyFont="1" applyBorder="1" applyAlignment="1">
      <alignment horizontal="center" vertical="center" wrapText="1"/>
    </xf>
    <xf numFmtId="165" fontId="7" fillId="0" borderId="9" xfId="0" applyNumberFormat="1" applyFont="1" applyBorder="1" applyAlignment="1">
      <alignment horizontal="center" vertical="center" wrapText="1"/>
    </xf>
    <xf numFmtId="166" fontId="7" fillId="0" borderId="9" xfId="0" applyNumberFormat="1" applyFont="1" applyBorder="1" applyAlignment="1">
      <alignment horizontal="center" vertical="center" wrapText="1"/>
    </xf>
    <xf numFmtId="0" fontId="9" fillId="0" borderId="4" xfId="0" applyFont="1" applyBorder="1" applyAlignment="1">
      <alignment horizontal="center" vertical="center" wrapText="1"/>
    </xf>
    <xf numFmtId="0" fontId="7" fillId="0" borderId="4" xfId="0" applyFont="1" applyBorder="1" applyAlignment="1">
      <alignment horizontal="center" vertical="center" wrapText="1"/>
    </xf>
    <xf numFmtId="0" fontId="11" fillId="0" borderId="12" xfId="0" applyFont="1" applyBorder="1"/>
    <xf numFmtId="0" fontId="12" fillId="0" borderId="0" xfId="0" applyFont="1" applyAlignment="1">
      <alignment horizontal="center" vertical="center" wrapText="1"/>
    </xf>
    <xf numFmtId="0" fontId="13" fillId="0" borderId="0" xfId="0" applyFont="1"/>
    <xf numFmtId="0" fontId="14" fillId="4" borderId="5"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3" fillId="3" borderId="1" xfId="0" applyFont="1" applyFill="1" applyBorder="1" applyAlignment="1">
      <alignment horizontal="center" vertical="center"/>
    </xf>
    <xf numFmtId="0" fontId="15" fillId="0" borderId="4" xfId="0" applyFont="1" applyBorder="1" applyAlignment="1">
      <alignment horizontal="center" vertical="center" wrapText="1"/>
    </xf>
    <xf numFmtId="164" fontId="7" fillId="0" borderId="4" xfId="0" applyNumberFormat="1" applyFont="1" applyBorder="1" applyAlignment="1">
      <alignment horizontal="center" vertical="center" wrapText="1"/>
    </xf>
    <xf numFmtId="0" fontId="11" fillId="0" borderId="0" xfId="0" applyFont="1"/>
    <xf numFmtId="0" fontId="16" fillId="4" borderId="4"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7" fillId="0" borderId="4" xfId="0" applyFont="1" applyBorder="1" applyAlignment="1">
      <alignment horizontal="center" vertical="center" wrapText="1"/>
    </xf>
    <xf numFmtId="167" fontId="9" fillId="0" borderId="4" xfId="0" applyNumberFormat="1" applyFont="1" applyBorder="1" applyAlignment="1">
      <alignment horizontal="center" vertical="center" wrapText="1"/>
    </xf>
    <xf numFmtId="167" fontId="9" fillId="0" borderId="4" xfId="0" applyNumberFormat="1" applyFont="1" applyBorder="1" applyAlignment="1">
      <alignment horizontal="left" vertical="center" wrapText="1"/>
    </xf>
    <xf numFmtId="0" fontId="9" fillId="0" borderId="4" xfId="0" applyFont="1" applyBorder="1" applyAlignment="1">
      <alignment horizontal="center" vertical="top" wrapText="1"/>
    </xf>
    <xf numFmtId="0" fontId="18" fillId="0" borderId="4" xfId="0" applyFont="1" applyBorder="1" applyAlignment="1">
      <alignment horizontal="left" vertical="center" wrapText="1"/>
    </xf>
    <xf numFmtId="165" fontId="9" fillId="0" borderId="4" xfId="0" applyNumberFormat="1" applyFont="1" applyBorder="1" applyAlignment="1">
      <alignment horizontal="center" vertical="center" wrapText="1"/>
    </xf>
    <xf numFmtId="0" fontId="9" fillId="0" borderId="4" xfId="0" applyFont="1" applyBorder="1" applyAlignment="1">
      <alignment horizontal="left" vertical="top" wrapText="1"/>
    </xf>
    <xf numFmtId="0" fontId="19" fillId="0" borderId="4" xfId="0" applyFont="1" applyBorder="1" applyAlignment="1">
      <alignment horizontal="left" vertical="center" wrapText="1"/>
    </xf>
    <xf numFmtId="166" fontId="7" fillId="0" borderId="4" xfId="0" applyNumberFormat="1" applyFont="1" applyBorder="1" applyAlignment="1">
      <alignment horizontal="center" vertical="center" wrapText="1"/>
    </xf>
    <xf numFmtId="0" fontId="13" fillId="0" borderId="4" xfId="0" applyFont="1" applyBorder="1"/>
    <xf numFmtId="2" fontId="9" fillId="0" borderId="4" xfId="0" applyNumberFormat="1" applyFont="1" applyBorder="1" applyAlignment="1">
      <alignment horizontal="center" vertical="top" wrapText="1"/>
    </xf>
    <xf numFmtId="3" fontId="9" fillId="0" borderId="4" xfId="0" applyNumberFormat="1" applyFont="1" applyBorder="1" applyAlignment="1">
      <alignment horizontal="center" vertical="top" wrapText="1"/>
    </xf>
    <xf numFmtId="0" fontId="20" fillId="0" borderId="4" xfId="0" applyFont="1" applyBorder="1" applyAlignment="1">
      <alignment horizontal="left" vertical="top" wrapText="1"/>
    </xf>
    <xf numFmtId="4" fontId="9" fillId="0" borderId="4" xfId="0" applyNumberFormat="1" applyFont="1" applyBorder="1" applyAlignment="1">
      <alignment horizontal="center" vertical="top" wrapText="1"/>
    </xf>
    <xf numFmtId="0" fontId="21" fillId="0" borderId="4" xfId="0" applyFont="1" applyBorder="1" applyAlignment="1">
      <alignment horizontal="center" vertical="center" wrapText="1"/>
    </xf>
    <xf numFmtId="167" fontId="7" fillId="0" borderId="9" xfId="0" applyNumberFormat="1" applyFont="1" applyBorder="1" applyAlignment="1">
      <alignment horizontal="center" vertical="center" wrapText="1"/>
    </xf>
    <xf numFmtId="166" fontId="7" fillId="0" borderId="5" xfId="0" applyNumberFormat="1" applyFont="1" applyBorder="1" applyAlignment="1">
      <alignment horizontal="center" vertical="center" wrapText="1"/>
    </xf>
    <xf numFmtId="0" fontId="22" fillId="6" borderId="0" xfId="0" applyFont="1" applyFill="1" applyAlignment="1">
      <alignment horizontal="center" vertical="center" wrapText="1"/>
    </xf>
    <xf numFmtId="0" fontId="11" fillId="0" borderId="14" xfId="0" applyFont="1" applyBorder="1"/>
    <xf numFmtId="0" fontId="23" fillId="0" borderId="4" xfId="0" applyFont="1" applyBorder="1" applyAlignment="1">
      <alignment wrapText="1"/>
    </xf>
    <xf numFmtId="167" fontId="7" fillId="0" borderId="1" xfId="0" applyNumberFormat="1" applyFont="1" applyBorder="1" applyAlignment="1">
      <alignment horizontal="center" vertical="center" wrapText="1"/>
    </xf>
    <xf numFmtId="166" fontId="7" fillId="0" borderId="12" xfId="0" applyNumberFormat="1" applyFont="1" applyBorder="1" applyAlignment="1">
      <alignment horizontal="center" vertical="center" wrapText="1"/>
    </xf>
    <xf numFmtId="0" fontId="24" fillId="0" borderId="11"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0" xfId="0" applyFont="1" applyAlignment="1">
      <alignment vertical="center" wrapText="1"/>
    </xf>
    <xf numFmtId="0" fontId="27" fillId="0" borderId="12" xfId="0" applyFont="1" applyBorder="1" applyAlignment="1">
      <alignment vertical="center" wrapText="1"/>
    </xf>
    <xf numFmtId="0" fontId="28" fillId="0" borderId="4" xfId="0" applyFont="1" applyBorder="1" applyAlignment="1">
      <alignment vertical="center" wrapText="1"/>
    </xf>
    <xf numFmtId="168" fontId="9" fillId="0" borderId="4" xfId="0" applyNumberFormat="1" applyFont="1" applyBorder="1" applyAlignment="1">
      <alignment horizontal="center" vertical="center" wrapText="1"/>
    </xf>
    <xf numFmtId="169" fontId="9" fillId="0" borderId="4" xfId="0" applyNumberFormat="1" applyFont="1" applyBorder="1" applyAlignment="1">
      <alignment horizontal="center" vertical="center" wrapText="1"/>
    </xf>
    <xf numFmtId="166" fontId="9" fillId="0" borderId="4" xfId="0" applyNumberFormat="1" applyFont="1" applyBorder="1" applyAlignment="1">
      <alignment horizontal="center" vertical="center" wrapText="1"/>
    </xf>
    <xf numFmtId="0" fontId="29" fillId="0" borderId="4" xfId="0" applyFont="1" applyBorder="1" applyAlignment="1">
      <alignment horizontal="left" vertical="center" wrapText="1"/>
    </xf>
    <xf numFmtId="0" fontId="35" fillId="0" borderId="4" xfId="1" applyBorder="1" applyAlignment="1">
      <alignment horizontal="left" vertical="center" wrapText="1"/>
    </xf>
    <xf numFmtId="0" fontId="35" fillId="0" borderId="4" xfId="1" applyBorder="1" applyAlignment="1">
      <alignment horizontal="center" vertical="center" wrapText="1"/>
    </xf>
    <xf numFmtId="0" fontId="36" fillId="0" borderId="4" xfId="0" applyFont="1" applyBorder="1" applyAlignment="1">
      <alignment horizontal="center" vertical="center" wrapText="1"/>
    </xf>
    <xf numFmtId="0" fontId="36" fillId="0" borderId="4" xfId="0" applyFont="1" applyBorder="1" applyAlignment="1">
      <alignment horizontal="center" vertical="top" wrapText="1"/>
    </xf>
    <xf numFmtId="0" fontId="37" fillId="0" borderId="4" xfId="0" applyFont="1" applyBorder="1" applyAlignment="1">
      <alignment horizontal="center" vertical="center" wrapText="1"/>
    </xf>
    <xf numFmtId="0" fontId="1" fillId="0" borderId="0" xfId="0" applyFont="1" applyAlignment="1">
      <alignment horizontal="center" vertical="center"/>
    </xf>
    <xf numFmtId="0" fontId="0" fillId="0" borderId="0" xfId="0"/>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3" fillId="0" borderId="1" xfId="0" applyFont="1"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lkosto.com/computador-portatil-gamer-asus-tuf-156-pulgadas-fa506ncr/p/4711387567050" TargetMode="External"/><Relationship Id="rId2" Type="http://schemas.openxmlformats.org/officeDocument/2006/relationships/hyperlink" Target="https://www.ktronix.com/computador-portatil-gamer-asus-tuf-156-pulgadas-fa506ncr/p/4711387567050?utm_source=google&amp;utm_medium=organic&amp;utm_campaign=Shopping-organico" TargetMode="External"/><Relationship Id="rId1" Type="http://schemas.openxmlformats.org/officeDocument/2006/relationships/hyperlink" Target="https://www.tradeinn.com/techinn/es/asus-portatil-gaming-fa506ncr-hn077-15.6-r7-7435hs-16gb-512gb-ssd-rtx-3050/141678717/p?utm_source=google_products&amp;utm_medium=merchant&amp;id_producte=146256531&amp;country=co&amp;srsltid=AfmBOorZHOq8wsMStel_z9wjqXS8FFAQ9GInYfvFoS2t09_C-XIjqO9JdjI"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falabella.com.co/falabella-co/product/128595108/Antivirus-Kaspersky-Standard-5-Dispositivos-1-Ano/128595110" TargetMode="External"/><Relationship Id="rId2" Type="http://schemas.openxmlformats.org/officeDocument/2006/relationships/hyperlink" Target="https://latam.kaspersky.com/small-business-security/small-office-security" TargetMode="External"/><Relationship Id="rId1" Type="http://schemas.openxmlformats.org/officeDocument/2006/relationships/hyperlink" Target="https://www.panamericana.com.co/kaspersky-small-office-security-7/p?skuId=591326"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lasus.com.co/es/licencia-de-dispositivo-para-sql-server-2022-1-cal-nce-com-bas-per-1tm?srsltid=AfmBOoql2TZgvJwjgdka-j7JM9JsRXS-jojxbKUypCq3EUfwjHnZczF-5OM" TargetMode="External"/><Relationship Id="rId2" Type="http://schemas.openxmlformats.org/officeDocument/2006/relationships/hyperlink" Target="https://revolutionsoft.com.co/microsoft-sql-server/sql-server-2022-standard.html?id_product_attribute=0" TargetMode="External"/><Relationship Id="rId1" Type="http://schemas.openxmlformats.org/officeDocument/2006/relationships/hyperlink" Target="https://www.microsoft.com/en-us/sql-server/sql-server-2022-pricin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keyhub.com.co/tienda/adobe-creative-cloud-1-mes/" TargetMode="External"/><Relationship Id="rId2" Type="http://schemas.openxmlformats.org/officeDocument/2006/relationships/hyperlink" Target="https://3clics.co/index.php/es/otros-softwares/adobe/licencia-adobe-ilustrator-por-1-a%C3%B1o-detail" TargetMode="External"/><Relationship Id="rId1" Type="http://schemas.openxmlformats.org/officeDocument/2006/relationships/hyperlink" Target="https://www.adobe.com/co/creativecloud/business-plans.html?filter=illustration"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etb.com/hogares/Bogota.aspx?plan=inter" TargetMode="External"/><Relationship Id="rId2" Type="http://schemas.openxmlformats.org/officeDocument/2006/relationships/hyperlink" Target="https://www.directvla.com/co/servicios/internet" TargetMode="External"/><Relationship Id="rId1" Type="http://schemas.openxmlformats.org/officeDocument/2006/relationships/hyperlink" Target="https://store.wom.cl/hogar/internet-fibra-optica/factibilidad-interne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hostgator.co/web-hosting-quiero-mi-web?gad_source=1&amp;gclid=EAIaIQobChMIhonQ1qiqjAMVUKNaBR1i3jA4EAAYBCAAEgIt6PD_BwE" TargetMode="External"/><Relationship Id="rId2" Type="http://schemas.openxmlformats.org/officeDocument/2006/relationships/hyperlink" Target="https://clientes.latinoamericahosting.com.co/store/cloud-hosting" TargetMode="External"/><Relationship Id="rId1" Type="http://schemas.openxmlformats.org/officeDocument/2006/relationships/hyperlink" Target="https://www.hostinger.com/co/hosting-web?_gl=1*92vnox*_up*MQ..*_gs*MQ..&amp;gclid=EAIaIQobChMIhonQ1qiqjAMVUKNaBR1i3jA4EAAYAyAAEgKBnPD_BwE"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microespana.com/productos/microsoft-visual-studio-professional-2019-pc/?srsltid=AfmBOorncHkulqn2Mll8Rd172cKvXtJ-yQbeEMvec0aut38hyo0eXfRau5M" TargetMode="External"/><Relationship Id="rId2" Type="http://schemas.openxmlformats.org/officeDocument/2006/relationships/hyperlink" Target="https://mskeyshop.de/es/products/visual-studio-enterprise-2017?variant=49062236193101&amp;utm_medium=product_sync&amp;utm_source=google&amp;utm_content=sag_organic&amp;utm_campaign=sag_organic&amp;srsltid=AfmBOoqlq2XscJd2njQ1T9ZYC_1EebE5ffmIrVyTHP8CF3fnyTWU8k-xnIs" TargetMode="External"/><Relationship Id="rId1" Type="http://schemas.openxmlformats.org/officeDocument/2006/relationships/hyperlink" Target="https://keys.franboxoriginal.com/producto/microsoft-visual-studio-profesional-2022-licencia-global-retail/"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tulicenciaoriginal.com/mcafee/licencia-windows-server-2025" TargetMode="External"/><Relationship Id="rId2" Type="http://schemas.openxmlformats.org/officeDocument/2006/relationships/hyperlink" Target="https://www.g2a.com/es/windows-server-2025-standard-24-core-microsoft-key-global-i10000508375002?___currency=COP&amp;___language=es&amp;er=3a77cfd4fe3d658c2cf585fdb3f6dd7f49907c37658e19bfdf350ca763d59f8b232e01cf99bf1104b1a5a4ec7e084b37&amp;uuid=77e8d07f-f8a1-40ea-a42a-6fe0d48cd237&amp;srsltid=AfmBOoocKANRb29-4qy-jXURyJKzao3c_k9iZEY_u-vNyVefxc6E__LoTs4" TargetMode="External"/><Relationship Id="rId1" Type="http://schemas.openxmlformats.org/officeDocument/2006/relationships/hyperlink" Target="https://buhodigitalcol.com/windows-server-2025-standard/?srsltid=AfmBOophu3-eObYin_CvVbEbN112z7pWPyBd_o8kbKwSq1mWMR6LQujqHXk" TargetMode="External"/><Relationship Id="rId4"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tulicenciaoriginal.com/mcafee/licencia-windows-server-2025" TargetMode="External"/><Relationship Id="rId2" Type="http://schemas.openxmlformats.org/officeDocument/2006/relationships/hyperlink" Target="https://www.g2a.com/es/windows-server-2025-standard-24-core-microsoft-key-global-i10000508375002?___currency=COP&amp;___language=es&amp;er=3a77cfd4fe3d658c2cf585fdb3f6dd7f49907c37658e19bfdf350ca763d59f8b232e01cf99bf1104b1a5a4ec7e084b37&amp;uuid=77e8d07f-f8a1-40ea-a42a-6fe0d48cd237&amp;srsltid=AfmBOoocKANRb29-4qy-jXURyJKzao3c_k9iZEY_u-vNyVefxc6E__LoTs4" TargetMode="External"/><Relationship Id="rId1" Type="http://schemas.openxmlformats.org/officeDocument/2006/relationships/hyperlink" Target="https://buhodigitalcol.com/windows-server-2025-standard/?srsltid=AfmBOophu3-eObYin_CvVbEbN112z7pWPyBd_o8kbKwSq1mWMR6LQujqHXk" TargetMode="External"/><Relationship Id="rId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hyperlink" Target="https://kmilovelasco.mercadoshops.com.co/MCO-1501093779-servidor-lenovo-thinkserver-ts440-xeon-ram-16gb-12-tb-sas-_JM" TargetMode="External"/><Relationship Id="rId2" Type="http://schemas.openxmlformats.org/officeDocument/2006/relationships/hyperlink" Target="https://www.tiendalenovo.es/servidor-lenovo-thinkserver-ts440-70aq001vsp" TargetMode="External"/><Relationship Id="rId1" Type="http://schemas.openxmlformats.org/officeDocument/2006/relationships/hyperlink" Target="https://articulo.mercadolibre.com.co/MCO-1480638883-servidor-lenovo-thinkserver-ts440-xeon-ram-16gb-600gbx2-sas-_J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compucentro.co/todo-en-uno-asus-m3702wfak-ryzen-5-7520u-ram-16gb-ssd-512gb-27-pulgadas/" TargetMode="External"/><Relationship Id="rId2" Type="http://schemas.openxmlformats.org/officeDocument/2006/relationships/hyperlink" Target="https://www.asusbymacman.es/asus-aio-m3702wfak-wa0270-blanco-27-all-in-one-5169.html?srsltid=AfmBOorjAtE3EvOCpVyiLmTzq_p8bZ6xrkxy7tlpNUu_iuSQJjnHkxla" TargetMode="External"/><Relationship Id="rId1" Type="http://schemas.openxmlformats.org/officeDocument/2006/relationships/hyperlink" Target="https://www.alkosto.com/computador-all-in-one-asus-238-pulgadas-m3402wfak-amd/p/4711387340455"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ftronic04.mercadoshops.com.co/MCO-1453095557-aio-acer-238-fhd-amd-r5-5500u-ram-16gb-512gb-ssd-silver-_JM" TargetMode="External"/><Relationship Id="rId2" Type="http://schemas.openxmlformats.org/officeDocument/2006/relationships/hyperlink" Target="https://articulo.mercadolibre.com.co/MCO-1502436579-aio-acer-aspire-c24-amd-ryzen-5-5500u-ssd-512gb-ram-16gb-_JM" TargetMode="External"/><Relationship Id="rId1" Type="http://schemas.openxmlformats.org/officeDocument/2006/relationships/hyperlink" Target="https://www.falabella.com.co/falabella-co/product/138409672/TODO-EN-UNO-ACER-AMD-RYZEN-5-5500U-SSD-512GB-RAM-16GB-LED-24-FHD/13840967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kosto.com/mouse-logitech-alambrico-optico-m110-silent-gris/p/097855181145?utm_source=google&amp;utm_medium=organic&amp;utm_campaign=Shopping-Organico" TargetMode="External"/><Relationship Id="rId2" Type="http://schemas.openxmlformats.org/officeDocument/2006/relationships/hyperlink" Target="https://www.falabella.com.co/falabella-co/product/129988638/Logitech-M110-Silent-Mouse-Usb-Clics-90-Mas-Silenciosos-Negro/129988639" TargetMode="External"/><Relationship Id="rId1" Type="http://schemas.openxmlformats.org/officeDocument/2006/relationships/hyperlink" Target="https://www.mercadolibre.com.co/mouse-alambrico-usb-logitech-m110-black-silencioso-color-negro/p/MCO24566684"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megacomputer.com.co/producto/teclado-logitech-k120-usb/" TargetMode="External"/><Relationship Id="rId2" Type="http://schemas.openxmlformats.org/officeDocument/2006/relationships/hyperlink" Target="https://www.gamerscolombia.com/producto/LOGITECHK120?srsltid=AfmBOopDPaEWSw2HyWODj733NLykU8mAHI8xhrr8i2R7Zb3SaGnWl2R2" TargetMode="External"/><Relationship Id="rId1" Type="http://schemas.openxmlformats.org/officeDocument/2006/relationships/hyperlink" Target="https://www.mercadolibre.com.co/logitech-k120-teclado-usb-desempeno-agradable-y-silencioso-teclado-negro-idioma-espanol-espana/p/MCO10001436"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exito.com/monitor-samsung-24-pulgadas-full-hd-ls24c310ealxzl-103964340-mp/p" TargetMode="External"/><Relationship Id="rId2" Type="http://schemas.openxmlformats.org/officeDocument/2006/relationships/hyperlink" Target="https://www.mercadolibre.com.co/monitor-samsung-24-pulgadas-fhd-ips-75hz-5ms-s24c310-negro-110v/p/MCO43961584" TargetMode="External"/><Relationship Id="rId1" Type="http://schemas.openxmlformats.org/officeDocument/2006/relationships/hyperlink" Target="https://www.falabella.com.co/falabella-co/product/117383622/Monitor-Samsung-24-Pulgadas-FHD-IPS-75Hz-5ms-%E2%80%93-HDMI/117383623"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activatusoftware.com/producto/windows-11-pro/?wmc-currency=EUR" TargetMode="External"/><Relationship Id="rId2" Type="http://schemas.openxmlformats.org/officeDocument/2006/relationships/hyperlink" Target="https://revolutionsoft.com.co/windows-11/windows-11-pro.html?id_product_attribute=0" TargetMode="External"/><Relationship Id="rId1" Type="http://schemas.openxmlformats.org/officeDocument/2006/relationships/hyperlink" Target="https://colombiakeys.com/producto/windows-11-pro-retai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akivo.com/es/blog/office-365-business-plans-comparison/" TargetMode="External"/><Relationship Id="rId2" Type="http://schemas.openxmlformats.org/officeDocument/2006/relationships/hyperlink" Target="https://www.tecnozero.com/office-365/planes/" TargetMode="External"/><Relationship Id="rId1" Type="http://schemas.openxmlformats.org/officeDocument/2006/relationships/hyperlink" Target="https://signup.microsoft.com/get-started/signup?products=b8223c6c-5717-4564-8ed1-a46bf9b0e30a&amp;mproducts=CFQ7TTC0LDPB%3a0001&amp;fmproducts=CFQ7TTC0LDPB%3a0001&amp;term=P1Y&amp;billingterm=P1Y&amp;culture=es-co&amp;country=co&amp;ali=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5B03B-9130-45B3-9252-118254535EC7}">
  <dimension ref="A1:Z1000"/>
  <sheetViews>
    <sheetView topLeftCell="A10" workbookViewId="0">
      <selection activeCell="H10" sqref="H10"/>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1" t="s">
        <v>0</v>
      </c>
      <c r="E2" s="72"/>
      <c r="F2" s="72"/>
      <c r="G2" s="72"/>
      <c r="H2" s="72"/>
    </row>
    <row r="3" spans="1:26" ht="12.75" customHeight="1"/>
    <row r="4" spans="1:26" ht="12.75" customHeight="1"/>
    <row r="5" spans="1:26" ht="43.5" customHeight="1">
      <c r="A5" s="73" t="s">
        <v>136</v>
      </c>
      <c r="B5" s="74"/>
      <c r="C5" s="74"/>
      <c r="D5" s="74"/>
      <c r="E5" s="74"/>
      <c r="F5" s="74"/>
      <c r="G5" s="74"/>
      <c r="H5" s="74"/>
      <c r="I5" s="74"/>
      <c r="J5" s="75"/>
    </row>
    <row r="6" spans="1:26" ht="15.75" customHeight="1">
      <c r="A6" s="31" t="s">
        <v>48</v>
      </c>
    </row>
    <row r="7" spans="1:26" ht="75.75" customHeight="1">
      <c r="A7" s="1" t="s">
        <v>2</v>
      </c>
      <c r="B7" s="6" t="s">
        <v>3</v>
      </c>
      <c r="C7" s="6" t="s">
        <v>4</v>
      </c>
      <c r="D7" s="6" t="s">
        <v>5</v>
      </c>
      <c r="E7" s="6" t="s">
        <v>6</v>
      </c>
      <c r="F7" s="32" t="s">
        <v>7</v>
      </c>
      <c r="G7" s="33" t="s">
        <v>8</v>
      </c>
      <c r="H7" s="34" t="s">
        <v>9</v>
      </c>
      <c r="I7" s="6" t="s">
        <v>10</v>
      </c>
      <c r="J7" s="6" t="s">
        <v>11</v>
      </c>
      <c r="K7" s="7"/>
      <c r="L7" s="7"/>
      <c r="M7" s="7"/>
      <c r="N7" s="7"/>
      <c r="O7" s="7"/>
      <c r="P7" s="7"/>
      <c r="Q7" s="7"/>
      <c r="R7" s="7"/>
      <c r="S7" s="7"/>
      <c r="T7" s="7"/>
      <c r="U7" s="7"/>
      <c r="V7" s="7"/>
      <c r="W7" s="7"/>
      <c r="X7" s="7"/>
      <c r="Y7" s="7"/>
      <c r="Z7" s="7"/>
    </row>
    <row r="8" spans="1:26" ht="198">
      <c r="A8" s="15" t="s">
        <v>12</v>
      </c>
      <c r="B8" s="68" t="s">
        <v>378</v>
      </c>
      <c r="C8" s="66" t="s">
        <v>379</v>
      </c>
      <c r="D8" s="68" t="s">
        <v>377</v>
      </c>
      <c r="E8" s="36">
        <f xml:space="preserve">
3054280/1.19</f>
        <v>2566621.848739496</v>
      </c>
      <c r="F8" s="36">
        <f>E8*19%</f>
        <v>487658.15126050427</v>
      </c>
      <c r="G8" s="36">
        <f t="shared" ref="G8:G10" si="0">E8+F8</f>
        <v>3054280</v>
      </c>
      <c r="H8" s="36">
        <f>G8</f>
        <v>3054280</v>
      </c>
      <c r="I8" s="13" t="s">
        <v>16</v>
      </c>
      <c r="J8" s="69" t="s">
        <v>380</v>
      </c>
      <c r="K8" s="31"/>
      <c r="L8" s="31"/>
      <c r="M8" s="31"/>
    </row>
    <row r="9" spans="1:26" ht="201.6">
      <c r="A9" s="15" t="s">
        <v>18</v>
      </c>
      <c r="B9" s="68" t="s">
        <v>381</v>
      </c>
      <c r="C9" s="67" t="s">
        <v>382</v>
      </c>
      <c r="D9" s="68" t="s">
        <v>383</v>
      </c>
      <c r="E9" s="36">
        <f>3899000/1.19</f>
        <v>3276470.5882352944</v>
      </c>
      <c r="F9" s="36">
        <f t="shared" ref="F9:F10" si="1">E9*19%</f>
        <v>622529.4117647059</v>
      </c>
      <c r="G9" s="36">
        <f t="shared" si="0"/>
        <v>3899000.0000000005</v>
      </c>
      <c r="H9" s="36">
        <f>G9</f>
        <v>3899000.0000000005</v>
      </c>
      <c r="I9" s="13" t="s">
        <v>16</v>
      </c>
      <c r="J9" s="69" t="s">
        <v>384</v>
      </c>
      <c r="L9" s="31"/>
    </row>
    <row r="10" spans="1:26" ht="201.6">
      <c r="A10" s="15" t="s">
        <v>23</v>
      </c>
      <c r="B10" s="68" t="s">
        <v>13</v>
      </c>
      <c r="C10" s="66" t="s">
        <v>385</v>
      </c>
      <c r="D10" s="70" t="s">
        <v>386</v>
      </c>
      <c r="E10" s="36">
        <f>3899000/1.19</f>
        <v>3276470.5882352944</v>
      </c>
      <c r="F10" s="36">
        <f t="shared" si="1"/>
        <v>622529.4117647059</v>
      </c>
      <c r="G10" s="36">
        <f t="shared" si="0"/>
        <v>3899000.0000000005</v>
      </c>
      <c r="H10" s="36">
        <f>G10</f>
        <v>3899000.0000000005</v>
      </c>
      <c r="I10" s="43" t="s">
        <v>16</v>
      </c>
      <c r="J10" s="69" t="s">
        <v>384</v>
      </c>
    </row>
    <row r="11" spans="1:26" ht="15" hidden="1" customHeight="1">
      <c r="A11" s="44"/>
      <c r="B11" s="41"/>
      <c r="C11" s="41"/>
      <c r="D11" s="41"/>
      <c r="E11" s="41"/>
      <c r="F11" s="41"/>
      <c r="G11" s="41"/>
      <c r="H11" s="41"/>
      <c r="I11" s="41"/>
      <c r="J11" s="41"/>
    </row>
    <row r="12" spans="1:26" ht="12.75" customHeight="1">
      <c r="J12" s="31" t="s">
        <v>156</v>
      </c>
    </row>
    <row r="13" spans="1:26" ht="138.75" customHeight="1">
      <c r="A13" s="76" t="s">
        <v>69</v>
      </c>
      <c r="B13" s="74"/>
      <c r="C13" s="74"/>
      <c r="D13" s="74"/>
      <c r="E13" s="74"/>
      <c r="F13" s="74"/>
      <c r="G13" s="74"/>
      <c r="H13" s="74"/>
      <c r="I13" s="74"/>
      <c r="J13" s="75"/>
    </row>
    <row r="14" spans="1:26" ht="12.75" customHeight="1"/>
    <row r="15" spans="1:26" ht="75" customHeight="1">
      <c r="A15" s="76" t="s">
        <v>29</v>
      </c>
      <c r="B15" s="74"/>
      <c r="C15" s="74"/>
      <c r="D15" s="74"/>
      <c r="E15" s="74"/>
      <c r="F15" s="74"/>
      <c r="G15" s="74"/>
      <c r="H15" s="74"/>
      <c r="I15" s="74"/>
      <c r="J15" s="75"/>
    </row>
    <row r="16" spans="1:26" ht="12.75" customHeight="1"/>
    <row r="17" spans="1:10" ht="12.75" customHeight="1"/>
    <row r="18" spans="1:10" ht="12.75" customHeight="1">
      <c r="A18" s="1" t="s">
        <v>2</v>
      </c>
      <c r="B18" s="6" t="s">
        <v>3</v>
      </c>
      <c r="C18" s="6" t="s">
        <v>4</v>
      </c>
      <c r="D18" s="6" t="s">
        <v>5</v>
      </c>
      <c r="E18" s="6" t="s">
        <v>6</v>
      </c>
      <c r="F18" s="32" t="s">
        <v>7</v>
      </c>
      <c r="G18" s="33" t="s">
        <v>8</v>
      </c>
      <c r="H18" s="34" t="s">
        <v>9</v>
      </c>
      <c r="I18" s="6" t="s">
        <v>10</v>
      </c>
      <c r="J18" s="6" t="s">
        <v>11</v>
      </c>
    </row>
    <row r="19" spans="1:10" ht="12.75" customHeight="1">
      <c r="A19" s="15" t="s">
        <v>12</v>
      </c>
      <c r="B19" s="38"/>
      <c r="C19" s="38"/>
      <c r="D19" s="38"/>
      <c r="E19" s="38"/>
      <c r="F19" s="45"/>
      <c r="G19" s="46"/>
      <c r="H19" s="45"/>
      <c r="I19" s="38"/>
      <c r="J19" s="38"/>
    </row>
    <row r="20" spans="1:10" ht="12.75" customHeight="1">
      <c r="A20" s="15" t="s">
        <v>18</v>
      </c>
      <c r="B20" s="38"/>
      <c r="C20" s="47"/>
      <c r="D20" s="41"/>
      <c r="E20" s="41"/>
      <c r="F20" s="45"/>
      <c r="G20" s="46"/>
      <c r="H20" s="45"/>
      <c r="I20" s="41"/>
      <c r="J20" s="41"/>
    </row>
    <row r="21" spans="1:10" ht="12.75" customHeight="1">
      <c r="A21" s="15" t="s">
        <v>23</v>
      </c>
      <c r="B21" s="38"/>
      <c r="C21" s="41"/>
      <c r="D21" s="41"/>
      <c r="E21" s="46"/>
      <c r="F21" s="45"/>
      <c r="G21" s="48"/>
      <c r="H21" s="45"/>
      <c r="I21" s="41"/>
      <c r="J21" s="41"/>
    </row>
    <row r="22" spans="1:10" ht="12.75" customHeight="1"/>
    <row r="23" spans="1:10" ht="12.75" customHeight="1"/>
    <row r="24" spans="1:10" ht="12.75" customHeight="1"/>
    <row r="25" spans="1:10" ht="12.75" customHeight="1"/>
    <row r="26" spans="1:10" ht="12.75" customHeight="1">
      <c r="D26" s="23"/>
      <c r="E26" s="23"/>
      <c r="F26" s="24"/>
      <c r="G26" s="24"/>
    </row>
    <row r="27" spans="1:10" ht="12.75" customHeight="1"/>
    <row r="28" spans="1:10" ht="12.75" customHeight="1"/>
    <row r="29" spans="1:10" ht="12.75" customHeight="1"/>
    <row r="30" spans="1:10" ht="12.75" customHeight="1"/>
    <row r="31" spans="1:10" ht="12.75" customHeight="1"/>
    <row r="32" spans="1:10"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display="https://www.tradeinn.com/techinn/es/asus-portatil-gaming-fa506ncr-hn077-15.6-r7-7435hs-16gb-512gb-ssd-rtx-3050/141678717/p?utm_source=google_products&amp;utm_medium=merchant&amp;id_producte=146256531&amp;country=co&amp;srsltid=AfmBOorZHOq8wsMStel_z9wjqXS8FFAQ9GInYfvFoS2t09_C-XIjqO9JdjI" xr:uid="{69A06F4A-3CAC-4789-A7E0-26263D7F20CA}"/>
    <hyperlink ref="C9" r:id="rId2" xr:uid="{05CDC358-D7DF-42C2-953A-DE9D52791E27}"/>
    <hyperlink ref="C10" r:id="rId3" xr:uid="{288A539A-0675-4BA2-89C1-59F3C9BDF313}"/>
  </hyperlinks>
  <pageMargins left="0.7" right="0.7" top="0.75" bottom="0.75" header="0" footer="0"/>
  <pageSetup orientation="landscape"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C8" zoomScale="70" zoomScaleNormal="70" workbookViewId="0">
      <selection activeCell="H8" sqref="H8"/>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9" width="19.109375" customWidth="1"/>
    <col min="10" max="10" width="19" customWidth="1"/>
    <col min="11" max="26" width="10" customWidth="1"/>
  </cols>
  <sheetData>
    <row r="1" spans="1:26" ht="12.75" customHeight="1"/>
    <row r="2" spans="1:26" ht="27.75" customHeight="1">
      <c r="D2" s="71" t="s">
        <v>0</v>
      </c>
      <c r="E2" s="72"/>
      <c r="F2" s="72"/>
      <c r="G2" s="72"/>
      <c r="H2" s="72"/>
    </row>
    <row r="3" spans="1:26" ht="12.75" customHeight="1"/>
    <row r="4" spans="1:26" ht="12.75" customHeight="1"/>
    <row r="5" spans="1:26" ht="43.5" customHeight="1">
      <c r="A5" s="73" t="s">
        <v>136</v>
      </c>
      <c r="B5" s="74"/>
      <c r="C5" s="74"/>
      <c r="D5" s="74"/>
      <c r="E5" s="74"/>
      <c r="F5" s="74"/>
      <c r="G5" s="74"/>
      <c r="H5" s="74"/>
      <c r="I5" s="74"/>
      <c r="J5" s="75"/>
    </row>
    <row r="6" spans="1:26" ht="15.75" customHeight="1">
      <c r="A6" s="31" t="s">
        <v>48</v>
      </c>
    </row>
    <row r="7" spans="1:26" ht="75.75" customHeight="1">
      <c r="A7" s="1" t="s">
        <v>2</v>
      </c>
      <c r="B7" s="6" t="s">
        <v>193</v>
      </c>
      <c r="C7" s="6" t="s">
        <v>194</v>
      </c>
      <c r="D7" s="6" t="s">
        <v>195</v>
      </c>
      <c r="E7" s="6" t="s">
        <v>196</v>
      </c>
      <c r="F7" s="32" t="s">
        <v>197</v>
      </c>
      <c r="G7" s="33" t="s">
        <v>198</v>
      </c>
      <c r="H7" s="34" t="s">
        <v>9</v>
      </c>
      <c r="I7" s="6" t="s">
        <v>199</v>
      </c>
      <c r="J7" s="6" t="s">
        <v>200</v>
      </c>
      <c r="K7" s="7"/>
      <c r="L7" s="7"/>
      <c r="M7" s="7"/>
      <c r="N7" s="7"/>
      <c r="O7" s="7"/>
      <c r="P7" s="7"/>
      <c r="Q7" s="7"/>
      <c r="R7" s="7"/>
      <c r="S7" s="7"/>
      <c r="T7" s="7"/>
      <c r="U7" s="7"/>
      <c r="V7" s="7"/>
      <c r="W7" s="7"/>
      <c r="X7" s="7"/>
      <c r="Y7" s="7"/>
      <c r="Z7" s="7"/>
    </row>
    <row r="8" spans="1:26" ht="129.6">
      <c r="A8" s="15" t="s">
        <v>12</v>
      </c>
      <c r="B8" s="20" t="s">
        <v>124</v>
      </c>
      <c r="C8" s="66" t="s">
        <v>369</v>
      </c>
      <c r="D8" s="20" t="s">
        <v>208</v>
      </c>
      <c r="E8" s="36">
        <f>158400/1.19</f>
        <v>133109.24369747899</v>
      </c>
      <c r="F8" s="37">
        <f t="shared" ref="F8" si="0">E8*19%</f>
        <v>25290.756302521007</v>
      </c>
      <c r="G8" s="36">
        <f t="shared" ref="G8" si="1">E8+F8</f>
        <v>158400</v>
      </c>
      <c r="H8" s="36">
        <f>G8</f>
        <v>158400</v>
      </c>
      <c r="I8" s="43" t="s">
        <v>16</v>
      </c>
      <c r="J8" s="38" t="s">
        <v>209</v>
      </c>
      <c r="K8" s="31"/>
      <c r="L8" s="31"/>
      <c r="M8" s="31"/>
    </row>
    <row r="9" spans="1:26" ht="409.6">
      <c r="A9" s="15" t="s">
        <v>18</v>
      </c>
      <c r="B9" s="20" t="s">
        <v>204</v>
      </c>
      <c r="C9" s="39" t="s">
        <v>205</v>
      </c>
      <c r="D9" s="20" t="s">
        <v>206</v>
      </c>
      <c r="E9" s="64">
        <f>501900/1.19</f>
        <v>421764.70588235295</v>
      </c>
      <c r="F9" s="36">
        <f t="shared" ref="F9" si="2">E9*19%</f>
        <v>80135.294117647063</v>
      </c>
      <c r="G9" s="36">
        <f t="shared" ref="G9" si="3">E9+F9</f>
        <v>501900</v>
      </c>
      <c r="H9" s="36">
        <f>G9</f>
        <v>501900</v>
      </c>
      <c r="I9" s="13" t="s">
        <v>16</v>
      </c>
      <c r="J9" s="38" t="s">
        <v>207</v>
      </c>
      <c r="L9" s="31"/>
    </row>
    <row r="10" spans="1:26" ht="129.6">
      <c r="A10" s="15" t="s">
        <v>23</v>
      </c>
      <c r="B10" s="20" t="s">
        <v>201</v>
      </c>
      <c r="C10" s="35" t="s">
        <v>202</v>
      </c>
      <c r="D10" s="20" t="s">
        <v>203</v>
      </c>
      <c r="E10" s="64">
        <f>329960/1.19</f>
        <v>277277.31092436978</v>
      </c>
      <c r="F10" s="64">
        <f t="shared" ref="F10" si="4">E10*19%</f>
        <v>52682.68907563026</v>
      </c>
      <c r="G10" s="64">
        <f t="shared" ref="G10" si="5">E10+F10</f>
        <v>329960.00000000006</v>
      </c>
      <c r="H10" s="36">
        <f>G10</f>
        <v>329960.00000000006</v>
      </c>
      <c r="I10" s="13" t="s">
        <v>16</v>
      </c>
      <c r="J10" s="38" t="s">
        <v>209</v>
      </c>
    </row>
    <row r="11" spans="1:26" ht="15" hidden="1" customHeight="1">
      <c r="A11" s="44"/>
      <c r="B11" s="41"/>
      <c r="C11" s="41"/>
      <c r="D11" s="41"/>
      <c r="E11" s="41"/>
      <c r="F11" s="41"/>
      <c r="G11" s="41"/>
      <c r="H11" s="41"/>
      <c r="I11" s="41"/>
      <c r="J11" s="41"/>
    </row>
    <row r="12" spans="1:26" ht="12.75" customHeight="1">
      <c r="J12" s="31"/>
    </row>
    <row r="13" spans="1:26" ht="138.75" customHeight="1">
      <c r="A13" s="76" t="s">
        <v>69</v>
      </c>
      <c r="B13" s="74"/>
      <c r="C13" s="74"/>
      <c r="D13" s="74"/>
      <c r="E13" s="74"/>
      <c r="F13" s="74"/>
      <c r="G13" s="74"/>
      <c r="H13" s="74"/>
      <c r="I13" s="74"/>
      <c r="J13" s="75"/>
    </row>
    <row r="14" spans="1:26" ht="12.75" customHeight="1"/>
    <row r="15" spans="1:26" ht="75" customHeight="1">
      <c r="A15" s="76" t="s">
        <v>210</v>
      </c>
      <c r="B15" s="74"/>
      <c r="C15" s="74"/>
      <c r="D15" s="74"/>
      <c r="E15" s="74"/>
      <c r="F15" s="74"/>
      <c r="G15" s="74"/>
      <c r="H15" s="74"/>
      <c r="I15" s="74"/>
      <c r="J15" s="75"/>
    </row>
    <row r="16" spans="1:26" ht="12.75" customHeight="1"/>
    <row r="17" spans="1:10" ht="12.75" customHeight="1"/>
    <row r="18" spans="1:10" ht="12.75" customHeight="1">
      <c r="A18" s="1" t="s">
        <v>2</v>
      </c>
      <c r="B18" s="6" t="s">
        <v>211</v>
      </c>
      <c r="C18" s="6" t="s">
        <v>212</v>
      </c>
      <c r="D18" s="6" t="s">
        <v>213</v>
      </c>
      <c r="E18" s="6" t="s">
        <v>214</v>
      </c>
      <c r="F18" s="32" t="s">
        <v>215</v>
      </c>
      <c r="G18" s="33" t="s">
        <v>216</v>
      </c>
      <c r="H18" s="34" t="s">
        <v>9</v>
      </c>
      <c r="I18" s="6" t="s">
        <v>217</v>
      </c>
      <c r="J18" s="6" t="s">
        <v>218</v>
      </c>
    </row>
    <row r="19" spans="1:10" ht="12.75" customHeight="1">
      <c r="A19" s="15" t="s">
        <v>12</v>
      </c>
      <c r="B19" s="38"/>
      <c r="C19" s="38"/>
      <c r="D19" s="38"/>
      <c r="E19" s="38"/>
      <c r="F19" s="45"/>
      <c r="G19" s="46"/>
      <c r="H19" s="45"/>
      <c r="I19" s="38"/>
      <c r="J19" s="38"/>
    </row>
    <row r="20" spans="1:10" ht="12.75" customHeight="1">
      <c r="A20" s="15" t="s">
        <v>18</v>
      </c>
      <c r="B20" s="38"/>
      <c r="C20" s="47"/>
      <c r="D20" s="41"/>
      <c r="E20" s="41"/>
      <c r="F20" s="45"/>
      <c r="G20" s="46"/>
      <c r="H20" s="45"/>
      <c r="I20" s="41"/>
      <c r="J20" s="41"/>
    </row>
    <row r="21" spans="1:10" ht="12.75" customHeight="1">
      <c r="A21" s="15" t="s">
        <v>23</v>
      </c>
      <c r="B21" s="38"/>
      <c r="C21" s="41"/>
      <c r="D21" s="41"/>
      <c r="E21" s="46"/>
      <c r="F21" s="45"/>
      <c r="G21" s="48"/>
      <c r="H21" s="45"/>
      <c r="I21" s="41"/>
      <c r="J21" s="41"/>
    </row>
    <row r="22" spans="1:10" ht="12.75" customHeight="1"/>
    <row r="23" spans="1:10" ht="12.75" customHeight="1"/>
    <row r="24" spans="1:10" ht="12.75" customHeight="1"/>
    <row r="25" spans="1:10" ht="12.75" customHeight="1"/>
    <row r="26" spans="1:10" ht="12.75" customHeight="1">
      <c r="D26" s="23"/>
      <c r="E26" s="23"/>
      <c r="F26" s="24"/>
      <c r="G26" s="24"/>
    </row>
    <row r="27" spans="1:10" ht="12.75" customHeight="1"/>
    <row r="28" spans="1:10" ht="12.75" customHeight="1"/>
    <row r="29" spans="1:10" ht="12.75" customHeight="1"/>
    <row r="30" spans="1:10" ht="12.75" customHeight="1"/>
    <row r="31" spans="1:10" ht="12.75" customHeight="1"/>
    <row r="32" spans="1:10"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9" r:id="rId1" xr:uid="{00000000-0004-0000-0800-000001000000}"/>
    <hyperlink ref="C10" r:id="rId2" xr:uid="{A4CC2F2B-B7BA-4D4F-AB88-012F3B4C009D}"/>
    <hyperlink ref="C8" r:id="rId3" xr:uid="{929A0B20-4D6C-44FB-BFD2-3FE09B75293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tabSelected="1" topLeftCell="A9" workbookViewId="0">
      <selection activeCell="F9" sqref="F9"/>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1" t="s">
        <v>0</v>
      </c>
      <c r="E2" s="72"/>
      <c r="F2" s="72"/>
      <c r="G2" s="72"/>
      <c r="H2" s="72"/>
    </row>
    <row r="3" spans="1:26" ht="12.75" customHeight="1"/>
    <row r="4" spans="1:26" ht="12.75" customHeight="1"/>
    <row r="5" spans="1:26" ht="43.5" customHeight="1">
      <c r="A5" s="73" t="s">
        <v>136</v>
      </c>
      <c r="B5" s="74"/>
      <c r="C5" s="74"/>
      <c r="D5" s="74"/>
      <c r="E5" s="74"/>
      <c r="F5" s="74"/>
      <c r="G5" s="74"/>
      <c r="H5" s="74"/>
      <c r="I5" s="74"/>
      <c r="J5" s="75"/>
    </row>
    <row r="6" spans="1:26" ht="15.75" customHeight="1">
      <c r="A6" s="31" t="s">
        <v>48</v>
      </c>
    </row>
    <row r="7" spans="1:26" ht="75.75" customHeight="1">
      <c r="A7" s="1" t="s">
        <v>2</v>
      </c>
      <c r="B7" s="6" t="s">
        <v>219</v>
      </c>
      <c r="C7" s="6" t="s">
        <v>220</v>
      </c>
      <c r="D7" s="6" t="s">
        <v>221</v>
      </c>
      <c r="E7" s="6" t="s">
        <v>222</v>
      </c>
      <c r="F7" s="32" t="s">
        <v>223</v>
      </c>
      <c r="G7" s="33" t="s">
        <v>224</v>
      </c>
      <c r="H7" s="34" t="s">
        <v>9</v>
      </c>
      <c r="I7" s="6" t="s">
        <v>225</v>
      </c>
      <c r="J7" s="6" t="s">
        <v>226</v>
      </c>
      <c r="K7" s="7"/>
      <c r="L7" s="7"/>
      <c r="M7" s="7"/>
      <c r="N7" s="7"/>
      <c r="O7" s="7"/>
      <c r="P7" s="7"/>
      <c r="Q7" s="7"/>
      <c r="R7" s="7"/>
      <c r="S7" s="7"/>
      <c r="T7" s="7"/>
      <c r="U7" s="7"/>
      <c r="V7" s="7"/>
      <c r="W7" s="7"/>
      <c r="X7" s="7"/>
      <c r="Y7" s="7"/>
      <c r="Z7" s="7"/>
    </row>
    <row r="8" spans="1:26" ht="187.2">
      <c r="A8" s="15" t="s">
        <v>12</v>
      </c>
      <c r="B8" s="20" t="s">
        <v>227</v>
      </c>
      <c r="C8" s="39" t="s">
        <v>228</v>
      </c>
      <c r="D8" s="20" t="s">
        <v>229</v>
      </c>
      <c r="E8" s="36">
        <v>230</v>
      </c>
      <c r="F8" s="36">
        <v>0</v>
      </c>
      <c r="G8" s="36">
        <f t="shared" ref="G8:G10" si="0">E8+F8</f>
        <v>230</v>
      </c>
      <c r="H8" s="36">
        <f>G8*4106</f>
        <v>944380</v>
      </c>
      <c r="I8" s="13" t="s">
        <v>16</v>
      </c>
      <c r="J8" s="38" t="s">
        <v>230</v>
      </c>
      <c r="K8" s="31"/>
      <c r="L8" s="31"/>
      <c r="M8" s="31"/>
    </row>
    <row r="9" spans="1:26" ht="409.6">
      <c r="A9" s="15" t="s">
        <v>18</v>
      </c>
      <c r="B9" s="20" t="s">
        <v>231</v>
      </c>
      <c r="C9" s="35" t="s">
        <v>232</v>
      </c>
      <c r="D9" s="20" t="s">
        <v>233</v>
      </c>
      <c r="E9" s="36">
        <f>1990000/1.19</f>
        <v>1672268.9075630254</v>
      </c>
      <c r="F9" s="36">
        <f t="shared" ref="F9:F10" si="1">E9*19%</f>
        <v>317731.09243697481</v>
      </c>
      <c r="G9" s="64">
        <f t="shared" si="0"/>
        <v>1990000.0000000002</v>
      </c>
      <c r="H9" s="36">
        <f>G9</f>
        <v>1990000.0000000002</v>
      </c>
      <c r="I9" s="13" t="s">
        <v>16</v>
      </c>
      <c r="J9" s="38" t="s">
        <v>234</v>
      </c>
      <c r="L9" s="31"/>
    </row>
    <row r="10" spans="1:26" ht="230.4">
      <c r="A10" s="15" t="s">
        <v>23</v>
      </c>
      <c r="B10" s="20" t="s">
        <v>235</v>
      </c>
      <c r="C10" s="42" t="s">
        <v>236</v>
      </c>
      <c r="D10" s="6" t="s">
        <v>237</v>
      </c>
      <c r="E10" s="36">
        <f>1107207/1.19</f>
        <v>930426.05042016809</v>
      </c>
      <c r="F10" s="36">
        <f t="shared" si="1"/>
        <v>176780.94957983194</v>
      </c>
      <c r="G10" s="36">
        <f t="shared" si="0"/>
        <v>1107207</v>
      </c>
      <c r="H10" s="36">
        <f>G10</f>
        <v>1107207</v>
      </c>
      <c r="I10" s="43" t="s">
        <v>16</v>
      </c>
      <c r="J10" s="38" t="s">
        <v>238</v>
      </c>
    </row>
    <row r="11" spans="1:26" ht="15" hidden="1" customHeight="1">
      <c r="A11" s="44"/>
      <c r="B11" s="41"/>
      <c r="C11" s="41"/>
      <c r="D11" s="41"/>
      <c r="E11" s="41"/>
      <c r="F11" s="41"/>
      <c r="G11" s="41"/>
      <c r="H11" s="41"/>
      <c r="I11" s="41"/>
      <c r="J11" s="41"/>
    </row>
    <row r="12" spans="1:26" ht="12.75" customHeight="1">
      <c r="J12" s="31" t="s">
        <v>156</v>
      </c>
    </row>
    <row r="13" spans="1:26" ht="138.75" customHeight="1">
      <c r="A13" s="76" t="s">
        <v>69</v>
      </c>
      <c r="B13" s="74"/>
      <c r="C13" s="74"/>
      <c r="D13" s="74"/>
      <c r="E13" s="74"/>
      <c r="F13" s="74"/>
      <c r="G13" s="74"/>
      <c r="H13" s="74"/>
      <c r="I13" s="74"/>
      <c r="J13" s="75"/>
    </row>
    <row r="14" spans="1:26" ht="12.75" customHeight="1"/>
    <row r="15" spans="1:26" ht="75" customHeight="1">
      <c r="A15" s="76" t="s">
        <v>239</v>
      </c>
      <c r="B15" s="74"/>
      <c r="C15" s="74"/>
      <c r="D15" s="74"/>
      <c r="E15" s="74"/>
      <c r="F15" s="74"/>
      <c r="G15" s="74"/>
      <c r="H15" s="74"/>
      <c r="I15" s="74"/>
      <c r="J15" s="75"/>
    </row>
    <row r="16" spans="1:26" ht="12.75" customHeight="1"/>
    <row r="17" spans="1:10" ht="12.75" customHeight="1"/>
    <row r="18" spans="1:10" ht="12.75" customHeight="1">
      <c r="A18" s="1" t="s">
        <v>2</v>
      </c>
      <c r="B18" s="6" t="s">
        <v>240</v>
      </c>
      <c r="C18" s="6" t="s">
        <v>241</v>
      </c>
      <c r="D18" s="6" t="s">
        <v>242</v>
      </c>
      <c r="E18" s="6" t="s">
        <v>243</v>
      </c>
      <c r="F18" s="32" t="s">
        <v>244</v>
      </c>
      <c r="G18" s="33" t="s">
        <v>245</v>
      </c>
      <c r="H18" s="34" t="s">
        <v>9</v>
      </c>
      <c r="I18" s="6" t="s">
        <v>246</v>
      </c>
      <c r="J18" s="6" t="s">
        <v>247</v>
      </c>
    </row>
    <row r="19" spans="1:10" ht="12.75" customHeight="1">
      <c r="A19" s="15" t="s">
        <v>12</v>
      </c>
      <c r="B19" s="38"/>
      <c r="C19" s="38"/>
      <c r="D19" s="38"/>
      <c r="E19" s="38"/>
      <c r="F19" s="45"/>
      <c r="G19" s="46"/>
      <c r="H19" s="45"/>
      <c r="I19" s="38"/>
      <c r="J19" s="38"/>
    </row>
    <row r="20" spans="1:10" ht="12.75" customHeight="1">
      <c r="A20" s="15" t="s">
        <v>18</v>
      </c>
      <c r="B20" s="38"/>
      <c r="C20" s="47"/>
      <c r="D20" s="41"/>
      <c r="E20" s="41"/>
      <c r="F20" s="45"/>
      <c r="G20" s="46"/>
      <c r="H20" s="45"/>
      <c r="I20" s="41"/>
      <c r="J20" s="41"/>
    </row>
    <row r="21" spans="1:10" ht="12.75" customHeight="1">
      <c r="A21" s="15" t="s">
        <v>23</v>
      </c>
      <c r="B21" s="38"/>
      <c r="C21" s="41"/>
      <c r="D21" s="41"/>
      <c r="E21" s="46"/>
      <c r="F21" s="45"/>
      <c r="G21" s="48"/>
      <c r="H21" s="45"/>
      <c r="I21" s="41"/>
      <c r="J21" s="41"/>
    </row>
    <row r="22" spans="1:10" ht="12.75" customHeight="1"/>
    <row r="23" spans="1:10" ht="12.75" customHeight="1"/>
    <row r="24" spans="1:10" ht="12.75" customHeight="1"/>
    <row r="25" spans="1:10" ht="12.75" customHeight="1"/>
    <row r="26" spans="1:10" ht="12.75" customHeight="1">
      <c r="D26" s="23"/>
      <c r="E26" s="23"/>
      <c r="F26" s="24"/>
      <c r="G26" s="24"/>
    </row>
    <row r="27" spans="1:10" ht="12.75" customHeight="1"/>
    <row r="28" spans="1:10" ht="12.75" customHeight="1"/>
    <row r="29" spans="1:10" ht="12.75" customHeight="1"/>
    <row r="30" spans="1:10" ht="12.75" customHeight="1"/>
    <row r="31" spans="1:10" ht="12.75" customHeight="1"/>
    <row r="32" spans="1:10"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location="footnote2" xr:uid="{00000000-0004-0000-0900-000000000000}"/>
    <hyperlink ref="C9" r:id="rId2" xr:uid="{00000000-0004-0000-0900-000001000000}"/>
    <hyperlink ref="C10" r:id="rId3" xr:uid="{00000000-0004-0000-0900-000002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topLeftCell="F8" workbookViewId="0">
      <selection activeCell="H8" sqref="H8"/>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1" t="s">
        <v>0</v>
      </c>
      <c r="E2" s="72"/>
      <c r="F2" s="72"/>
      <c r="G2" s="72"/>
      <c r="H2" s="72"/>
    </row>
    <row r="3" spans="1:26" ht="12.75" customHeight="1"/>
    <row r="4" spans="1:26" ht="12.75" customHeight="1"/>
    <row r="5" spans="1:26" ht="43.5" customHeight="1">
      <c r="A5" s="73" t="s">
        <v>136</v>
      </c>
      <c r="B5" s="74"/>
      <c r="C5" s="74"/>
      <c r="D5" s="74"/>
      <c r="E5" s="74"/>
      <c r="F5" s="74"/>
      <c r="G5" s="74"/>
      <c r="H5" s="74"/>
      <c r="I5" s="74"/>
      <c r="J5" s="75"/>
    </row>
    <row r="6" spans="1:26" ht="15.75" customHeight="1">
      <c r="A6" s="31" t="s">
        <v>48</v>
      </c>
    </row>
    <row r="7" spans="1:26" ht="75.75" customHeight="1">
      <c r="A7" s="1" t="s">
        <v>2</v>
      </c>
      <c r="B7" s="6" t="s">
        <v>248</v>
      </c>
      <c r="C7" s="6" t="s">
        <v>249</v>
      </c>
      <c r="D7" s="6" t="s">
        <v>250</v>
      </c>
      <c r="E7" s="6" t="s">
        <v>251</v>
      </c>
      <c r="F7" s="32" t="s">
        <v>252</v>
      </c>
      <c r="G7" s="33" t="s">
        <v>253</v>
      </c>
      <c r="H7" s="34" t="s">
        <v>9</v>
      </c>
      <c r="I7" s="6" t="s">
        <v>254</v>
      </c>
      <c r="J7" s="6" t="s">
        <v>255</v>
      </c>
      <c r="K7" s="7"/>
      <c r="L7" s="7"/>
      <c r="M7" s="7"/>
      <c r="N7" s="7"/>
      <c r="O7" s="7"/>
      <c r="P7" s="7"/>
      <c r="Q7" s="7"/>
      <c r="R7" s="7"/>
      <c r="S7" s="7"/>
      <c r="T7" s="7"/>
      <c r="U7" s="7"/>
      <c r="V7" s="7"/>
      <c r="W7" s="7"/>
      <c r="X7" s="7"/>
      <c r="Y7" s="7"/>
      <c r="Z7" s="7"/>
    </row>
    <row r="8" spans="1:26" ht="172.8">
      <c r="A8" s="15" t="s">
        <v>12</v>
      </c>
      <c r="B8" s="20" t="s">
        <v>256</v>
      </c>
      <c r="C8" s="39" t="s">
        <v>257</v>
      </c>
      <c r="D8" s="20" t="s">
        <v>258</v>
      </c>
      <c r="E8" s="36">
        <f>148200/1.19</f>
        <v>124537.81512605042</v>
      </c>
      <c r="F8" s="36">
        <f t="shared" ref="F8:F10" si="0">E8*19%</f>
        <v>23662.18487394958</v>
      </c>
      <c r="G8" s="36">
        <f t="shared" ref="G8:G10" si="1">E8+F8</f>
        <v>148200</v>
      </c>
      <c r="H8" s="36">
        <f>G8</f>
        <v>148200</v>
      </c>
      <c r="I8" s="13" t="s">
        <v>16</v>
      </c>
      <c r="J8" s="38" t="s">
        <v>259</v>
      </c>
      <c r="K8" s="31"/>
      <c r="L8" s="31"/>
      <c r="M8" s="31"/>
    </row>
    <row r="9" spans="1:26" ht="216">
      <c r="A9" s="15" t="s">
        <v>18</v>
      </c>
      <c r="B9" s="20" t="s">
        <v>260</v>
      </c>
      <c r="C9" s="35" t="s">
        <v>261</v>
      </c>
      <c r="D9" s="20" t="s">
        <v>262</v>
      </c>
      <c r="E9" s="36">
        <f>334699/1.19</f>
        <v>281259.66386554623</v>
      </c>
      <c r="F9" s="36">
        <f t="shared" si="0"/>
        <v>53439.336134453784</v>
      </c>
      <c r="G9" s="64">
        <f t="shared" si="1"/>
        <v>334699</v>
      </c>
      <c r="H9" s="36">
        <f>G9</f>
        <v>334699</v>
      </c>
      <c r="I9" s="13" t="s">
        <v>16</v>
      </c>
      <c r="J9" s="38" t="s">
        <v>263</v>
      </c>
      <c r="L9" s="31"/>
    </row>
    <row r="10" spans="1:26" ht="187.2">
      <c r="A10" s="15" t="s">
        <v>23</v>
      </c>
      <c r="B10" s="20" t="s">
        <v>264</v>
      </c>
      <c r="C10" s="42" t="s">
        <v>265</v>
      </c>
      <c r="D10" s="6" t="s">
        <v>266</v>
      </c>
      <c r="E10" s="36">
        <f>55000/1.19</f>
        <v>46218.487394957985</v>
      </c>
      <c r="F10" s="36">
        <f t="shared" si="0"/>
        <v>8781.5126050420167</v>
      </c>
      <c r="G10" s="36">
        <f t="shared" si="1"/>
        <v>55000</v>
      </c>
      <c r="H10" s="36">
        <f>G10</f>
        <v>55000</v>
      </c>
      <c r="I10" s="43" t="s">
        <v>16</v>
      </c>
      <c r="J10" s="38" t="s">
        <v>267</v>
      </c>
    </row>
    <row r="11" spans="1:26" ht="15" hidden="1" customHeight="1">
      <c r="A11" s="44"/>
      <c r="B11" s="41"/>
      <c r="C11" s="41"/>
      <c r="D11" s="41"/>
      <c r="E11" s="41"/>
      <c r="F11" s="41"/>
      <c r="G11" s="41"/>
      <c r="H11" s="41"/>
      <c r="I11" s="41"/>
      <c r="J11" s="41"/>
    </row>
    <row r="12" spans="1:26" ht="12.75" customHeight="1">
      <c r="J12" s="31" t="s">
        <v>156</v>
      </c>
    </row>
    <row r="13" spans="1:26" ht="138.75" customHeight="1">
      <c r="A13" s="76" t="s">
        <v>69</v>
      </c>
      <c r="B13" s="74"/>
      <c r="C13" s="74"/>
      <c r="D13" s="74"/>
      <c r="E13" s="74"/>
      <c r="F13" s="74"/>
      <c r="G13" s="74"/>
      <c r="H13" s="74"/>
      <c r="I13" s="74"/>
      <c r="J13" s="75"/>
    </row>
    <row r="14" spans="1:26" ht="12.75" customHeight="1"/>
    <row r="15" spans="1:26" ht="75" customHeight="1">
      <c r="A15" s="76" t="s">
        <v>268</v>
      </c>
      <c r="B15" s="74"/>
      <c r="C15" s="74"/>
      <c r="D15" s="74"/>
      <c r="E15" s="74"/>
      <c r="F15" s="74"/>
      <c r="G15" s="74"/>
      <c r="H15" s="74"/>
      <c r="I15" s="74"/>
      <c r="J15" s="75"/>
    </row>
    <row r="16" spans="1:26" ht="12.75" customHeight="1"/>
    <row r="17" spans="1:10" ht="12.75" customHeight="1"/>
    <row r="18" spans="1:10" ht="12.75" customHeight="1">
      <c r="A18" s="1" t="s">
        <v>2</v>
      </c>
      <c r="B18" s="6" t="s">
        <v>269</v>
      </c>
      <c r="C18" s="6" t="s">
        <v>270</v>
      </c>
      <c r="D18" s="6" t="s">
        <v>271</v>
      </c>
      <c r="E18" s="6" t="s">
        <v>272</v>
      </c>
      <c r="F18" s="32" t="s">
        <v>273</v>
      </c>
      <c r="G18" s="33" t="s">
        <v>274</v>
      </c>
      <c r="H18" s="34" t="s">
        <v>9</v>
      </c>
      <c r="I18" s="6" t="s">
        <v>275</v>
      </c>
      <c r="J18" s="6" t="s">
        <v>276</v>
      </c>
    </row>
    <row r="19" spans="1:10" ht="12.75" customHeight="1">
      <c r="A19" s="15" t="s">
        <v>12</v>
      </c>
      <c r="B19" s="38"/>
      <c r="C19" s="38"/>
      <c r="D19" s="38"/>
      <c r="E19" s="38"/>
      <c r="F19" s="45"/>
      <c r="G19" s="46"/>
      <c r="H19" s="45"/>
      <c r="I19" s="38"/>
      <c r="J19" s="38"/>
    </row>
    <row r="20" spans="1:10" ht="12.75" customHeight="1">
      <c r="A20" s="15" t="s">
        <v>18</v>
      </c>
      <c r="B20" s="38"/>
      <c r="C20" s="47"/>
      <c r="D20" s="41"/>
      <c r="E20" s="41"/>
      <c r="F20" s="45"/>
      <c r="G20" s="46"/>
      <c r="H20" s="45"/>
      <c r="I20" s="41"/>
      <c r="J20" s="41"/>
    </row>
    <row r="21" spans="1:10" ht="12.75" customHeight="1">
      <c r="A21" s="15" t="s">
        <v>23</v>
      </c>
      <c r="B21" s="38"/>
      <c r="C21" s="41"/>
      <c r="D21" s="41"/>
      <c r="E21" s="46"/>
      <c r="F21" s="45"/>
      <c r="G21" s="48"/>
      <c r="H21" s="45"/>
      <c r="I21" s="41"/>
      <c r="J21" s="41"/>
    </row>
    <row r="22" spans="1:10" ht="12.75" customHeight="1"/>
    <row r="23" spans="1:10" ht="12.75" customHeight="1"/>
    <row r="24" spans="1:10" ht="12.75" customHeight="1"/>
    <row r="25" spans="1:10" ht="12.75" customHeight="1"/>
    <row r="26" spans="1:10" ht="12.75" customHeight="1">
      <c r="D26" s="23"/>
      <c r="E26" s="23"/>
      <c r="F26" s="24"/>
      <c r="G26" s="24"/>
    </row>
    <row r="27" spans="1:10" ht="12.75" customHeight="1"/>
    <row r="28" spans="1:10" ht="12.75" customHeight="1"/>
    <row r="29" spans="1:10" ht="12.75" customHeight="1"/>
    <row r="30" spans="1:10" ht="12.75" customHeight="1"/>
    <row r="31" spans="1:10" ht="12.75" customHeight="1"/>
    <row r="32" spans="1:10"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00000000-0004-0000-0A00-000000000000}"/>
    <hyperlink ref="C9" r:id="rId2" xr:uid="{00000000-0004-0000-0A00-000001000000}"/>
    <hyperlink ref="C10" r:id="rId3" xr:uid="{00000000-0004-0000-0A00-000002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H8" sqref="H8"/>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1" t="s">
        <v>0</v>
      </c>
      <c r="E2" s="72"/>
      <c r="F2" s="72"/>
      <c r="G2" s="72"/>
      <c r="H2" s="72"/>
    </row>
    <row r="3" spans="1:26" ht="12.75" customHeight="1"/>
    <row r="4" spans="1:26" ht="12.75" customHeight="1"/>
    <row r="5" spans="1:26" ht="43.5" customHeight="1">
      <c r="A5" s="73" t="s">
        <v>136</v>
      </c>
      <c r="B5" s="74"/>
      <c r="C5" s="74"/>
      <c r="D5" s="74"/>
      <c r="E5" s="74"/>
      <c r="F5" s="74"/>
      <c r="G5" s="74"/>
      <c r="H5" s="74"/>
      <c r="I5" s="74"/>
      <c r="J5" s="75"/>
    </row>
    <row r="6" spans="1:26" ht="15.75" customHeight="1">
      <c r="A6" s="31" t="s">
        <v>48</v>
      </c>
    </row>
    <row r="7" spans="1:26" ht="75.75" customHeight="1">
      <c r="A7" s="1" t="s">
        <v>2</v>
      </c>
      <c r="B7" s="6" t="s">
        <v>277</v>
      </c>
      <c r="C7" s="6" t="s">
        <v>278</v>
      </c>
      <c r="D7" s="6" t="s">
        <v>279</v>
      </c>
      <c r="E7" s="6" t="s">
        <v>280</v>
      </c>
      <c r="F7" s="32" t="s">
        <v>281</v>
      </c>
      <c r="G7" s="33" t="s">
        <v>282</v>
      </c>
      <c r="H7" s="34" t="s">
        <v>9</v>
      </c>
      <c r="I7" s="6" t="s">
        <v>283</v>
      </c>
      <c r="J7" s="6" t="s">
        <v>284</v>
      </c>
      <c r="K7" s="7"/>
      <c r="L7" s="7"/>
      <c r="M7" s="7"/>
      <c r="N7" s="7"/>
      <c r="O7" s="7"/>
      <c r="P7" s="7"/>
      <c r="Q7" s="7"/>
      <c r="R7" s="7"/>
      <c r="S7" s="7"/>
      <c r="T7" s="7"/>
      <c r="U7" s="7"/>
      <c r="V7" s="7"/>
      <c r="W7" s="7"/>
      <c r="X7" s="7"/>
      <c r="Y7" s="7"/>
      <c r="Z7" s="7"/>
    </row>
    <row r="8" spans="1:26" ht="273.60000000000002">
      <c r="A8" s="15" t="s">
        <v>12</v>
      </c>
      <c r="B8" s="20" t="s">
        <v>285</v>
      </c>
      <c r="C8" s="42" t="s">
        <v>286</v>
      </c>
      <c r="D8" s="6" t="s">
        <v>287</v>
      </c>
      <c r="E8" s="36">
        <f>14990/1.19</f>
        <v>12596.638655462186</v>
      </c>
      <c r="F8" s="36">
        <f t="shared" ref="F8:F10" si="0">E8*19%</f>
        <v>2393.3613445378155</v>
      </c>
      <c r="G8" s="36">
        <f t="shared" ref="G8:G10" si="1">E8+F8</f>
        <v>14990.000000000002</v>
      </c>
      <c r="H8" s="36">
        <f>G8</f>
        <v>14990.000000000002</v>
      </c>
      <c r="I8" s="43" t="s">
        <v>16</v>
      </c>
      <c r="J8" s="38" t="s">
        <v>288</v>
      </c>
      <c r="K8" s="31"/>
      <c r="L8" s="31"/>
      <c r="M8" s="31"/>
    </row>
    <row r="9" spans="1:26" ht="172.8">
      <c r="A9" s="15" t="s">
        <v>18</v>
      </c>
      <c r="B9" s="20" t="s">
        <v>289</v>
      </c>
      <c r="C9" s="35" t="s">
        <v>290</v>
      </c>
      <c r="D9" s="20" t="s">
        <v>291</v>
      </c>
      <c r="E9" s="36">
        <f>123200/1.19</f>
        <v>103529.41176470589</v>
      </c>
      <c r="F9" s="36">
        <f t="shared" si="0"/>
        <v>19670.588235294119</v>
      </c>
      <c r="G9" s="64">
        <f t="shared" si="1"/>
        <v>123200</v>
      </c>
      <c r="H9" s="36">
        <f>G9</f>
        <v>123200</v>
      </c>
      <c r="I9" s="13" t="s">
        <v>16</v>
      </c>
      <c r="J9" s="38" t="s">
        <v>292</v>
      </c>
      <c r="L9" s="31"/>
    </row>
    <row r="10" spans="1:26" ht="273.60000000000002">
      <c r="A10" s="15" t="s">
        <v>23</v>
      </c>
      <c r="B10" s="20" t="s">
        <v>293</v>
      </c>
      <c r="C10" s="42" t="s">
        <v>294</v>
      </c>
      <c r="D10" s="6" t="s">
        <v>295</v>
      </c>
      <c r="E10" s="36">
        <f>55230/1.19</f>
        <v>46411.764705882357</v>
      </c>
      <c r="F10" s="36">
        <f t="shared" si="0"/>
        <v>8818.2352941176487</v>
      </c>
      <c r="G10" s="36">
        <f t="shared" si="1"/>
        <v>55230.000000000007</v>
      </c>
      <c r="H10" s="36">
        <f>G10</f>
        <v>55230.000000000007</v>
      </c>
      <c r="I10" s="43" t="s">
        <v>16</v>
      </c>
      <c r="J10" s="38" t="s">
        <v>296</v>
      </c>
    </row>
    <row r="11" spans="1:26" ht="15" hidden="1" customHeight="1">
      <c r="A11" s="44"/>
      <c r="B11" s="41"/>
      <c r="C11" s="41"/>
      <c r="D11" s="41"/>
      <c r="E11" s="41"/>
      <c r="F11" s="41"/>
      <c r="G11" s="41"/>
      <c r="H11" s="41"/>
      <c r="I11" s="41"/>
      <c r="J11" s="41"/>
    </row>
    <row r="12" spans="1:26" ht="12.75" customHeight="1">
      <c r="J12" s="31" t="s">
        <v>156</v>
      </c>
    </row>
    <row r="13" spans="1:26" ht="138.75" customHeight="1">
      <c r="A13" s="76" t="s">
        <v>69</v>
      </c>
      <c r="B13" s="74"/>
      <c r="C13" s="74"/>
      <c r="D13" s="74"/>
      <c r="E13" s="74"/>
      <c r="F13" s="74"/>
      <c r="G13" s="74"/>
      <c r="H13" s="74"/>
      <c r="I13" s="74"/>
      <c r="J13" s="75"/>
    </row>
    <row r="14" spans="1:26" ht="12.75" customHeight="1"/>
    <row r="15" spans="1:26" ht="75" customHeight="1">
      <c r="A15" s="76" t="s">
        <v>297</v>
      </c>
      <c r="B15" s="74"/>
      <c r="C15" s="74"/>
      <c r="D15" s="74"/>
      <c r="E15" s="74"/>
      <c r="F15" s="74"/>
      <c r="G15" s="74"/>
      <c r="H15" s="74"/>
      <c r="I15" s="74"/>
      <c r="J15" s="75"/>
    </row>
    <row r="16" spans="1:26" ht="12.75" customHeight="1"/>
    <row r="17" spans="1:10" ht="12.75" customHeight="1"/>
    <row r="18" spans="1:10" ht="12.75" customHeight="1">
      <c r="A18" s="1" t="s">
        <v>2</v>
      </c>
      <c r="B18" s="6" t="s">
        <v>298</v>
      </c>
      <c r="C18" s="6" t="s">
        <v>299</v>
      </c>
      <c r="D18" s="6" t="s">
        <v>300</v>
      </c>
      <c r="E18" s="6" t="s">
        <v>301</v>
      </c>
      <c r="F18" s="32" t="s">
        <v>302</v>
      </c>
      <c r="G18" s="33" t="s">
        <v>303</v>
      </c>
      <c r="H18" s="34" t="s">
        <v>9</v>
      </c>
      <c r="I18" s="6" t="s">
        <v>304</v>
      </c>
      <c r="J18" s="6" t="s">
        <v>305</v>
      </c>
    </row>
    <row r="19" spans="1:10" ht="12.75" customHeight="1">
      <c r="A19" s="15" t="s">
        <v>12</v>
      </c>
      <c r="B19" s="38"/>
      <c r="C19" s="38"/>
      <c r="D19" s="38"/>
      <c r="E19" s="38"/>
      <c r="F19" s="45"/>
      <c r="G19" s="46"/>
      <c r="H19" s="45"/>
      <c r="I19" s="38"/>
      <c r="J19" s="38"/>
    </row>
    <row r="20" spans="1:10" ht="12.75" customHeight="1">
      <c r="A20" s="15" t="s">
        <v>18</v>
      </c>
      <c r="B20" s="38"/>
      <c r="C20" s="47"/>
      <c r="D20" s="41"/>
      <c r="E20" s="41"/>
      <c r="F20" s="45"/>
      <c r="G20" s="46"/>
      <c r="H20" s="45"/>
      <c r="I20" s="41"/>
      <c r="J20" s="41"/>
    </row>
    <row r="21" spans="1:10" ht="12.75" customHeight="1">
      <c r="A21" s="15" t="s">
        <v>23</v>
      </c>
      <c r="B21" s="38"/>
      <c r="C21" s="41"/>
      <c r="D21" s="41"/>
      <c r="E21" s="46"/>
      <c r="F21" s="45"/>
      <c r="G21" s="48"/>
      <c r="H21" s="45"/>
      <c r="I21" s="41"/>
      <c r="J21" s="41"/>
    </row>
    <row r="22" spans="1:10" ht="12.75" customHeight="1"/>
    <row r="23" spans="1:10" ht="12.75" customHeight="1"/>
    <row r="24" spans="1:10" ht="12.75" customHeight="1"/>
    <row r="25" spans="1:10" ht="12.75" customHeight="1"/>
    <row r="26" spans="1:10" ht="12.75" customHeight="1">
      <c r="D26" s="23"/>
      <c r="E26" s="23"/>
      <c r="F26" s="24"/>
      <c r="G26" s="24"/>
    </row>
    <row r="27" spans="1:10" ht="12.75" customHeight="1"/>
    <row r="28" spans="1:10" ht="12.75" customHeight="1"/>
    <row r="29" spans="1:10" ht="12.75" customHeight="1"/>
    <row r="30" spans="1:10" ht="12.75" customHeight="1"/>
    <row r="31" spans="1:10" ht="12.75" customHeight="1"/>
    <row r="32" spans="1:10"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location="fibra-optica" xr:uid="{00000000-0004-0000-0B00-000000000000}"/>
    <hyperlink ref="C9" r:id="rId2" xr:uid="{00000000-0004-0000-0B00-000001000000}"/>
    <hyperlink ref="C10" r:id="rId3" xr:uid="{00000000-0004-0000-0B00-000002000000}"/>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topLeftCell="A8" workbookViewId="0">
      <selection activeCell="E10" sqref="E10"/>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1" t="s">
        <v>0</v>
      </c>
      <c r="E2" s="72"/>
      <c r="F2" s="72"/>
      <c r="G2" s="72"/>
      <c r="H2" s="72"/>
    </row>
    <row r="3" spans="1:26" ht="12.75" customHeight="1"/>
    <row r="4" spans="1:26" ht="12.75" customHeight="1"/>
    <row r="5" spans="1:26" ht="43.5" customHeight="1">
      <c r="A5" s="73" t="s">
        <v>136</v>
      </c>
      <c r="B5" s="74"/>
      <c r="C5" s="74"/>
      <c r="D5" s="74"/>
      <c r="E5" s="74"/>
      <c r="F5" s="74"/>
      <c r="G5" s="74"/>
      <c r="H5" s="74"/>
      <c r="I5" s="74"/>
      <c r="J5" s="75"/>
    </row>
    <row r="6" spans="1:26" ht="15.75" customHeight="1">
      <c r="A6" s="31" t="s">
        <v>48</v>
      </c>
    </row>
    <row r="7" spans="1:26" ht="75.75" customHeight="1">
      <c r="A7" s="1" t="s">
        <v>2</v>
      </c>
      <c r="B7" s="6" t="s">
        <v>306</v>
      </c>
      <c r="C7" s="6" t="s">
        <v>307</v>
      </c>
      <c r="D7" s="6" t="s">
        <v>308</v>
      </c>
      <c r="E7" s="6" t="s">
        <v>309</v>
      </c>
      <c r="F7" s="32" t="s">
        <v>310</v>
      </c>
      <c r="G7" s="33" t="s">
        <v>311</v>
      </c>
      <c r="H7" s="34" t="s">
        <v>9</v>
      </c>
      <c r="I7" s="6" t="s">
        <v>312</v>
      </c>
      <c r="J7" s="6" t="s">
        <v>313</v>
      </c>
      <c r="K7" s="7"/>
      <c r="L7" s="7"/>
      <c r="M7" s="7"/>
      <c r="N7" s="7"/>
      <c r="O7" s="7"/>
      <c r="P7" s="7"/>
      <c r="Q7" s="7"/>
      <c r="R7" s="7"/>
      <c r="S7" s="7"/>
      <c r="T7" s="7"/>
      <c r="U7" s="7"/>
      <c r="V7" s="7"/>
      <c r="W7" s="7"/>
      <c r="X7" s="7"/>
      <c r="Y7" s="7"/>
      <c r="Z7" s="7"/>
    </row>
    <row r="8" spans="1:26" ht="302.39999999999998">
      <c r="A8" s="15" t="s">
        <v>12</v>
      </c>
      <c r="B8" s="20" t="s">
        <v>314</v>
      </c>
      <c r="C8" s="65" t="s">
        <v>315</v>
      </c>
      <c r="D8" s="6" t="s">
        <v>316</v>
      </c>
      <c r="E8" s="36">
        <f>7900/1.19</f>
        <v>6638.6554621848745</v>
      </c>
      <c r="F8" s="36">
        <f t="shared" ref="F8:F10" si="0">E8*19%</f>
        <v>1261.3445378151262</v>
      </c>
      <c r="G8" s="36">
        <f t="shared" ref="G8:G10" si="1">E8+F8</f>
        <v>7900.0000000000009</v>
      </c>
      <c r="H8" s="36">
        <f>G8</f>
        <v>7900.0000000000009</v>
      </c>
      <c r="I8" s="43" t="s">
        <v>16</v>
      </c>
      <c r="J8" s="38" t="s">
        <v>317</v>
      </c>
      <c r="K8" s="31"/>
      <c r="L8" s="31"/>
      <c r="M8" s="31"/>
    </row>
    <row r="9" spans="1:26" ht="144">
      <c r="A9" s="15" t="s">
        <v>18</v>
      </c>
      <c r="B9" s="20" t="s">
        <v>314</v>
      </c>
      <c r="C9" s="65" t="s">
        <v>318</v>
      </c>
      <c r="D9" s="6" t="s">
        <v>319</v>
      </c>
      <c r="E9" s="36">
        <f>90000/1.19</f>
        <v>75630.252100840342</v>
      </c>
      <c r="F9" s="36">
        <f t="shared" si="0"/>
        <v>14369.747899159665</v>
      </c>
      <c r="G9" s="36">
        <f t="shared" si="1"/>
        <v>90000</v>
      </c>
      <c r="H9" s="36">
        <f>G9</f>
        <v>90000</v>
      </c>
      <c r="I9" s="43" t="s">
        <v>16</v>
      </c>
      <c r="J9" s="38" t="s">
        <v>320</v>
      </c>
      <c r="L9" s="31"/>
    </row>
    <row r="10" spans="1:26" ht="316.8">
      <c r="A10" s="15" t="s">
        <v>23</v>
      </c>
      <c r="B10" s="20" t="s">
        <v>321</v>
      </c>
      <c r="C10" s="65" t="s">
        <v>322</v>
      </c>
      <c r="D10" s="6" t="s">
        <v>323</v>
      </c>
      <c r="E10" s="36">
        <f>9900/1.19</f>
        <v>8319.3277310924368</v>
      </c>
      <c r="F10" s="36">
        <f t="shared" si="0"/>
        <v>1580.672268907563</v>
      </c>
      <c r="G10" s="36">
        <f t="shared" si="1"/>
        <v>9900</v>
      </c>
      <c r="H10" s="36">
        <f>G10</f>
        <v>9900</v>
      </c>
      <c r="I10" s="43" t="s">
        <v>16</v>
      </c>
      <c r="J10" s="38" t="s">
        <v>324</v>
      </c>
    </row>
    <row r="11" spans="1:26" ht="15" hidden="1" customHeight="1">
      <c r="A11" s="44"/>
      <c r="B11" s="41"/>
      <c r="C11" s="41"/>
      <c r="D11" s="41"/>
      <c r="E11" s="41"/>
      <c r="F11" s="41"/>
      <c r="G11" s="41"/>
      <c r="H11" s="41"/>
      <c r="I11" s="41"/>
      <c r="J11" s="41"/>
    </row>
    <row r="12" spans="1:26" ht="12.75" customHeight="1">
      <c r="J12" s="31" t="s">
        <v>156</v>
      </c>
    </row>
    <row r="13" spans="1:26" ht="138.75" customHeight="1">
      <c r="A13" s="76" t="s">
        <v>69</v>
      </c>
      <c r="B13" s="74"/>
      <c r="C13" s="74"/>
      <c r="D13" s="74"/>
      <c r="E13" s="74"/>
      <c r="F13" s="74"/>
      <c r="G13" s="74"/>
      <c r="H13" s="74"/>
      <c r="I13" s="74"/>
      <c r="J13" s="75"/>
    </row>
    <row r="14" spans="1:26" ht="12.75" customHeight="1"/>
    <row r="15" spans="1:26" ht="75" customHeight="1">
      <c r="A15" s="76" t="s">
        <v>325</v>
      </c>
      <c r="B15" s="74"/>
      <c r="C15" s="74"/>
      <c r="D15" s="74"/>
      <c r="E15" s="74"/>
      <c r="F15" s="74"/>
      <c r="G15" s="74"/>
      <c r="H15" s="74"/>
      <c r="I15" s="74"/>
      <c r="J15" s="75"/>
    </row>
    <row r="16" spans="1:26" ht="12.75" customHeight="1"/>
    <row r="17" spans="1:10" ht="12.75" customHeight="1"/>
    <row r="18" spans="1:10" ht="12.75" customHeight="1">
      <c r="A18" s="1" t="s">
        <v>2</v>
      </c>
      <c r="B18" s="6" t="s">
        <v>326</v>
      </c>
      <c r="C18" s="6" t="s">
        <v>327</v>
      </c>
      <c r="D18" s="6" t="s">
        <v>328</v>
      </c>
      <c r="E18" s="6" t="s">
        <v>329</v>
      </c>
      <c r="F18" s="32" t="s">
        <v>330</v>
      </c>
      <c r="G18" s="33" t="s">
        <v>331</v>
      </c>
      <c r="H18" s="34" t="s">
        <v>9</v>
      </c>
      <c r="I18" s="6" t="s">
        <v>332</v>
      </c>
      <c r="J18" s="6" t="s">
        <v>333</v>
      </c>
    </row>
    <row r="19" spans="1:10" ht="12.75" customHeight="1">
      <c r="A19" s="15" t="s">
        <v>12</v>
      </c>
      <c r="B19" s="38"/>
      <c r="C19" s="38"/>
      <c r="D19" s="38"/>
      <c r="E19" s="38"/>
      <c r="F19" s="45"/>
      <c r="G19" s="46"/>
      <c r="H19" s="45"/>
      <c r="I19" s="38"/>
      <c r="J19" s="38"/>
    </row>
    <row r="20" spans="1:10" ht="12.75" customHeight="1">
      <c r="A20" s="15" t="s">
        <v>18</v>
      </c>
      <c r="B20" s="38"/>
      <c r="C20" s="47"/>
      <c r="D20" s="41"/>
      <c r="E20" s="41"/>
      <c r="F20" s="45"/>
      <c r="G20" s="46"/>
      <c r="H20" s="45"/>
      <c r="I20" s="41"/>
      <c r="J20" s="41"/>
    </row>
    <row r="21" spans="1:10" ht="12.75" customHeight="1">
      <c r="A21" s="15" t="s">
        <v>23</v>
      </c>
      <c r="B21" s="38"/>
      <c r="C21" s="41"/>
      <c r="D21" s="41"/>
      <c r="E21" s="46"/>
      <c r="F21" s="45"/>
      <c r="G21" s="48"/>
      <c r="H21" s="45"/>
      <c r="I21" s="41"/>
      <c r="J21" s="41"/>
    </row>
    <row r="22" spans="1:10" ht="12.75" customHeight="1"/>
    <row r="23" spans="1:10" ht="12.75" customHeight="1"/>
    <row r="24" spans="1:10" ht="12.75" customHeight="1"/>
    <row r="25" spans="1:10" ht="12.75" customHeight="1"/>
    <row r="26" spans="1:10" ht="12.75" customHeight="1">
      <c r="D26" s="23"/>
      <c r="E26" s="23"/>
      <c r="F26" s="24"/>
      <c r="G26" s="24"/>
    </row>
    <row r="27" spans="1:10" ht="12.75" customHeight="1"/>
    <row r="28" spans="1:10" ht="12.75" customHeight="1"/>
    <row r="29" spans="1:10" ht="12.75" customHeight="1"/>
    <row r="30" spans="1:10" ht="12.75" customHeight="1"/>
    <row r="31" spans="1:10" ht="12.75" customHeight="1"/>
    <row r="32" spans="1:10"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00000000-0004-0000-0C00-000000000000}"/>
    <hyperlink ref="C9" r:id="rId2" xr:uid="{00000000-0004-0000-0C00-000001000000}"/>
    <hyperlink ref="C10" r:id="rId3" xr:uid="{00000000-0004-0000-0C00-000002000000}"/>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topLeftCell="A10" workbookViewId="0">
      <selection activeCell="H10" sqref="H10"/>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1" t="s">
        <v>0</v>
      </c>
      <c r="E2" s="72"/>
      <c r="F2" s="72"/>
      <c r="G2" s="72"/>
      <c r="H2" s="72"/>
    </row>
    <row r="3" spans="1:26" ht="12.75" customHeight="1"/>
    <row r="4" spans="1:26" ht="12.75" customHeight="1"/>
    <row r="5" spans="1:26" ht="43.5" customHeight="1">
      <c r="A5" s="73" t="s">
        <v>136</v>
      </c>
      <c r="B5" s="74"/>
      <c r="C5" s="74"/>
      <c r="D5" s="74"/>
      <c r="E5" s="74"/>
      <c r="F5" s="74"/>
      <c r="G5" s="74"/>
      <c r="H5" s="74"/>
      <c r="I5" s="74"/>
      <c r="J5" s="75"/>
    </row>
    <row r="6" spans="1:26" ht="15.75" customHeight="1">
      <c r="A6" s="31" t="s">
        <v>48</v>
      </c>
    </row>
    <row r="7" spans="1:26" ht="75.75" customHeight="1">
      <c r="A7" s="1" t="s">
        <v>2</v>
      </c>
      <c r="B7" s="6" t="s">
        <v>334</v>
      </c>
      <c r="C7" s="6" t="s">
        <v>335</v>
      </c>
      <c r="D7" s="6" t="s">
        <v>336</v>
      </c>
      <c r="E7" s="6" t="s">
        <v>337</v>
      </c>
      <c r="F7" s="32" t="s">
        <v>338</v>
      </c>
      <c r="G7" s="33" t="s">
        <v>339</v>
      </c>
      <c r="H7" s="34" t="s">
        <v>9</v>
      </c>
      <c r="I7" s="6" t="s">
        <v>340</v>
      </c>
      <c r="J7" s="6" t="s">
        <v>341</v>
      </c>
      <c r="K7" s="7"/>
      <c r="L7" s="7"/>
      <c r="M7" s="7"/>
      <c r="N7" s="7"/>
      <c r="O7" s="7"/>
      <c r="P7" s="7"/>
      <c r="Q7" s="7"/>
      <c r="R7" s="7"/>
      <c r="S7" s="7"/>
      <c r="T7" s="7"/>
      <c r="U7" s="7"/>
      <c r="V7" s="7"/>
      <c r="W7" s="7"/>
      <c r="X7" s="7"/>
      <c r="Y7" s="7"/>
      <c r="Z7" s="7"/>
    </row>
    <row r="8" spans="1:26" ht="316.8">
      <c r="A8" s="15" t="s">
        <v>12</v>
      </c>
      <c r="B8" s="20" t="s">
        <v>342</v>
      </c>
      <c r="C8" s="65" t="s">
        <v>343</v>
      </c>
      <c r="D8" s="6" t="s">
        <v>344</v>
      </c>
      <c r="E8" s="62">
        <f>185/1.19</f>
        <v>155.46218487394958</v>
      </c>
      <c r="F8" s="62">
        <f t="shared" ref="F8:F10" si="0">E8*19%</f>
        <v>29.537815126050422</v>
      </c>
      <c r="G8" s="62">
        <f t="shared" ref="G8:G10" si="1">E8+F8</f>
        <v>185</v>
      </c>
      <c r="H8" s="36">
        <f>G8*203.08</f>
        <v>37569.800000000003</v>
      </c>
      <c r="I8" s="43" t="s">
        <v>16</v>
      </c>
      <c r="J8" s="38" t="s">
        <v>345</v>
      </c>
      <c r="K8" s="31"/>
      <c r="L8" s="31"/>
      <c r="M8" s="31"/>
    </row>
    <row r="9" spans="1:26" ht="374.4">
      <c r="A9" s="15" t="s">
        <v>18</v>
      </c>
      <c r="B9" s="20" t="s">
        <v>346</v>
      </c>
      <c r="C9" s="65" t="s">
        <v>347</v>
      </c>
      <c r="D9" s="6" t="s">
        <v>348</v>
      </c>
      <c r="E9" s="40">
        <f>34.99/1.19</f>
        <v>29.403361344537817</v>
      </c>
      <c r="F9" s="40">
        <f t="shared" si="0"/>
        <v>5.5866386554621856</v>
      </c>
      <c r="G9" s="40">
        <f t="shared" si="1"/>
        <v>34.99</v>
      </c>
      <c r="H9" s="36">
        <f t="shared" ref="H9:H10" si="2">G9*4452</f>
        <v>155775.48000000001</v>
      </c>
      <c r="I9" s="43" t="s">
        <v>16</v>
      </c>
      <c r="J9" s="38" t="s">
        <v>349</v>
      </c>
      <c r="L9" s="31"/>
    </row>
    <row r="10" spans="1:26" ht="129.6">
      <c r="A10" s="15" t="s">
        <v>23</v>
      </c>
      <c r="B10" s="20" t="s">
        <v>350</v>
      </c>
      <c r="C10" s="65" t="s">
        <v>351</v>
      </c>
      <c r="D10" s="6" t="s">
        <v>352</v>
      </c>
      <c r="E10" s="40">
        <f>24.9/1.19</f>
        <v>20.92436974789916</v>
      </c>
      <c r="F10" s="40">
        <f t="shared" si="0"/>
        <v>3.9756302521008404</v>
      </c>
      <c r="G10" s="40">
        <f t="shared" si="1"/>
        <v>24.9</v>
      </c>
      <c r="H10" s="36">
        <f t="shared" si="2"/>
        <v>110854.79999999999</v>
      </c>
      <c r="I10" s="43" t="s">
        <v>16</v>
      </c>
      <c r="J10" s="38"/>
    </row>
    <row r="11" spans="1:26" ht="15" hidden="1" customHeight="1">
      <c r="A11" s="44"/>
      <c r="B11" s="41"/>
      <c r="C11" s="41"/>
      <c r="D11" s="41"/>
      <c r="E11" s="41"/>
      <c r="F11" s="41"/>
      <c r="G11" s="41"/>
      <c r="H11" s="41"/>
      <c r="I11" s="41"/>
      <c r="J11" s="41"/>
    </row>
    <row r="12" spans="1:26" ht="12.75" customHeight="1">
      <c r="J12" s="31" t="s">
        <v>156</v>
      </c>
    </row>
    <row r="13" spans="1:26" ht="138.75" customHeight="1">
      <c r="A13" s="76" t="s">
        <v>69</v>
      </c>
      <c r="B13" s="74"/>
      <c r="C13" s="74"/>
      <c r="D13" s="74"/>
      <c r="E13" s="74"/>
      <c r="F13" s="74"/>
      <c r="G13" s="74"/>
      <c r="H13" s="74"/>
      <c r="I13" s="74"/>
      <c r="J13" s="75"/>
    </row>
    <row r="14" spans="1:26" ht="12.75" customHeight="1"/>
    <row r="15" spans="1:26" ht="75" customHeight="1">
      <c r="A15" s="76" t="s">
        <v>353</v>
      </c>
      <c r="B15" s="74"/>
      <c r="C15" s="74"/>
      <c r="D15" s="74"/>
      <c r="E15" s="74"/>
      <c r="F15" s="74"/>
      <c r="G15" s="74"/>
      <c r="H15" s="74"/>
      <c r="I15" s="74"/>
      <c r="J15" s="75"/>
    </row>
    <row r="16" spans="1:26" ht="12.75" customHeight="1"/>
    <row r="17" spans="1:10" ht="12.75" customHeight="1"/>
    <row r="18" spans="1:10" ht="12.75" customHeight="1">
      <c r="A18" s="1" t="s">
        <v>2</v>
      </c>
      <c r="B18" s="6" t="s">
        <v>354</v>
      </c>
      <c r="C18" s="6" t="s">
        <v>355</v>
      </c>
      <c r="D18" s="6" t="s">
        <v>356</v>
      </c>
      <c r="E18" s="6" t="s">
        <v>357</v>
      </c>
      <c r="F18" s="32" t="s">
        <v>358</v>
      </c>
      <c r="G18" s="33" t="s">
        <v>359</v>
      </c>
      <c r="H18" s="34" t="s">
        <v>9</v>
      </c>
      <c r="I18" s="6" t="s">
        <v>360</v>
      </c>
      <c r="J18" s="6" t="s">
        <v>361</v>
      </c>
    </row>
    <row r="19" spans="1:10" ht="12.75" customHeight="1">
      <c r="A19" s="15" t="s">
        <v>12</v>
      </c>
      <c r="B19" s="38"/>
      <c r="C19" s="38"/>
      <c r="D19" s="38"/>
      <c r="E19" s="38"/>
      <c r="F19" s="45"/>
      <c r="G19" s="46"/>
      <c r="H19" s="45"/>
      <c r="I19" s="38"/>
      <c r="J19" s="38"/>
    </row>
    <row r="20" spans="1:10" ht="12.75" customHeight="1">
      <c r="A20" s="15" t="s">
        <v>18</v>
      </c>
      <c r="B20" s="38"/>
      <c r="C20" s="47"/>
      <c r="D20" s="41"/>
      <c r="E20" s="41"/>
      <c r="F20" s="45"/>
      <c r="G20" s="46"/>
      <c r="H20" s="45"/>
      <c r="I20" s="41"/>
      <c r="J20" s="41"/>
    </row>
    <row r="21" spans="1:10" ht="12.75" customHeight="1">
      <c r="A21" s="15" t="s">
        <v>23</v>
      </c>
      <c r="B21" s="38"/>
      <c r="C21" s="41"/>
      <c r="D21" s="41"/>
      <c r="E21" s="46"/>
      <c r="F21" s="45"/>
      <c r="G21" s="48"/>
      <c r="H21" s="45"/>
      <c r="I21" s="41"/>
      <c r="J21" s="41"/>
    </row>
    <row r="22" spans="1:10" ht="12.75" customHeight="1"/>
    <row r="23" spans="1:10" ht="12.75" customHeight="1"/>
    <row r="24" spans="1:10" ht="12.75" customHeight="1"/>
    <row r="25" spans="1:10" ht="12.75" customHeight="1"/>
    <row r="26" spans="1:10" ht="12.75" customHeight="1">
      <c r="D26" s="23"/>
      <c r="E26" s="23"/>
      <c r="F26" s="24"/>
      <c r="G26" s="24"/>
    </row>
    <row r="27" spans="1:10" ht="12.75" customHeight="1"/>
    <row r="28" spans="1:10" ht="12.75" customHeight="1"/>
    <row r="29" spans="1:10" ht="12.75" customHeight="1"/>
    <row r="30" spans="1:10" ht="12.75" customHeight="1"/>
    <row r="31" spans="1:10" ht="12.75" customHeight="1"/>
    <row r="32" spans="1:10"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00000000-0004-0000-0D00-000000000000}"/>
    <hyperlink ref="C9" r:id="rId2" xr:uid="{00000000-0004-0000-0D00-000001000000}"/>
    <hyperlink ref="C10" r:id="rId3" xr:uid="{00000000-0004-0000-0D00-000002000000}"/>
  </hyperlink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0BD2C-B10E-494A-8450-D985E7CFFFA0}">
  <dimension ref="A1:Z1000"/>
  <sheetViews>
    <sheetView topLeftCell="A8" workbookViewId="0">
      <selection activeCell="H8" sqref="H8"/>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1" t="s">
        <v>0</v>
      </c>
      <c r="E2" s="72"/>
      <c r="F2" s="72"/>
      <c r="G2" s="72"/>
      <c r="H2" s="72"/>
    </row>
    <row r="3" spans="1:26" ht="12.75" customHeight="1"/>
    <row r="4" spans="1:26" ht="12.75" customHeight="1"/>
    <row r="5" spans="1:26" ht="43.5" customHeight="1">
      <c r="A5" s="73" t="s">
        <v>136</v>
      </c>
      <c r="B5" s="74"/>
      <c r="C5" s="74"/>
      <c r="D5" s="74"/>
      <c r="E5" s="74"/>
      <c r="F5" s="74"/>
      <c r="G5" s="74"/>
      <c r="H5" s="74"/>
      <c r="I5" s="74"/>
      <c r="J5" s="75"/>
    </row>
    <row r="6" spans="1:26" ht="15.75" customHeight="1">
      <c r="A6" s="31" t="s">
        <v>48</v>
      </c>
    </row>
    <row r="7" spans="1:26" ht="75.75" customHeight="1">
      <c r="A7" s="1" t="s">
        <v>2</v>
      </c>
      <c r="B7" s="6" t="s">
        <v>3</v>
      </c>
      <c r="C7" s="6" t="s">
        <v>4</v>
      </c>
      <c r="D7" s="6" t="s">
        <v>5</v>
      </c>
      <c r="E7" s="6" t="s">
        <v>6</v>
      </c>
      <c r="F7" s="32" t="s">
        <v>7</v>
      </c>
      <c r="G7" s="33" t="s">
        <v>8</v>
      </c>
      <c r="H7" s="34" t="s">
        <v>9</v>
      </c>
      <c r="I7" s="6" t="s">
        <v>10</v>
      </c>
      <c r="J7" s="6" t="s">
        <v>11</v>
      </c>
      <c r="K7" s="7"/>
      <c r="L7" s="7"/>
      <c r="M7" s="7"/>
      <c r="N7" s="7"/>
      <c r="O7" s="7"/>
      <c r="P7" s="7"/>
      <c r="Q7" s="7"/>
      <c r="R7" s="7"/>
      <c r="S7" s="7"/>
      <c r="T7" s="7"/>
      <c r="U7" s="7"/>
      <c r="V7" s="7"/>
      <c r="W7" s="7"/>
      <c r="X7" s="7"/>
      <c r="Y7" s="7"/>
      <c r="Z7" s="7"/>
    </row>
    <row r="8" spans="1:26" ht="115.2">
      <c r="A8" s="15" t="s">
        <v>12</v>
      </c>
      <c r="B8" s="20" t="s">
        <v>375</v>
      </c>
      <c r="C8" s="66" t="s">
        <v>374</v>
      </c>
      <c r="D8" s="68" t="s">
        <v>396</v>
      </c>
      <c r="E8" s="36">
        <v>165900</v>
      </c>
      <c r="F8" s="36">
        <v>0</v>
      </c>
      <c r="G8" s="36">
        <f t="shared" ref="G8:G10" si="0">E8+F8</f>
        <v>165900</v>
      </c>
      <c r="H8" s="36">
        <f>G8</f>
        <v>165900</v>
      </c>
      <c r="I8" s="13" t="s">
        <v>16</v>
      </c>
      <c r="J8" s="38" t="s">
        <v>376</v>
      </c>
      <c r="K8" s="31"/>
      <c r="L8" s="31"/>
      <c r="M8" s="31"/>
    </row>
    <row r="9" spans="1:26" ht="277.2">
      <c r="A9" s="15" t="s">
        <v>18</v>
      </c>
      <c r="B9" s="20" t="s">
        <v>389</v>
      </c>
      <c r="C9" s="67" t="s">
        <v>390</v>
      </c>
      <c r="D9" s="68" t="s">
        <v>388</v>
      </c>
      <c r="E9" s="36">
        <f xml:space="preserve">
41290/1.19</f>
        <v>34697.478991596639</v>
      </c>
      <c r="F9" s="36">
        <f t="shared" ref="F9:F10" si="1">E9*19%</f>
        <v>6592.5210084033615</v>
      </c>
      <c r="G9" s="36">
        <f t="shared" si="0"/>
        <v>41290</v>
      </c>
      <c r="H9" s="36">
        <f>G9</f>
        <v>41290</v>
      </c>
      <c r="I9" s="13" t="s">
        <v>16</v>
      </c>
      <c r="J9" s="38" t="s">
        <v>387</v>
      </c>
      <c r="L9" s="31"/>
    </row>
    <row r="10" spans="1:26" ht="288">
      <c r="A10" s="15" t="s">
        <v>23</v>
      </c>
      <c r="B10" s="20" t="s">
        <v>391</v>
      </c>
      <c r="C10" s="66" t="s">
        <v>393</v>
      </c>
      <c r="D10" s="70" t="s">
        <v>394</v>
      </c>
      <c r="E10" s="36">
        <f>200990/1.19</f>
        <v>168899.15966386555</v>
      </c>
      <c r="F10" s="36">
        <f t="shared" si="1"/>
        <v>32090.840336134454</v>
      </c>
      <c r="G10" s="36">
        <f t="shared" si="0"/>
        <v>200990</v>
      </c>
      <c r="H10" s="36">
        <f>G10</f>
        <v>200990</v>
      </c>
      <c r="I10" s="43" t="s">
        <v>16</v>
      </c>
      <c r="J10" s="69" t="s">
        <v>395</v>
      </c>
    </row>
    <row r="11" spans="1:26" ht="15" hidden="1" customHeight="1">
      <c r="A11" s="44"/>
      <c r="B11" s="41" t="s">
        <v>392</v>
      </c>
      <c r="C11" s="41"/>
      <c r="D11" s="41"/>
      <c r="E11" s="41"/>
      <c r="F11" s="41"/>
      <c r="G11" s="41"/>
      <c r="H11" s="41"/>
      <c r="I11" s="41"/>
      <c r="J11" s="41"/>
    </row>
    <row r="12" spans="1:26" ht="12.75" customHeight="1">
      <c r="J12" s="31" t="s">
        <v>156</v>
      </c>
    </row>
    <row r="13" spans="1:26" ht="138.75" customHeight="1">
      <c r="A13" s="76" t="s">
        <v>69</v>
      </c>
      <c r="B13" s="74"/>
      <c r="C13" s="74"/>
      <c r="D13" s="74"/>
      <c r="E13" s="74"/>
      <c r="F13" s="74"/>
      <c r="G13" s="74"/>
      <c r="H13" s="74"/>
      <c r="I13" s="74"/>
      <c r="J13" s="75"/>
    </row>
    <row r="14" spans="1:26" ht="12.75" customHeight="1"/>
    <row r="15" spans="1:26" ht="75" customHeight="1">
      <c r="A15" s="76" t="s">
        <v>29</v>
      </c>
      <c r="B15" s="74"/>
      <c r="C15" s="74"/>
      <c r="D15" s="74"/>
      <c r="E15" s="74"/>
      <c r="F15" s="74"/>
      <c r="G15" s="74"/>
      <c r="H15" s="74"/>
      <c r="I15" s="74"/>
      <c r="J15" s="75"/>
    </row>
    <row r="16" spans="1:26" ht="12.75" customHeight="1"/>
    <row r="17" spans="1:10" ht="12.75" customHeight="1"/>
    <row r="18" spans="1:10" ht="12.75" customHeight="1">
      <c r="A18" s="1" t="s">
        <v>2</v>
      </c>
      <c r="B18" s="6" t="s">
        <v>3</v>
      </c>
      <c r="C18" s="6" t="s">
        <v>4</v>
      </c>
      <c r="D18" s="6" t="s">
        <v>5</v>
      </c>
      <c r="E18" s="6" t="s">
        <v>6</v>
      </c>
      <c r="F18" s="32" t="s">
        <v>7</v>
      </c>
      <c r="G18" s="33" t="s">
        <v>8</v>
      </c>
      <c r="H18" s="34" t="s">
        <v>9</v>
      </c>
      <c r="I18" s="6" t="s">
        <v>10</v>
      </c>
      <c r="J18" s="6" t="s">
        <v>11</v>
      </c>
    </row>
    <row r="19" spans="1:10" ht="12.75" customHeight="1">
      <c r="A19" s="15" t="s">
        <v>12</v>
      </c>
      <c r="B19" s="38"/>
      <c r="C19" s="38"/>
      <c r="D19" s="38"/>
      <c r="E19" s="38"/>
      <c r="F19" s="45"/>
      <c r="G19" s="46"/>
      <c r="H19" s="45"/>
      <c r="I19" s="38"/>
      <c r="J19" s="38"/>
    </row>
    <row r="20" spans="1:10" ht="12.75" customHeight="1">
      <c r="A20" s="15" t="s">
        <v>18</v>
      </c>
      <c r="B20" s="38"/>
      <c r="C20" s="47"/>
      <c r="D20" s="41"/>
      <c r="E20" s="41"/>
      <c r="F20" s="45"/>
      <c r="G20" s="46"/>
      <c r="H20" s="45"/>
      <c r="I20" s="41"/>
      <c r="J20" s="41"/>
    </row>
    <row r="21" spans="1:10" ht="12.75" customHeight="1">
      <c r="A21" s="15" t="s">
        <v>23</v>
      </c>
      <c r="B21" s="38"/>
      <c r="C21" s="41"/>
      <c r="D21" s="41"/>
      <c r="E21" s="46"/>
      <c r="F21" s="45"/>
      <c r="G21" s="48"/>
      <c r="H21" s="45"/>
      <c r="I21" s="41"/>
      <c r="J21" s="41"/>
    </row>
    <row r="22" spans="1:10" ht="12.75" customHeight="1"/>
    <row r="23" spans="1:10" ht="12.75" customHeight="1"/>
    <row r="24" spans="1:10" ht="12.75" customHeight="1"/>
    <row r="25" spans="1:10" ht="12.75" customHeight="1"/>
    <row r="26" spans="1:10" ht="12.75" customHeight="1">
      <c r="D26" s="23"/>
      <c r="E26" s="23"/>
      <c r="F26" s="24"/>
      <c r="G26" s="24"/>
    </row>
    <row r="27" spans="1:10" ht="12.75" customHeight="1"/>
    <row r="28" spans="1:10" ht="12.75" customHeight="1"/>
    <row r="29" spans="1:10" ht="12.75" customHeight="1"/>
    <row r="30" spans="1:10" ht="12.75" customHeight="1"/>
    <row r="31" spans="1:10" ht="12.75" customHeight="1"/>
    <row r="32" spans="1:10"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1754D3EF-67E3-467F-A6BB-BFFBAC0105E2}"/>
    <hyperlink ref="C9" r:id="rId2" display="https://www.g2a.com/es/windows-server-2025-standard-24-core-microsoft-key-global-i10000508375002?___currency=COP&amp;___language=es&amp;er=3a77cfd4fe3d658c2cf585fdb3f6dd7f49907c37658e19bfdf350ca763d59f8b232e01cf99bf1104b1a5a4ec7e084b37&amp;uuid=77e8d07f-f8a1-40ea-a42a-6fe0d48cd237&amp;srsltid=AfmBOoocKANRb29-4qy-jXURyJKzao3c_k9iZEY_u-vNyVefxc6E__LoTs4" xr:uid="{5156B78A-FBE7-4161-963D-A380677B15DE}"/>
    <hyperlink ref="C10" r:id="rId3" xr:uid="{FE46DC58-DB70-46F2-BA01-A1CA927809C5}"/>
  </hyperlinks>
  <pageMargins left="0.7" right="0.7" top="0.75" bottom="0.75" header="0" footer="0"/>
  <pageSetup orientation="landscape"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75DC-1E18-4F4C-BCBC-77D229DA4F29}">
  <dimension ref="A1:Z1000"/>
  <sheetViews>
    <sheetView topLeftCell="A5" workbookViewId="0">
      <selection activeCell="I3" sqref="I3"/>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1" t="s">
        <v>0</v>
      </c>
      <c r="E2" s="72"/>
      <c r="F2" s="72"/>
      <c r="G2" s="72"/>
      <c r="H2" s="72"/>
    </row>
    <row r="3" spans="1:26" ht="12.75" customHeight="1"/>
    <row r="4" spans="1:26" ht="12.75" customHeight="1"/>
    <row r="5" spans="1:26" ht="43.5" customHeight="1">
      <c r="A5" s="73" t="s">
        <v>136</v>
      </c>
      <c r="B5" s="74"/>
      <c r="C5" s="74"/>
      <c r="D5" s="74"/>
      <c r="E5" s="74"/>
      <c r="F5" s="74"/>
      <c r="G5" s="74"/>
      <c r="H5" s="74"/>
      <c r="I5" s="74"/>
      <c r="J5" s="75"/>
    </row>
    <row r="6" spans="1:26" ht="15.75" customHeight="1">
      <c r="A6" s="31" t="s">
        <v>48</v>
      </c>
    </row>
    <row r="7" spans="1:26" ht="75.75" customHeight="1">
      <c r="A7" s="1" t="s">
        <v>2</v>
      </c>
      <c r="B7" s="6" t="s">
        <v>3</v>
      </c>
      <c r="C7" s="6" t="s">
        <v>4</v>
      </c>
      <c r="D7" s="6" t="s">
        <v>5</v>
      </c>
      <c r="E7" s="6" t="s">
        <v>6</v>
      </c>
      <c r="F7" s="32" t="s">
        <v>7</v>
      </c>
      <c r="G7" s="33" t="s">
        <v>8</v>
      </c>
      <c r="H7" s="34" t="s">
        <v>9</v>
      </c>
      <c r="I7" s="6" t="s">
        <v>10</v>
      </c>
      <c r="J7" s="6" t="s">
        <v>11</v>
      </c>
      <c r="K7" s="7"/>
      <c r="L7" s="7"/>
      <c r="M7" s="7"/>
      <c r="N7" s="7"/>
      <c r="O7" s="7"/>
      <c r="P7" s="7"/>
      <c r="Q7" s="7"/>
      <c r="R7" s="7"/>
      <c r="S7" s="7"/>
      <c r="T7" s="7"/>
      <c r="U7" s="7"/>
      <c r="V7" s="7"/>
      <c r="W7" s="7"/>
      <c r="X7" s="7"/>
      <c r="Y7" s="7"/>
      <c r="Z7" s="7"/>
    </row>
    <row r="8" spans="1:26" ht="115.2">
      <c r="A8" s="15" t="s">
        <v>12</v>
      </c>
      <c r="B8" s="20" t="s">
        <v>375</v>
      </c>
      <c r="C8" s="66" t="s">
        <v>374</v>
      </c>
      <c r="D8" s="68" t="s">
        <v>396</v>
      </c>
      <c r="E8" s="36">
        <v>165900</v>
      </c>
      <c r="F8" s="36">
        <v>0</v>
      </c>
      <c r="G8" s="36">
        <f t="shared" ref="G8:G10" si="0">E8+F8</f>
        <v>165900</v>
      </c>
      <c r="H8" s="36">
        <f>G8</f>
        <v>165900</v>
      </c>
      <c r="I8" s="13" t="s">
        <v>16</v>
      </c>
      <c r="J8" s="38" t="s">
        <v>376</v>
      </c>
      <c r="K8" s="31"/>
      <c r="L8" s="31"/>
      <c r="M8" s="31"/>
    </row>
    <row r="9" spans="1:26" ht="277.2">
      <c r="A9" s="15" t="s">
        <v>18</v>
      </c>
      <c r="B9" s="20" t="s">
        <v>389</v>
      </c>
      <c r="C9" s="67" t="s">
        <v>390</v>
      </c>
      <c r="D9" s="68" t="s">
        <v>388</v>
      </c>
      <c r="E9" s="36">
        <f xml:space="preserve">
41290/1.19</f>
        <v>34697.478991596639</v>
      </c>
      <c r="F9" s="36">
        <f t="shared" ref="F9:F10" si="1">E9*19%</f>
        <v>6592.5210084033615</v>
      </c>
      <c r="G9" s="36">
        <f t="shared" si="0"/>
        <v>41290</v>
      </c>
      <c r="H9" s="36">
        <f>G9</f>
        <v>41290</v>
      </c>
      <c r="I9" s="13" t="s">
        <v>16</v>
      </c>
      <c r="J9" s="38" t="s">
        <v>387</v>
      </c>
      <c r="L9" s="31"/>
    </row>
    <row r="10" spans="1:26" ht="288">
      <c r="A10" s="15" t="s">
        <v>23</v>
      </c>
      <c r="B10" s="20" t="s">
        <v>391</v>
      </c>
      <c r="C10" s="66" t="s">
        <v>393</v>
      </c>
      <c r="D10" s="70" t="s">
        <v>394</v>
      </c>
      <c r="E10" s="36">
        <f>200990/1.19</f>
        <v>168899.15966386555</v>
      </c>
      <c r="F10" s="36">
        <f t="shared" si="1"/>
        <v>32090.840336134454</v>
      </c>
      <c r="G10" s="36">
        <f t="shared" si="0"/>
        <v>200990</v>
      </c>
      <c r="H10" s="36">
        <f>G10</f>
        <v>200990</v>
      </c>
      <c r="I10" s="43" t="s">
        <v>16</v>
      </c>
      <c r="J10" s="69" t="s">
        <v>395</v>
      </c>
    </row>
    <row r="11" spans="1:26" ht="15" hidden="1" customHeight="1">
      <c r="A11" s="44"/>
      <c r="B11" s="41" t="s">
        <v>392</v>
      </c>
      <c r="C11" s="41"/>
      <c r="D11" s="41"/>
      <c r="E11" s="41"/>
      <c r="F11" s="41"/>
      <c r="G11" s="41"/>
      <c r="H11" s="41"/>
      <c r="I11" s="41"/>
      <c r="J11" s="41"/>
    </row>
    <row r="12" spans="1:26" ht="12.75" customHeight="1">
      <c r="J12" s="31" t="s">
        <v>156</v>
      </c>
    </row>
    <row r="13" spans="1:26" ht="138.75" customHeight="1">
      <c r="A13" s="76" t="s">
        <v>69</v>
      </c>
      <c r="B13" s="74"/>
      <c r="C13" s="74"/>
      <c r="D13" s="74"/>
      <c r="E13" s="74"/>
      <c r="F13" s="74"/>
      <c r="G13" s="74"/>
      <c r="H13" s="74"/>
      <c r="I13" s="74"/>
      <c r="J13" s="75"/>
    </row>
    <row r="14" spans="1:26" ht="12.75" customHeight="1"/>
    <row r="15" spans="1:26" ht="75" customHeight="1">
      <c r="A15" s="76" t="s">
        <v>29</v>
      </c>
      <c r="B15" s="74"/>
      <c r="C15" s="74"/>
      <c r="D15" s="74"/>
      <c r="E15" s="74"/>
      <c r="F15" s="74"/>
      <c r="G15" s="74"/>
      <c r="H15" s="74"/>
      <c r="I15" s="74"/>
      <c r="J15" s="75"/>
    </row>
    <row r="16" spans="1:26" ht="12.75" customHeight="1"/>
    <row r="17" spans="1:10" ht="12.75" customHeight="1"/>
    <row r="18" spans="1:10" ht="12.75" customHeight="1">
      <c r="A18" s="1" t="s">
        <v>2</v>
      </c>
      <c r="B18" s="6" t="s">
        <v>3</v>
      </c>
      <c r="C18" s="6" t="s">
        <v>4</v>
      </c>
      <c r="D18" s="6" t="s">
        <v>5</v>
      </c>
      <c r="E18" s="6" t="s">
        <v>6</v>
      </c>
      <c r="F18" s="32" t="s">
        <v>7</v>
      </c>
      <c r="G18" s="33" t="s">
        <v>8</v>
      </c>
      <c r="H18" s="34" t="s">
        <v>9</v>
      </c>
      <c r="I18" s="6" t="s">
        <v>10</v>
      </c>
      <c r="J18" s="6" t="s">
        <v>11</v>
      </c>
    </row>
    <row r="19" spans="1:10" ht="12.75" customHeight="1">
      <c r="A19" s="15" t="s">
        <v>12</v>
      </c>
      <c r="B19" s="38"/>
      <c r="C19" s="38"/>
      <c r="D19" s="38"/>
      <c r="E19" s="38"/>
      <c r="F19" s="45"/>
      <c r="G19" s="46"/>
      <c r="H19" s="45"/>
      <c r="I19" s="38"/>
      <c r="J19" s="38"/>
    </row>
    <row r="20" spans="1:10" ht="12.75" customHeight="1">
      <c r="A20" s="15" t="s">
        <v>18</v>
      </c>
      <c r="B20" s="38"/>
      <c r="C20" s="47"/>
      <c r="D20" s="41"/>
      <c r="E20" s="41"/>
      <c r="F20" s="45"/>
      <c r="G20" s="46"/>
      <c r="H20" s="45"/>
      <c r="I20" s="41"/>
      <c r="J20" s="41"/>
    </row>
    <row r="21" spans="1:10" ht="12.75" customHeight="1">
      <c r="A21" s="15" t="s">
        <v>23</v>
      </c>
      <c r="B21" s="38"/>
      <c r="C21" s="41"/>
      <c r="D21" s="41"/>
      <c r="E21" s="46"/>
      <c r="F21" s="45"/>
      <c r="G21" s="48"/>
      <c r="H21" s="45"/>
      <c r="I21" s="41"/>
      <c r="J21" s="41"/>
    </row>
    <row r="22" spans="1:10" ht="12.75" customHeight="1"/>
    <row r="23" spans="1:10" ht="12.75" customHeight="1"/>
    <row r="24" spans="1:10" ht="12.75" customHeight="1"/>
    <row r="25" spans="1:10" ht="12.75" customHeight="1"/>
    <row r="26" spans="1:10" ht="12.75" customHeight="1">
      <c r="D26" s="23"/>
      <c r="E26" s="23"/>
      <c r="F26" s="24"/>
      <c r="G26" s="24"/>
    </row>
    <row r="27" spans="1:10" ht="12.75" customHeight="1"/>
    <row r="28" spans="1:10" ht="12.75" customHeight="1"/>
    <row r="29" spans="1:10" ht="12.75" customHeight="1"/>
    <row r="30" spans="1:10" ht="12.75" customHeight="1"/>
    <row r="31" spans="1:10" ht="12.75" customHeight="1"/>
    <row r="32" spans="1:10"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C6705AAD-0750-4F74-81AC-06355A5729F5}"/>
    <hyperlink ref="C9" r:id="rId2" display="https://www.g2a.com/es/windows-server-2025-standard-24-core-microsoft-key-global-i10000508375002?___currency=COP&amp;___language=es&amp;er=3a77cfd4fe3d658c2cf585fdb3f6dd7f49907c37658e19bfdf350ca763d59f8b232e01cf99bf1104b1a5a4ec7e084b37&amp;uuid=77e8d07f-f8a1-40ea-a42a-6fe0d48cd237&amp;srsltid=AfmBOoocKANRb29-4qy-jXURyJKzao3c_k9iZEY_u-vNyVefxc6E__LoTs4" xr:uid="{2D46B639-3624-4835-BFC7-EB0B38513B5E}"/>
    <hyperlink ref="C10" r:id="rId3" xr:uid="{5CD4AC8E-FEFC-4125-8952-7FCA30B29DD3}"/>
  </hyperlinks>
  <pageMargins left="0.7" right="0.7" top="0.75" bottom="0.75" header="0" footer="0"/>
  <pageSetup orientation="landscap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9" workbookViewId="0">
      <selection activeCell="H9" sqref="H9"/>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1" t="s">
        <v>0</v>
      </c>
      <c r="E2" s="72"/>
      <c r="F2" s="72"/>
      <c r="G2" s="72"/>
      <c r="H2" s="72"/>
    </row>
    <row r="3" spans="1:26" ht="12.75" customHeight="1"/>
    <row r="4" spans="1:26" ht="12.75" customHeight="1"/>
    <row r="5" spans="1:26" ht="43.5" customHeight="1">
      <c r="A5" s="73" t="s">
        <v>47</v>
      </c>
      <c r="B5" s="74"/>
      <c r="C5" s="74"/>
      <c r="D5" s="74"/>
      <c r="E5" s="74"/>
      <c r="F5" s="74"/>
      <c r="G5" s="74"/>
      <c r="H5" s="74"/>
      <c r="I5" s="74"/>
      <c r="J5" s="75"/>
    </row>
    <row r="6" spans="1:26" ht="15.75" customHeight="1">
      <c r="A6" s="31" t="s">
        <v>48</v>
      </c>
    </row>
    <row r="7" spans="1:26" ht="75.75" customHeight="1">
      <c r="A7" s="1" t="s">
        <v>2</v>
      </c>
      <c r="B7" s="6" t="s">
        <v>49</v>
      </c>
      <c r="C7" s="6" t="s">
        <v>50</v>
      </c>
      <c r="D7" s="6" t="s">
        <v>51</v>
      </c>
      <c r="E7" s="6" t="s">
        <v>52</v>
      </c>
      <c r="F7" s="32" t="s">
        <v>53</v>
      </c>
      <c r="G7" s="33" t="s">
        <v>54</v>
      </c>
      <c r="H7" s="34" t="s">
        <v>9</v>
      </c>
      <c r="I7" s="6" t="s">
        <v>55</v>
      </c>
      <c r="J7" s="6" t="s">
        <v>56</v>
      </c>
      <c r="K7" s="7"/>
      <c r="L7" s="7"/>
      <c r="M7" s="7"/>
      <c r="N7" s="7"/>
      <c r="O7" s="7"/>
      <c r="P7" s="7"/>
      <c r="Q7" s="7"/>
      <c r="R7" s="7"/>
      <c r="S7" s="7"/>
      <c r="T7" s="7"/>
      <c r="U7" s="7"/>
      <c r="V7" s="7"/>
      <c r="W7" s="7"/>
      <c r="X7" s="7"/>
      <c r="Y7" s="7"/>
      <c r="Z7" s="7"/>
    </row>
    <row r="8" spans="1:26" ht="224.25" customHeight="1">
      <c r="A8" s="15" t="s">
        <v>12</v>
      </c>
      <c r="B8" s="20" t="s">
        <v>57</v>
      </c>
      <c r="C8" s="35" t="s">
        <v>58</v>
      </c>
      <c r="D8" s="20" t="s">
        <v>59</v>
      </c>
      <c r="E8" s="36">
        <f>1271427</f>
        <v>1271427</v>
      </c>
      <c r="F8" s="37">
        <v>0</v>
      </c>
      <c r="G8" s="36">
        <f>E8</f>
        <v>1271427</v>
      </c>
      <c r="H8" s="36">
        <f>G8</f>
        <v>1271427</v>
      </c>
      <c r="I8" s="13" t="s">
        <v>16</v>
      </c>
      <c r="J8" s="38" t="s">
        <v>60</v>
      </c>
      <c r="K8" s="31"/>
      <c r="L8" s="31"/>
      <c r="M8" s="31"/>
    </row>
    <row r="9" spans="1:26" ht="128.25" customHeight="1">
      <c r="A9" s="15" t="s">
        <v>18</v>
      </c>
      <c r="B9" s="20" t="s">
        <v>61</v>
      </c>
      <c r="C9" s="39" t="s">
        <v>62</v>
      </c>
      <c r="D9" s="20" t="s">
        <v>63</v>
      </c>
      <c r="E9" s="40">
        <v>769</v>
      </c>
      <c r="F9" s="40">
        <v>0</v>
      </c>
      <c r="G9" s="40">
        <f>F9+E9</f>
        <v>769</v>
      </c>
      <c r="H9" s="36">
        <f>G9*4484</f>
        <v>3448196</v>
      </c>
      <c r="I9" s="13" t="s">
        <v>16</v>
      </c>
      <c r="J9" s="41" t="s">
        <v>64</v>
      </c>
      <c r="L9" s="31"/>
    </row>
    <row r="10" spans="1:26" ht="191.25" customHeight="1">
      <c r="A10" s="15" t="s">
        <v>23</v>
      </c>
      <c r="B10" s="20" t="s">
        <v>65</v>
      </c>
      <c r="C10" s="42" t="s">
        <v>66</v>
      </c>
      <c r="D10" s="6" t="s">
        <v>67</v>
      </c>
      <c r="E10" s="36">
        <f>1428570</f>
        <v>1428570</v>
      </c>
      <c r="F10" s="36">
        <v>0</v>
      </c>
      <c r="G10" s="36">
        <f>E10+F10</f>
        <v>1428570</v>
      </c>
      <c r="H10" s="36">
        <f>G10</f>
        <v>1428570</v>
      </c>
      <c r="I10" s="43" t="s">
        <v>16</v>
      </c>
      <c r="J10" s="41" t="s">
        <v>68</v>
      </c>
    </row>
    <row r="11" spans="1:26" ht="15" hidden="1" customHeight="1">
      <c r="A11" s="44"/>
      <c r="B11" s="41"/>
      <c r="C11" s="41"/>
      <c r="D11" s="41"/>
      <c r="E11" s="41"/>
      <c r="F11" s="41"/>
      <c r="G11" s="41"/>
      <c r="H11" s="41"/>
      <c r="I11" s="41"/>
      <c r="J11" s="41"/>
    </row>
    <row r="12" spans="1:26" ht="12.75" customHeight="1"/>
    <row r="13" spans="1:26" ht="138.75" customHeight="1">
      <c r="A13" s="76" t="s">
        <v>69</v>
      </c>
      <c r="B13" s="74"/>
      <c r="C13" s="74"/>
      <c r="D13" s="74"/>
      <c r="E13" s="74"/>
      <c r="F13" s="74"/>
      <c r="G13" s="74"/>
      <c r="H13" s="74"/>
      <c r="I13" s="74"/>
      <c r="J13" s="75"/>
    </row>
    <row r="14" spans="1:26" ht="12.75" customHeight="1"/>
    <row r="15" spans="1:26" ht="75" customHeight="1">
      <c r="A15" s="76" t="s">
        <v>70</v>
      </c>
      <c r="B15" s="74"/>
      <c r="C15" s="74"/>
      <c r="D15" s="74"/>
      <c r="E15" s="74"/>
      <c r="F15" s="74"/>
      <c r="G15" s="74"/>
      <c r="H15" s="74"/>
      <c r="I15" s="74"/>
      <c r="J15" s="75"/>
    </row>
    <row r="16" spans="1:26" ht="12.75" customHeight="1"/>
    <row r="17" spans="1:10" ht="12.75" customHeight="1"/>
    <row r="18" spans="1:10" ht="12.75" customHeight="1">
      <c r="A18" s="1" t="s">
        <v>2</v>
      </c>
      <c r="B18" s="6" t="s">
        <v>71</v>
      </c>
      <c r="C18" s="6" t="s">
        <v>72</v>
      </c>
      <c r="D18" s="6" t="s">
        <v>73</v>
      </c>
      <c r="E18" s="6" t="s">
        <v>74</v>
      </c>
      <c r="F18" s="32" t="s">
        <v>75</v>
      </c>
      <c r="G18" s="33" t="s">
        <v>76</v>
      </c>
      <c r="H18" s="34" t="s">
        <v>9</v>
      </c>
      <c r="I18" s="6" t="s">
        <v>77</v>
      </c>
      <c r="J18" s="6" t="s">
        <v>78</v>
      </c>
    </row>
    <row r="19" spans="1:10" ht="12.75" customHeight="1">
      <c r="A19" s="15" t="s">
        <v>12</v>
      </c>
      <c r="B19" s="38"/>
      <c r="C19" s="38"/>
      <c r="D19" s="38"/>
      <c r="E19" s="38"/>
      <c r="F19" s="45"/>
      <c r="G19" s="46"/>
      <c r="H19" s="45"/>
      <c r="I19" s="38"/>
      <c r="J19" s="38"/>
    </row>
    <row r="20" spans="1:10" ht="12.75" customHeight="1">
      <c r="A20" s="15" t="s">
        <v>18</v>
      </c>
      <c r="B20" s="38"/>
      <c r="C20" s="47"/>
      <c r="D20" s="41"/>
      <c r="E20" s="41"/>
      <c r="F20" s="45"/>
      <c r="G20" s="46"/>
      <c r="H20" s="45"/>
      <c r="I20" s="41"/>
      <c r="J20" s="41"/>
    </row>
    <row r="21" spans="1:10" ht="12.75" customHeight="1">
      <c r="A21" s="15" t="s">
        <v>23</v>
      </c>
      <c r="B21" s="38"/>
      <c r="C21" s="41"/>
      <c r="D21" s="41"/>
      <c r="E21" s="46"/>
      <c r="F21" s="45"/>
      <c r="G21" s="48"/>
      <c r="H21" s="45"/>
      <c r="I21" s="41"/>
      <c r="J21" s="41"/>
    </row>
    <row r="22" spans="1:10" ht="12.75" customHeight="1"/>
    <row r="23" spans="1:10" ht="12.75" customHeight="1"/>
    <row r="24" spans="1:10" ht="12.75" customHeight="1"/>
    <row r="25" spans="1:10" ht="12.75" customHeight="1"/>
    <row r="26" spans="1:10" ht="12.75" customHeight="1">
      <c r="D26" s="23"/>
      <c r="E26" s="23"/>
      <c r="F26" s="24"/>
      <c r="G26" s="24"/>
    </row>
    <row r="27" spans="1:10" ht="12.75" customHeight="1"/>
    <row r="28" spans="1:10" ht="12.75" customHeight="1"/>
    <row r="29" spans="1:10" ht="12.75" customHeight="1"/>
    <row r="30" spans="1:10" ht="12.75" customHeight="1"/>
    <row r="31" spans="1:10" ht="12.75" customHeight="1"/>
    <row r="32" spans="1:10"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location="polycard_client=search-nordic&amp;position=1&amp;search_layout=stack&amp;type=item&amp;tracking_id=28e80c77-78df-45b0-8a0d-943d8cc98bc5nordic&amp;position=13&amp;search_layout=stack&amp;type=item&amp;tracking_id=7b11a4c0-353b-4b3f-9297-2c25f55df377" xr:uid="{00000000-0004-0000-0200-000000000000}"/>
    <hyperlink ref="C9" r:id="rId2" xr:uid="{00000000-0004-0000-0200-000001000000}"/>
    <hyperlink ref="C10" r:id="rId3" xr:uid="{00000000-0004-0000-0200-000002000000}"/>
  </hyperlinks>
  <pageMargins left="0.7" right="0.7" top="0.75" bottom="0.75" header="0" footer="0"/>
  <pageSetup orientation="landscape"/>
  <ignoredErrors>
    <ignoredError sqref="H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8" workbookViewId="0">
      <selection activeCell="G9" sqref="G9"/>
    </sheetView>
  </sheetViews>
  <sheetFormatPr baseColWidth="10" defaultColWidth="12.5546875" defaultRowHeight="15" customHeight="1"/>
  <cols>
    <col min="1" max="2" width="19.109375" customWidth="1"/>
    <col min="3" max="3" width="38.33203125" customWidth="1"/>
    <col min="4" max="4" width="21.88671875" customWidth="1"/>
    <col min="5" max="6" width="17" customWidth="1"/>
    <col min="7" max="7" width="18" customWidth="1"/>
    <col min="8" max="8" width="17" customWidth="1"/>
    <col min="9" max="9" width="19.109375" customWidth="1"/>
    <col min="10" max="10" width="39.88671875" customWidth="1"/>
    <col min="11" max="26" width="10" customWidth="1"/>
  </cols>
  <sheetData>
    <row r="1" spans="1:26" ht="12.75" customHeight="1"/>
    <row r="2" spans="1:26" ht="27.75" customHeight="1">
      <c r="D2" s="71" t="s">
        <v>0</v>
      </c>
      <c r="E2" s="72"/>
      <c r="F2" s="72"/>
      <c r="G2" s="72"/>
      <c r="H2" s="72"/>
    </row>
    <row r="3" spans="1:26" ht="12.75" customHeight="1"/>
    <row r="4" spans="1:26" ht="12.75" customHeight="1"/>
    <row r="5" spans="1:26" ht="43.5" customHeight="1">
      <c r="A5" s="73" t="s">
        <v>1</v>
      </c>
      <c r="B5" s="74"/>
      <c r="C5" s="74"/>
      <c r="D5" s="74"/>
      <c r="E5" s="74"/>
      <c r="F5" s="74"/>
      <c r="G5" s="74"/>
      <c r="H5" s="74"/>
      <c r="I5" s="74"/>
      <c r="J5" s="75"/>
    </row>
    <row r="6" spans="1:26" ht="15.75" customHeight="1"/>
    <row r="7" spans="1:26" ht="75.75" customHeight="1">
      <c r="A7" s="1" t="s">
        <v>2</v>
      </c>
      <c r="B7" s="2" t="s">
        <v>3</v>
      </c>
      <c r="C7" s="2" t="s">
        <v>4</v>
      </c>
      <c r="D7" s="2" t="s">
        <v>5</v>
      </c>
      <c r="E7" s="2" t="s">
        <v>6</v>
      </c>
      <c r="F7" s="3" t="s">
        <v>7</v>
      </c>
      <c r="G7" s="4" t="s">
        <v>8</v>
      </c>
      <c r="H7" s="5" t="s">
        <v>9</v>
      </c>
      <c r="I7" s="2" t="s">
        <v>10</v>
      </c>
      <c r="J7" s="6" t="s">
        <v>11</v>
      </c>
      <c r="K7" s="7"/>
      <c r="L7" s="7"/>
      <c r="M7" s="7"/>
      <c r="N7" s="7"/>
      <c r="O7" s="7"/>
      <c r="P7" s="7"/>
      <c r="Q7" s="7"/>
      <c r="R7" s="7"/>
      <c r="S7" s="7"/>
      <c r="T7" s="7"/>
      <c r="U7" s="7"/>
      <c r="V7" s="7"/>
      <c r="W7" s="7"/>
      <c r="X7" s="7"/>
      <c r="Y7" s="7"/>
      <c r="Z7" s="7"/>
    </row>
    <row r="8" spans="1:26" ht="100.8">
      <c r="A8" s="8" t="s">
        <v>12</v>
      </c>
      <c r="B8" s="9" t="s">
        <v>13</v>
      </c>
      <c r="C8" s="10" t="s">
        <v>14</v>
      </c>
      <c r="D8" s="11" t="s">
        <v>15</v>
      </c>
      <c r="E8" s="12">
        <f>1999000</f>
        <v>1999000</v>
      </c>
      <c r="F8" s="12">
        <f>0</f>
        <v>0</v>
      </c>
      <c r="G8" s="12">
        <f>E8+F8</f>
        <v>1999000</v>
      </c>
      <c r="H8" s="12">
        <f>G8</f>
        <v>1999000</v>
      </c>
      <c r="I8" s="13" t="s">
        <v>16</v>
      </c>
      <c r="J8" s="14" t="s">
        <v>17</v>
      </c>
    </row>
    <row r="9" spans="1:26" ht="171.75" customHeight="1">
      <c r="A9" s="15" t="s">
        <v>18</v>
      </c>
      <c r="B9" s="16" t="s">
        <v>19</v>
      </c>
      <c r="C9" s="17" t="s">
        <v>20</v>
      </c>
      <c r="D9" s="13" t="s">
        <v>21</v>
      </c>
      <c r="E9" s="18">
        <f>729</f>
        <v>729</v>
      </c>
      <c r="F9" s="19">
        <f>0</f>
        <v>0</v>
      </c>
      <c r="G9" s="18">
        <f>F9+E9</f>
        <v>729</v>
      </c>
      <c r="H9" s="12">
        <f>E9*4484</f>
        <v>3268836</v>
      </c>
      <c r="I9" s="13" t="s">
        <v>16</v>
      </c>
      <c r="J9" s="14" t="s">
        <v>22</v>
      </c>
    </row>
    <row r="10" spans="1:26" ht="100.8">
      <c r="A10" s="15" t="s">
        <v>23</v>
      </c>
      <c r="B10" s="20" t="s">
        <v>24</v>
      </c>
      <c r="C10" s="10" t="s">
        <v>25</v>
      </c>
      <c r="D10" s="21" t="s">
        <v>26</v>
      </c>
      <c r="E10" s="12">
        <f>2599900/1.19</f>
        <v>2184789.9159663864</v>
      </c>
      <c r="F10" s="12">
        <f>E10*19%</f>
        <v>415110.08403361344</v>
      </c>
      <c r="G10" s="12">
        <f>E10+F10</f>
        <v>2599900</v>
      </c>
      <c r="H10" s="12">
        <f>G10</f>
        <v>2599900</v>
      </c>
      <c r="I10" s="21" t="s">
        <v>16</v>
      </c>
      <c r="J10" s="14" t="s">
        <v>27</v>
      </c>
    </row>
    <row r="11" spans="1:26" ht="33" customHeight="1">
      <c r="E11" s="22"/>
      <c r="F11" s="22"/>
      <c r="G11" s="22"/>
      <c r="H11" s="22"/>
    </row>
    <row r="12" spans="1:26" ht="54" customHeight="1"/>
    <row r="13" spans="1:26" ht="138.75" customHeight="1">
      <c r="A13" s="76" t="s">
        <v>28</v>
      </c>
      <c r="B13" s="74"/>
      <c r="C13" s="74"/>
      <c r="D13" s="74"/>
      <c r="E13" s="74"/>
      <c r="F13" s="74"/>
      <c r="G13" s="74"/>
      <c r="H13" s="74"/>
      <c r="I13" s="74"/>
      <c r="J13" s="75"/>
    </row>
    <row r="14" spans="1:26" ht="12.75" customHeight="1"/>
    <row r="15" spans="1:26" ht="75" customHeight="1">
      <c r="A15" s="76" t="s">
        <v>29</v>
      </c>
      <c r="B15" s="74"/>
      <c r="C15" s="74"/>
      <c r="D15" s="74"/>
      <c r="E15" s="74"/>
      <c r="F15" s="74"/>
      <c r="G15" s="74"/>
      <c r="H15" s="74"/>
      <c r="I15" s="74"/>
      <c r="J15" s="7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24"/>
      <c r="G26" s="24"/>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00000000-0004-0000-0000-000000000000}"/>
    <hyperlink ref="C9" r:id="rId2" xr:uid="{00000000-0004-0000-0000-000001000000}"/>
    <hyperlink ref="C10" r:id="rId3" xr:uid="{00000000-0004-0000-0000-000002000000}"/>
  </hyperlinks>
  <pageMargins left="0.7" right="0.7" top="0.75" bottom="0.75" header="0" footer="0"/>
  <pageSetup orientation="landscape"/>
  <ignoredErrors>
    <ignoredError sqref="G9:H9"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D1" zoomScale="85" zoomScaleNormal="85" workbookViewId="0">
      <selection activeCell="H10" sqref="H10"/>
    </sheetView>
  </sheetViews>
  <sheetFormatPr baseColWidth="10" defaultColWidth="12.5546875" defaultRowHeight="15" customHeight="1"/>
  <cols>
    <col min="1" max="2" width="19.109375" customWidth="1"/>
    <col min="3" max="3" width="38.33203125" customWidth="1"/>
    <col min="4" max="4" width="21.88671875" customWidth="1"/>
    <col min="5" max="6" width="17" customWidth="1"/>
    <col min="7" max="7" width="18" customWidth="1"/>
    <col min="8" max="8" width="17" customWidth="1"/>
    <col min="9" max="9" width="19.109375" customWidth="1"/>
    <col min="10" max="10" width="25" customWidth="1"/>
    <col min="11" max="26" width="10" customWidth="1"/>
  </cols>
  <sheetData>
    <row r="1" spans="1:26" ht="12.75" customHeight="1"/>
    <row r="2" spans="1:26" ht="27.75" customHeight="1">
      <c r="D2" s="71" t="s">
        <v>0</v>
      </c>
      <c r="E2" s="72"/>
      <c r="F2" s="72"/>
      <c r="G2" s="72"/>
      <c r="H2" s="72"/>
    </row>
    <row r="3" spans="1:26" ht="12.75" customHeight="1"/>
    <row r="4" spans="1:26" ht="12.75" customHeight="1"/>
    <row r="5" spans="1:26" ht="43.5" customHeight="1">
      <c r="A5" s="73" t="s">
        <v>1</v>
      </c>
      <c r="B5" s="74"/>
      <c r="C5" s="74"/>
      <c r="D5" s="74"/>
      <c r="E5" s="74"/>
      <c r="F5" s="74"/>
      <c r="G5" s="74"/>
      <c r="H5" s="74"/>
      <c r="I5" s="74"/>
      <c r="J5" s="75"/>
    </row>
    <row r="6" spans="1:26" ht="15.75" customHeight="1"/>
    <row r="7" spans="1:26" ht="75.75" customHeight="1">
      <c r="A7" s="1" t="s">
        <v>2</v>
      </c>
      <c r="B7" s="2" t="s">
        <v>30</v>
      </c>
      <c r="C7" s="2" t="s">
        <v>31</v>
      </c>
      <c r="D7" s="2" t="s">
        <v>32</v>
      </c>
      <c r="E7" s="2" t="s">
        <v>33</v>
      </c>
      <c r="F7" s="25" t="s">
        <v>34</v>
      </c>
      <c r="G7" s="26" t="s">
        <v>35</v>
      </c>
      <c r="H7" s="27" t="s">
        <v>9</v>
      </c>
      <c r="I7" s="2" t="s">
        <v>36</v>
      </c>
      <c r="J7" s="6" t="s">
        <v>37</v>
      </c>
      <c r="K7" s="7"/>
      <c r="L7" s="7"/>
      <c r="M7" s="7"/>
      <c r="N7" s="7"/>
      <c r="O7" s="7"/>
      <c r="P7" s="7"/>
      <c r="Q7" s="7"/>
      <c r="R7" s="7"/>
      <c r="S7" s="7"/>
      <c r="T7" s="7"/>
      <c r="U7" s="7"/>
      <c r="V7" s="7"/>
      <c r="W7" s="7"/>
      <c r="X7" s="7"/>
      <c r="Y7" s="7"/>
      <c r="Z7" s="7"/>
    </row>
    <row r="8" spans="1:26" ht="316.8">
      <c r="A8" s="28" t="s">
        <v>12</v>
      </c>
      <c r="B8" s="21" t="s">
        <v>38</v>
      </c>
      <c r="C8" s="29" t="s">
        <v>39</v>
      </c>
      <c r="D8" s="21" t="s">
        <v>372</v>
      </c>
      <c r="E8" s="30">
        <f>1999900</f>
        <v>1999900</v>
      </c>
      <c r="F8" s="30">
        <v>0</v>
      </c>
      <c r="G8" s="30">
        <f t="shared" ref="G8:G10" si="0">E8+F8</f>
        <v>1999900</v>
      </c>
      <c r="H8" s="30">
        <f>G8</f>
        <v>1999900</v>
      </c>
      <c r="I8" s="21" t="s">
        <v>16</v>
      </c>
      <c r="J8" s="20" t="s">
        <v>40</v>
      </c>
    </row>
    <row r="9" spans="1:26" ht="316.8">
      <c r="A9" s="15" t="s">
        <v>18</v>
      </c>
      <c r="B9" s="20" t="s">
        <v>41</v>
      </c>
      <c r="C9" s="29" t="s">
        <v>42</v>
      </c>
      <c r="D9" s="21" t="s">
        <v>370</v>
      </c>
      <c r="E9" s="30">
        <f>2089900</f>
        <v>2089900</v>
      </c>
      <c r="F9" s="30">
        <f>0</f>
        <v>0</v>
      </c>
      <c r="G9" s="30">
        <f t="shared" si="0"/>
        <v>2089900</v>
      </c>
      <c r="H9" s="30">
        <f>G9</f>
        <v>2089900</v>
      </c>
      <c r="I9" s="21" t="s">
        <v>16</v>
      </c>
      <c r="J9" s="20" t="s">
        <v>40</v>
      </c>
    </row>
    <row r="10" spans="1:26" ht="185.25" customHeight="1">
      <c r="A10" s="15" t="s">
        <v>23</v>
      </c>
      <c r="B10" s="21" t="s">
        <v>13</v>
      </c>
      <c r="C10" s="29" t="s">
        <v>43</v>
      </c>
      <c r="D10" s="21" t="s">
        <v>371</v>
      </c>
      <c r="E10" s="30">
        <f>1910999</f>
        <v>1910999</v>
      </c>
      <c r="F10" s="30">
        <v>0</v>
      </c>
      <c r="G10" s="30">
        <f t="shared" si="0"/>
        <v>1910999</v>
      </c>
      <c r="H10" s="30">
        <f>G10</f>
        <v>1910999</v>
      </c>
      <c r="I10" s="21" t="s">
        <v>16</v>
      </c>
      <c r="J10" s="20" t="s">
        <v>44</v>
      </c>
    </row>
    <row r="11" spans="1:26" ht="33" customHeight="1"/>
    <row r="12" spans="1:26" ht="54" customHeight="1"/>
    <row r="13" spans="1:26" ht="138.75" customHeight="1">
      <c r="A13" s="76" t="s">
        <v>45</v>
      </c>
      <c r="B13" s="74"/>
      <c r="C13" s="74"/>
      <c r="D13" s="74"/>
      <c r="E13" s="74"/>
      <c r="F13" s="74"/>
      <c r="G13" s="74"/>
      <c r="H13" s="74"/>
      <c r="I13" s="74"/>
      <c r="J13" s="75"/>
    </row>
    <row r="14" spans="1:26" ht="12.75" customHeight="1"/>
    <row r="15" spans="1:26" ht="75" customHeight="1">
      <c r="A15" s="76" t="s">
        <v>46</v>
      </c>
      <c r="B15" s="74"/>
      <c r="C15" s="74"/>
      <c r="D15" s="74"/>
      <c r="E15" s="74"/>
      <c r="F15" s="74"/>
      <c r="G15" s="74"/>
      <c r="H15" s="74"/>
      <c r="I15" s="74"/>
      <c r="J15" s="7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24"/>
      <c r="G26" s="24"/>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00000000-0004-0000-0100-000000000000}"/>
    <hyperlink ref="C9" r:id="rId2" xr:uid="{00000000-0004-0000-0100-000001000000}"/>
    <hyperlink ref="C10" r:id="rId3" xr:uid="{00000000-0004-0000-01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9" workbookViewId="0">
      <selection activeCell="H9" sqref="H9"/>
    </sheetView>
  </sheetViews>
  <sheetFormatPr baseColWidth="10" defaultColWidth="12.5546875" defaultRowHeight="15" customHeight="1"/>
  <cols>
    <col min="1" max="2" width="19.109375" customWidth="1"/>
    <col min="3" max="3" width="38.33203125" customWidth="1"/>
    <col min="4" max="4" width="21.88671875" customWidth="1"/>
    <col min="5" max="6" width="17" customWidth="1"/>
    <col min="7" max="7" width="18" customWidth="1"/>
    <col min="8" max="8" width="17" customWidth="1"/>
    <col min="9" max="9" width="19.109375" customWidth="1"/>
    <col min="10" max="10" width="25" customWidth="1"/>
    <col min="11" max="26" width="10" customWidth="1"/>
  </cols>
  <sheetData>
    <row r="1" spans="1:26" ht="12.75" customHeight="1"/>
    <row r="2" spans="1:26" ht="27.75" customHeight="1">
      <c r="D2" s="71" t="s">
        <v>0</v>
      </c>
      <c r="E2" s="72"/>
      <c r="F2" s="72"/>
      <c r="G2" s="72"/>
      <c r="H2" s="72"/>
    </row>
    <row r="3" spans="1:26" ht="12.75" customHeight="1"/>
    <row r="4" spans="1:26" ht="12.75" customHeight="1"/>
    <row r="5" spans="1:26" ht="43.5" customHeight="1">
      <c r="A5" s="73" t="s">
        <v>1</v>
      </c>
      <c r="B5" s="74"/>
      <c r="C5" s="74"/>
      <c r="D5" s="74"/>
      <c r="E5" s="74"/>
      <c r="F5" s="74"/>
      <c r="G5" s="74"/>
      <c r="H5" s="74"/>
      <c r="I5" s="74"/>
      <c r="J5" s="75"/>
    </row>
    <row r="6" spans="1:26" ht="15.75" customHeight="1"/>
    <row r="7" spans="1:26" ht="75.75" customHeight="1">
      <c r="A7" s="1" t="s">
        <v>2</v>
      </c>
      <c r="B7" s="2" t="s">
        <v>79</v>
      </c>
      <c r="C7" s="2" t="s">
        <v>80</v>
      </c>
      <c r="D7" s="2" t="s">
        <v>81</v>
      </c>
      <c r="E7" s="2" t="s">
        <v>82</v>
      </c>
      <c r="F7" s="3" t="s">
        <v>83</v>
      </c>
      <c r="G7" s="4" t="s">
        <v>84</v>
      </c>
      <c r="H7" s="5" t="s">
        <v>9</v>
      </c>
      <c r="I7" s="2" t="s">
        <v>85</v>
      </c>
      <c r="J7" s="6" t="s">
        <v>86</v>
      </c>
      <c r="K7" s="7"/>
      <c r="L7" s="7"/>
      <c r="M7" s="7"/>
      <c r="N7" s="7"/>
      <c r="O7" s="7"/>
      <c r="P7" s="7"/>
      <c r="Q7" s="7"/>
      <c r="R7" s="7"/>
      <c r="S7" s="7"/>
      <c r="T7" s="7"/>
      <c r="U7" s="7"/>
      <c r="V7" s="7"/>
      <c r="W7" s="7"/>
      <c r="X7" s="7"/>
      <c r="Y7" s="7"/>
      <c r="Z7" s="7"/>
    </row>
    <row r="8" spans="1:26" ht="82.8">
      <c r="A8" s="8" t="s">
        <v>12</v>
      </c>
      <c r="B8" s="9" t="s">
        <v>57</v>
      </c>
      <c r="C8" s="49" t="s">
        <v>87</v>
      </c>
      <c r="D8" s="11" t="s">
        <v>88</v>
      </c>
      <c r="E8" s="50">
        <f>34900/1.19</f>
        <v>29327.731092436978</v>
      </c>
      <c r="F8" s="50">
        <f t="shared" ref="F8:F10" si="0">E8*19%</f>
        <v>5572.268907563026</v>
      </c>
      <c r="G8" s="50">
        <f t="shared" ref="G8:G10" si="1">E8+F8</f>
        <v>34900</v>
      </c>
      <c r="H8" s="50">
        <f>G8</f>
        <v>34900</v>
      </c>
      <c r="I8" s="51" t="s">
        <v>89</v>
      </c>
      <c r="J8" s="52" t="s">
        <v>90</v>
      </c>
      <c r="K8" s="53"/>
    </row>
    <row r="9" spans="1:26" ht="275.39999999999998">
      <c r="A9" s="15" t="s">
        <v>18</v>
      </c>
      <c r="B9" s="16" t="s">
        <v>38</v>
      </c>
      <c r="C9" s="49" t="s">
        <v>91</v>
      </c>
      <c r="D9" s="13" t="s">
        <v>92</v>
      </c>
      <c r="E9" s="50">
        <f>29900/1.19</f>
        <v>25126.050420168067</v>
      </c>
      <c r="F9" s="50">
        <f t="shared" si="0"/>
        <v>4773.9495798319331</v>
      </c>
      <c r="G9" s="50">
        <f t="shared" si="1"/>
        <v>29900</v>
      </c>
      <c r="H9" s="50">
        <f>G9</f>
        <v>29900</v>
      </c>
      <c r="I9" s="51" t="s">
        <v>89</v>
      </c>
      <c r="J9" s="54" t="s">
        <v>93</v>
      </c>
    </row>
    <row r="10" spans="1:26" ht="210.6">
      <c r="A10" s="15" t="s">
        <v>23</v>
      </c>
      <c r="B10" s="20" t="s">
        <v>94</v>
      </c>
      <c r="C10" s="49" t="s">
        <v>95</v>
      </c>
      <c r="D10" s="21" t="s">
        <v>96</v>
      </c>
      <c r="E10" s="55">
        <f>39900/1.19</f>
        <v>33529.411764705881</v>
      </c>
      <c r="F10" s="50">
        <f t="shared" si="0"/>
        <v>6370.5882352941171</v>
      </c>
      <c r="G10" s="50">
        <f t="shared" si="1"/>
        <v>39900</v>
      </c>
      <c r="H10" s="50">
        <f>G10</f>
        <v>39900</v>
      </c>
      <c r="I10" s="51" t="s">
        <v>89</v>
      </c>
      <c r="J10" s="54" t="s">
        <v>97</v>
      </c>
    </row>
    <row r="11" spans="1:26" ht="33" customHeight="1">
      <c r="F11" s="22"/>
      <c r="G11" s="22"/>
      <c r="H11" s="22"/>
      <c r="I11" s="56"/>
    </row>
    <row r="12" spans="1:26" ht="54" customHeight="1"/>
    <row r="13" spans="1:26" ht="138.75" customHeight="1">
      <c r="A13" s="76" t="s">
        <v>98</v>
      </c>
      <c r="B13" s="74"/>
      <c r="C13" s="74"/>
      <c r="D13" s="74"/>
      <c r="E13" s="74"/>
      <c r="F13" s="74"/>
      <c r="G13" s="74"/>
      <c r="H13" s="74"/>
      <c r="I13" s="74"/>
      <c r="J13" s="75"/>
    </row>
    <row r="14" spans="1:26" ht="12.75" customHeight="1"/>
    <row r="15" spans="1:26" ht="75" customHeight="1">
      <c r="A15" s="76" t="s">
        <v>99</v>
      </c>
      <c r="B15" s="74"/>
      <c r="C15" s="74"/>
      <c r="D15" s="74"/>
      <c r="E15" s="74"/>
      <c r="F15" s="74"/>
      <c r="G15" s="74"/>
      <c r="H15" s="74"/>
      <c r="I15" s="74"/>
      <c r="J15" s="7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24"/>
      <c r="G26" s="24"/>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location="polycard_client=search-nordic&amp;searchVariation=MCO24566684&amp;position=1&amp;search_layout=stack&amp;type=product&amp;tracking_id=1af638ad-855a-4995-ab7d-b620df6b370a&amp;wid=MCO2432033456&amp;sid=search" xr:uid="{00000000-0004-0000-0300-000000000000}"/>
    <hyperlink ref="C9" r:id="rId2" xr:uid="{00000000-0004-0000-0300-000001000000}"/>
    <hyperlink ref="C10" r:id="rId3" xr:uid="{00000000-0004-0000-0300-000002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C8" workbookViewId="0">
      <selection activeCell="H8" sqref="H8"/>
    </sheetView>
  </sheetViews>
  <sheetFormatPr baseColWidth="10" defaultColWidth="12.5546875" defaultRowHeight="15" customHeight="1"/>
  <cols>
    <col min="1" max="2" width="19.109375" customWidth="1"/>
    <col min="3" max="3" width="38.33203125" customWidth="1"/>
    <col min="4" max="4" width="21.88671875" customWidth="1"/>
    <col min="5" max="6" width="17" customWidth="1"/>
    <col min="7" max="7" width="18" customWidth="1"/>
    <col min="8" max="8" width="17" customWidth="1"/>
    <col min="9" max="9" width="19.109375" customWidth="1"/>
    <col min="10" max="10" width="25" customWidth="1"/>
    <col min="11" max="26" width="10" customWidth="1"/>
  </cols>
  <sheetData>
    <row r="1" spans="1:26" ht="12.75" customHeight="1"/>
    <row r="2" spans="1:26" ht="27.75" customHeight="1">
      <c r="D2" s="71" t="s">
        <v>0</v>
      </c>
      <c r="E2" s="72"/>
      <c r="F2" s="72"/>
      <c r="G2" s="72"/>
      <c r="H2" s="72"/>
    </row>
    <row r="3" spans="1:26" ht="12.75" customHeight="1"/>
    <row r="4" spans="1:26" ht="12.75" customHeight="1"/>
    <row r="5" spans="1:26" ht="43.5" customHeight="1">
      <c r="A5" s="73" t="s">
        <v>1</v>
      </c>
      <c r="B5" s="74"/>
      <c r="C5" s="74"/>
      <c r="D5" s="74"/>
      <c r="E5" s="74"/>
      <c r="F5" s="74"/>
      <c r="G5" s="74"/>
      <c r="H5" s="74"/>
      <c r="I5" s="74"/>
      <c r="J5" s="75"/>
    </row>
    <row r="6" spans="1:26" ht="15.75" customHeight="1"/>
    <row r="7" spans="1:26" ht="75.75" customHeight="1">
      <c r="A7" s="1" t="s">
        <v>2</v>
      </c>
      <c r="B7" s="2" t="s">
        <v>100</v>
      </c>
      <c r="C7" s="2" t="s">
        <v>101</v>
      </c>
      <c r="D7" s="2" t="s">
        <v>102</v>
      </c>
      <c r="E7" s="2" t="s">
        <v>103</v>
      </c>
      <c r="F7" s="3" t="s">
        <v>104</v>
      </c>
      <c r="G7" s="4" t="s">
        <v>105</v>
      </c>
      <c r="H7" s="5" t="s">
        <v>9</v>
      </c>
      <c r="I7" s="2" t="s">
        <v>106</v>
      </c>
      <c r="J7" s="6" t="s">
        <v>107</v>
      </c>
      <c r="K7" s="7"/>
      <c r="L7" s="7"/>
      <c r="M7" s="7"/>
      <c r="N7" s="7"/>
      <c r="O7" s="7"/>
      <c r="P7" s="7"/>
      <c r="Q7" s="7"/>
      <c r="R7" s="7"/>
      <c r="S7" s="7"/>
      <c r="T7" s="7"/>
      <c r="U7" s="7"/>
      <c r="V7" s="7"/>
      <c r="W7" s="7"/>
      <c r="X7" s="7"/>
      <c r="Y7" s="7"/>
      <c r="Z7" s="7"/>
    </row>
    <row r="8" spans="1:26" ht="201.6">
      <c r="A8" s="8" t="s">
        <v>12</v>
      </c>
      <c r="B8" s="9" t="s">
        <v>108</v>
      </c>
      <c r="C8" s="10" t="s">
        <v>109</v>
      </c>
      <c r="D8" s="11" t="s">
        <v>362</v>
      </c>
      <c r="E8" s="50">
        <f>60001/1.19</f>
        <v>50421.008403361346</v>
      </c>
      <c r="F8" s="50">
        <f t="shared" ref="F8:F10" si="0">E8*19%</f>
        <v>9579.9915966386561</v>
      </c>
      <c r="G8" s="50">
        <f t="shared" ref="G8:G10" si="1">E8+F8</f>
        <v>60001</v>
      </c>
      <c r="H8" s="50">
        <f>G8</f>
        <v>60001</v>
      </c>
      <c r="I8" s="51" t="s">
        <v>368</v>
      </c>
      <c r="J8" s="20" t="s">
        <v>363</v>
      </c>
    </row>
    <row r="9" spans="1:26" ht="216">
      <c r="A9" s="15" t="s">
        <v>18</v>
      </c>
      <c r="B9" s="16" t="s">
        <v>110</v>
      </c>
      <c r="C9" s="57" t="s">
        <v>111</v>
      </c>
      <c r="D9" s="11" t="s">
        <v>364</v>
      </c>
      <c r="E9" s="50">
        <f>25000/1.19</f>
        <v>21008.403361344539</v>
      </c>
      <c r="F9" s="50">
        <f t="shared" si="0"/>
        <v>3991.5966386554624</v>
      </c>
      <c r="G9" s="50">
        <f t="shared" si="1"/>
        <v>25000</v>
      </c>
      <c r="H9" s="50">
        <f>G9</f>
        <v>25000</v>
      </c>
      <c r="I9" s="51" t="s">
        <v>368</v>
      </c>
      <c r="J9" s="20" t="s">
        <v>365</v>
      </c>
    </row>
    <row r="10" spans="1:26" ht="158.4">
      <c r="A10" s="15" t="s">
        <v>23</v>
      </c>
      <c r="B10" s="20" t="s">
        <v>112</v>
      </c>
      <c r="C10" s="58" t="s">
        <v>113</v>
      </c>
      <c r="D10" s="11" t="s">
        <v>366</v>
      </c>
      <c r="E10" s="50">
        <v>59000</v>
      </c>
      <c r="F10" s="50">
        <f t="shared" si="0"/>
        <v>11210</v>
      </c>
      <c r="G10" s="50">
        <f t="shared" si="1"/>
        <v>70210</v>
      </c>
      <c r="H10" s="50">
        <f>G10</f>
        <v>70210</v>
      </c>
      <c r="I10" s="51" t="s">
        <v>368</v>
      </c>
      <c r="J10" s="20" t="s">
        <v>367</v>
      </c>
    </row>
    <row r="11" spans="1:26" ht="33" customHeight="1">
      <c r="D11" s="22"/>
      <c r="E11" s="22"/>
      <c r="F11" s="22"/>
      <c r="G11" s="22"/>
      <c r="H11" s="22"/>
      <c r="I11" s="22"/>
    </row>
    <row r="12" spans="1:26" ht="54" customHeight="1"/>
    <row r="13" spans="1:26" ht="138.75" customHeight="1">
      <c r="A13" s="76" t="s">
        <v>114</v>
      </c>
      <c r="B13" s="74"/>
      <c r="C13" s="74"/>
      <c r="D13" s="74"/>
      <c r="E13" s="74"/>
      <c r="F13" s="74"/>
      <c r="G13" s="74"/>
      <c r="H13" s="74"/>
      <c r="I13" s="74"/>
      <c r="J13" s="75"/>
    </row>
    <row r="14" spans="1:26" ht="12.75" customHeight="1"/>
    <row r="15" spans="1:26" ht="75" customHeight="1">
      <c r="A15" s="76" t="s">
        <v>115</v>
      </c>
      <c r="B15" s="74"/>
      <c r="C15" s="74"/>
      <c r="D15" s="74"/>
      <c r="E15" s="74"/>
      <c r="F15" s="74"/>
      <c r="G15" s="74"/>
      <c r="H15" s="74"/>
      <c r="I15" s="74"/>
      <c r="J15" s="7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24"/>
      <c r="G26" s="24"/>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location="polycard_client=search-nordic&amp;searchVariation=MCO10001436&amp;position=1&amp;search_layout=stack&amp;type=product&amp;tracking_id=c92bed1e-0538-4976-a74f-a7c47595641b&amp;wid=MCO996534720&amp;sid=search" xr:uid="{00000000-0004-0000-0400-000000000000}"/>
    <hyperlink ref="C9" r:id="rId2" xr:uid="{00000000-0004-0000-0400-000001000000}"/>
    <hyperlink ref="C10" r:id="rId3" xr:uid="{00000000-0004-0000-0400-000002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opLeftCell="C10" workbookViewId="0">
      <selection activeCell="H10" sqref="H10"/>
    </sheetView>
  </sheetViews>
  <sheetFormatPr baseColWidth="10" defaultColWidth="12.5546875" defaultRowHeight="15" customHeight="1"/>
  <cols>
    <col min="1" max="2" width="19.109375" customWidth="1"/>
    <col min="3" max="3" width="38.33203125" customWidth="1"/>
    <col min="4" max="4" width="21.88671875" customWidth="1"/>
    <col min="5" max="6" width="17" customWidth="1"/>
    <col min="7" max="7" width="18" customWidth="1"/>
    <col min="8" max="8" width="17" customWidth="1"/>
    <col min="9" max="9" width="19.109375" customWidth="1"/>
    <col min="10" max="10" width="25" customWidth="1"/>
    <col min="11" max="26" width="10" customWidth="1"/>
  </cols>
  <sheetData>
    <row r="1" spans="1:26" ht="12.75" customHeight="1"/>
    <row r="2" spans="1:26" ht="27.75" customHeight="1">
      <c r="D2" s="71" t="s">
        <v>0</v>
      </c>
      <c r="E2" s="72"/>
      <c r="F2" s="72"/>
      <c r="G2" s="72"/>
      <c r="H2" s="72"/>
    </row>
    <row r="3" spans="1:26" ht="12.75" customHeight="1"/>
    <row r="4" spans="1:26" ht="12.75" customHeight="1"/>
    <row r="5" spans="1:26" ht="43.5" customHeight="1">
      <c r="A5" s="73" t="s">
        <v>1</v>
      </c>
      <c r="B5" s="74"/>
      <c r="C5" s="74"/>
      <c r="D5" s="74"/>
      <c r="E5" s="74"/>
      <c r="F5" s="74"/>
      <c r="G5" s="74"/>
      <c r="H5" s="74"/>
      <c r="I5" s="74"/>
      <c r="J5" s="75"/>
    </row>
    <row r="6" spans="1:26" ht="15.75" customHeight="1"/>
    <row r="7" spans="1:26" ht="75.75" customHeight="1">
      <c r="A7" s="1" t="s">
        <v>2</v>
      </c>
      <c r="B7" s="2" t="s">
        <v>116</v>
      </c>
      <c r="C7" s="2" t="s">
        <v>117</v>
      </c>
      <c r="D7" s="2" t="s">
        <v>118</v>
      </c>
      <c r="E7" s="2" t="s">
        <v>119</v>
      </c>
      <c r="F7" s="3" t="s">
        <v>120</v>
      </c>
      <c r="G7" s="4" t="s">
        <v>121</v>
      </c>
      <c r="H7" s="5" t="s">
        <v>9</v>
      </c>
      <c r="I7" s="2" t="s">
        <v>122</v>
      </c>
      <c r="J7" s="6" t="s">
        <v>123</v>
      </c>
      <c r="K7" s="7"/>
      <c r="L7" s="7"/>
      <c r="M7" s="7"/>
      <c r="N7" s="7"/>
      <c r="O7" s="7"/>
      <c r="P7" s="7"/>
      <c r="Q7" s="7"/>
      <c r="R7" s="7"/>
      <c r="S7" s="7"/>
      <c r="T7" s="7"/>
      <c r="U7" s="7"/>
      <c r="V7" s="7"/>
      <c r="W7" s="7"/>
      <c r="X7" s="7"/>
      <c r="Y7" s="7"/>
      <c r="Z7" s="7"/>
    </row>
    <row r="8" spans="1:26" ht="187.2">
      <c r="A8" s="8" t="s">
        <v>12</v>
      </c>
      <c r="B8" s="9" t="s">
        <v>124</v>
      </c>
      <c r="C8" s="10" t="s">
        <v>125</v>
      </c>
      <c r="D8" s="11" t="s">
        <v>373</v>
      </c>
      <c r="E8" s="19">
        <f>429900/1.19</f>
        <v>361260.50420168071</v>
      </c>
      <c r="F8" s="12">
        <f t="shared" ref="F8:F10" si="0">E8*19%</f>
        <v>68639.495798319331</v>
      </c>
      <c r="G8" s="12">
        <f t="shared" ref="G8:G10" si="1">E8+F8</f>
        <v>429900.00000000006</v>
      </c>
      <c r="H8" s="12">
        <f>G8</f>
        <v>429900.00000000006</v>
      </c>
      <c r="I8" s="13" t="s">
        <v>16</v>
      </c>
      <c r="J8" s="14" t="s">
        <v>126</v>
      </c>
    </row>
    <row r="9" spans="1:26" ht="135" customHeight="1">
      <c r="A9" s="15" t="s">
        <v>18</v>
      </c>
      <c r="B9" s="16" t="s">
        <v>41</v>
      </c>
      <c r="C9" s="57" t="s">
        <v>127</v>
      </c>
      <c r="D9" s="13" t="s">
        <v>128</v>
      </c>
      <c r="E9" s="12">
        <f>377600/1.19</f>
        <v>317310.92436974793</v>
      </c>
      <c r="F9" s="12">
        <f t="shared" si="0"/>
        <v>60289.075630252104</v>
      </c>
      <c r="G9" s="12">
        <f t="shared" si="1"/>
        <v>377600</v>
      </c>
      <c r="H9" s="12">
        <f>G9</f>
        <v>377600</v>
      </c>
      <c r="I9" s="13" t="s">
        <v>16</v>
      </c>
      <c r="J9" s="14" t="s">
        <v>129</v>
      </c>
    </row>
    <row r="10" spans="1:26" ht="201.6">
      <c r="A10" s="15" t="s">
        <v>23</v>
      </c>
      <c r="B10" s="20" t="s">
        <v>130</v>
      </c>
      <c r="C10" s="10" t="s">
        <v>131</v>
      </c>
      <c r="D10" s="21" t="s">
        <v>132</v>
      </c>
      <c r="E10" s="30">
        <f>409990/1.19</f>
        <v>344529.4117647059</v>
      </c>
      <c r="F10" s="12">
        <f t="shared" si="0"/>
        <v>65460.588235294119</v>
      </c>
      <c r="G10" s="30">
        <f t="shared" si="1"/>
        <v>409990</v>
      </c>
      <c r="H10" s="30">
        <f>G10</f>
        <v>409990</v>
      </c>
      <c r="I10" s="21" t="s">
        <v>16</v>
      </c>
      <c r="J10" s="14" t="s">
        <v>133</v>
      </c>
    </row>
    <row r="11" spans="1:26" ht="33" customHeight="1"/>
    <row r="12" spans="1:26" ht="54" customHeight="1"/>
    <row r="13" spans="1:26" ht="138.75" customHeight="1">
      <c r="A13" s="76" t="s">
        <v>134</v>
      </c>
      <c r="B13" s="74"/>
      <c r="C13" s="74"/>
      <c r="D13" s="74"/>
      <c r="E13" s="74"/>
      <c r="F13" s="74"/>
      <c r="G13" s="74"/>
      <c r="H13" s="74"/>
      <c r="I13" s="74"/>
      <c r="J13" s="75"/>
    </row>
    <row r="14" spans="1:26" ht="12.75" customHeight="1"/>
    <row r="15" spans="1:26" ht="75" customHeight="1">
      <c r="A15" s="76" t="s">
        <v>135</v>
      </c>
      <c r="B15" s="74"/>
      <c r="C15" s="74"/>
      <c r="D15" s="74"/>
      <c r="E15" s="74"/>
      <c r="F15" s="74"/>
      <c r="G15" s="74"/>
      <c r="H15" s="74"/>
      <c r="I15" s="74"/>
      <c r="J15" s="7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24"/>
      <c r="G26" s="24"/>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00000000-0004-0000-0500-000000000000}"/>
    <hyperlink ref="C9" r:id="rId2" location="polycard_client=search-nordic&amp;searchVariation=MCO43961584&amp;position=35&amp;search_layout=stack&amp;type=product&amp;tracking_id=3c8dc1ce-2995-421c-8d51-d4836b496f1f&amp;wid=MCO2812586906&amp;sid=search" xr:uid="{00000000-0004-0000-0500-000001000000}"/>
    <hyperlink ref="C10" r:id="rId3" xr:uid="{00000000-0004-0000-0500-000002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A10" workbookViewId="0">
      <selection activeCell="E10" sqref="E10"/>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1" t="s">
        <v>0</v>
      </c>
      <c r="E2" s="72"/>
      <c r="F2" s="72"/>
      <c r="G2" s="72"/>
      <c r="H2" s="72"/>
    </row>
    <row r="3" spans="1:26" ht="12.75" customHeight="1"/>
    <row r="4" spans="1:26" ht="12.75" customHeight="1"/>
    <row r="5" spans="1:26" ht="43.5" customHeight="1">
      <c r="A5" s="73" t="s">
        <v>136</v>
      </c>
      <c r="B5" s="74"/>
      <c r="C5" s="74"/>
      <c r="D5" s="74"/>
      <c r="E5" s="74"/>
      <c r="F5" s="74"/>
      <c r="G5" s="74"/>
      <c r="H5" s="74"/>
      <c r="I5" s="74"/>
      <c r="J5" s="75"/>
    </row>
    <row r="6" spans="1:26" ht="15.75" customHeight="1">
      <c r="A6" s="31" t="s">
        <v>48</v>
      </c>
    </row>
    <row r="7" spans="1:26" ht="75.75" customHeight="1">
      <c r="A7" s="1" t="s">
        <v>2</v>
      </c>
      <c r="B7" s="6" t="s">
        <v>137</v>
      </c>
      <c r="C7" s="6" t="s">
        <v>138</v>
      </c>
      <c r="D7" s="6" t="s">
        <v>139</v>
      </c>
      <c r="E7" s="6" t="s">
        <v>140</v>
      </c>
      <c r="F7" s="32" t="s">
        <v>141</v>
      </c>
      <c r="G7" s="33" t="s">
        <v>142</v>
      </c>
      <c r="H7" s="34" t="s">
        <v>9</v>
      </c>
      <c r="I7" s="6" t="s">
        <v>143</v>
      </c>
      <c r="J7" s="6" t="s">
        <v>144</v>
      </c>
      <c r="K7" s="7"/>
      <c r="L7" s="7"/>
      <c r="M7" s="7"/>
      <c r="N7" s="7"/>
      <c r="O7" s="7"/>
      <c r="P7" s="7"/>
      <c r="Q7" s="7"/>
      <c r="R7" s="7"/>
      <c r="S7" s="7"/>
      <c r="T7" s="7"/>
      <c r="U7" s="7"/>
      <c r="V7" s="7"/>
      <c r="W7" s="7"/>
      <c r="X7" s="7"/>
      <c r="Y7" s="7"/>
      <c r="Z7" s="7"/>
    </row>
    <row r="8" spans="1:26" ht="244.8">
      <c r="A8" s="15" t="s">
        <v>12</v>
      </c>
      <c r="B8" s="20" t="s">
        <v>145</v>
      </c>
      <c r="C8" s="59" t="s">
        <v>146</v>
      </c>
      <c r="D8" s="20" t="s">
        <v>147</v>
      </c>
      <c r="E8" s="36">
        <f>39900/1.19</f>
        <v>33529.411764705881</v>
      </c>
      <c r="F8" s="36">
        <f t="shared" ref="F8:F10" si="0">E8*19%</f>
        <v>6370.5882352941171</v>
      </c>
      <c r="G8" s="36">
        <f t="shared" ref="G8:G10" si="1">E8+F8</f>
        <v>39900</v>
      </c>
      <c r="H8" s="36">
        <f>G8</f>
        <v>39900</v>
      </c>
      <c r="I8" s="13" t="s">
        <v>16</v>
      </c>
      <c r="J8" s="38" t="s">
        <v>148</v>
      </c>
      <c r="K8" s="31"/>
      <c r="L8" s="31"/>
      <c r="M8" s="31"/>
    </row>
    <row r="9" spans="1:26" ht="409.6">
      <c r="A9" s="15" t="s">
        <v>18</v>
      </c>
      <c r="B9" s="20" t="s">
        <v>149</v>
      </c>
      <c r="C9" s="60" t="s">
        <v>150</v>
      </c>
      <c r="D9" s="20" t="s">
        <v>151</v>
      </c>
      <c r="E9" s="36">
        <f>68400/1.19</f>
        <v>57478.991596638662</v>
      </c>
      <c r="F9" s="36">
        <f t="shared" si="0"/>
        <v>10921.008403361346</v>
      </c>
      <c r="G9" s="36">
        <f t="shared" si="1"/>
        <v>68400</v>
      </c>
      <c r="H9" s="36">
        <f>G9</f>
        <v>68400</v>
      </c>
      <c r="I9" s="13" t="s">
        <v>16</v>
      </c>
      <c r="J9" s="38" t="s">
        <v>152</v>
      </c>
      <c r="L9" s="31"/>
    </row>
    <row r="10" spans="1:26" ht="409.6">
      <c r="A10" s="15" t="s">
        <v>23</v>
      </c>
      <c r="B10" s="20" t="s">
        <v>153</v>
      </c>
      <c r="C10" s="61" t="s">
        <v>154</v>
      </c>
      <c r="D10" s="20" t="s">
        <v>147</v>
      </c>
      <c r="E10" s="62">
        <f>14.5/1.19</f>
        <v>12.184873949579833</v>
      </c>
      <c r="F10" s="62">
        <f t="shared" si="0"/>
        <v>2.3151260504201683</v>
      </c>
      <c r="G10" s="62">
        <f t="shared" si="1"/>
        <v>14.500000000000002</v>
      </c>
      <c r="H10" s="63">
        <f>G10*4120</f>
        <v>59740.000000000007</v>
      </c>
      <c r="I10" s="43" t="s">
        <v>16</v>
      </c>
      <c r="J10" s="38" t="s">
        <v>155</v>
      </c>
    </row>
    <row r="11" spans="1:26" ht="15" hidden="1" customHeight="1">
      <c r="A11" s="44"/>
      <c r="B11" s="41"/>
      <c r="C11" s="41"/>
      <c r="D11" s="41"/>
      <c r="E11" s="41"/>
      <c r="F11" s="41"/>
      <c r="G11" s="41"/>
      <c r="H11" s="41"/>
      <c r="I11" s="41"/>
      <c r="J11" s="41"/>
    </row>
    <row r="12" spans="1:26" ht="12.75" customHeight="1">
      <c r="J12" s="31" t="s">
        <v>156</v>
      </c>
    </row>
    <row r="13" spans="1:26" ht="138.75" customHeight="1">
      <c r="A13" s="76" t="s">
        <v>69</v>
      </c>
      <c r="B13" s="74"/>
      <c r="C13" s="74"/>
      <c r="D13" s="74"/>
      <c r="E13" s="74"/>
      <c r="F13" s="74"/>
      <c r="G13" s="74"/>
      <c r="H13" s="74"/>
      <c r="I13" s="74"/>
      <c r="J13" s="75"/>
    </row>
    <row r="14" spans="1:26" ht="12.75" customHeight="1"/>
    <row r="15" spans="1:26" ht="75" customHeight="1">
      <c r="A15" s="76" t="s">
        <v>157</v>
      </c>
      <c r="B15" s="74"/>
      <c r="C15" s="74"/>
      <c r="D15" s="74"/>
      <c r="E15" s="74"/>
      <c r="F15" s="74"/>
      <c r="G15" s="74"/>
      <c r="H15" s="74"/>
      <c r="I15" s="74"/>
      <c r="J15" s="75"/>
    </row>
    <row r="16" spans="1:26" ht="12.75" customHeight="1"/>
    <row r="17" spans="1:10" ht="12.75" customHeight="1"/>
    <row r="18" spans="1:10" ht="12.75" customHeight="1">
      <c r="A18" s="1" t="s">
        <v>2</v>
      </c>
      <c r="B18" s="6" t="s">
        <v>158</v>
      </c>
      <c r="C18" s="6" t="s">
        <v>159</v>
      </c>
      <c r="D18" s="6" t="s">
        <v>160</v>
      </c>
      <c r="E18" s="6" t="s">
        <v>161</v>
      </c>
      <c r="F18" s="32" t="s">
        <v>162</v>
      </c>
      <c r="G18" s="33" t="s">
        <v>163</v>
      </c>
      <c r="H18" s="34" t="s">
        <v>9</v>
      </c>
      <c r="I18" s="6" t="s">
        <v>164</v>
      </c>
      <c r="J18" s="6" t="s">
        <v>165</v>
      </c>
    </row>
    <row r="19" spans="1:10" ht="12.75" customHeight="1">
      <c r="A19" s="15" t="s">
        <v>12</v>
      </c>
      <c r="B19" s="38"/>
      <c r="C19" s="38"/>
      <c r="D19" s="38"/>
      <c r="E19" s="38"/>
      <c r="F19" s="45"/>
      <c r="G19" s="46"/>
      <c r="H19" s="45"/>
      <c r="I19" s="38"/>
      <c r="J19" s="38"/>
    </row>
    <row r="20" spans="1:10" ht="12.75" customHeight="1">
      <c r="A20" s="15" t="s">
        <v>18</v>
      </c>
      <c r="B20" s="38"/>
      <c r="C20" s="47"/>
      <c r="D20" s="41"/>
      <c r="E20" s="41"/>
      <c r="F20" s="45"/>
      <c r="G20" s="46"/>
      <c r="H20" s="45"/>
      <c r="I20" s="41"/>
      <c r="J20" s="41"/>
    </row>
    <row r="21" spans="1:10" ht="12.75" customHeight="1">
      <c r="A21" s="15" t="s">
        <v>23</v>
      </c>
      <c r="B21" s="38"/>
      <c r="C21" s="41"/>
      <c r="D21" s="41"/>
      <c r="E21" s="46"/>
      <c r="F21" s="45"/>
      <c r="G21" s="48"/>
      <c r="H21" s="45"/>
      <c r="I21" s="41"/>
      <c r="J21" s="41"/>
    </row>
    <row r="22" spans="1:10" ht="12.75" customHeight="1"/>
    <row r="23" spans="1:10" ht="12.75" customHeight="1"/>
    <row r="24" spans="1:10" ht="12.75" customHeight="1"/>
    <row r="25" spans="1:10" ht="12.75" customHeight="1"/>
    <row r="26" spans="1:10" ht="12.75" customHeight="1">
      <c r="D26" s="23"/>
      <c r="E26" s="23"/>
      <c r="F26" s="24"/>
      <c r="G26" s="24"/>
    </row>
    <row r="27" spans="1:10" ht="12.75" customHeight="1"/>
    <row r="28" spans="1:10" ht="12.75" customHeight="1"/>
    <row r="29" spans="1:10" ht="12.75" customHeight="1"/>
    <row r="30" spans="1:10" ht="12.75" customHeight="1"/>
    <row r="31" spans="1:10" ht="12.75" customHeight="1"/>
    <row r="32" spans="1:10"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00000000-0004-0000-0600-000000000000}"/>
    <hyperlink ref="C9" r:id="rId2" xr:uid="{00000000-0004-0000-0600-000001000000}"/>
    <hyperlink ref="C10" r:id="rId3" xr:uid="{00000000-0004-0000-0600-000002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topLeftCell="E10" workbookViewId="0">
      <selection activeCell="G10" sqref="G10"/>
    </sheetView>
  </sheetViews>
  <sheetFormatPr baseColWidth="10" defaultColWidth="12.5546875" defaultRowHeight="15" customHeight="1"/>
  <cols>
    <col min="1" max="3" width="19.109375" customWidth="1"/>
    <col min="4" max="4" width="21.88671875" customWidth="1"/>
    <col min="5" max="6" width="17" customWidth="1"/>
    <col min="7" max="7" width="18" customWidth="1"/>
    <col min="8" max="8" width="17" customWidth="1"/>
    <col min="9" max="10" width="19.109375" customWidth="1"/>
    <col min="11" max="26" width="10" customWidth="1"/>
  </cols>
  <sheetData>
    <row r="1" spans="1:26" ht="12.75" customHeight="1"/>
    <row r="2" spans="1:26" ht="27.75" customHeight="1">
      <c r="D2" s="71" t="s">
        <v>0</v>
      </c>
      <c r="E2" s="72"/>
      <c r="F2" s="72"/>
      <c r="G2" s="72"/>
      <c r="H2" s="72"/>
    </row>
    <row r="3" spans="1:26" ht="12.75" customHeight="1"/>
    <row r="4" spans="1:26" ht="12.75" customHeight="1"/>
    <row r="5" spans="1:26" ht="43.5" customHeight="1">
      <c r="A5" s="73" t="s">
        <v>136</v>
      </c>
      <c r="B5" s="74"/>
      <c r="C5" s="74"/>
      <c r="D5" s="74"/>
      <c r="E5" s="74"/>
      <c r="F5" s="74"/>
      <c r="G5" s="74"/>
      <c r="H5" s="74"/>
      <c r="I5" s="74"/>
      <c r="J5" s="75"/>
    </row>
    <row r="6" spans="1:26" ht="15.75" customHeight="1">
      <c r="A6" s="31" t="s">
        <v>48</v>
      </c>
    </row>
    <row r="7" spans="1:26" ht="75.75" customHeight="1">
      <c r="A7" s="1" t="s">
        <v>2</v>
      </c>
      <c r="B7" s="6" t="s">
        <v>166</v>
      </c>
      <c r="C7" s="6" t="s">
        <v>167</v>
      </c>
      <c r="D7" s="6" t="s">
        <v>168</v>
      </c>
      <c r="E7" s="6" t="s">
        <v>169</v>
      </c>
      <c r="F7" s="32" t="s">
        <v>170</v>
      </c>
      <c r="G7" s="33" t="s">
        <v>171</v>
      </c>
      <c r="H7" s="34" t="s">
        <v>9</v>
      </c>
      <c r="I7" s="6" t="s">
        <v>172</v>
      </c>
      <c r="J7" s="6" t="s">
        <v>173</v>
      </c>
      <c r="K7" s="7"/>
      <c r="L7" s="7"/>
      <c r="M7" s="7"/>
      <c r="N7" s="7"/>
      <c r="O7" s="7"/>
      <c r="P7" s="7"/>
      <c r="Q7" s="7"/>
      <c r="R7" s="7"/>
      <c r="S7" s="7"/>
      <c r="T7" s="7"/>
      <c r="U7" s="7"/>
      <c r="V7" s="7"/>
      <c r="W7" s="7"/>
      <c r="X7" s="7"/>
      <c r="Y7" s="7"/>
      <c r="Z7" s="7"/>
    </row>
    <row r="8" spans="1:26" ht="288">
      <c r="A8" s="15" t="s">
        <v>12</v>
      </c>
      <c r="B8" s="20" t="s">
        <v>174</v>
      </c>
      <c r="C8" s="35" t="s">
        <v>175</v>
      </c>
      <c r="D8" s="20" t="s">
        <v>176</v>
      </c>
      <c r="E8" s="40">
        <f>50/1.19</f>
        <v>42.016806722689076</v>
      </c>
      <c r="F8" s="64">
        <f t="shared" ref="F8:F10" si="0">E8*19%</f>
        <v>7.9831932773109244</v>
      </c>
      <c r="G8" s="64">
        <f t="shared" ref="G8:G10" si="1">E8+F8</f>
        <v>50</v>
      </c>
      <c r="H8" s="36">
        <f t="shared" ref="H8:H9" si="2">G8*4106</f>
        <v>205300</v>
      </c>
      <c r="I8" s="13" t="s">
        <v>16</v>
      </c>
      <c r="J8" s="38" t="s">
        <v>177</v>
      </c>
      <c r="K8" s="31"/>
      <c r="L8" s="31"/>
      <c r="M8" s="31"/>
    </row>
    <row r="9" spans="1:26" ht="360">
      <c r="A9" s="15" t="s">
        <v>18</v>
      </c>
      <c r="B9" s="20" t="s">
        <v>178</v>
      </c>
      <c r="C9" s="39" t="s">
        <v>179</v>
      </c>
      <c r="D9" s="20" t="s">
        <v>176</v>
      </c>
      <c r="E9" s="36">
        <f>42/1.19</f>
        <v>35.294117647058826</v>
      </c>
      <c r="F9" s="36">
        <f t="shared" si="0"/>
        <v>6.7058823529411766</v>
      </c>
      <c r="G9" s="36">
        <f t="shared" si="1"/>
        <v>42</v>
      </c>
      <c r="H9" s="36">
        <f t="shared" si="2"/>
        <v>172452</v>
      </c>
      <c r="I9" s="13" t="s">
        <v>16</v>
      </c>
      <c r="J9" s="38" t="s">
        <v>180</v>
      </c>
      <c r="L9" s="31"/>
    </row>
    <row r="10" spans="1:26" ht="360">
      <c r="A10" s="15" t="s">
        <v>23</v>
      </c>
      <c r="B10" s="20" t="s">
        <v>181</v>
      </c>
      <c r="C10" s="42" t="s">
        <v>182</v>
      </c>
      <c r="D10" s="20" t="s">
        <v>183</v>
      </c>
      <c r="E10" s="36">
        <f>50/1.19</f>
        <v>42.016806722689076</v>
      </c>
      <c r="F10" s="37">
        <f t="shared" si="0"/>
        <v>7.9831932773109244</v>
      </c>
      <c r="G10" s="36">
        <f t="shared" si="1"/>
        <v>50</v>
      </c>
      <c r="H10" s="36">
        <f>G10*4300</f>
        <v>215000</v>
      </c>
      <c r="I10" s="43" t="s">
        <v>16</v>
      </c>
      <c r="J10" s="38" t="s">
        <v>180</v>
      </c>
    </row>
    <row r="11" spans="1:26" ht="15" hidden="1" customHeight="1">
      <c r="A11" s="44"/>
      <c r="B11" s="41"/>
      <c r="C11" s="41"/>
      <c r="D11" s="41"/>
      <c r="E11" s="41"/>
      <c r="F11" s="41"/>
      <c r="G11" s="41"/>
      <c r="H11" s="41"/>
      <c r="I11" s="41"/>
      <c r="J11" s="41"/>
    </row>
    <row r="12" spans="1:26" ht="2.25" customHeight="1">
      <c r="J12" s="31"/>
    </row>
    <row r="13" spans="1:26" ht="138.75" customHeight="1">
      <c r="A13" s="76" t="s">
        <v>69</v>
      </c>
      <c r="B13" s="74"/>
      <c r="C13" s="74"/>
      <c r="D13" s="74"/>
      <c r="E13" s="74"/>
      <c r="F13" s="74"/>
      <c r="G13" s="74"/>
      <c r="H13" s="74"/>
      <c r="I13" s="74"/>
      <c r="J13" s="75"/>
    </row>
    <row r="14" spans="1:26" ht="12.75" customHeight="1"/>
    <row r="15" spans="1:26" ht="75" customHeight="1">
      <c r="A15" s="76" t="s">
        <v>184</v>
      </c>
      <c r="B15" s="74"/>
      <c r="C15" s="74"/>
      <c r="D15" s="74"/>
      <c r="E15" s="74"/>
      <c r="F15" s="74"/>
      <c r="G15" s="74"/>
      <c r="H15" s="74"/>
      <c r="I15" s="74"/>
      <c r="J15" s="75"/>
    </row>
    <row r="16" spans="1:26" ht="12.75" customHeight="1"/>
    <row r="17" spans="1:10" ht="12.75" customHeight="1"/>
    <row r="18" spans="1:10" ht="12.75" customHeight="1">
      <c r="A18" s="1" t="s">
        <v>2</v>
      </c>
      <c r="B18" s="6" t="s">
        <v>185</v>
      </c>
      <c r="C18" s="6" t="s">
        <v>186</v>
      </c>
      <c r="D18" s="6" t="s">
        <v>187</v>
      </c>
      <c r="E18" s="6" t="s">
        <v>188</v>
      </c>
      <c r="F18" s="32" t="s">
        <v>189</v>
      </c>
      <c r="G18" s="33" t="s">
        <v>190</v>
      </c>
      <c r="H18" s="34" t="s">
        <v>9</v>
      </c>
      <c r="I18" s="6" t="s">
        <v>191</v>
      </c>
      <c r="J18" s="6" t="s">
        <v>192</v>
      </c>
    </row>
    <row r="19" spans="1:10" ht="12.75" customHeight="1">
      <c r="A19" s="15" t="s">
        <v>12</v>
      </c>
      <c r="B19" s="38"/>
      <c r="C19" s="38"/>
      <c r="D19" s="38"/>
      <c r="E19" s="38"/>
      <c r="F19" s="45"/>
      <c r="G19" s="46"/>
      <c r="H19" s="45"/>
      <c r="I19" s="38"/>
      <c r="J19" s="38"/>
    </row>
    <row r="20" spans="1:10" ht="12.75" customHeight="1">
      <c r="A20" s="15" t="s">
        <v>18</v>
      </c>
      <c r="B20" s="38"/>
      <c r="C20" s="47"/>
      <c r="D20" s="41"/>
      <c r="E20" s="41"/>
      <c r="F20" s="45"/>
      <c r="G20" s="46"/>
      <c r="H20" s="45"/>
      <c r="I20" s="41"/>
      <c r="J20" s="41"/>
    </row>
    <row r="21" spans="1:10" ht="12.75" customHeight="1">
      <c r="A21" s="15" t="s">
        <v>23</v>
      </c>
      <c r="B21" s="38"/>
      <c r="C21" s="41"/>
      <c r="D21" s="41"/>
      <c r="E21" s="46"/>
      <c r="F21" s="45"/>
      <c r="G21" s="48"/>
      <c r="H21" s="45"/>
      <c r="I21" s="41"/>
      <c r="J21" s="41"/>
    </row>
    <row r="22" spans="1:10" ht="12.75" customHeight="1"/>
    <row r="23" spans="1:10" ht="12.75" customHeight="1"/>
    <row r="24" spans="1:10" ht="12.75" customHeight="1"/>
    <row r="25" spans="1:10" ht="12.75" customHeight="1"/>
    <row r="26" spans="1:10" ht="12.75" customHeight="1">
      <c r="D26" s="23"/>
      <c r="E26" s="23"/>
      <c r="F26" s="24"/>
      <c r="G26" s="24"/>
    </row>
    <row r="27" spans="1:10" ht="12.75" customHeight="1"/>
    <row r="28" spans="1:10" ht="12.75" customHeight="1"/>
    <row r="29" spans="1:10" ht="12.75" customHeight="1"/>
    <row r="30" spans="1:10" ht="12.75" customHeight="1"/>
    <row r="31" spans="1:10" ht="12.75" customHeight="1"/>
    <row r="32" spans="1:10"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00000000-0004-0000-0700-000000000000}"/>
    <hyperlink ref="C9" r:id="rId2" xr:uid="{00000000-0004-0000-0700-000001000000}"/>
    <hyperlink ref="C10" r:id="rId3" xr:uid="{00000000-0004-0000-0700-000002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Equipo (desarrolladores)</vt:lpstr>
      <vt:lpstr>Equipo Administrador</vt:lpstr>
      <vt:lpstr>Equipo Supervisor</vt:lpstr>
      <vt:lpstr>Equipo Tecnico Y Auxiliar</vt:lpstr>
      <vt:lpstr>Mouse administrador</vt:lpstr>
      <vt:lpstr>teclado administrador</vt:lpstr>
      <vt:lpstr>Monitor administrador</vt:lpstr>
      <vt:lpstr>Windows 11 Pro</vt:lpstr>
      <vt:lpstr>Licencia de Office</vt:lpstr>
      <vt:lpstr>ANTIVIRUS</vt:lpstr>
      <vt:lpstr>SQL</vt:lpstr>
      <vt:lpstr>Adobe illustrator</vt:lpstr>
      <vt:lpstr>Servicio de internet</vt:lpstr>
      <vt:lpstr>Hosting y Dominio</vt:lpstr>
      <vt:lpstr>Visual Studio</vt:lpstr>
      <vt:lpstr>Windows Server</vt:lpstr>
      <vt:lpstr>Gestor de base de 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Cristian Cifuentes</cp:lastModifiedBy>
  <dcterms:created xsi:type="dcterms:W3CDTF">2010-11-08T17:12:41Z</dcterms:created>
  <dcterms:modified xsi:type="dcterms:W3CDTF">2025-04-03T20:57:29Z</dcterms:modified>
</cp:coreProperties>
</file>